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\RHN Project\backend\rhn_app\services\data\"/>
    </mc:Choice>
  </mc:AlternateContent>
  <xr:revisionPtr revIDLastSave="0" documentId="13_ncr:1_{C531F178-E906-45F3-AA43-612AE9E51043}" xr6:coauthVersionLast="47" xr6:coauthVersionMax="47" xr10:uidLastSave="{00000000-0000-0000-0000-000000000000}"/>
  <bookViews>
    <workbookView xWindow="28680" yWindow="-1275" windowWidth="21840" windowHeight="130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2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3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2" i="2"/>
</calcChain>
</file>

<file path=xl/sharedStrings.xml><?xml version="1.0" encoding="utf-8"?>
<sst xmlns="http://schemas.openxmlformats.org/spreadsheetml/2006/main" count="8075" uniqueCount="2691">
  <si>
    <t>Name</t>
  </si>
  <si>
    <t>Node Type</t>
  </si>
  <si>
    <t>Max output rate [kW]</t>
  </si>
  <si>
    <t>Type</t>
  </si>
  <si>
    <t>Cost for kW for 55 °C output</t>
  </si>
  <si>
    <t>Cost for kW for 67 °C output</t>
  </si>
  <si>
    <t>Cost for kW for 80 °C output</t>
  </si>
  <si>
    <t>Sarfvik</t>
  </si>
  <si>
    <t>Kirkkonummi</t>
  </si>
  <si>
    <t>Ericsson</t>
  </si>
  <si>
    <t>Source/Heater</t>
  </si>
  <si>
    <t>Biomass boiler</t>
  </si>
  <si>
    <t>Natural gas boiler</t>
  </si>
  <si>
    <t>Heat pump for heating only return water</t>
  </si>
  <si>
    <t>??</t>
  </si>
  <si>
    <t>X-Coordinate</t>
  </si>
  <si>
    <t>Y-Coordinate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</si>
  <si>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</si>
  <si>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</si>
  <si>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</si>
  <si>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</si>
  <si>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</si>
  <si>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</si>
  <si>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</si>
  <si>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</si>
  <si>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</si>
  <si>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</si>
  <si>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</si>
  <si>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</si>
  <si>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</si>
  <si>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</si>
  <si>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</si>
  <si>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</si>
  <si>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</si>
  <si>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</si>
  <si>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</si>
  <si>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</si>
  <si>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</si>
  <si>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</si>
  <si>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</si>
  <si>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</si>
  <si>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</si>
  <si>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</si>
  <si>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</si>
  <si>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</si>
  <si>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Junction-129107</t>
  </si>
  <si>
    <t>Junction-127293</t>
  </si>
  <si>
    <t>Junction-127222</t>
  </si>
  <si>
    <t>Junction-128285</t>
  </si>
  <si>
    <t>Junction-128595</t>
  </si>
  <si>
    <t>Junction-128600</t>
  </si>
  <si>
    <t>Junction-128440</t>
  </si>
  <si>
    <t>Junction-129109</t>
  </si>
  <si>
    <t>Junction-129149</t>
  </si>
  <si>
    <t>Junction-129272</t>
  </si>
  <si>
    <t>Junction-129285</t>
  </si>
  <si>
    <t>Junction-127340</t>
  </si>
  <si>
    <t>Junction-127302</t>
  </si>
  <si>
    <t>Junction-128333</t>
  </si>
  <si>
    <t>Junction-128334</t>
  </si>
  <si>
    <t>Junction-128253</t>
  </si>
  <si>
    <t>Junction-127650</t>
  </si>
  <si>
    <t>Junction-128286</t>
  </si>
  <si>
    <t>Junction-128233</t>
  </si>
  <si>
    <t>Junction-128231</t>
  </si>
  <si>
    <t>Junction-128433</t>
  </si>
  <si>
    <t>Junction-122930</t>
  </si>
  <si>
    <t>Neidonkallio_EMP_2</t>
  </si>
  <si>
    <t>Neidonkallio_EMP_1</t>
  </si>
  <si>
    <t>Kummihovi_EMP</t>
  </si>
  <si>
    <t>Kantvik_EMP</t>
  </si>
  <si>
    <t>Junction-99936</t>
  </si>
  <si>
    <t>Junction-99902</t>
  </si>
  <si>
    <t>Junction-99881</t>
  </si>
  <si>
    <t>Junction-99878</t>
  </si>
  <si>
    <t>Junction-99877</t>
  </si>
  <si>
    <t>Junction-99875</t>
  </si>
  <si>
    <t>Junction-99873</t>
  </si>
  <si>
    <t>Junction-99871</t>
  </si>
  <si>
    <t>Junction-99866</t>
  </si>
  <si>
    <t>Junction-99827</t>
  </si>
  <si>
    <t>Junction-99822</t>
  </si>
  <si>
    <t>Junction-99819</t>
  </si>
  <si>
    <t>Junction-99818</t>
  </si>
  <si>
    <t>Junction-99803</t>
  </si>
  <si>
    <t>Junction-99794</t>
  </si>
  <si>
    <t>Junction-99790</t>
  </si>
  <si>
    <t>Junction-99757</t>
  </si>
  <si>
    <t>Junction-99727</t>
  </si>
  <si>
    <t>Junction-99701</t>
  </si>
  <si>
    <t>Junction-99668</t>
  </si>
  <si>
    <t>Junction-99655</t>
  </si>
  <si>
    <t>Junction-99653</t>
  </si>
  <si>
    <t>Junction-99647</t>
  </si>
  <si>
    <t>Junction-99645</t>
  </si>
  <si>
    <t>Junction-99635</t>
  </si>
  <si>
    <t>Junction-99632</t>
  </si>
  <si>
    <t>Junction-99628</t>
  </si>
  <si>
    <t>Junction-99625</t>
  </si>
  <si>
    <t>Junction-99613</t>
  </si>
  <si>
    <t>Junction-99598</t>
  </si>
  <si>
    <t>Junction-128162</t>
  </si>
  <si>
    <t>Junction-99559</t>
  </si>
  <si>
    <t>Junction-99544</t>
  </si>
  <si>
    <t>Junction-99542</t>
  </si>
  <si>
    <t>Junction-99538</t>
  </si>
  <si>
    <t>Junction-99537</t>
  </si>
  <si>
    <t>Junction-99535</t>
  </si>
  <si>
    <t>Junction-99528</t>
  </si>
  <si>
    <t>Junction-99519</t>
  </si>
  <si>
    <t>Junction-99516</t>
  </si>
  <si>
    <t>Junction-99484</t>
  </si>
  <si>
    <t>Junction-99473</t>
  </si>
  <si>
    <t>Junction-99472</t>
  </si>
  <si>
    <t>Junction-99467</t>
  </si>
  <si>
    <t>Junction-99465</t>
  </si>
  <si>
    <t>Junction-99464</t>
  </si>
  <si>
    <t>Junction-9946</t>
  </si>
  <si>
    <t>Junction-99424</t>
  </si>
  <si>
    <t>Junction-99377</t>
  </si>
  <si>
    <t>Junction-99373</t>
  </si>
  <si>
    <t>Junction-99363</t>
  </si>
  <si>
    <t>Junction-99361</t>
  </si>
  <si>
    <t>Junction-99351</t>
  </si>
  <si>
    <t>Junction-99323</t>
  </si>
  <si>
    <t>Junction-99307</t>
  </si>
  <si>
    <t>Junction-99292</t>
  </si>
  <si>
    <t>Junction-99286</t>
  </si>
  <si>
    <t>Junction-99247</t>
  </si>
  <si>
    <t>Junction-99238</t>
  </si>
  <si>
    <t>Junction-127493</t>
  </si>
  <si>
    <t>Junction-99198</t>
  </si>
  <si>
    <t>Junction-99186</t>
  </si>
  <si>
    <t>Junction-99119</t>
  </si>
  <si>
    <t>Junction-99096</t>
  </si>
  <si>
    <t>Junction-99095</t>
  </si>
  <si>
    <t>Junction-99093</t>
  </si>
  <si>
    <t>Junction-99090</t>
  </si>
  <si>
    <t>Junction-99087</t>
  </si>
  <si>
    <t>Junction-99085</t>
  </si>
  <si>
    <t>Junction-99084</t>
  </si>
  <si>
    <t>Junction-99082</t>
  </si>
  <si>
    <t>Junction-99081</t>
  </si>
  <si>
    <t>Junction-99079</t>
  </si>
  <si>
    <t>Junction-99077</t>
  </si>
  <si>
    <t>Junction-99076</t>
  </si>
  <si>
    <t>Junction-99074</t>
  </si>
  <si>
    <t>Junction-99054</t>
  </si>
  <si>
    <t>Junction-99051</t>
  </si>
  <si>
    <t>Junction-99013</t>
  </si>
  <si>
    <t>Junction-99004</t>
  </si>
  <si>
    <t>Junction-98927</t>
  </si>
  <si>
    <t>Junction-98919</t>
  </si>
  <si>
    <t>Junction-98912</t>
  </si>
  <si>
    <t>Junction-98910</t>
  </si>
  <si>
    <t>Junction-98908</t>
  </si>
  <si>
    <t>Junction-98881</t>
  </si>
  <si>
    <t>Junction-98879</t>
  </si>
  <si>
    <t>Junction-98876</t>
  </si>
  <si>
    <t>Junction-98875</t>
  </si>
  <si>
    <t>Junction-98870</t>
  </si>
  <si>
    <t>Junction-98858</t>
  </si>
  <si>
    <t>Junction-98844</t>
  </si>
  <si>
    <t>Junction-98833</t>
  </si>
  <si>
    <t>Junction-98765</t>
  </si>
  <si>
    <t>Junction-98729</t>
  </si>
  <si>
    <t>Junction-98725</t>
  </si>
  <si>
    <t>Junction-98721</t>
  </si>
  <si>
    <t>Junction-98718</t>
  </si>
  <si>
    <t>Junction-98676</t>
  </si>
  <si>
    <t>Junction-9860</t>
  </si>
  <si>
    <t>Junction-98583</t>
  </si>
  <si>
    <t>Junction-98582</t>
  </si>
  <si>
    <t>Junction-98461</t>
  </si>
  <si>
    <t>Junction-98413</t>
  </si>
  <si>
    <t>Junction-98399</t>
  </si>
  <si>
    <t>Junction-98390</t>
  </si>
  <si>
    <t>Junction-98264</t>
  </si>
  <si>
    <t>Junction-98262</t>
  </si>
  <si>
    <t>Junction-98261</t>
  </si>
  <si>
    <t>Junction-98228</t>
  </si>
  <si>
    <t>Junction-97997</t>
  </si>
  <si>
    <t>Junction-97993</t>
  </si>
  <si>
    <t>Junction-97918</t>
  </si>
  <si>
    <t>Junction-97898</t>
  </si>
  <si>
    <t>Junction-97774</t>
  </si>
  <si>
    <t>Junction-97769</t>
  </si>
  <si>
    <t>Junction-97754</t>
  </si>
  <si>
    <t>Junction-97576</t>
  </si>
  <si>
    <t>Junction-97501</t>
  </si>
  <si>
    <t>Junction-97499</t>
  </si>
  <si>
    <t>Junction-97299</t>
  </si>
  <si>
    <t>Junction-97160</t>
  </si>
  <si>
    <t>Junction-97113</t>
  </si>
  <si>
    <t>Junction-9698</t>
  </si>
  <si>
    <t>Junction-96900</t>
  </si>
  <si>
    <t>Junction-96850</t>
  </si>
  <si>
    <t>Junction-96846</t>
  </si>
  <si>
    <t>Junction-96635</t>
  </si>
  <si>
    <t>Junction-96226</t>
  </si>
  <si>
    <t>Junction-95942</t>
  </si>
  <si>
    <t>Junction-95635</t>
  </si>
  <si>
    <t>Junction-956</t>
  </si>
  <si>
    <t>Junction-95354</t>
  </si>
  <si>
    <t>Junction-95286</t>
  </si>
  <si>
    <t>Junction-95242</t>
  </si>
  <si>
    <t>Junction-95020</t>
  </si>
  <si>
    <t>Junction-9494</t>
  </si>
  <si>
    <t>Junction-94894</t>
  </si>
  <si>
    <t>Junction-94619</t>
  </si>
  <si>
    <t>Junction-945</t>
  </si>
  <si>
    <t>Junction-93415</t>
  </si>
  <si>
    <t>Junction-894</t>
  </si>
  <si>
    <t>Junction-84540</t>
  </si>
  <si>
    <t>Junction-8150</t>
  </si>
  <si>
    <t>Junction-7838</t>
  </si>
  <si>
    <t>Junction-76989</t>
  </si>
  <si>
    <t>Junction-76786</t>
  </si>
  <si>
    <t>Junction-7614</t>
  </si>
  <si>
    <t>Junction-75389</t>
  </si>
  <si>
    <t>Junction-75222</t>
  </si>
  <si>
    <t>Junction-74927</t>
  </si>
  <si>
    <t>Junction-73674</t>
  </si>
  <si>
    <t>Junction-736</t>
  </si>
  <si>
    <t>Junction-73297</t>
  </si>
  <si>
    <t>Junction-73295</t>
  </si>
  <si>
    <t>Junction-73056</t>
  </si>
  <si>
    <t>Junction-7270</t>
  </si>
  <si>
    <t>Junction-72632</t>
  </si>
  <si>
    <t>Junction-72077</t>
  </si>
  <si>
    <t>Junction-71599</t>
  </si>
  <si>
    <t>Junction-7150</t>
  </si>
  <si>
    <t>Junction-68672</t>
  </si>
  <si>
    <t>Junction-67966</t>
  </si>
  <si>
    <t>Junction-67964</t>
  </si>
  <si>
    <t>Junction-67935</t>
  </si>
  <si>
    <t>Junction-6716</t>
  </si>
  <si>
    <t>Junction-6712</t>
  </si>
  <si>
    <t>Junction-67029</t>
  </si>
  <si>
    <t>Junction-6657</t>
  </si>
  <si>
    <t>Junction-66516</t>
  </si>
  <si>
    <t>Junction-66227</t>
  </si>
  <si>
    <t>Junction-6583</t>
  </si>
  <si>
    <t>Junction-65709</t>
  </si>
  <si>
    <t>Junction-65680</t>
  </si>
  <si>
    <t>Junction-65422</t>
  </si>
  <si>
    <t>Junction-65376</t>
  </si>
  <si>
    <t>Junction-65240</t>
  </si>
  <si>
    <t>Junction-65236</t>
  </si>
  <si>
    <t>Junction-64780</t>
  </si>
  <si>
    <t>Junction-64664</t>
  </si>
  <si>
    <t>Junction-64230</t>
  </si>
  <si>
    <t>Junction-63769</t>
  </si>
  <si>
    <t>Junction-63760</t>
  </si>
  <si>
    <t>Junction-61769</t>
  </si>
  <si>
    <t>Junction-60758</t>
  </si>
  <si>
    <t>Junction-5882</t>
  </si>
  <si>
    <t>Junction-58784</t>
  </si>
  <si>
    <t>Junction-58769</t>
  </si>
  <si>
    <t>Junction-58647</t>
  </si>
  <si>
    <t>Junction-58617</t>
  </si>
  <si>
    <t>Junction-58481</t>
  </si>
  <si>
    <t>Junction-57301</t>
  </si>
  <si>
    <t>Junction-5699</t>
  </si>
  <si>
    <t>Junction-56779</t>
  </si>
  <si>
    <t>Junction-56147</t>
  </si>
  <si>
    <t>Junction-55179</t>
  </si>
  <si>
    <t>Junction-55177</t>
  </si>
  <si>
    <t>Junction-55173</t>
  </si>
  <si>
    <t>Junction-54948</t>
  </si>
  <si>
    <t>Junction-54882</t>
  </si>
  <si>
    <t>Junction-54809</t>
  </si>
  <si>
    <t>Junction-54634</t>
  </si>
  <si>
    <t>Junction-54387</t>
  </si>
  <si>
    <t>Junction-54123</t>
  </si>
  <si>
    <t>Junction-54121</t>
  </si>
  <si>
    <t>Junction-54119</t>
  </si>
  <si>
    <t>Junction-54075</t>
  </si>
  <si>
    <t>Junction-53867</t>
  </si>
  <si>
    <t>Junction-53866</t>
  </si>
  <si>
    <t>Junction-52880</t>
  </si>
  <si>
    <t>Junction-52874</t>
  </si>
  <si>
    <t>Junction-52417</t>
  </si>
  <si>
    <t>Junction-52250</t>
  </si>
  <si>
    <t>Junction-52026</t>
  </si>
  <si>
    <t>Junction-51815</t>
  </si>
  <si>
    <t>Junction-51548</t>
  </si>
  <si>
    <t>Junction-51508</t>
  </si>
  <si>
    <t>Junction-51163</t>
  </si>
  <si>
    <t>Junction-50972</t>
  </si>
  <si>
    <t>Junction-50786</t>
  </si>
  <si>
    <t>Junction-50652</t>
  </si>
  <si>
    <t>Junction-50470</t>
  </si>
  <si>
    <t>Junction-50461</t>
  </si>
  <si>
    <t>Junction-50392</t>
  </si>
  <si>
    <t>Junction-50328</t>
  </si>
  <si>
    <t>Junction-50299</t>
  </si>
  <si>
    <t>Junction-50187</t>
  </si>
  <si>
    <t>Junction-50028</t>
  </si>
  <si>
    <t>Junction-49794</t>
  </si>
  <si>
    <t>Junction-49563</t>
  </si>
  <si>
    <t>Junction-49415</t>
  </si>
  <si>
    <t>Junction-49267</t>
  </si>
  <si>
    <t>Junction-49141</t>
  </si>
  <si>
    <t>Junction-48626</t>
  </si>
  <si>
    <t>Junction-48557</t>
  </si>
  <si>
    <t>Junction-48318</t>
  </si>
  <si>
    <t>Junction-48312</t>
  </si>
  <si>
    <t>Junction-47855</t>
  </si>
  <si>
    <t>Junction-47851</t>
  </si>
  <si>
    <t>Junction-47603</t>
  </si>
  <si>
    <t>Junction-47223</t>
  </si>
  <si>
    <t>Junction-47093</t>
  </si>
  <si>
    <t>Junction-46597</t>
  </si>
  <si>
    <t>Junction-46225</t>
  </si>
  <si>
    <t>Junction-46217</t>
  </si>
  <si>
    <t>Junction-46212</t>
  </si>
  <si>
    <t>Junction-46129</t>
  </si>
  <si>
    <t>Junction-45979</t>
  </si>
  <si>
    <t>Junction-45254</t>
  </si>
  <si>
    <t>Junction-44635</t>
  </si>
  <si>
    <t>Junction-43595</t>
  </si>
  <si>
    <t>Junction-43562</t>
  </si>
  <si>
    <t>Junction-42763</t>
  </si>
  <si>
    <t>Junction-42748</t>
  </si>
  <si>
    <t>Junction-42686</t>
  </si>
  <si>
    <t>Junction-42178</t>
  </si>
  <si>
    <t>Junction-42173</t>
  </si>
  <si>
    <t>Junction-41940</t>
  </si>
  <si>
    <t>Junction-41716</t>
  </si>
  <si>
    <t>Junction-41711</t>
  </si>
  <si>
    <t>Junction-41620</t>
  </si>
  <si>
    <t>Junction-41284</t>
  </si>
  <si>
    <t>Junction-41266</t>
  </si>
  <si>
    <t>Junction-41107</t>
  </si>
  <si>
    <t>Junction-41095</t>
  </si>
  <si>
    <t>Junction-4108</t>
  </si>
  <si>
    <t>Junction-41060</t>
  </si>
  <si>
    <t>Junction-41049</t>
  </si>
  <si>
    <t>Junction-40892</t>
  </si>
  <si>
    <t>Junction-40794</t>
  </si>
  <si>
    <t>Junction-4079</t>
  </si>
  <si>
    <t>Junction-40770</t>
  </si>
  <si>
    <t>Junction-39150</t>
  </si>
  <si>
    <t>Junction-39113</t>
  </si>
  <si>
    <t>Junction-39039</t>
  </si>
  <si>
    <t>Junction-38905</t>
  </si>
  <si>
    <t>Junction-38706</t>
  </si>
  <si>
    <t>Junction-38595</t>
  </si>
  <si>
    <t>Junction-38429</t>
  </si>
  <si>
    <t>Junction-38427</t>
  </si>
  <si>
    <t>Junction-38343</t>
  </si>
  <si>
    <t>Junction-37884</t>
  </si>
  <si>
    <t>Junction-37782</t>
  </si>
  <si>
    <t>Junction-37780</t>
  </si>
  <si>
    <t>Junction-37591</t>
  </si>
  <si>
    <t>Junction-36960</t>
  </si>
  <si>
    <t>Junction-36016</t>
  </si>
  <si>
    <t>Junction-35793</t>
  </si>
  <si>
    <t>Junction-35245</t>
  </si>
  <si>
    <t>Junction-3493</t>
  </si>
  <si>
    <t>Junction-34250</t>
  </si>
  <si>
    <t>Junction-34191</t>
  </si>
  <si>
    <t>Junction-34155</t>
  </si>
  <si>
    <t>Junction-34067</t>
  </si>
  <si>
    <t>Junction-3397</t>
  </si>
  <si>
    <t>Junction-33952</t>
  </si>
  <si>
    <t>Junction-33920</t>
  </si>
  <si>
    <t>Junction-33839</t>
  </si>
  <si>
    <t>Junction-32957</t>
  </si>
  <si>
    <t>Junction-32344</t>
  </si>
  <si>
    <t>Junction-32090</t>
  </si>
  <si>
    <t>Junction-31937</t>
  </si>
  <si>
    <t>Junction-30575</t>
  </si>
  <si>
    <t>Junction-29994</t>
  </si>
  <si>
    <t>Junction-29939</t>
  </si>
  <si>
    <t>Junction-29864</t>
  </si>
  <si>
    <t>Junction-29629</t>
  </si>
  <si>
    <t>Junction-29484</t>
  </si>
  <si>
    <t>Junction-29012</t>
  </si>
  <si>
    <t>Junction-27615</t>
  </si>
  <si>
    <t>Junction-27501</t>
  </si>
  <si>
    <t>Junction-27239</t>
  </si>
  <si>
    <t>Junction-26998</t>
  </si>
  <si>
    <t>Junction-25489</t>
  </si>
  <si>
    <t>Junction-25472</t>
  </si>
  <si>
    <t>Junction-25321</t>
  </si>
  <si>
    <t>Junction-24920</t>
  </si>
  <si>
    <t>Junction-23736</t>
  </si>
  <si>
    <t>Junction-23720</t>
  </si>
  <si>
    <t>Junction-2365</t>
  </si>
  <si>
    <t>Junction-2330</t>
  </si>
  <si>
    <t>Junction-23009</t>
  </si>
  <si>
    <t>Junction-22908</t>
  </si>
  <si>
    <t>Junction-22905</t>
  </si>
  <si>
    <t>Junction-21859</t>
  </si>
  <si>
    <t>Junction-21775</t>
  </si>
  <si>
    <t>Junction-21635</t>
  </si>
  <si>
    <t>Junction-21588</t>
  </si>
  <si>
    <t>Junction-21414</t>
  </si>
  <si>
    <t>Junction-20661</t>
  </si>
  <si>
    <t>Junction-20653</t>
  </si>
  <si>
    <t>Junction-20284</t>
  </si>
  <si>
    <t>Junction-20238</t>
  </si>
  <si>
    <t>Junction-20236</t>
  </si>
  <si>
    <t>Junction-20232</t>
  </si>
  <si>
    <t>Junction-20196</t>
  </si>
  <si>
    <t>Junction-20194</t>
  </si>
  <si>
    <t>Junction-19911</t>
  </si>
  <si>
    <t>Junction-19740</t>
  </si>
  <si>
    <t>Junction-19621</t>
  </si>
  <si>
    <t>Junction-19616</t>
  </si>
  <si>
    <t>Junction-19611</t>
  </si>
  <si>
    <t>Junction-19572</t>
  </si>
  <si>
    <t>Junction-1941</t>
  </si>
  <si>
    <t>Junction-1933</t>
  </si>
  <si>
    <t>Junction-19274</t>
  </si>
  <si>
    <t>Junction-19266</t>
  </si>
  <si>
    <t>Junction-192</t>
  </si>
  <si>
    <t>Junction-19185</t>
  </si>
  <si>
    <t>Junction-1917</t>
  </si>
  <si>
    <t>Junction-18874</t>
  </si>
  <si>
    <t>Junction-17137</t>
  </si>
  <si>
    <t>Junction-1694</t>
  </si>
  <si>
    <t>Junction-16837</t>
  </si>
  <si>
    <t>Junction-16793</t>
  </si>
  <si>
    <t>Junction-16605</t>
  </si>
  <si>
    <t>Junction-16557</t>
  </si>
  <si>
    <t>Junction-16187</t>
  </si>
  <si>
    <t>Junction-15027</t>
  </si>
  <si>
    <t>Junction-15021</t>
  </si>
  <si>
    <t>Junction-1491</t>
  </si>
  <si>
    <t>Junction-1477</t>
  </si>
  <si>
    <t>Junction-1473</t>
  </si>
  <si>
    <t>Junction-1398</t>
  </si>
  <si>
    <t>Junction-12744</t>
  </si>
  <si>
    <t>Junction-118160</t>
  </si>
  <si>
    <t>Junction-118151</t>
  </si>
  <si>
    <t>Junction-117594</t>
  </si>
  <si>
    <t>Junction-117566</t>
  </si>
  <si>
    <t>Junction-116892</t>
  </si>
  <si>
    <t>Junction-116837</t>
  </si>
  <si>
    <t>Junction-11651</t>
  </si>
  <si>
    <t>Junction-1164</t>
  </si>
  <si>
    <t>Junction-1124</t>
  </si>
  <si>
    <t>Junction-11221</t>
  </si>
  <si>
    <t>Junction-1114</t>
  </si>
  <si>
    <t>Junction-111228</t>
  </si>
  <si>
    <t>Junction-111213</t>
  </si>
  <si>
    <t>Junction-111196</t>
  </si>
  <si>
    <t>Junction-111171</t>
  </si>
  <si>
    <t>Junction-111160</t>
  </si>
  <si>
    <t>Junction-111150</t>
  </si>
  <si>
    <t>Junction-111142</t>
  </si>
  <si>
    <t>Junction-106507</t>
  </si>
  <si>
    <t>Junction-106501</t>
  </si>
  <si>
    <t>Junction-106327</t>
  </si>
  <si>
    <t>Junction-106090</t>
  </si>
  <si>
    <t>Junction-10595</t>
  </si>
  <si>
    <t>Junction-105813</t>
  </si>
  <si>
    <t>Junction-105810</t>
  </si>
  <si>
    <t>Junction-105562</t>
  </si>
  <si>
    <t>Junction-105543</t>
  </si>
  <si>
    <t>Junction-105411</t>
  </si>
  <si>
    <t>Junction-105118</t>
  </si>
  <si>
    <t>Junction-103293</t>
  </si>
  <si>
    <t>Junction-102637</t>
  </si>
  <si>
    <t>Junction-10258</t>
  </si>
  <si>
    <t>Junction-10099</t>
  </si>
  <si>
    <t>Junction-10095</t>
  </si>
  <si>
    <t>Junction-100444</t>
  </si>
  <si>
    <t>Junction-100443</t>
  </si>
  <si>
    <t>Junction-100442</t>
  </si>
  <si>
    <t>Junction-100441</t>
  </si>
  <si>
    <t>Junction-100439</t>
  </si>
  <si>
    <t>Junction-100438</t>
  </si>
  <si>
    <t>Junction-100437</t>
  </si>
  <si>
    <t>Junction-100436</t>
  </si>
  <si>
    <t>Junction-127410</t>
  </si>
  <si>
    <t>Junction-100427</t>
  </si>
  <si>
    <t>Junction-127464</t>
  </si>
  <si>
    <t>Junction-100403</t>
  </si>
  <si>
    <t>Junction-100402</t>
  </si>
  <si>
    <t>Junction-100382</t>
  </si>
  <si>
    <t>Junction-100340</t>
  </si>
  <si>
    <t>Junction-100339</t>
  </si>
  <si>
    <t>Junction-100338</t>
  </si>
  <si>
    <t>Junction-100335</t>
  </si>
  <si>
    <t>Junction-100334</t>
  </si>
  <si>
    <t>Junction-100333</t>
  </si>
  <si>
    <t>Junction-100303</t>
  </si>
  <si>
    <t>Junction-100301</t>
  </si>
  <si>
    <t>Junction-100299</t>
  </si>
  <si>
    <t>Junction-100297</t>
  </si>
  <si>
    <t>Junction-100295</t>
  </si>
  <si>
    <t>Junction-100293</t>
  </si>
  <si>
    <t>Junction-100291</t>
  </si>
  <si>
    <t>Junction-100289</t>
  </si>
  <si>
    <t>Junction-100288</t>
  </si>
  <si>
    <t>Junction-127413</t>
  </si>
  <si>
    <t>Junction-127596</t>
  </si>
  <si>
    <t>Junction-100278</t>
  </si>
  <si>
    <t>Junction-100275</t>
  </si>
  <si>
    <t>Junction-100273</t>
  </si>
  <si>
    <t>Junction-100271</t>
  </si>
  <si>
    <t>Junction-100269</t>
  </si>
  <si>
    <t>Junction-100267</t>
  </si>
  <si>
    <t>Junction-100264</t>
  </si>
  <si>
    <t>Junction-100262</t>
  </si>
  <si>
    <t>Junction-100261</t>
  </si>
  <si>
    <t>Junction-100249</t>
  </si>
  <si>
    <t>Junction-100247</t>
  </si>
  <si>
    <t>Junction-100241</t>
  </si>
  <si>
    <t>Junction-100240</t>
  </si>
  <si>
    <t>Junction-100231</t>
  </si>
  <si>
    <t>Junction-100229</t>
  </si>
  <si>
    <t>Junction-100227</t>
  </si>
  <si>
    <t>Junction-100220</t>
  </si>
  <si>
    <t>Junction-100179</t>
  </si>
  <si>
    <t>Junction-100172</t>
  </si>
  <si>
    <t>Junction-100168</t>
  </si>
  <si>
    <t>Junction-100156</t>
  </si>
  <si>
    <t>Junction-100124</t>
  </si>
  <si>
    <t>Junction-100111</t>
  </si>
  <si>
    <t>Junction-100107</t>
  </si>
  <si>
    <t>Junction-100105</t>
  </si>
  <si>
    <t>Junction-100104</t>
  </si>
  <si>
    <t>Junction-100103</t>
  </si>
  <si>
    <t>Junction-100102</t>
  </si>
  <si>
    <t>Junction-100100</t>
  </si>
  <si>
    <t>Junction-100098</t>
  </si>
  <si>
    <t>Junction-100096</t>
  </si>
  <si>
    <t>Junction-100058</t>
  </si>
  <si>
    <t>Junction-100054</t>
  </si>
  <si>
    <t>Junction-100052</t>
  </si>
  <si>
    <t>Junction-100043</t>
  </si>
  <si>
    <t>Junction-100042</t>
  </si>
  <si>
    <t>Junction-100039</t>
  </si>
  <si>
    <t>Junction-100019</t>
  </si>
  <si>
    <t>Hommaksenkaari_EMP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</si>
  <si>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</si>
  <si>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</si>
  <si>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</si>
  <si>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</si>
  <si>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</si>
  <si>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</si>
  <si>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</si>
  <si>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</si>
  <si>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</si>
  <si>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</si>
  <si>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</si>
  <si>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</si>
  <si>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</si>
  <si>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</si>
  <si>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</si>
  <si>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</si>
  <si>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</si>
  <si>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</si>
  <si>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</si>
  <si>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</si>
  <si>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</si>
  <si>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</si>
  <si>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</si>
  <si>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</si>
  <si>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</si>
  <si>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</si>
  <si>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</si>
  <si>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</si>
  <si>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</si>
  <si>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</si>
  <si>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</si>
  <si>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</si>
  <si>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</si>
  <si>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</si>
  <si>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</si>
  <si>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</si>
  <si>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</si>
  <si>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</si>
  <si>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</si>
  <si>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</si>
  <si>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</si>
  <si>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</si>
  <si>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</si>
  <si>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</si>
  <si>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</si>
  <si>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</si>
  <si>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</si>
  <si>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</si>
  <si>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</si>
  <si>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</si>
  <si>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</si>
  <si>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</si>
  <si>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</si>
  <si>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</si>
  <si>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</si>
  <si>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</si>
  <si>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</si>
  <si>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</si>
  <si>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</si>
  <si>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</si>
  <si>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</si>
  <si>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</si>
  <si>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</si>
  <si>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</si>
  <si>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</si>
  <si>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</si>
  <si>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</si>
  <si>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</si>
  <si>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</si>
  <si>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</si>
  <si>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</si>
  <si>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</si>
  <si>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</si>
  <si>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</si>
  <si>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</si>
  <si>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</si>
  <si>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</si>
  <si>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</si>
  <si>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</si>
  <si>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</si>
  <si>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</si>
  <si>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</si>
  <si>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</si>
  <si>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</si>
  <si>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</si>
  <si>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</si>
  <si>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</si>
  <si>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</si>
  <si>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</si>
  <si>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</si>
  <si>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</si>
  <si>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</si>
  <si>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</si>
  <si>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</si>
  <si>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</si>
  <si>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</si>
  <si>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</si>
  <si>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</si>
  <si>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</si>
  <si>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</si>
  <si>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</si>
  <si>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</si>
  <si>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</si>
  <si>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</si>
  <si>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</si>
  <si>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</si>
  <si>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</si>
  <si>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</si>
  <si>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</si>
  <si>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</si>
  <si>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</si>
  <si>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</si>
  <si>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</si>
  <si>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</si>
  <si>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</si>
  <si>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</si>
  <si>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</si>
  <si>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</si>
  <si>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</si>
  <si>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</si>
  <si>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</si>
  <si>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</si>
  <si>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</si>
  <si>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</si>
  <si>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</si>
  <si>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</si>
  <si>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</si>
  <si>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</si>
  <si>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</si>
  <si>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</si>
  <si>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</si>
  <si>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</si>
  <si>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</si>
  <si>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</si>
  <si>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</si>
  <si>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</si>
  <si>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</si>
  <si>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</si>
  <si>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</si>
  <si>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</si>
  <si>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</si>
  <si>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</si>
  <si>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</si>
  <si>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</si>
  <si>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</si>
  <si>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</si>
  <si>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</si>
  <si>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</si>
  <si>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</si>
  <si>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</si>
  <si>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</si>
  <si>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</si>
  <si>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</si>
  <si>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</si>
  <si>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</si>
  <si>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</si>
  <si>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</si>
  <si>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</si>
  <si>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</si>
  <si>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</si>
  <si>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</si>
  <si>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</si>
  <si>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</si>
  <si>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</si>
  <si>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</si>
  <si>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</si>
  <si>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</si>
  <si>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</si>
  <si>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</si>
  <si>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</si>
  <si>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</si>
  <si>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</si>
  <si>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</si>
  <si>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</si>
  <si>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</si>
  <si>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</si>
  <si>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</si>
  <si>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</si>
  <si>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</si>
  <si>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</si>
  <si>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</si>
  <si>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</si>
  <si>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</si>
  <si>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</si>
  <si>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</si>
  <si>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</si>
  <si>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</si>
  <si>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</si>
  <si>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</si>
  <si>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</si>
  <si>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</si>
  <si>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</si>
  <si>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</si>
  <si>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</si>
  <si>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</si>
  <si>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</si>
  <si>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</si>
  <si>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</si>
  <si>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</si>
  <si>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</si>
  <si>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</si>
  <si>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</si>
  <si>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</si>
  <si>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</si>
  <si>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</si>
  <si>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</si>
  <si>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</si>
  <si>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</si>
  <si>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</si>
  <si>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</si>
  <si>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</si>
  <si>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</si>
  <si>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</si>
  <si>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</si>
  <si>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</si>
  <si>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</si>
  <si>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</si>
  <si>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</si>
  <si>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</si>
  <si>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</si>
  <si>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</si>
  <si>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</si>
  <si>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</si>
  <si>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</si>
  <si>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</si>
  <si>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</si>
  <si>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</si>
  <si>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</si>
  <si>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</si>
  <si>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</si>
  <si>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</si>
  <si>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</si>
  <si>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</si>
  <si>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</si>
  <si>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</si>
  <si>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</si>
  <si>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</si>
  <si>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</si>
  <si>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</si>
  <si>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</si>
  <si>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</si>
  <si>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</si>
  <si>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</si>
  <si>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</si>
  <si>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</si>
  <si>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</si>
  <si>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</si>
  <si>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</si>
  <si>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</si>
  <si>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</si>
  <si>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</si>
  <si>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</si>
  <si>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</si>
  <si>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</si>
  <si>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</si>
  <si>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</si>
  <si>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</si>
  <si>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</si>
  <si>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</si>
  <si>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</si>
  <si>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</si>
  <si>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</si>
  <si>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</si>
  <si>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</si>
  <si>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</si>
  <si>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</si>
  <si>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</si>
  <si>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</si>
  <si>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</si>
  <si>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</si>
  <si>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</si>
  <si>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</si>
  <si>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</si>
  <si>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</si>
  <si>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</si>
  <si>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</si>
  <si>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</si>
  <si>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</si>
  <si>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</si>
  <si>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</si>
  <si>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</si>
  <si>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</si>
  <si>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</si>
  <si>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</si>
  <si>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</si>
  <si>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</si>
  <si>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</si>
  <si>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</si>
  <si>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</si>
  <si>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</si>
  <si>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</si>
  <si>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</si>
  <si>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</si>
  <si>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</si>
  <si>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</si>
  <si>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</si>
  <si>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</si>
  <si>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</si>
  <si>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</si>
  <si>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</si>
  <si>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</si>
  <si>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</si>
  <si>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</si>
  <si>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</si>
  <si>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</si>
  <si>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</si>
  <si>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</si>
  <si>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</si>
  <si>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</si>
  <si>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</si>
  <si>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</si>
  <si>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</si>
  <si>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</si>
  <si>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</si>
  <si>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</si>
  <si>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</si>
  <si>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</si>
  <si>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</si>
  <si>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</si>
  <si>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</si>
  <si>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</si>
  <si>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</si>
  <si>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</si>
  <si>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</si>
  <si>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</si>
  <si>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</si>
  <si>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</si>
  <si>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</si>
  <si>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</si>
  <si>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</si>
  <si>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</si>
  <si>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</si>
  <si>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</si>
  <si>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</si>
  <si>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</si>
  <si>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</si>
  <si>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</si>
  <si>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</si>
  <si>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</si>
  <si>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</si>
  <si>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</si>
  <si>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</si>
  <si>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</si>
  <si>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</si>
  <si>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</si>
  <si>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</si>
  <si>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</si>
  <si>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</si>
  <si>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</si>
  <si>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</si>
  <si>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</si>
  <si>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</si>
  <si>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</si>
  <si>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</si>
  <si>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</si>
  <si>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</si>
  <si>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</si>
  <si>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</si>
  <si>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</si>
  <si>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</si>
  <si>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</si>
  <si>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</si>
  <si>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</si>
  <si>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</si>
  <si>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</si>
  <si>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</si>
  <si>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</si>
  <si>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</si>
  <si>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</si>
  <si>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</si>
  <si>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</si>
  <si>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</si>
  <si>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</si>
  <si>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</si>
  <si>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</si>
  <si>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</si>
  <si>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</si>
  <si>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</si>
  <si>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</si>
  <si>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</si>
  <si>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</si>
  <si>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</si>
  <si>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</si>
  <si>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</si>
  <si>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</si>
  <si>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</si>
  <si>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</si>
  <si>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</si>
  <si>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</si>
  <si>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</si>
  <si>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</si>
  <si>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</si>
  <si>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</si>
  <si>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</si>
  <si>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</si>
  <si>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</si>
  <si>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</si>
  <si>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</si>
  <si>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</si>
  <si>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</si>
  <si>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</si>
  <si>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</si>
  <si>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</si>
  <si>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</si>
  <si>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</si>
  <si>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</si>
  <si>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</si>
  <si>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</si>
  <si>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</si>
  <si>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</si>
  <si>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</si>
  <si>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</si>
  <si>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</si>
  <si>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</si>
  <si>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</si>
  <si>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</si>
  <si>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</si>
  <si>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</si>
  <si>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</si>
  <si>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</si>
  <si>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</si>
  <si>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</si>
  <si>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</si>
  <si>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</si>
  <si>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</si>
  <si>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</si>
  <si>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</si>
  <si>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</si>
  <si>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</si>
  <si>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</si>
  <si>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</si>
  <si>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</si>
  <si>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</si>
  <si>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</si>
  <si>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</si>
  <si>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</si>
  <si>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</si>
  <si>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</si>
  <si>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</si>
  <si>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</si>
  <si>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</si>
  <si>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</si>
  <si>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</si>
  <si>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</si>
  <si>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</si>
  <si>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</si>
  <si>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</si>
  <si>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</si>
  <si>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</si>
  <si>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</si>
  <si>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</si>
  <si>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</si>
  <si>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</si>
  <si>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</si>
  <si>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</si>
  <si>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</si>
  <si>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</si>
  <si>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</si>
  <si>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</si>
  <si>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</si>
  <si>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</si>
  <si>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</si>
  <si>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</si>
  <si>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</si>
  <si>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</si>
  <si>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</si>
  <si>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</si>
  <si>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</si>
  <si>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</si>
  <si>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</si>
  <si>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</si>
  <si>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</si>
  <si>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</si>
  <si>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</si>
  <si>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</si>
  <si>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</si>
  <si>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</si>
  <si>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</si>
  <si>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</si>
  <si>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</si>
  <si>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</si>
  <si>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</si>
  <si>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</si>
  <si>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</si>
  <si>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</si>
  <si>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</si>
  <si>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</si>
  <si>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</si>
  <si>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</si>
  <si>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</si>
  <si>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</si>
  <si>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</si>
  <si>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</si>
  <si>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</si>
  <si>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</si>
  <si>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</si>
  <si>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</si>
  <si>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</si>
  <si>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</si>
  <si>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</si>
  <si>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</si>
  <si>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</si>
  <si>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</si>
  <si>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</si>
  <si>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</si>
  <si>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</si>
  <si>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</si>
  <si>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</si>
  <si>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</si>
  <si>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</si>
  <si>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</si>
  <si>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</si>
  <si>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</si>
  <si>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</si>
  <si>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</si>
  <si>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</si>
  <si>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</si>
  <si>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</si>
  <si>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</si>
  <si>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</si>
  <si>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</si>
  <si>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</si>
  <si>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</si>
  <si>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</si>
  <si>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</si>
  <si>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</si>
  <si>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</si>
  <si>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</si>
  <si>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</si>
  <si>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</si>
  <si>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</si>
  <si>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</si>
  <si>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</si>
  <si>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</si>
  <si>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</si>
  <si>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</si>
  <si>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</si>
  <si>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</si>
  <si>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</si>
  <si>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</si>
  <si>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</si>
  <si>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</si>
  <si>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</si>
  <si>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</si>
  <si>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</si>
  <si>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</si>
  <si>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</si>
  <si>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</si>
  <si>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</si>
  <si>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</si>
  <si>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</si>
  <si>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</si>
  <si>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</si>
  <si>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</si>
  <si>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</si>
  <si>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</si>
  <si>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</si>
  <si>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</si>
  <si>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</si>
  <si>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</si>
  <si>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</si>
  <si>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</si>
  <si>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</si>
  <si>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</si>
  <si>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</si>
  <si>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</si>
  <si>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</si>
  <si>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</si>
  <si>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</si>
  <si>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</si>
  <si>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</si>
  <si>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</si>
  <si>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</si>
  <si>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</si>
  <si>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</si>
  <si>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</si>
  <si>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</si>
  <si>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</si>
  <si>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</si>
  <si>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</si>
  <si>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</si>
  <si>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</si>
  <si>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</si>
  <si>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</si>
  <si>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</si>
  <si>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</si>
  <si>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</si>
  <si>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</si>
  <si>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</si>
  <si>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</si>
  <si>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</si>
  <si>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</si>
  <si>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</si>
  <si>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</si>
  <si>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</si>
  <si>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</si>
  <si>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</si>
  <si>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</si>
  <si>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</si>
  <si>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</si>
  <si>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</si>
  <si>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</si>
  <si>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</si>
  <si>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</si>
  <si>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</si>
  <si>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</si>
  <si>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</si>
  <si>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</si>
  <si>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</si>
  <si>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</si>
  <si>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</si>
  <si>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</si>
  <si>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</si>
  <si>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</si>
  <si>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</si>
  <si>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</si>
  <si>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</si>
  <si>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</si>
  <si>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</si>
  <si>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</si>
  <si>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</si>
  <si>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</si>
  <si>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</si>
  <si>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</si>
  <si>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</si>
  <si>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</si>
  <si>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</si>
  <si>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</si>
  <si>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</si>
  <si>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</si>
  <si>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</si>
  <si>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</si>
  <si>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</si>
  <si>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</si>
  <si>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</si>
  <si>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</si>
  <si>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</si>
  <si>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</si>
  <si>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</si>
  <si>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</si>
  <si>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</si>
  <si>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</si>
  <si>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</si>
  <si>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</si>
  <si>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</si>
  <si>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</si>
  <si>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</si>
  <si>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</si>
  <si>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</si>
  <si>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</si>
  <si>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</si>
  <si>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</si>
  <si>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</si>
  <si>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</si>
  <si>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</si>
  <si>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</si>
  <si>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</si>
  <si>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</si>
  <si>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</si>
  <si>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</si>
  <si>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</si>
  <si>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</si>
  <si>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</si>
  <si>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</si>
  <si>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</si>
  <si>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</si>
  <si>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</si>
  <si>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</si>
  <si>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</si>
  <si>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</si>
  <si>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</si>
  <si>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</si>
  <si>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</si>
  <si>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</si>
  <si>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</si>
  <si>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</si>
  <si>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</si>
  <si>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</si>
  <si>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</si>
  <si>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</si>
  <si>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</si>
  <si>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</si>
  <si>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</si>
  <si>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</si>
  <si>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</si>
  <si>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</si>
  <si>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</si>
  <si>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</si>
  <si>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</si>
  <si>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</si>
  <si>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</si>
  <si>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</si>
  <si>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</si>
  <si>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</si>
  <si>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</si>
  <si>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</si>
  <si>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</si>
  <si>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</si>
  <si>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</si>
  <si>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</si>
  <si>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</si>
  <si>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</si>
  <si>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</si>
  <si>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</si>
  <si>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</si>
  <si>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</si>
  <si>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</si>
  <si>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</si>
  <si>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</si>
  <si>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</si>
  <si>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</si>
  <si>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</si>
  <si>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</si>
  <si>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</si>
  <si>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</si>
  <si>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</si>
  <si>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</si>
  <si>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</si>
  <si>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</si>
  <si>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</si>
  <si>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</si>
  <si>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</si>
  <si>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</si>
  <si>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</si>
  <si>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</si>
  <si>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</si>
  <si>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</si>
  <si>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</si>
  <si>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</si>
  <si>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</si>
  <si>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</si>
  <si>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</si>
  <si>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</si>
  <si>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</si>
  <si>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</si>
  <si>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</si>
  <si>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</si>
  <si>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</si>
  <si>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</si>
  <si>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</si>
  <si>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</si>
  <si>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</si>
  <si>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</si>
  <si>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</si>
  <si>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</si>
  <si>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</si>
  <si>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</si>
  <si>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</si>
  <si>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</si>
  <si>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</si>
  <si>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</si>
  <si>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</si>
  <si>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</si>
  <si>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</si>
  <si>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</si>
  <si>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</si>
  <si>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</si>
  <si>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</si>
  <si>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</si>
  <si>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</si>
  <si>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</si>
  <si>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</si>
  <si>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</si>
  <si>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</si>
  <si>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</si>
  <si>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</si>
  <si>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</si>
  <si>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</si>
  <si>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</si>
  <si>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</si>
  <si>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</si>
  <si>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</si>
  <si>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</si>
  <si>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</si>
  <si>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</si>
  <si>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</si>
  <si>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</si>
  <si>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</si>
  <si>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</si>
  <si>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</si>
  <si>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</si>
  <si>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</si>
  <si>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</si>
  <si>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</si>
  <si>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</si>
  <si>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</si>
  <si>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</si>
  <si>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</si>
  <si>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</si>
  <si>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</si>
  <si>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</si>
  <si>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</si>
  <si>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</si>
  <si>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</si>
  <si>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</si>
  <si>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</si>
  <si>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</si>
  <si>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</si>
  <si>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</si>
  <si>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</si>
  <si>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</si>
  <si>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</si>
  <si>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</si>
  <si>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</si>
  <si>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</si>
  <si>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</si>
  <si>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</si>
  <si>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</si>
  <si>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</si>
  <si>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</si>
  <si>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</si>
  <si>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</si>
  <si>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</si>
  <si>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</si>
  <si>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</si>
  <si>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</si>
  <si>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</si>
  <si>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</si>
  <si>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</si>
  <si>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</si>
  <si>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</si>
  <si>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</si>
  <si>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</si>
  <si>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</si>
  <si>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</si>
  <si>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</si>
  <si>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</si>
  <si>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</si>
  <si>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</si>
  <si>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</si>
  <si>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</si>
  <si>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</si>
  <si>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</si>
  <si>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</si>
  <si>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</si>
  <si>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</si>
  <si>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</si>
  <si>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</si>
  <si>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</si>
  <si>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</si>
  <si>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</si>
  <si>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</si>
  <si>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</si>
  <si>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</si>
  <si>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</si>
  <si>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</si>
  <si>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</si>
  <si>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</si>
  <si>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</si>
  <si>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</si>
  <si>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</si>
  <si>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</si>
  <si>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</si>
  <si>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</si>
  <si>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</si>
  <si>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</si>
  <si>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</si>
  <si>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</si>
  <si>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</si>
  <si>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</si>
  <si>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</si>
  <si>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</si>
  <si>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</si>
  <si>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</si>
  <si>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</si>
  <si>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</si>
  <si>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</si>
  <si>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</si>
  <si>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</si>
  <si>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</si>
  <si>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</si>
  <si>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</si>
  <si>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</si>
  <si>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</si>
  <si>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</si>
  <si>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</si>
  <si>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</si>
  <si>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</si>
  <si>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</si>
  <si>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</si>
  <si>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</si>
  <si>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</si>
  <si>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</si>
  <si>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</si>
  <si>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</si>
  <si>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</si>
  <si>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</si>
  <si>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</si>
  <si>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</si>
  <si>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</si>
  <si>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</si>
  <si>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</si>
  <si>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</si>
  <si>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</si>
  <si>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</si>
  <si>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</si>
  <si>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</si>
  <si>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</si>
  <si>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</si>
  <si>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</si>
  <si>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</si>
  <si>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</si>
  <si>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</si>
  <si>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</si>
  <si>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</si>
  <si>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</si>
  <si>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</si>
  <si>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</si>
  <si>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</si>
  <si>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</si>
  <si>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</si>
  <si>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</si>
  <si>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</si>
  <si>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</si>
  <si>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</si>
  <si>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</si>
  <si>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</si>
  <si>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</si>
  <si>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</si>
  <si>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</si>
  <si>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</si>
  <si>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</si>
  <si>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</si>
  <si>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</si>
  <si>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</si>
  <si>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</si>
  <si>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</si>
  <si>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</si>
  <si>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</si>
  <si>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</si>
  <si>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</si>
  <si>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</si>
  <si>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</si>
  <si>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</si>
  <si>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</si>
  <si>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</si>
  <si>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</si>
  <si>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</si>
  <si>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</si>
  <si>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</si>
  <si>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</si>
  <si>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</si>
  <si>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</si>
  <si>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</si>
  <si>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</si>
  <si>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</si>
  <si>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</si>
  <si>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</si>
  <si>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</si>
  <si>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</si>
  <si>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</si>
  <si>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</si>
  <si>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</si>
  <si>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</si>
  <si>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</si>
  <si>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</si>
  <si>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</si>
  <si>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</si>
  <si>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</si>
  <si>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</si>
  <si>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</si>
  <si>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</si>
  <si>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</si>
  <si>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</si>
  <si>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</si>
  <si>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</si>
  <si>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</si>
  <si>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</si>
  <si>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</si>
  <si>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</si>
  <si>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</si>
  <si>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</si>
  <si>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</si>
  <si>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</si>
  <si>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</si>
  <si>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</si>
  <si>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</si>
  <si>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</si>
  <si>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</si>
  <si>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</si>
  <si>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</si>
  <si>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</si>
  <si>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</si>
  <si>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</si>
  <si>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</si>
  <si>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</si>
  <si>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</si>
  <si>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</si>
  <si>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</si>
  <si>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</si>
  <si>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</si>
  <si>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</si>
  <si>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</si>
  <si>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</si>
  <si>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</si>
  <si>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</si>
  <si>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</si>
  <si>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</si>
  <si>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</si>
  <si>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</si>
  <si>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</si>
  <si>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</si>
  <si>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</si>
  <si>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</si>
  <si>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</si>
  <si>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</si>
  <si>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</si>
  <si>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</si>
  <si>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</si>
  <si>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</si>
  <si>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</si>
  <si>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</si>
  <si>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</si>
  <si>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</si>
  <si>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</si>
  <si>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</si>
  <si>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</si>
  <si>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</si>
  <si>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</si>
  <si>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</si>
  <si>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</si>
  <si>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</si>
  <si>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</si>
  <si>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</si>
  <si>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</si>
  <si>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</si>
  <si>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</si>
  <si>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</si>
  <si>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</si>
  <si>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</si>
  <si>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</si>
  <si>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</si>
  <si>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</si>
  <si>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</si>
  <si>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</si>
  <si>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</si>
  <si>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</si>
  <si>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</si>
  <si>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</si>
  <si>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</si>
  <si>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</si>
  <si>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</si>
  <si>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</si>
  <si>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</si>
  <si>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</si>
  <si>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</si>
  <si>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</si>
  <si>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</si>
  <si>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</si>
  <si>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</si>
  <si>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</si>
  <si>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</si>
  <si>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</si>
  <si>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</si>
  <si>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</si>
  <si>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</si>
  <si>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</si>
  <si>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</si>
  <si>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</si>
  <si>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</si>
  <si>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</si>
  <si>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</si>
  <si>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</si>
  <si>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</si>
  <si>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</si>
  <si>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</si>
  <si>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</si>
  <si>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</si>
  <si>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</si>
  <si>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</si>
  <si>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</si>
  <si>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</si>
  <si>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</si>
  <si>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</si>
  <si>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</si>
  <si>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</si>
  <si>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</si>
  <si>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</si>
  <si>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</si>
  <si>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</si>
  <si>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</si>
  <si>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</si>
  <si>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</si>
  <si>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</si>
  <si>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</si>
  <si>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</si>
  <si>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</si>
  <si>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</si>
  <si>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</si>
  <si>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</si>
  <si>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</si>
  <si>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</si>
  <si>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</si>
  <si>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</si>
  <si>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</si>
  <si>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</si>
  <si>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</si>
  <si>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</si>
  <si>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</si>
  <si>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</si>
  <si>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</si>
  <si>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</si>
  <si>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</si>
  <si>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</si>
  <si>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</si>
  <si>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</si>
  <si>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</si>
  <si>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</si>
  <si>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</si>
  <si>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</si>
  <si>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</si>
  <si>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</si>
  <si>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</si>
  <si>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</si>
  <si>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</si>
  <si>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</si>
  <si>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</si>
  <si>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</si>
  <si>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</si>
  <si>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</si>
  <si>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</si>
  <si>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</si>
  <si>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</si>
  <si>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</si>
  <si>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</si>
  <si>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</si>
  <si>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</si>
  <si>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</si>
  <si>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</si>
  <si>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</si>
  <si>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</si>
  <si>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</si>
  <si>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</si>
  <si>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</si>
  <si>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</si>
  <si>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</si>
  <si>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</si>
  <si>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</si>
  <si>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</si>
  <si>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</si>
  <si>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</si>
  <si>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</si>
  <si>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</si>
  <si>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</si>
  <si>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</si>
  <si>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</si>
  <si>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</si>
  <si>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</si>
  <si>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</si>
  <si>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</si>
  <si>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</si>
  <si>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</si>
  <si>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</si>
  <si>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</si>
  <si>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</si>
  <si>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</si>
  <si>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</si>
  <si>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</si>
  <si>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</si>
  <si>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</si>
  <si>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</si>
  <si>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</si>
  <si>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</si>
  <si>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</si>
  <si>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</si>
  <si>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</si>
  <si>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</si>
  <si>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</si>
  <si>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</si>
  <si>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</si>
  <si>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</si>
  <si>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</si>
  <si>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</si>
  <si>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</si>
  <si>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</si>
  <si>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</si>
  <si>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</si>
  <si>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</si>
  <si>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</si>
  <si>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</si>
  <si>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</si>
  <si>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</si>
  <si>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</si>
  <si>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</si>
  <si>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</si>
  <si>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</si>
  <si>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</si>
  <si>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</si>
  <si>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</si>
  <si>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</si>
  <si>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</si>
  <si>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</si>
  <si>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</si>
  <si>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</si>
  <si>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</si>
  <si>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</si>
  <si>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</si>
  <si>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</si>
  <si>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</si>
  <si>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</si>
  <si>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</si>
  <si>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</si>
  <si>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</si>
  <si>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</si>
  <si>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</si>
  <si>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</si>
  <si>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</si>
  <si>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</si>
  <si>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</si>
  <si>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</si>
  <si>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</si>
  <si>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</si>
  <si>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</si>
  <si>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</si>
  <si>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</si>
  <si>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</si>
  <si>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</si>
  <si>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</si>
  <si>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</si>
  <si>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</si>
  <si>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</si>
  <si>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</si>
  <si>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</si>
  <si>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</si>
  <si>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</si>
  <si>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</si>
  <si>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</si>
  <si>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</si>
  <si>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</si>
  <si>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</si>
  <si>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</si>
  <si>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</si>
  <si>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</si>
  <si>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</si>
  <si>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</si>
  <si>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</si>
  <si>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</si>
  <si>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</si>
  <si>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</si>
  <si>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</si>
  <si>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</si>
  <si>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</si>
  <si>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</si>
  <si>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</si>
  <si>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</si>
  <si>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</si>
  <si>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</si>
  <si>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</si>
  <si>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</si>
  <si>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</si>
  <si>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</si>
  <si>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</si>
  <si>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</si>
  <si>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</si>
  <si>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</si>
  <si>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</si>
  <si>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</si>
  <si>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</si>
  <si>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</si>
  <si>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</si>
  <si>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</si>
  <si>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</si>
  <si>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</si>
  <si>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</si>
  <si>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</si>
  <si>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</si>
  <si>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</si>
  <si>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</si>
  <si>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</si>
  <si>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</si>
  <si>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</si>
  <si>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</si>
  <si>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</si>
  <si>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</si>
  <si>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</si>
  <si>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</si>
  <si>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</si>
  <si>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</si>
  <si>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</si>
  <si>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</si>
  <si>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</si>
  <si>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</si>
  <si>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</si>
  <si>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</si>
  <si>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</si>
  <si>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</si>
  <si>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</si>
  <si>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</si>
  <si>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</si>
  <si>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</si>
  <si>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</si>
  <si>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</si>
  <si>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</si>
  <si>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</si>
  <si>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</si>
  <si>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</si>
  <si>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</si>
  <si>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</si>
  <si>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</si>
  <si>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</si>
  <si>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</si>
  <si>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</si>
  <si>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</si>
  <si>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</si>
  <si>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</si>
  <si>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</si>
  <si>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</si>
  <si>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</si>
  <si>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</si>
  <si>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</si>
  <si>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</si>
  <si>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</si>
  <si>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</si>
  <si>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</si>
  <si>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</si>
  <si>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</si>
  <si>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</si>
  <si>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</si>
  <si>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</si>
  <si>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</si>
  <si>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</si>
  <si>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</si>
  <si>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</si>
  <si>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</si>
  <si>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</si>
  <si>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</si>
  <si>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</si>
  <si>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</si>
  <si>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</si>
  <si>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</si>
  <si>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</si>
  <si>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</si>
  <si>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</si>
  <si>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</si>
  <si>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</si>
  <si>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</si>
  <si>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</si>
  <si>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</si>
  <si>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</si>
  <si>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</si>
  <si>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</si>
  <si>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</si>
  <si>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</si>
  <si>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</si>
  <si>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</si>
  <si>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</si>
  <si>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</si>
  <si>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</si>
  <si>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</si>
  <si>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</si>
  <si>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Junction-165</t>
  </si>
  <si>
    <t>Junction-1395</t>
  </si>
  <si>
    <t>Junction-897</t>
  </si>
  <si>
    <t>Junction-916</t>
  </si>
  <si>
    <t>Junction-919</t>
  </si>
  <si>
    <t>Junction-942</t>
  </si>
  <si>
    <t>Junction-954</t>
  </si>
  <si>
    <t>Junction-998</t>
  </si>
  <si>
    <t>Junction-1036</t>
  </si>
  <si>
    <t>Junction-1143</t>
  </si>
  <si>
    <t>Junction-1044</t>
  </si>
  <si>
    <t>Junction-1455</t>
  </si>
  <si>
    <t>Junction-1459</t>
  </si>
  <si>
    <t>Junction-1471</t>
  </si>
  <si>
    <t>Junction-1472</t>
  </si>
  <si>
    <t>Junction-1489</t>
  </si>
  <si>
    <t>Junction-1501</t>
  </si>
  <si>
    <t>Junction-1510</t>
  </si>
  <si>
    <t>Junction-1503</t>
  </si>
  <si>
    <t>Junction-1461</t>
  </si>
  <si>
    <t>Junction-1704</t>
  </si>
  <si>
    <t>Junction-1928</t>
  </si>
  <si>
    <t>Junction-32353</t>
  </si>
  <si>
    <t>Junction-1457</t>
  </si>
  <si>
    <t>Junction-1475</t>
  </si>
  <si>
    <t>Junction-2006</t>
  </si>
  <si>
    <t>Junction-2039</t>
  </si>
  <si>
    <t>Junction-18024</t>
  </si>
  <si>
    <t>Junction-18017</t>
  </si>
  <si>
    <t>Junction-2103</t>
  </si>
  <si>
    <t>Junction-18013</t>
  </si>
  <si>
    <t>Junction-2140</t>
  </si>
  <si>
    <t>Junction-2147</t>
  </si>
  <si>
    <t>Junction-2150</t>
  </si>
  <si>
    <t>Junction-2160</t>
  </si>
  <si>
    <t>Junction-5284</t>
  </si>
  <si>
    <t>Junction-2228</t>
  </si>
  <si>
    <t>Junction-2226</t>
  </si>
  <si>
    <t>Junction-2238</t>
  </si>
  <si>
    <t>Junction-2359</t>
  </si>
  <si>
    <t>Junction-2340</t>
  </si>
  <si>
    <t>Junction-2251</t>
  </si>
  <si>
    <t>Junction-6835</t>
  </si>
  <si>
    <t>Junction-2964</t>
  </si>
  <si>
    <t>Junction-4719</t>
  </si>
  <si>
    <t>Junction-3224</t>
  </si>
  <si>
    <t>Junction-3489</t>
  </si>
  <si>
    <t>Junction-3534</t>
  </si>
  <si>
    <t>Junction-3911</t>
  </si>
  <si>
    <t>Junction-4364</t>
  </si>
  <si>
    <t>Junction-4122</t>
  </si>
  <si>
    <t>Junction-4720</t>
  </si>
  <si>
    <t>Junction-4721</t>
  </si>
  <si>
    <t>Junction-22540</t>
  </si>
  <si>
    <t>Junction-5297</t>
  </si>
  <si>
    <t>Junction-4076</t>
  </si>
  <si>
    <t>Junction-6013</t>
  </si>
  <si>
    <t>Junction-6217</t>
  </si>
  <si>
    <t>Junction-6710</t>
  </si>
  <si>
    <t>Junction-6643</t>
  </si>
  <si>
    <t>Junction-6630</t>
  </si>
  <si>
    <t>Junction-6592</t>
  </si>
  <si>
    <t>Junction-6834</t>
  </si>
  <si>
    <t>Junction-6737</t>
  </si>
  <si>
    <t>Junction-41523</t>
  </si>
  <si>
    <t>Junction-7028</t>
  </si>
  <si>
    <t>Junction-7055</t>
  </si>
  <si>
    <t>Junction-7161</t>
  </si>
  <si>
    <t>Junction-7222</t>
  </si>
  <si>
    <t>Junction-7285</t>
  </si>
  <si>
    <t>Junction-7443</t>
  </si>
  <si>
    <t>Junction-7434</t>
  </si>
  <si>
    <t>Junction-7518</t>
  </si>
  <si>
    <t>Junction-7613</t>
  </si>
  <si>
    <t>Junction-6487</t>
  </si>
  <si>
    <t>Junction-7795</t>
  </si>
  <si>
    <t>Junction-7879</t>
  </si>
  <si>
    <t>Junction-7883</t>
  </si>
  <si>
    <t>Junction-8165</t>
  </si>
  <si>
    <t>Junction-9062</t>
  </si>
  <si>
    <t>Junction-9115</t>
  </si>
  <si>
    <t>Junction-47600</t>
  </si>
  <si>
    <t>Junction-9252</t>
  </si>
  <si>
    <t>Junction-9551</t>
  </si>
  <si>
    <t>Junction-10018</t>
  </si>
  <si>
    <t>Junction-9915</t>
  </si>
  <si>
    <t>Junction-9802</t>
  </si>
  <si>
    <t>Junction-98869</t>
  </si>
  <si>
    <t>Junction-9808</t>
  </si>
  <si>
    <t>Junction-9944</t>
  </si>
  <si>
    <t>Junction-9917</t>
  </si>
  <si>
    <t>Junction-17528</t>
  </si>
  <si>
    <t>Junction-10392</t>
  </si>
  <si>
    <t>Junction-30414</t>
  </si>
  <si>
    <t>Junction-10094</t>
  </si>
  <si>
    <t>Junction-10097</t>
  </si>
  <si>
    <t>Junction-10100</t>
  </si>
  <si>
    <t>Junction-10202</t>
  </si>
  <si>
    <t>Junction-10260</t>
  </si>
  <si>
    <t>Junction-9809</t>
  </si>
  <si>
    <t>Junction-10519</t>
  </si>
  <si>
    <t>Junction-9548</t>
  </si>
  <si>
    <t>Junction-11218</t>
  </si>
  <si>
    <t>Junction-9981</t>
  </si>
  <si>
    <t>Junction-11647</t>
  </si>
  <si>
    <t>Junction-10823</t>
  </si>
  <si>
    <t>Junction-100388</t>
  </si>
  <si>
    <t>Junction-20819</t>
  </si>
  <si>
    <t>Junction-98830</t>
  </si>
  <si>
    <t>Junction-14292</t>
  </si>
  <si>
    <t>Junction-47090</t>
  </si>
  <si>
    <t>Junction-20377</t>
  </si>
  <si>
    <t>Junction-16220</t>
  </si>
  <si>
    <t>Junction-13761</t>
  </si>
  <si>
    <t>Junction-13742</t>
  </si>
  <si>
    <t>Junction-15414</t>
  </si>
  <si>
    <t>Junction-18843</t>
  </si>
  <si>
    <t>Junction-96222</t>
  </si>
  <si>
    <t>Junction-15720</t>
  </si>
  <si>
    <t>Junction-16232</t>
  </si>
  <si>
    <t>Junction-16338</t>
  </si>
  <si>
    <t>Junction-16278</t>
  </si>
  <si>
    <t>Junction-16340</t>
  </si>
  <si>
    <t>Junction-13715</t>
  </si>
  <si>
    <t>Junction-7612</t>
  </si>
  <si>
    <t>Junction-31545</t>
  </si>
  <si>
    <t>Junction-17058</t>
  </si>
  <si>
    <t>Junction-18841</t>
  </si>
  <si>
    <t>Junction-38586</t>
  </si>
  <si>
    <t>Junction-17173</t>
  </si>
  <si>
    <t>Junction-17278</t>
  </si>
  <si>
    <t>Junction-2009</t>
  </si>
  <si>
    <t>Junction-2007</t>
  </si>
  <si>
    <t>Junction-17342</t>
  </si>
  <si>
    <t>Junction-18873</t>
  </si>
  <si>
    <t>Junction-12748</t>
  </si>
  <si>
    <t>Junction-17746</t>
  </si>
  <si>
    <t>Junction-16565</t>
  </si>
  <si>
    <t>Junction-18008</t>
  </si>
  <si>
    <t>Junction-2097</t>
  </si>
  <si>
    <t>Junction-18027</t>
  </si>
  <si>
    <t>Junction-2098</t>
  </si>
  <si>
    <t>Junction-300</t>
  </si>
  <si>
    <t>Junction-18899</t>
  </si>
  <si>
    <t>Junction-18913</t>
  </si>
  <si>
    <t>Junction-18916</t>
  </si>
  <si>
    <t>Junction-19191</t>
  </si>
  <si>
    <t>Junction-98040</t>
  </si>
  <si>
    <t>Junction-19267</t>
  </si>
  <si>
    <t>Junction-19573</t>
  </si>
  <si>
    <t>Junction-19575</t>
  </si>
  <si>
    <t>Junction-19612</t>
  </si>
  <si>
    <t>Junction-19576</t>
  </si>
  <si>
    <t>Junction-18900</t>
  </si>
  <si>
    <t>Junction-20691</t>
  </si>
  <si>
    <t>Junction-19666</t>
  </si>
  <si>
    <t>Junction-19699</t>
  </si>
  <si>
    <t>Junction-19701</t>
  </si>
  <si>
    <t>Junction-19916</t>
  </si>
  <si>
    <t>Junction-20195</t>
  </si>
  <si>
    <t>Junction-20234</t>
  </si>
  <si>
    <t>Junction-20237</t>
  </si>
  <si>
    <t>Junction-31466</t>
  </si>
  <si>
    <t>Junction-20306</t>
  </si>
  <si>
    <t>Junction-2100</t>
  </si>
  <si>
    <t>Junction-2237</t>
  </si>
  <si>
    <t>Junction-18033</t>
  </si>
  <si>
    <t>Junction-19908</t>
  </si>
  <si>
    <t>Junction-20230</t>
  </si>
  <si>
    <t>Junction-20655</t>
  </si>
  <si>
    <t>Junction-20656</t>
  </si>
  <si>
    <t>Junction-20659</t>
  </si>
  <si>
    <t>Junction-20663</t>
  </si>
  <si>
    <t>Junction-18065</t>
  </si>
  <si>
    <t>Junction-65389</t>
  </si>
  <si>
    <t>Junction-21263</t>
  </si>
  <si>
    <t>Junction-21321</t>
  </si>
  <si>
    <t>Junction-38817</t>
  </si>
  <si>
    <t>Junction-19608</t>
  </si>
  <si>
    <t>Junction-21644</t>
  </si>
  <si>
    <t>Junction-21896</t>
  </si>
  <si>
    <t>Junction-21783</t>
  </si>
  <si>
    <t>Junction-21636</t>
  </si>
  <si>
    <t>Junction-20664</t>
  </si>
  <si>
    <t>Junction-22175</t>
  </si>
  <si>
    <t>Junction-23339</t>
  </si>
  <si>
    <t>Junction-22045</t>
  </si>
  <si>
    <t>Junction-22039</t>
  </si>
  <si>
    <t>Junction-22919</t>
  </si>
  <si>
    <t>Junction-21265</t>
  </si>
  <si>
    <t>Junction-26246</t>
  </si>
  <si>
    <t>Junction-25543</t>
  </si>
  <si>
    <t>Junction-25486</t>
  </si>
  <si>
    <t>Junction-27498</t>
  </si>
  <si>
    <t>Junction-18021</t>
  </si>
  <si>
    <t>Junction-32586</t>
  </si>
  <si>
    <t>Junction-26973</t>
  </si>
  <si>
    <t>Junction-26996</t>
  </si>
  <si>
    <t>Junction-27084</t>
  </si>
  <si>
    <t>Junction-29936</t>
  </si>
  <si>
    <t>Junction-28458</t>
  </si>
  <si>
    <t>Junction-2091</t>
  </si>
  <si>
    <t>Junction-29632</t>
  </si>
  <si>
    <t>Junction-28618</t>
  </si>
  <si>
    <t>Junction-29873</t>
  </si>
  <si>
    <t>Junction-29352</t>
  </si>
  <si>
    <t>Junction-30008</t>
  </si>
  <si>
    <t>Junction-30728</t>
  </si>
  <si>
    <t>Junction-31788</t>
  </si>
  <si>
    <t>Junction-31656</t>
  </si>
  <si>
    <t>Junction-32382</t>
  </si>
  <si>
    <t>Junction-31915</t>
  </si>
  <si>
    <t>Junction-31990</t>
  </si>
  <si>
    <t>Junction-31469</t>
  </si>
  <si>
    <t>Junction-32355</t>
  </si>
  <si>
    <t>Junction-9137</t>
  </si>
  <si>
    <t>Junction-32591</t>
  </si>
  <si>
    <t>Junction-32358</t>
  </si>
  <si>
    <t>Junction-32703</t>
  </si>
  <si>
    <t>Junction-31657</t>
  </si>
  <si>
    <t>Junction-36047</t>
  </si>
  <si>
    <t>Junction-33431</t>
  </si>
  <si>
    <t>Junction-33847</t>
  </si>
  <si>
    <t>Junction-33957</t>
  </si>
  <si>
    <t>Junction-32340</t>
  </si>
  <si>
    <t>Junction-26248</t>
  </si>
  <si>
    <t>Junction-33846</t>
  </si>
  <si>
    <t>Junction-34156</t>
  </si>
  <si>
    <t>Junction-21264</t>
  </si>
  <si>
    <t>Junction-34547</t>
  </si>
  <si>
    <t>Junction-34248</t>
  </si>
  <si>
    <t>Junction-34444</t>
  </si>
  <si>
    <t>Junction-34334</t>
  </si>
  <si>
    <t>Junction-35794</t>
  </si>
  <si>
    <t>Junction-37011</t>
  </si>
  <si>
    <t>Junction-36258</t>
  </si>
  <si>
    <t>Junction-36767</t>
  </si>
  <si>
    <t>Junction-35871</t>
  </si>
  <si>
    <t>Junction-35697</t>
  </si>
  <si>
    <t>Junction-39409</t>
  </si>
  <si>
    <t>Junction-61767</t>
  </si>
  <si>
    <t>Junction-37316</t>
  </si>
  <si>
    <t>Junction-36476</t>
  </si>
  <si>
    <t>Junction-37605</t>
  </si>
  <si>
    <t>Junction-70718</t>
  </si>
  <si>
    <t>Junction-64275</t>
  </si>
  <si>
    <t>Junction-37596</t>
  </si>
  <si>
    <t>Junction-37303</t>
  </si>
  <si>
    <t>Junction-36471</t>
  </si>
  <si>
    <t>Junction-39122</t>
  </si>
  <si>
    <t>Junction-39145</t>
  </si>
  <si>
    <t>Junction-37727</t>
  </si>
  <si>
    <t>Junction-36968</t>
  </si>
  <si>
    <t>Junction-37844</t>
  </si>
  <si>
    <t>Junction-37885</t>
  </si>
  <si>
    <t>Junction-37299</t>
  </si>
  <si>
    <t>Junction-38006</t>
  </si>
  <si>
    <t>Junction-65528</t>
  </si>
  <si>
    <t>Junction-38294</t>
  </si>
  <si>
    <t>Junction-38425</t>
  </si>
  <si>
    <t>Junction-49268</t>
  </si>
  <si>
    <t>Junction-38356</t>
  </si>
  <si>
    <t>Junction-37731</t>
  </si>
  <si>
    <t>Junction-68862</t>
  </si>
  <si>
    <t>Junction-38460</t>
  </si>
  <si>
    <t>Junction-38463</t>
  </si>
  <si>
    <t>Junction-38245</t>
  </si>
  <si>
    <t>Junction-38805</t>
  </si>
  <si>
    <t>Junction-53615</t>
  </si>
  <si>
    <t>Junction-38786</t>
  </si>
  <si>
    <t>Junction-38803</t>
  </si>
  <si>
    <t>Junction-38492</t>
  </si>
  <si>
    <t>Junction-38449</t>
  </si>
  <si>
    <t>Junction-63624</t>
  </si>
  <si>
    <t>Junction-17656</t>
  </si>
  <si>
    <t>Junction-39059</t>
  </si>
  <si>
    <t>Junction-99277</t>
  </si>
  <si>
    <t>Junction-39152</t>
  </si>
  <si>
    <t>Junction-36469</t>
  </si>
  <si>
    <t>Junction-36951</t>
  </si>
  <si>
    <t>Junction-41132</t>
  </si>
  <si>
    <t>Junction-40767</t>
  </si>
  <si>
    <t>Junction-34033</t>
  </si>
  <si>
    <t>Junction-40791</t>
  </si>
  <si>
    <t>Junction-39721</t>
  </si>
  <si>
    <t>Junction-40961</t>
  </si>
  <si>
    <t>Junction-41008</t>
  </si>
  <si>
    <t>Junction-41058</t>
  </si>
  <si>
    <t>Junction-41082</t>
  </si>
  <si>
    <t>Junction-39719</t>
  </si>
  <si>
    <t>Junction-40889</t>
  </si>
  <si>
    <t>Junction-41740</t>
  </si>
  <si>
    <t>Junction-41442</t>
  </si>
  <si>
    <t>Junction-41577</t>
  </si>
  <si>
    <t>Junction-41582</t>
  </si>
  <si>
    <t>Junction-41587</t>
  </si>
  <si>
    <t>Junction-41683</t>
  </si>
  <si>
    <t>Junction-41619</t>
  </si>
  <si>
    <t>Junction-42099</t>
  </si>
  <si>
    <t>Junction-41572</t>
  </si>
  <si>
    <t>Junction-23337</t>
  </si>
  <si>
    <t>Junction-39156</t>
  </si>
  <si>
    <t>Junction-42312</t>
  </si>
  <si>
    <t>Junction-41026</t>
  </si>
  <si>
    <t>Junction-43566</t>
  </si>
  <si>
    <t>Junction-42407</t>
  </si>
  <si>
    <t>Junction-43191</t>
  </si>
  <si>
    <t>Junction-35760</t>
  </si>
  <si>
    <t>Junction-14261</t>
  </si>
  <si>
    <t>Junction-99889</t>
  </si>
  <si>
    <t>Junction-45888</t>
  </si>
  <si>
    <t>Junction-50543</t>
  </si>
  <si>
    <t>Junction-46121</t>
  </si>
  <si>
    <t>Junction-46214</t>
  </si>
  <si>
    <t>Junction-46223</t>
  </si>
  <si>
    <t>Junction-46849</t>
  </si>
  <si>
    <t>Junction-84173</t>
  </si>
  <si>
    <t>Junction-46228</t>
  </si>
  <si>
    <t>Junction-47050</t>
  </si>
  <si>
    <t>Junction-46131</t>
  </si>
  <si>
    <t>Junction-48555</t>
  </si>
  <si>
    <t>Junction-47852</t>
  </si>
  <si>
    <t>Junction-53612</t>
  </si>
  <si>
    <t>Junction-47934</t>
  </si>
  <si>
    <t>Junction-47936</t>
  </si>
  <si>
    <t>Junction-49052</t>
  </si>
  <si>
    <t>Junction-52254</t>
  </si>
  <si>
    <t>Junction-47088</t>
  </si>
  <si>
    <t>Junction-64662</t>
  </si>
  <si>
    <t>Junction-46680</t>
  </si>
  <si>
    <t>Junction-48315</t>
  </si>
  <si>
    <t>Junction-48324</t>
  </si>
  <si>
    <t>Junction-48140</t>
  </si>
  <si>
    <t>Junction-49026</t>
  </si>
  <si>
    <t>Junction-49142</t>
  </si>
  <si>
    <t>Junction-48274</t>
  </si>
  <si>
    <t>Junction-38353</t>
  </si>
  <si>
    <t>Junction-49604</t>
  </si>
  <si>
    <t>Junction-49757</t>
  </si>
  <si>
    <t>Junction-49413</t>
  </si>
  <si>
    <t>Junction-49938</t>
  </si>
  <si>
    <t>Junction-50025</t>
  </si>
  <si>
    <t>Junction-14279</t>
  </si>
  <si>
    <t>Junction-49190</t>
  </si>
  <si>
    <t>Junction-51044</t>
  </si>
  <si>
    <t>Junction-49024</t>
  </si>
  <si>
    <t>Junction-47904</t>
  </si>
  <si>
    <t>Junction-50272</t>
  </si>
  <si>
    <t>Junction-46923</t>
  </si>
  <si>
    <t>Junction-50999</t>
  </si>
  <si>
    <t>Junction-48688</t>
  </si>
  <si>
    <t>Junction-50787</t>
  </si>
  <si>
    <t>Junction-51026</t>
  </si>
  <si>
    <t>Junction-52889</t>
  </si>
  <si>
    <t>Junction-51524</t>
  </si>
  <si>
    <t>Junction-51620</t>
  </si>
  <si>
    <t>Junction-51622</t>
  </si>
  <si>
    <t>Junction-51625</t>
  </si>
  <si>
    <t>Junction-51737</t>
  </si>
  <si>
    <t>Junction-37788</t>
  </si>
  <si>
    <t>Junction-54909</t>
  </si>
  <si>
    <t>Junction-53505</t>
  </si>
  <si>
    <t>Junction-54877</t>
  </si>
  <si>
    <t>Junction-53865</t>
  </si>
  <si>
    <t>Junction-54115</t>
  </si>
  <si>
    <t>Junction-54118</t>
  </si>
  <si>
    <t>Junction-37544</t>
  </si>
  <si>
    <t>Junction-51072</t>
  </si>
  <si>
    <t>Junction-13700</t>
  </si>
  <si>
    <t>Junction-64134</t>
  </si>
  <si>
    <t>Junction-55365</t>
  </si>
  <si>
    <t>Junction-55565</t>
  </si>
  <si>
    <t>Junction-55861</t>
  </si>
  <si>
    <t>Junction-56012</t>
  </si>
  <si>
    <t>Junction-56146</t>
  </si>
  <si>
    <t>Junction-49754</t>
  </si>
  <si>
    <t>Junction-52634</t>
  </si>
  <si>
    <t>Junction-56780</t>
  </si>
  <si>
    <t>Junction-57062</t>
  </si>
  <si>
    <t>Junction-74258</t>
  </si>
  <si>
    <t>Junction-50404</t>
  </si>
  <si>
    <t>Junction-48934</t>
  </si>
  <si>
    <t>Junction-57893</t>
  </si>
  <si>
    <t>Junction-47051</t>
  </si>
  <si>
    <t>Junction-58780</t>
  </si>
  <si>
    <t>Junction-56361</t>
  </si>
  <si>
    <t>Junction-58790</t>
  </si>
  <si>
    <t>Junction-59203</t>
  </si>
  <si>
    <t>Junction-59693</t>
  </si>
  <si>
    <t>Junction-50281</t>
  </si>
  <si>
    <t>Junction-60463</t>
  </si>
  <si>
    <t>Junction-60532</t>
  </si>
  <si>
    <t>Junction-60613</t>
  </si>
  <si>
    <t>Junction-54179</t>
  </si>
  <si>
    <t>Junction-61715</t>
  </si>
  <si>
    <t>Junction-14297</t>
  </si>
  <si>
    <t>Junction-36962</t>
  </si>
  <si>
    <t>Junction-65373</t>
  </si>
  <si>
    <t>Junction-2040</t>
  </si>
  <si>
    <t>Junction-36958</t>
  </si>
  <si>
    <t>Junction-65234</t>
  </si>
  <si>
    <t>Junction-64013</t>
  </si>
  <si>
    <t>Junction-38652</t>
  </si>
  <si>
    <t>Junction-64665</t>
  </si>
  <si>
    <t>Junction-64781</t>
  </si>
  <si>
    <t>Junction-65818</t>
  </si>
  <si>
    <t>Junction-39069</t>
  </si>
  <si>
    <t>Junction-37764</t>
  </si>
  <si>
    <t>Junction-38195</t>
  </si>
  <si>
    <t>Junction-68937</t>
  </si>
  <si>
    <t>Junction-99783</t>
  </si>
  <si>
    <t>Junction-66224</t>
  </si>
  <si>
    <t>Junction-67965</t>
  </si>
  <si>
    <t>Junction-37550</t>
  </si>
  <si>
    <t>Junction-36967</t>
  </si>
  <si>
    <t>Junction-69578</t>
  </si>
  <si>
    <t>Junction-73054</t>
  </si>
  <si>
    <t>Junction-71707</t>
  </si>
  <si>
    <t>Junction-37396</t>
  </si>
  <si>
    <t>Junction-72630</t>
  </si>
  <si>
    <t>Junction-73296</t>
  </si>
  <si>
    <t>Junction-74257</t>
  </si>
  <si>
    <t>Junction-74498</t>
  </si>
  <si>
    <t>Junction-75386</t>
  </si>
  <si>
    <t>Junction-75388</t>
  </si>
  <si>
    <t>Junction-75752</t>
  </si>
  <si>
    <t>Junction-77288</t>
  </si>
  <si>
    <t>Junction-76728</t>
  </si>
  <si>
    <t>Junction-37845</t>
  </si>
  <si>
    <t>Junction-94517</t>
  </si>
  <si>
    <t>Junction-96454</t>
  </si>
  <si>
    <t>Junction-95084</t>
  </si>
  <si>
    <t>Junction-95085</t>
  </si>
  <si>
    <t>Junction-95215</t>
  </si>
  <si>
    <t>Junction-95284</t>
  </si>
  <si>
    <t>Junction-95240</t>
  </si>
  <si>
    <t>Junction-95216</t>
  </si>
  <si>
    <t>Junction-95634</t>
  </si>
  <si>
    <t>Junction-94512</t>
  </si>
  <si>
    <t>Junction-96514</t>
  </si>
  <si>
    <t>Junction-95618</t>
  </si>
  <si>
    <t>Junction-96224</t>
  </si>
  <si>
    <t>Junction-95940</t>
  </si>
  <si>
    <t>Junction-94950</t>
  </si>
  <si>
    <t>Junction-96634</t>
  </si>
  <si>
    <t>Junction-96845</t>
  </si>
  <si>
    <t>Junction-96849</t>
  </si>
  <si>
    <t>Junction-95285</t>
  </si>
  <si>
    <t>Junction-96958</t>
  </si>
  <si>
    <t>Junction-96962</t>
  </si>
  <si>
    <t>Junction-96512</t>
  </si>
  <si>
    <t>Junction-32341</t>
  </si>
  <si>
    <t>Junction-94616</t>
  </si>
  <si>
    <t>Junction-96810</t>
  </si>
  <si>
    <t>Junction-96577</t>
  </si>
  <si>
    <t>Junction-97575</t>
  </si>
  <si>
    <t>Junction-97749</t>
  </si>
  <si>
    <t>Junction-97751</t>
  </si>
  <si>
    <t>Junction-97753</t>
  </si>
  <si>
    <t>Junction-97373</t>
  </si>
  <si>
    <t>Junction-97767</t>
  </si>
  <si>
    <t>Junction-50282</t>
  </si>
  <si>
    <t>Junction-99010</t>
  </si>
  <si>
    <t>Junction-97775</t>
  </si>
  <si>
    <t>Junction-97937</t>
  </si>
  <si>
    <t>Junction-98224</t>
  </si>
  <si>
    <t>Junction-98243</t>
  </si>
  <si>
    <t>Junction-96963</t>
  </si>
  <si>
    <t>Junction-98397</t>
  </si>
  <si>
    <t>Junction-3673</t>
  </si>
  <si>
    <t>Junction-42761</t>
  </si>
  <si>
    <t>Junction-9041</t>
  </si>
  <si>
    <t>Junction-920</t>
  </si>
  <si>
    <t>Junction-34066</t>
  </si>
  <si>
    <t>Junction-98673</t>
  </si>
  <si>
    <t>Junction-98710</t>
  </si>
  <si>
    <t>Junction-98717</t>
  </si>
  <si>
    <t>Junction-98719</t>
  </si>
  <si>
    <t>Junction-98720</t>
  </si>
  <si>
    <t>Junction-98722</t>
  </si>
  <si>
    <t>Junction-98724</t>
  </si>
  <si>
    <t>Junction-98841</t>
  </si>
  <si>
    <t>Junction-98849</t>
  </si>
  <si>
    <t>Junction-99130</t>
  </si>
  <si>
    <t>Junction-98860</t>
  </si>
  <si>
    <t>Junction-98873</t>
  </si>
  <si>
    <t>Junction-98874</t>
  </si>
  <si>
    <t>Junction-98882</t>
  </si>
  <si>
    <t>Junction-98878</t>
  </si>
  <si>
    <t>Junction-98867</t>
  </si>
  <si>
    <t>Junction-98907</t>
  </si>
  <si>
    <t>Junction-98909</t>
  </si>
  <si>
    <t>Junction-98926</t>
  </si>
  <si>
    <t>Junction-98936</t>
  </si>
  <si>
    <t>Junction-99368</t>
  </si>
  <si>
    <t>Junction-99018</t>
  </si>
  <si>
    <t>Junction-99321</t>
  </si>
  <si>
    <t>Junction-99052</t>
  </si>
  <si>
    <t>Junction-99053</t>
  </si>
  <si>
    <t>Junction-2360</t>
  </si>
  <si>
    <t>Junction-99073</t>
  </si>
  <si>
    <t>Junction-99075</t>
  </si>
  <si>
    <t>Junction-99080</t>
  </si>
  <si>
    <t>Junction-99006</t>
  </si>
  <si>
    <t>Junction-8112</t>
  </si>
  <si>
    <t>Junction-99083</t>
  </si>
  <si>
    <t>Junction-99088</t>
  </si>
  <si>
    <t>Junction-99089</t>
  </si>
  <si>
    <t>Junction-99462</t>
  </si>
  <si>
    <t>Junction-99094</t>
  </si>
  <si>
    <t>Junction-99114</t>
  </si>
  <si>
    <t>Junction-100381</t>
  </si>
  <si>
    <t>Junction-99121</t>
  </si>
  <si>
    <t>Junction-99182</t>
  </si>
  <si>
    <t>Junction-99513</t>
  </si>
  <si>
    <t>Junction-99226</t>
  </si>
  <si>
    <t>Junction-99237</t>
  </si>
  <si>
    <t>Junction-15412</t>
  </si>
  <si>
    <t>Junction-19194</t>
  </si>
  <si>
    <t>Junction-64021</t>
  </si>
  <si>
    <t>Junction-41031</t>
  </si>
  <si>
    <t>Junction-99330</t>
  </si>
  <si>
    <t>Junction-99350</t>
  </si>
  <si>
    <t>Junction-99360</t>
  </si>
  <si>
    <t>Junction-99364</t>
  </si>
  <si>
    <t>Junction-99376</t>
  </si>
  <si>
    <t>Junction-99438</t>
  </si>
  <si>
    <t>Junction-99461</t>
  </si>
  <si>
    <t>Junction-99463</t>
  </si>
  <si>
    <t>Junction-99466</t>
  </si>
  <si>
    <t>Junction-99826</t>
  </si>
  <si>
    <t>Junction-55566</t>
  </si>
  <si>
    <t>Junction-99479</t>
  </si>
  <si>
    <t>Junction-99485</t>
  </si>
  <si>
    <t>Junction-99515</t>
  </si>
  <si>
    <t>Junction-99525</t>
  </si>
  <si>
    <t>Junction-1470</t>
  </si>
  <si>
    <t>Junction-99534</t>
  </si>
  <si>
    <t>Junction-99536</t>
  </si>
  <si>
    <t>Junction-99539</t>
  </si>
  <si>
    <t>Junction-99540</t>
  </si>
  <si>
    <t>Junction-99319</t>
  </si>
  <si>
    <t>Junction-17277</t>
  </si>
  <si>
    <t>Junction-97934</t>
  </si>
  <si>
    <t>Junction-99517</t>
  </si>
  <si>
    <t>Junction-99626</t>
  </si>
  <si>
    <t>Junction-99630</t>
  </si>
  <si>
    <t>Junction-99631</t>
  </si>
  <si>
    <t>Junction-99634</t>
  </si>
  <si>
    <t>Junction-97770</t>
  </si>
  <si>
    <t>Junction-99651</t>
  </si>
  <si>
    <t>Junction-18016</t>
  </si>
  <si>
    <t>Junction-99671</t>
  </si>
  <si>
    <t>Junction-99690</t>
  </si>
  <si>
    <t>Junction-99702</t>
  </si>
  <si>
    <t>Junction-99723</t>
  </si>
  <si>
    <t>Junction-99755</t>
  </si>
  <si>
    <t>Junction-99756</t>
  </si>
  <si>
    <t>Junction-100357</t>
  </si>
  <si>
    <t>Junction-99133</t>
  </si>
  <si>
    <t>Junction-99278</t>
  </si>
  <si>
    <t>Junction-99816</t>
  </si>
  <si>
    <t>Junction-75753</t>
  </si>
  <si>
    <t>Junction-1396</t>
  </si>
  <si>
    <t>Junction-99828</t>
  </si>
  <si>
    <t>Junction-99870</t>
  </si>
  <si>
    <t>Junction-99872</t>
  </si>
  <si>
    <t>Junction-99874</t>
  </si>
  <si>
    <t>Junction-99876</t>
  </si>
  <si>
    <t>Junction-49349</t>
  </si>
  <si>
    <t>Junction-99880</t>
  </si>
  <si>
    <t>Junction-99884</t>
  </si>
  <si>
    <t>Junction-99890</t>
  </si>
  <si>
    <t>Junction-99048</t>
  </si>
  <si>
    <t>Junction-100287</t>
  </si>
  <si>
    <t>Junction-33432</t>
  </si>
  <si>
    <t>Junction-99781</t>
  </si>
  <si>
    <t>Junction-100018</t>
  </si>
  <si>
    <t>Junction-99703</t>
  </si>
  <si>
    <t>Junction-45717</t>
  </si>
  <si>
    <t>Junction-100035</t>
  </si>
  <si>
    <t>Junction-100050</t>
  </si>
  <si>
    <t>Junction-99115</t>
  </si>
  <si>
    <t>Junction-99395</t>
  </si>
  <si>
    <t>Junction-100086</t>
  </si>
  <si>
    <t>Junction-100094</t>
  </si>
  <si>
    <t>Junction-100097</t>
  </si>
  <si>
    <t>Junction-99593</t>
  </si>
  <si>
    <t>Junction-1512</t>
  </si>
  <si>
    <t>Junction-100110</t>
  </si>
  <si>
    <t>Junction-100121</t>
  </si>
  <si>
    <t>Junction-99304</t>
  </si>
  <si>
    <t>Junction-61093</t>
  </si>
  <si>
    <t>Junction-100224</t>
  </si>
  <si>
    <t>Junction-100228</t>
  </si>
  <si>
    <t>Junction-100225</t>
  </si>
  <si>
    <t>Junction-19192</t>
  </si>
  <si>
    <t>Junction-100239</t>
  </si>
  <si>
    <t>Junction-1513</t>
  </si>
  <si>
    <t>Junction-100246</t>
  </si>
  <si>
    <t>Junction-99869</t>
  </si>
  <si>
    <t>Junction-99830</t>
  </si>
  <si>
    <t>Junction-2042</t>
  </si>
  <si>
    <t>Junction-99526</t>
  </si>
  <si>
    <t>Junction-100266</t>
  </si>
  <si>
    <t>Junction-100272</t>
  </si>
  <si>
    <t>Junction-100274</t>
  </si>
  <si>
    <t>Junction-100277</t>
  </si>
  <si>
    <t>Junction-100245</t>
  </si>
  <si>
    <t>Junction-100290</t>
  </si>
  <si>
    <t>Junction-100292</t>
  </si>
  <si>
    <t>Junction-100294</t>
  </si>
  <si>
    <t>Junction-100296</t>
  </si>
  <si>
    <t>Junction-100298</t>
  </si>
  <si>
    <t>Junction-100300</t>
  </si>
  <si>
    <t>Junction-99032</t>
  </si>
  <si>
    <t>Junction-98922</t>
  </si>
  <si>
    <t>Junction-100332</t>
  </si>
  <si>
    <t>Junction-100337</t>
  </si>
  <si>
    <t>Junction-99974</t>
  </si>
  <si>
    <t>Junction-100359</t>
  </si>
  <si>
    <t>Junction-99110</t>
  </si>
  <si>
    <t>Junction-100368</t>
  </si>
  <si>
    <t>Junction-99693</t>
  </si>
  <si>
    <t>Junction-99326</t>
  </si>
  <si>
    <t>Junction-75387</t>
  </si>
  <si>
    <t>Junction-100420</t>
  </si>
  <si>
    <t>Junction-99760</t>
  </si>
  <si>
    <t>Junction-98723</t>
  </si>
  <si>
    <t>Junction-100336</t>
  </si>
  <si>
    <t>Junction-100440</t>
  </si>
  <si>
    <t>Junction-100305</t>
  </si>
  <si>
    <t>Junction-101660</t>
  </si>
  <si>
    <t>Junction-102990</t>
  </si>
  <si>
    <t>Junction-102036</t>
  </si>
  <si>
    <t>Junction-101919</t>
  </si>
  <si>
    <t>Junction-103322</t>
  </si>
  <si>
    <t>Junction-103455</t>
  </si>
  <si>
    <t>Junction-102277</t>
  </si>
  <si>
    <t>Junction-105140</t>
  </si>
  <si>
    <t>Junction-105274</t>
  </si>
  <si>
    <t>Junction-105540</t>
  </si>
  <si>
    <t>Junction-105560</t>
  </si>
  <si>
    <t>Junction-105811</t>
  </si>
  <si>
    <t>Junction-105812</t>
  </si>
  <si>
    <t>Junction-105814</t>
  </si>
  <si>
    <t>Junction-106048</t>
  </si>
  <si>
    <t>Junction-106055</t>
  </si>
  <si>
    <t>Junction-106088</t>
  </si>
  <si>
    <t>Junction-106092</t>
  </si>
  <si>
    <t>Junction-106326</t>
  </si>
  <si>
    <t>Junction-106504</t>
  </si>
  <si>
    <t>Junction-107214</t>
  </si>
  <si>
    <t>Junction-907</t>
  </si>
  <si>
    <t>Junction-917</t>
  </si>
  <si>
    <t>Junction-106045</t>
  </si>
  <si>
    <t>Junction-97180</t>
  </si>
  <si>
    <t>Junction-99375</t>
  </si>
  <si>
    <t>Junction-99111</t>
  </si>
  <si>
    <t>Junction-105282</t>
  </si>
  <si>
    <t>Junction-105276</t>
  </si>
  <si>
    <t>Junction-111147</t>
  </si>
  <si>
    <t>Junction-111155</t>
  </si>
  <si>
    <t>Junction-111157</t>
  </si>
  <si>
    <t>Junction-111193</t>
  </si>
  <si>
    <t>Junction-111208</t>
  </si>
  <si>
    <t>Junction-111223</t>
  </si>
  <si>
    <t>Junction-111225</t>
  </si>
  <si>
    <t>Junction-7442</t>
  </si>
  <si>
    <t>Junction-22022</t>
  </si>
  <si>
    <t>Junction-116686</t>
  </si>
  <si>
    <t>Junction-114744</t>
  </si>
  <si>
    <t>Junction-114781</t>
  </si>
  <si>
    <t>Junction-71596</t>
  </si>
  <si>
    <t>Junction-127246</t>
  </si>
  <si>
    <t>Junction-99019</t>
  </si>
  <si>
    <t>Junction-116891</t>
  </si>
  <si>
    <t>Junction-116901</t>
  </si>
  <si>
    <t>Junction-9556</t>
  </si>
  <si>
    <t>Junction-115208</t>
  </si>
  <si>
    <t>Junction-120722</t>
  </si>
  <si>
    <t>Junction-120721</t>
  </si>
  <si>
    <t>Junction-120847</t>
  </si>
  <si>
    <t>Junction-126962</t>
  </si>
  <si>
    <t>Junction-127162</t>
  </si>
  <si>
    <t>Junction-127171</t>
  </si>
  <si>
    <t>Junction-127164</t>
  </si>
  <si>
    <t>Junction-127181</t>
  </si>
  <si>
    <t>Junction-127182</t>
  </si>
  <si>
    <t>Junction-127197</t>
  </si>
  <si>
    <t>Junction-127219</t>
  </si>
  <si>
    <t>Junction-127234</t>
  </si>
  <si>
    <t>Junction-127265</t>
  </si>
  <si>
    <t>Junction-127291</t>
  </si>
  <si>
    <t>Junction-127300</t>
  </si>
  <si>
    <t>Junction-127332</t>
  </si>
  <si>
    <t>Junction-127314</t>
  </si>
  <si>
    <t>Junction-127376</t>
  </si>
  <si>
    <t>Junction-127378</t>
  </si>
  <si>
    <t>Junction-127380</t>
  </si>
  <si>
    <t>Junction-127383</t>
  </si>
  <si>
    <t>Junction-127386</t>
  </si>
  <si>
    <t>Junction-127387</t>
  </si>
  <si>
    <t>Junction-127406</t>
  </si>
  <si>
    <t>Junction-127924</t>
  </si>
  <si>
    <t>Junction-127409</t>
  </si>
  <si>
    <t>Junction-127411</t>
  </si>
  <si>
    <t>Junction-127412</t>
  </si>
  <si>
    <t>Junction-127414</t>
  </si>
  <si>
    <t>Junction-127438</t>
  </si>
  <si>
    <t>Junction-127442</t>
  </si>
  <si>
    <t>Junction-127446</t>
  </si>
  <si>
    <t>Junction-127417</t>
  </si>
  <si>
    <t>Junction-127510</t>
  </si>
  <si>
    <t>Junction-127514</t>
  </si>
  <si>
    <t>Junction-127533</t>
  </si>
  <si>
    <t>Junction-127534</t>
  </si>
  <si>
    <t>Junction-127537</t>
  </si>
  <si>
    <t>Junction-128246</t>
  </si>
  <si>
    <t>Junction-129775</t>
  </si>
  <si>
    <t>Junction-128250</t>
  </si>
  <si>
    <t>Junction-128160</t>
  </si>
  <si>
    <t>Junction-128164</t>
  </si>
  <si>
    <t>Junction-128230</t>
  </si>
  <si>
    <t>Junction-128234</t>
  </si>
  <si>
    <t>Junction-127382</t>
  </si>
  <si>
    <t>Junction-127268</t>
  </si>
  <si>
    <t>Junction-127286</t>
  </si>
  <si>
    <t>Junction-127208</t>
  </si>
  <si>
    <t>Junction-128432</t>
  </si>
  <si>
    <t>Junction-128439</t>
  </si>
  <si>
    <t>Junction-128816</t>
  </si>
  <si>
    <t>Junction-128637</t>
  </si>
  <si>
    <t>Junction-128917</t>
  </si>
  <si>
    <t>Junction-129145</t>
  </si>
  <si>
    <t>Junction-129103</t>
  </si>
  <si>
    <t>Junction-129106</t>
  </si>
  <si>
    <t>Junction-129111</t>
  </si>
  <si>
    <t>Junction-129113</t>
  </si>
  <si>
    <t>Junction-129143</t>
  </si>
  <si>
    <t>Junction-129148</t>
  </si>
  <si>
    <t>Junction-129171</t>
  </si>
  <si>
    <t>Junction-129191</t>
  </si>
  <si>
    <t>Junction-129247</t>
  </si>
  <si>
    <t>Junction-129248</t>
  </si>
  <si>
    <t>Junction-129097</t>
  </si>
  <si>
    <t>Junction-129282</t>
  </si>
  <si>
    <t>Junction-3968</t>
  </si>
  <si>
    <t>Junction-97159</t>
  </si>
  <si>
    <t>Junction-127184</t>
  </si>
  <si>
    <t>Junction-128247</t>
  </si>
  <si>
    <t>Junction-127160</t>
  </si>
  <si>
    <t>Junction-98465</t>
  </si>
  <si>
    <t>Junction-66675</t>
  </si>
  <si>
    <t>Junction-129043</t>
  </si>
  <si>
    <t>Junction-127538</t>
  </si>
  <si>
    <t>Junction-130756</t>
  </si>
  <si>
    <t>Junction-103313</t>
  </si>
  <si>
    <t>Junction-909</t>
  </si>
  <si>
    <t>Junction-3306</t>
  </si>
  <si>
    <t>Junction-2227</t>
  </si>
  <si>
    <t>Junction-2961</t>
  </si>
  <si>
    <t>Junction-3552</t>
  </si>
  <si>
    <t>Junction-17125</t>
  </si>
  <si>
    <t>Junction-19268</t>
  </si>
  <si>
    <t>Junction-20761</t>
  </si>
  <si>
    <t>Junction-21554</t>
  </si>
  <si>
    <t>Junction-19606</t>
  </si>
  <si>
    <t>Junction-21646</t>
  </si>
  <si>
    <t>Junction-22041</t>
  </si>
  <si>
    <t>Junction-36301</t>
  </si>
  <si>
    <t>Junction-26989</t>
  </si>
  <si>
    <t>Junction-33148</t>
  </si>
  <si>
    <t>Junction-36773</t>
  </si>
  <si>
    <t>Junction-100318</t>
  </si>
  <si>
    <t>Junction-44920</t>
  </si>
  <si>
    <t>Junction-54599</t>
  </si>
  <si>
    <t>Junction-60533</t>
  </si>
  <si>
    <t>Junction-68938</t>
  </si>
  <si>
    <t>Junction-3165</t>
  </si>
  <si>
    <t>Junction-9492</t>
  </si>
  <si>
    <t>Junction-106057</t>
  </si>
  <si>
    <t>Junction-9986</t>
  </si>
  <si>
    <t>Junction-115682</t>
  </si>
  <si>
    <t>Junction-127158</t>
  </si>
  <si>
    <t>Junction-127174</t>
  </si>
  <si>
    <t>Junction-127385</t>
  </si>
  <si>
    <t>Junction-127516</t>
  </si>
  <si>
    <t>Junction-3565</t>
  </si>
  <si>
    <t>Junction-129250</t>
  </si>
  <si>
    <t>Junction-129256</t>
  </si>
  <si>
    <t>Junction-3421</t>
  </si>
  <si>
    <t>Junction-131108</t>
  </si>
  <si>
    <t>Junction-103003</t>
  </si>
  <si>
    <t>Z-Coordinate (Elevation)</t>
  </si>
  <si>
    <t>Sink/User</t>
  </si>
  <si>
    <t>Junction</t>
  </si>
  <si>
    <t>Conversion</t>
  </si>
  <si>
    <t>6 AM Demand</t>
  </si>
  <si>
    <t>mdot_from_kg_per_s</t>
  </si>
  <si>
    <t>mdot_kg_per_s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</si>
</sst>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10</v>
      </c>
      <c r="C2">
        <v>40000</v>
      </c>
      <c r="D2" t="s">
        <v>11</v>
      </c>
      <c r="E2" t="s">
        <v>14</v>
      </c>
      <c r="F2" t="s">
        <v>14</v>
      </c>
      <c r="G2" t="s">
        <v>14</v>
      </c>
    </row>
    <row r="3" spans="1:7" x14ac:dyDescent="0.3">
      <c r="A3" t="s">
        <v>8</v>
      </c>
      <c r="B3" t="s">
        <v>10</v>
      </c>
      <c r="C3">
        <v>20000</v>
      </c>
      <c r="D3" t="s">
        <v>12</v>
      </c>
      <c r="E3" t="s">
        <v>14</v>
      </c>
      <c r="F3" t="s">
        <v>14</v>
      </c>
      <c r="G3" t="s">
        <v>14</v>
      </c>
    </row>
    <row r="4" spans="1:7" x14ac:dyDescent="0.3">
      <c r="A4" t="s">
        <v>9</v>
      </c>
      <c r="B4" t="s">
        <v>10</v>
      </c>
      <c r="C4">
        <v>2000</v>
      </c>
      <c r="D4" t="s">
        <v>13</v>
      </c>
      <c r="E4" t="s">
        <v>14</v>
      </c>
      <c r="F4" t="s">
        <v>14</v>
      </c>
      <c r="G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96"/>
  <sheetViews>
    <sheetView workbookViewId="0">
      <selection sqref="A1:A1048576"/>
    </sheetView>
  </sheetViews>
  <sheetFormatPr defaultRowHeight="14.4" x14ac:dyDescent="0.3"/>
  <cols>
    <col min="1" max="1" width="21.44140625" customWidth="1"/>
    <col min="7" max="8" width="19.5546875" customWidth="1"/>
    <col min="9" max="9" width="17.5546875" customWidth="1"/>
    <col min="16" max="16" width="14.88671875" customWidth="1"/>
  </cols>
  <sheetData>
    <row r="1" spans="1:33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2688</v>
      </c>
      <c r="I1" s="1" t="s">
        <v>2687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</row>
    <row r="2" spans="1:33" x14ac:dyDescent="0.3">
      <c r="A2" t="s">
        <v>45</v>
      </c>
      <c r="B2">
        <v>364515.273438</v>
      </c>
      <c r="C2">
        <v>6671666.7226560004</v>
      </c>
      <c r="D2" t="s">
        <v>540</v>
      </c>
      <c r="E2">
        <v>100</v>
      </c>
      <c r="F2">
        <v>0</v>
      </c>
      <c r="G2">
        <v>0</v>
      </c>
      <c r="H2">
        <v>0</v>
      </c>
      <c r="I2">
        <f>4.19 * 50</f>
        <v>209.50000000000003</v>
      </c>
      <c r="J2">
        <f>0*(4.19 * 50)</f>
        <v>0</v>
      </c>
      <c r="K2">
        <f>0*(4.19 * 50)</f>
        <v>0</v>
      </c>
      <c r="L2">
        <f>0*(4.19 * 50)</f>
        <v>0</v>
      </c>
      <c r="M2">
        <f>0*(4.19 * 50)</f>
        <v>0</v>
      </c>
      <c r="N2">
        <f>0*(4.19 * 50)</f>
        <v>0</v>
      </c>
      <c r="O2">
        <f>0*(4.19 * 50)</f>
        <v>0</v>
      </c>
      <c r="P2">
        <f>0*(4.19 * 50)</f>
        <v>0</v>
      </c>
      <c r="Q2">
        <f>0*(4.19 * 50)</f>
        <v>0</v>
      </c>
      <c r="R2">
        <f>0*(4.19 * 50)</f>
        <v>0</v>
      </c>
      <c r="S2">
        <f>0*(4.19 * 50)</f>
        <v>0</v>
      </c>
      <c r="T2">
        <f>0*(4.19 * 50)</f>
        <v>0</v>
      </c>
      <c r="U2">
        <f>0*(4.19 * 50)</f>
        <v>0</v>
      </c>
      <c r="V2">
        <f>0*(4.19 * 50)</f>
        <v>0</v>
      </c>
      <c r="W2">
        <f>0*(4.19 * 50)</f>
        <v>0</v>
      </c>
      <c r="X2">
        <f>0*(4.19 * 50)</f>
        <v>0</v>
      </c>
      <c r="Y2">
        <f>0*(4.19 * 50)</f>
        <v>0</v>
      </c>
      <c r="Z2">
        <f>0*(4.19 * 50)</f>
        <v>0</v>
      </c>
      <c r="AA2">
        <f>0*(4.19 * 50)</f>
        <v>0</v>
      </c>
      <c r="AB2">
        <f>0*(4.19 * 50)</f>
        <v>0</v>
      </c>
      <c r="AC2">
        <f>0*(4.19 * 50)</f>
        <v>0</v>
      </c>
      <c r="AD2">
        <f>0*(4.19 * 50)</f>
        <v>0</v>
      </c>
      <c r="AE2">
        <f>0*(4.19 * 50)</f>
        <v>0</v>
      </c>
      <c r="AF2">
        <f>0*(4.19 * 50)</f>
        <v>0</v>
      </c>
      <c r="AG2">
        <f>0*(4.19 * 50)</f>
        <v>0</v>
      </c>
    </row>
    <row r="3" spans="1:33" x14ac:dyDescent="0.3">
      <c r="A3" t="s">
        <v>46</v>
      </c>
      <c r="B3">
        <v>366388.238281</v>
      </c>
      <c r="C3">
        <v>6670420.6601560004</v>
      </c>
      <c r="D3" t="s">
        <v>541</v>
      </c>
      <c r="E3">
        <v>100</v>
      </c>
      <c r="F3">
        <v>61.5</v>
      </c>
      <c r="G3">
        <v>0.29355608591885429</v>
      </c>
      <c r="H3">
        <f>F3+P3</f>
        <v>119.11250000000001</v>
      </c>
      <c r="I3">
        <f t="shared" ref="I3:I66" si="0">4.19 * 50</f>
        <v>209.50000000000003</v>
      </c>
      <c r="J3">
        <f>0.268*(4.19 * 50)</f>
        <v>56.146000000000008</v>
      </c>
      <c r="K3">
        <f>0.266*(4.19 * 50)</f>
        <v>55.727000000000011</v>
      </c>
      <c r="L3">
        <f>0.264*(4.19 * 50)</f>
        <v>55.308000000000007</v>
      </c>
      <c r="M3">
        <f>0.263*(4.19 * 50)</f>
        <v>55.098500000000008</v>
      </c>
      <c r="N3">
        <f>0.264*(4.19 * 50)</f>
        <v>55.308000000000007</v>
      </c>
      <c r="O3">
        <f>0.267*(4.19 * 50)</f>
        <v>55.936500000000009</v>
      </c>
      <c r="P3">
        <f>0.275*(4.19 * 50)</f>
        <v>57.612500000000011</v>
      </c>
      <c r="Q3">
        <f>0.283*(4.19 * 50)</f>
        <v>59.288499999999999</v>
      </c>
      <c r="R3">
        <f>0.28*(4.19 * 50)</f>
        <v>58.660000000000011</v>
      </c>
      <c r="S3">
        <f>0.274*(4.19 * 50)</f>
        <v>57.403000000000013</v>
      </c>
      <c r="T3">
        <f>0.273*(4.19 * 50)</f>
        <v>57.193500000000014</v>
      </c>
      <c r="U3">
        <f>0.262*(4.19 * 50)</f>
        <v>54.88900000000001</v>
      </c>
      <c r="V3">
        <f>0.258*(4.19 * 50)</f>
        <v>54.051000000000009</v>
      </c>
      <c r="W3">
        <f>0.255*(4.19 * 50)</f>
        <v>53.422500000000007</v>
      </c>
      <c r="X3">
        <f>0.254*(4.19 * 50)</f>
        <v>53.213000000000008</v>
      </c>
      <c r="Y3">
        <f>0.254*(4.19 * 50)</f>
        <v>53.213000000000008</v>
      </c>
      <c r="Z3">
        <f>0.257*(4.19 * 50)</f>
        <v>53.841500000000011</v>
      </c>
      <c r="AA3">
        <f>0.262*(4.19 * 50)</f>
        <v>54.88900000000001</v>
      </c>
      <c r="AB3">
        <f>0.266*(4.19 * 50)</f>
        <v>55.727000000000011</v>
      </c>
      <c r="AC3">
        <f>0.27*(4.19 * 50)</f>
        <v>56.565000000000012</v>
      </c>
      <c r="AD3">
        <f>0.275*(4.19 * 50)</f>
        <v>57.612500000000011</v>
      </c>
      <c r="AE3">
        <f>0.277*(4.19 * 50)</f>
        <v>58.031500000000015</v>
      </c>
      <c r="AF3">
        <f>0.274*(4.19 * 50)</f>
        <v>57.403000000000013</v>
      </c>
      <c r="AG3">
        <f>0.271*(4.19 * 50)</f>
        <v>56.77450000000001</v>
      </c>
    </row>
    <row r="4" spans="1:33" x14ac:dyDescent="0.3">
      <c r="A4" t="s">
        <v>47</v>
      </c>
      <c r="B4">
        <v>363241.328125</v>
      </c>
      <c r="C4">
        <v>6672004.5898439996</v>
      </c>
      <c r="D4" t="s">
        <v>542</v>
      </c>
      <c r="E4">
        <v>100</v>
      </c>
      <c r="F4">
        <v>66.333000183105398</v>
      </c>
      <c r="G4">
        <v>0.31662529920336702</v>
      </c>
      <c r="H4">
        <f t="shared" ref="H4:H67" si="1">F4+P4</f>
        <v>128.5545001831054</v>
      </c>
      <c r="I4">
        <f t="shared" si="0"/>
        <v>209.50000000000003</v>
      </c>
      <c r="J4">
        <f>0.289*(4.19 * 50)</f>
        <v>60.545500000000004</v>
      </c>
      <c r="K4">
        <f>0.286*(4.19 * 50)</f>
        <v>59.917000000000002</v>
      </c>
      <c r="L4">
        <f>0.285*(4.19 * 50)</f>
        <v>59.707500000000003</v>
      </c>
      <c r="M4">
        <f>0.284*(4.19 * 50)</f>
        <v>59.498000000000005</v>
      </c>
      <c r="N4">
        <f>0.285*(4.19 * 50)</f>
        <v>59.707500000000003</v>
      </c>
      <c r="O4">
        <f>0.288*(4.19 * 50)</f>
        <v>60.336000000000006</v>
      </c>
      <c r="P4">
        <f>0.297*(4.19 * 50)</f>
        <v>62.221500000000006</v>
      </c>
      <c r="Q4">
        <f>0.305*(4.19 * 50)</f>
        <v>63.897500000000008</v>
      </c>
      <c r="R4">
        <f>0.302*(4.19 * 50)</f>
        <v>63.269000000000005</v>
      </c>
      <c r="S4">
        <f>0.296*(4.19 * 50)</f>
        <v>62.012000000000008</v>
      </c>
      <c r="T4">
        <f>0.295*(4.19 * 50)</f>
        <v>61.802500000000002</v>
      </c>
      <c r="U4">
        <f>0.282*(4.19 * 50)</f>
        <v>59.079000000000001</v>
      </c>
      <c r="V4">
        <f>0.278*(4.19 * 50)</f>
        <v>58.241000000000014</v>
      </c>
      <c r="W4">
        <f>0.275*(4.19 * 50)</f>
        <v>57.612500000000011</v>
      </c>
      <c r="X4">
        <f>0.274*(4.19 * 50)</f>
        <v>57.403000000000013</v>
      </c>
      <c r="Y4">
        <f>0.274*(4.19 * 50)</f>
        <v>57.403000000000013</v>
      </c>
      <c r="Z4">
        <f>0.277*(4.19 * 50)</f>
        <v>58.031500000000015</v>
      </c>
      <c r="AA4">
        <f>0.282*(4.19 * 50)</f>
        <v>59.079000000000001</v>
      </c>
      <c r="AB4">
        <f>0.286*(4.19 * 50)</f>
        <v>59.917000000000002</v>
      </c>
      <c r="AC4">
        <f>0.292*(4.19 * 50)</f>
        <v>61.174000000000007</v>
      </c>
      <c r="AD4">
        <f>0.296*(4.19 * 50)</f>
        <v>62.012000000000008</v>
      </c>
      <c r="AE4">
        <f>0.299*(4.19 * 50)</f>
        <v>62.640500000000003</v>
      </c>
      <c r="AF4">
        <f>0.296*(4.19 * 50)</f>
        <v>62.012000000000008</v>
      </c>
      <c r="AG4">
        <f>0.292*(4.19 * 50)</f>
        <v>61.174000000000007</v>
      </c>
    </row>
    <row r="5" spans="1:33" x14ac:dyDescent="0.3">
      <c r="A5" t="s">
        <v>48</v>
      </c>
      <c r="B5">
        <v>362779.742188</v>
      </c>
      <c r="C5">
        <v>6670983.59375</v>
      </c>
      <c r="D5" t="s">
        <v>542</v>
      </c>
      <c r="E5">
        <v>100</v>
      </c>
      <c r="F5">
        <v>47.632999420166001</v>
      </c>
      <c r="G5">
        <v>0.22736515236356081</v>
      </c>
      <c r="H5">
        <f t="shared" si="1"/>
        <v>92.256499420166008</v>
      </c>
      <c r="I5">
        <f t="shared" si="0"/>
        <v>209.50000000000003</v>
      </c>
      <c r="J5">
        <f>0.207*(4.19 * 50)</f>
        <v>43.366500000000002</v>
      </c>
      <c r="K5">
        <f>0.206*(4.19 * 50)</f>
        <v>43.157000000000004</v>
      </c>
      <c r="L5">
        <f>0.204*(4.19 * 50)</f>
        <v>42.738</v>
      </c>
      <c r="M5">
        <f>0.204*(4.19 * 50)</f>
        <v>42.738</v>
      </c>
      <c r="N5">
        <f>0.204*(4.19 * 50)</f>
        <v>42.738</v>
      </c>
      <c r="O5">
        <f>0.207*(4.19 * 50)</f>
        <v>43.366500000000002</v>
      </c>
      <c r="P5">
        <f>0.213*(4.19 * 50)</f>
        <v>44.623500000000007</v>
      </c>
      <c r="Q5">
        <f>0.219*(4.19 * 50)</f>
        <v>45.880500000000005</v>
      </c>
      <c r="R5">
        <f>0.217*(4.19 * 50)</f>
        <v>45.461500000000008</v>
      </c>
      <c r="S5">
        <f>0.212*(4.19 * 50)</f>
        <v>44.414000000000001</v>
      </c>
      <c r="T5">
        <f>0.212*(4.19 * 50)</f>
        <v>44.414000000000001</v>
      </c>
      <c r="U5">
        <f>0.203*(4.19 * 50)</f>
        <v>42.528500000000008</v>
      </c>
      <c r="V5">
        <f>0.2*(4.19 * 50)</f>
        <v>41.900000000000006</v>
      </c>
      <c r="W5">
        <f>0.197*(4.19 * 50)</f>
        <v>41.27150000000001</v>
      </c>
      <c r="X5">
        <f>0.197*(4.19 * 50)</f>
        <v>41.27150000000001</v>
      </c>
      <c r="Y5">
        <f>0.197*(4.19 * 50)</f>
        <v>41.27150000000001</v>
      </c>
      <c r="Z5">
        <f>0.199*(4.19 * 50)</f>
        <v>41.690500000000007</v>
      </c>
      <c r="AA5">
        <f>0.203*(4.19 * 50)</f>
        <v>42.528500000000008</v>
      </c>
      <c r="AB5">
        <f>0.206*(4.19 * 50)</f>
        <v>43.157000000000004</v>
      </c>
      <c r="AC5">
        <f>0.209*(4.19 * 50)</f>
        <v>43.785500000000006</v>
      </c>
      <c r="AD5">
        <f>0.213*(4.19 * 50)</f>
        <v>44.623500000000007</v>
      </c>
      <c r="AE5">
        <f>0.214*(4.19 * 50)</f>
        <v>44.833000000000006</v>
      </c>
      <c r="AF5">
        <f>0.212*(4.19 * 50)</f>
        <v>44.414000000000001</v>
      </c>
      <c r="AG5">
        <f>0.21*(4.19 * 50)</f>
        <v>43.995000000000005</v>
      </c>
    </row>
    <row r="6" spans="1:33" x14ac:dyDescent="0.3">
      <c r="A6" t="s">
        <v>49</v>
      </c>
      <c r="B6">
        <v>358357.375</v>
      </c>
      <c r="C6">
        <v>6668173.5351560004</v>
      </c>
      <c r="D6" t="s">
        <v>542</v>
      </c>
      <c r="E6">
        <v>100</v>
      </c>
      <c r="F6">
        <v>62.799999237060497</v>
      </c>
      <c r="G6">
        <v>0.29976133287379708</v>
      </c>
      <c r="H6">
        <f t="shared" si="1"/>
        <v>121.66949923706051</v>
      </c>
      <c r="I6">
        <f t="shared" si="0"/>
        <v>209.50000000000003</v>
      </c>
      <c r="J6">
        <f>0.273*(4.19 * 50)</f>
        <v>57.193500000000014</v>
      </c>
      <c r="K6">
        <f>0.271*(4.19 * 50)</f>
        <v>56.77450000000001</v>
      </c>
      <c r="L6">
        <f>0.27*(4.19 * 50)</f>
        <v>56.565000000000012</v>
      </c>
      <c r="M6">
        <f>0.268*(4.19 * 50)</f>
        <v>56.146000000000008</v>
      </c>
      <c r="N6">
        <f>0.27*(4.19 * 50)</f>
        <v>56.565000000000012</v>
      </c>
      <c r="O6">
        <f>0.273*(4.19 * 50)</f>
        <v>57.193500000000014</v>
      </c>
      <c r="P6">
        <f>0.281*(4.19 * 50)</f>
        <v>58.869500000000016</v>
      </c>
      <c r="Q6">
        <f>0.289*(4.19 * 50)</f>
        <v>60.545500000000004</v>
      </c>
      <c r="R6">
        <f>0.286*(4.19 * 50)</f>
        <v>59.917000000000002</v>
      </c>
      <c r="S6">
        <f>0.28*(4.19 * 50)</f>
        <v>58.660000000000011</v>
      </c>
      <c r="T6">
        <f>0.279*(4.19 * 50)</f>
        <v>58.450500000000012</v>
      </c>
      <c r="U6">
        <f>0.267*(4.19 * 50)</f>
        <v>55.936500000000009</v>
      </c>
      <c r="V6">
        <f>0.264*(4.19 * 50)</f>
        <v>55.308000000000007</v>
      </c>
      <c r="W6">
        <f>0.26*(4.19 * 50)</f>
        <v>54.470000000000006</v>
      </c>
      <c r="X6">
        <f>0.259*(4.19 * 50)</f>
        <v>54.260500000000008</v>
      </c>
      <c r="Y6">
        <f>0.26*(4.19 * 50)</f>
        <v>54.470000000000006</v>
      </c>
      <c r="Z6">
        <f>0.262*(4.19 * 50)</f>
        <v>54.88900000000001</v>
      </c>
      <c r="AA6">
        <f>0.267*(4.19 * 50)</f>
        <v>55.936500000000009</v>
      </c>
      <c r="AB6">
        <f>0.271*(4.19 * 50)</f>
        <v>56.77450000000001</v>
      </c>
      <c r="AC6">
        <f>0.276*(4.19 * 50)</f>
        <v>57.82200000000001</v>
      </c>
      <c r="AD6">
        <f>0.281*(4.19 * 50)</f>
        <v>58.869500000000016</v>
      </c>
      <c r="AE6">
        <f>0.283*(4.19 * 50)</f>
        <v>59.288499999999999</v>
      </c>
      <c r="AF6">
        <f>0.28*(4.19 * 50)</f>
        <v>58.660000000000011</v>
      </c>
      <c r="AG6">
        <f>0.276*(4.19 * 50)</f>
        <v>57.82200000000001</v>
      </c>
    </row>
    <row r="7" spans="1:33" x14ac:dyDescent="0.3">
      <c r="A7" t="s">
        <v>50</v>
      </c>
      <c r="B7">
        <v>358353.585938</v>
      </c>
      <c r="C7">
        <v>6668128.2695310004</v>
      </c>
      <c r="D7" t="s">
        <v>542</v>
      </c>
      <c r="E7">
        <v>100</v>
      </c>
      <c r="F7">
        <v>57.766998291015597</v>
      </c>
      <c r="G7">
        <v>0.27573746200962101</v>
      </c>
      <c r="H7">
        <f t="shared" si="1"/>
        <v>112.0274982910156</v>
      </c>
      <c r="I7">
        <f t="shared" si="0"/>
        <v>209.50000000000003</v>
      </c>
      <c r="J7">
        <f>0.251*(4.19 * 50)</f>
        <v>52.584500000000006</v>
      </c>
      <c r="K7">
        <f>0.249*(4.19 * 50)</f>
        <v>52.165500000000009</v>
      </c>
      <c r="L7">
        <f>0.248*(4.19 * 50)</f>
        <v>51.95600000000001</v>
      </c>
      <c r="M7">
        <f>0.247*(4.19 * 50)</f>
        <v>51.746500000000005</v>
      </c>
      <c r="N7">
        <f>0.248*(4.19 * 50)</f>
        <v>51.95600000000001</v>
      </c>
      <c r="O7">
        <f>0.251*(4.19 * 50)</f>
        <v>52.584500000000006</v>
      </c>
      <c r="P7">
        <f>0.259*(4.19 * 50)</f>
        <v>54.260500000000008</v>
      </c>
      <c r="Q7">
        <f>0.265*(4.19 * 50)</f>
        <v>55.517500000000013</v>
      </c>
      <c r="R7">
        <f>0.263*(4.19 * 50)</f>
        <v>55.098500000000008</v>
      </c>
      <c r="S7">
        <f>0.258*(4.19 * 50)</f>
        <v>54.051000000000009</v>
      </c>
      <c r="T7">
        <f>0.257*(4.19 * 50)</f>
        <v>53.841500000000011</v>
      </c>
      <c r="U7">
        <f>0.246*(4.19 * 50)</f>
        <v>51.537000000000006</v>
      </c>
      <c r="V7">
        <f>0.242*(4.19 * 50)</f>
        <v>50.699000000000005</v>
      </c>
      <c r="W7">
        <f>0.239*(4.19 * 50)</f>
        <v>50.070500000000003</v>
      </c>
      <c r="X7">
        <f>0.238*(4.19 * 50)</f>
        <v>49.861000000000004</v>
      </c>
      <c r="Y7">
        <f>0.239*(4.19 * 50)</f>
        <v>50.070500000000003</v>
      </c>
      <c r="Z7">
        <f>0.241*(4.19 * 50)</f>
        <v>50.489500000000007</v>
      </c>
      <c r="AA7">
        <f>0.246*(4.19 * 50)</f>
        <v>51.537000000000006</v>
      </c>
      <c r="AB7">
        <f>0.249*(4.19 * 50)</f>
        <v>52.165500000000009</v>
      </c>
      <c r="AC7">
        <f>0.254*(4.19 * 50)</f>
        <v>53.213000000000008</v>
      </c>
      <c r="AD7">
        <f>0.258*(4.19 * 50)</f>
        <v>54.051000000000009</v>
      </c>
      <c r="AE7">
        <f>0.26*(4.19 * 50)</f>
        <v>54.470000000000006</v>
      </c>
      <c r="AF7">
        <f>0.258*(4.19 * 50)</f>
        <v>54.051000000000009</v>
      </c>
      <c r="AG7">
        <f>0.254*(4.19 * 50)</f>
        <v>53.213000000000008</v>
      </c>
    </row>
    <row r="8" spans="1:33" x14ac:dyDescent="0.3">
      <c r="A8" t="s">
        <v>51</v>
      </c>
      <c r="B8">
        <v>363662.378906</v>
      </c>
      <c r="C8">
        <v>6671072.59375</v>
      </c>
      <c r="D8" t="s">
        <v>543</v>
      </c>
      <c r="E8">
        <v>100</v>
      </c>
      <c r="F8">
        <v>16.799999237060501</v>
      </c>
      <c r="G8">
        <v>8.0190927145873503E-2</v>
      </c>
      <c r="H8">
        <f t="shared" si="1"/>
        <v>32.512499237060503</v>
      </c>
      <c r="I8">
        <f t="shared" si="0"/>
        <v>209.50000000000003</v>
      </c>
      <c r="J8">
        <f>0.073*(4.19 * 50)</f>
        <v>15.293500000000002</v>
      </c>
      <c r="K8">
        <f>0.073*(4.19 * 50)</f>
        <v>15.293500000000002</v>
      </c>
      <c r="L8">
        <f>0.072*(4.19 * 50)</f>
        <v>15.084000000000001</v>
      </c>
      <c r="M8">
        <f>0.072*(4.19 * 50)</f>
        <v>15.084000000000001</v>
      </c>
      <c r="N8">
        <f>0.072*(4.19 * 50)</f>
        <v>15.084000000000001</v>
      </c>
      <c r="O8">
        <f>0.073*(4.19 * 50)</f>
        <v>15.293500000000002</v>
      </c>
      <c r="P8">
        <f>0.075*(4.19 * 50)</f>
        <v>15.712500000000002</v>
      </c>
      <c r="Q8">
        <f>0.077*(4.19 * 50)</f>
        <v>16.131500000000003</v>
      </c>
      <c r="R8">
        <f>0.077*(4.19 * 50)</f>
        <v>16.131500000000003</v>
      </c>
      <c r="S8">
        <f>0.075*(4.19 * 50)</f>
        <v>15.712500000000002</v>
      </c>
      <c r="T8">
        <f>0.075*(4.19 * 50)</f>
        <v>15.712500000000002</v>
      </c>
      <c r="U8">
        <f>0.072*(4.19 * 50)</f>
        <v>15.084000000000001</v>
      </c>
      <c r="V8">
        <f>0.07*(4.19 * 50)</f>
        <v>14.665000000000003</v>
      </c>
      <c r="W8">
        <f>0.07*(4.19 * 50)</f>
        <v>14.665000000000003</v>
      </c>
      <c r="X8">
        <f>0.069*(4.19 * 50)</f>
        <v>14.455500000000002</v>
      </c>
      <c r="Y8">
        <f>0.069*(4.19 * 50)</f>
        <v>14.455500000000002</v>
      </c>
      <c r="Z8">
        <f>0.07*(4.19 * 50)</f>
        <v>14.665000000000003</v>
      </c>
      <c r="AA8">
        <f>0.072*(4.19 * 50)</f>
        <v>15.084000000000001</v>
      </c>
      <c r="AB8">
        <f>0.073*(4.19 * 50)</f>
        <v>15.293500000000002</v>
      </c>
      <c r="AC8">
        <f>0.074*(4.19 * 50)</f>
        <v>15.503000000000002</v>
      </c>
      <c r="AD8">
        <f>0.075*(4.19 * 50)</f>
        <v>15.712500000000002</v>
      </c>
      <c r="AE8">
        <f>0.076*(4.19 * 50)</f>
        <v>15.922000000000002</v>
      </c>
      <c r="AF8">
        <f>0.075*(4.19 * 50)</f>
        <v>15.712500000000002</v>
      </c>
      <c r="AG8">
        <f>0.074*(4.19 * 50)</f>
        <v>15.503000000000002</v>
      </c>
    </row>
    <row r="9" spans="1:33" x14ac:dyDescent="0.3">
      <c r="A9" t="s">
        <v>52</v>
      </c>
      <c r="B9">
        <v>364517.945313</v>
      </c>
      <c r="C9">
        <v>6671668.0351560004</v>
      </c>
      <c r="D9" t="s">
        <v>540</v>
      </c>
      <c r="E9">
        <v>100</v>
      </c>
      <c r="F9">
        <v>58.666999816894503</v>
      </c>
      <c r="G9">
        <v>0.28003341201381621</v>
      </c>
      <c r="H9">
        <f t="shared" si="1"/>
        <v>113.7654998168945</v>
      </c>
      <c r="I9">
        <f t="shared" si="0"/>
        <v>209.50000000000003</v>
      </c>
      <c r="J9">
        <f>0.255*(4.19 * 50)</f>
        <v>53.422500000000007</v>
      </c>
      <c r="K9">
        <f>0.253*(4.19 * 50)</f>
        <v>53.00350000000001</v>
      </c>
      <c r="L9">
        <f>0.252*(4.19 * 50)</f>
        <v>52.794000000000004</v>
      </c>
      <c r="M9">
        <f>0.251*(4.19 * 50)</f>
        <v>52.584500000000006</v>
      </c>
      <c r="N9">
        <f>0.252*(4.19 * 50)</f>
        <v>52.794000000000004</v>
      </c>
      <c r="O9">
        <f>0.255*(4.19 * 50)</f>
        <v>53.422500000000007</v>
      </c>
      <c r="P9">
        <f>0.263*(4.19 * 50)</f>
        <v>55.098500000000008</v>
      </c>
      <c r="Q9">
        <f>0.27*(4.19 * 50)</f>
        <v>56.565000000000012</v>
      </c>
      <c r="R9">
        <f>0.267*(4.19 * 50)</f>
        <v>55.936500000000009</v>
      </c>
      <c r="S9">
        <f>0.262*(4.19 * 50)</f>
        <v>54.88900000000001</v>
      </c>
      <c r="T9">
        <f>0.261*(4.19 * 50)</f>
        <v>54.679500000000012</v>
      </c>
      <c r="U9">
        <f>0.25*(4.19 * 50)</f>
        <v>52.375000000000007</v>
      </c>
      <c r="V9">
        <f>0.246*(4.19 * 50)</f>
        <v>51.537000000000006</v>
      </c>
      <c r="W9">
        <f>0.243*(4.19 * 50)</f>
        <v>50.908500000000004</v>
      </c>
      <c r="X9">
        <f>0.242*(4.19 * 50)</f>
        <v>50.699000000000005</v>
      </c>
      <c r="Y9">
        <f>0.243*(4.19 * 50)</f>
        <v>50.908500000000004</v>
      </c>
      <c r="Z9">
        <f>0.245*(4.19 * 50)</f>
        <v>51.327500000000008</v>
      </c>
      <c r="AA9">
        <f>0.25*(4.19 * 50)</f>
        <v>52.375000000000007</v>
      </c>
      <c r="AB9">
        <f>0.253*(4.19 * 50)</f>
        <v>53.00350000000001</v>
      </c>
      <c r="AC9">
        <f>0.258*(4.19 * 50)</f>
        <v>54.051000000000009</v>
      </c>
      <c r="AD9">
        <f>0.262*(4.19 * 50)</f>
        <v>54.88900000000001</v>
      </c>
      <c r="AE9">
        <f>0.264*(4.19 * 50)</f>
        <v>55.308000000000007</v>
      </c>
      <c r="AF9">
        <f>0.262*(4.19 * 50)</f>
        <v>54.88900000000001</v>
      </c>
      <c r="AG9">
        <f>0.258*(4.19 * 50)</f>
        <v>54.051000000000009</v>
      </c>
    </row>
    <row r="10" spans="1:33" x14ac:dyDescent="0.3">
      <c r="A10" t="s">
        <v>53</v>
      </c>
      <c r="B10">
        <v>362785.101563</v>
      </c>
      <c r="C10">
        <v>6671080.1367189996</v>
      </c>
      <c r="D10" t="s">
        <v>542</v>
      </c>
      <c r="E10">
        <v>100</v>
      </c>
      <c r="F10">
        <v>83.5</v>
      </c>
      <c r="G10">
        <v>0.39856801909307871</v>
      </c>
      <c r="H10">
        <f t="shared" si="1"/>
        <v>161.85300000000001</v>
      </c>
      <c r="I10">
        <f t="shared" si="0"/>
        <v>209.50000000000003</v>
      </c>
      <c r="J10">
        <f>0.363*(4.19 * 50)</f>
        <v>76.048500000000004</v>
      </c>
      <c r="K10">
        <f>0.361*(4.19 * 50)</f>
        <v>75.629500000000007</v>
      </c>
      <c r="L10">
        <f>0.358*(4.19 * 50)</f>
        <v>75.001000000000005</v>
      </c>
      <c r="M10">
        <f>0.357*(4.19 * 50)</f>
        <v>74.791500000000013</v>
      </c>
      <c r="N10">
        <f>0.358*(4.19 * 50)</f>
        <v>75.001000000000005</v>
      </c>
      <c r="O10">
        <f>0.363*(4.19 * 50)</f>
        <v>76.048500000000004</v>
      </c>
      <c r="P10">
        <f>0.374*(4.19 * 50)</f>
        <v>78.353000000000009</v>
      </c>
      <c r="Q10">
        <f>0.384*(4.19 * 50)</f>
        <v>80.448000000000008</v>
      </c>
      <c r="R10">
        <f>0.38*(4.19 * 50)</f>
        <v>79.610000000000014</v>
      </c>
      <c r="S10">
        <f>0.372*(4.19 * 50)</f>
        <v>77.934000000000012</v>
      </c>
      <c r="T10">
        <f>0.371*(4.19 * 50)</f>
        <v>77.724500000000006</v>
      </c>
      <c r="U10">
        <f>0.355*(4.19 * 50)</f>
        <v>74.372500000000002</v>
      </c>
      <c r="V10">
        <f>0.35*(4.19 * 50)</f>
        <v>73.325000000000003</v>
      </c>
      <c r="W10">
        <f>0.346*(4.19 * 50)</f>
        <v>72.487000000000009</v>
      </c>
      <c r="X10">
        <f>0.345*(4.19 * 50)</f>
        <v>72.277500000000003</v>
      </c>
      <c r="Y10">
        <f>0.345*(4.19 * 50)</f>
        <v>72.277500000000003</v>
      </c>
      <c r="Z10">
        <f>0.349*(4.19 * 50)</f>
        <v>73.115500000000011</v>
      </c>
      <c r="AA10">
        <f>0.355*(4.19 * 50)</f>
        <v>74.372500000000002</v>
      </c>
      <c r="AB10">
        <f>0.361*(4.19 * 50)</f>
        <v>75.629500000000007</v>
      </c>
      <c r="AC10">
        <f>0.367*(4.19 * 50)</f>
        <v>76.886500000000012</v>
      </c>
      <c r="AD10">
        <f>0.373*(4.19 * 50)</f>
        <v>78.143500000000017</v>
      </c>
      <c r="AE10">
        <f>0.376*(4.19 * 50)</f>
        <v>78.772000000000006</v>
      </c>
      <c r="AF10">
        <f>0.372*(4.19 * 50)</f>
        <v>77.934000000000012</v>
      </c>
      <c r="AG10">
        <f>0.367*(4.19 * 50)</f>
        <v>76.886500000000012</v>
      </c>
    </row>
    <row r="11" spans="1:33" x14ac:dyDescent="0.3">
      <c r="A11" t="s">
        <v>54</v>
      </c>
      <c r="B11">
        <v>363316.925781</v>
      </c>
      <c r="C11">
        <v>6671833.1367189996</v>
      </c>
      <c r="D11" t="s">
        <v>542</v>
      </c>
      <c r="E11">
        <v>100</v>
      </c>
      <c r="F11">
        <v>48.099998474121001</v>
      </c>
      <c r="G11">
        <v>0.22959426479294029</v>
      </c>
      <c r="H11">
        <f t="shared" si="1"/>
        <v>93.142498474120998</v>
      </c>
      <c r="I11">
        <f t="shared" si="0"/>
        <v>209.50000000000003</v>
      </c>
      <c r="J11">
        <f>0.209*(4.19 * 50)</f>
        <v>43.785500000000006</v>
      </c>
      <c r="K11">
        <f>0.208*(4.19 * 50)</f>
        <v>43.576000000000001</v>
      </c>
      <c r="L11">
        <f>0.206*(4.19 * 50)</f>
        <v>43.157000000000004</v>
      </c>
      <c r="M11">
        <f>0.206*(4.19 * 50)</f>
        <v>43.157000000000004</v>
      </c>
      <c r="N11">
        <f>0.206*(4.19 * 50)</f>
        <v>43.157000000000004</v>
      </c>
      <c r="O11">
        <f>0.209*(4.19 * 50)</f>
        <v>43.785500000000006</v>
      </c>
      <c r="P11">
        <f>0.215*(4.19 * 50)</f>
        <v>45.042500000000004</v>
      </c>
      <c r="Q11">
        <f>0.221*(4.19 * 50)</f>
        <v>46.299500000000009</v>
      </c>
      <c r="R11">
        <f>0.219*(4.19 * 50)</f>
        <v>45.880500000000005</v>
      </c>
      <c r="S11">
        <f>0.215*(4.19 * 50)</f>
        <v>45.042500000000004</v>
      </c>
      <c r="T11">
        <f>0.214*(4.19 * 50)</f>
        <v>44.833000000000006</v>
      </c>
      <c r="U11">
        <f>0.205*(4.19 * 50)</f>
        <v>42.947500000000005</v>
      </c>
      <c r="V11">
        <f>0.202*(4.19 * 50)</f>
        <v>42.31900000000001</v>
      </c>
      <c r="W11">
        <f>0.199*(4.19 * 50)</f>
        <v>41.690500000000007</v>
      </c>
      <c r="X11">
        <f>0.198*(4.19 * 50)</f>
        <v>41.481000000000009</v>
      </c>
      <c r="Y11">
        <f>0.199*(4.19 * 50)</f>
        <v>41.690500000000007</v>
      </c>
      <c r="Z11">
        <f>0.201*(4.19 * 50)</f>
        <v>42.109500000000011</v>
      </c>
      <c r="AA11">
        <f>0.205*(4.19 * 50)</f>
        <v>42.947500000000005</v>
      </c>
      <c r="AB11">
        <f>0.208*(4.19 * 50)</f>
        <v>43.576000000000001</v>
      </c>
      <c r="AC11">
        <f>0.211*(4.19 * 50)</f>
        <v>44.204500000000003</v>
      </c>
      <c r="AD11">
        <f>0.215*(4.19 * 50)</f>
        <v>45.042500000000004</v>
      </c>
      <c r="AE11">
        <f>0.216*(4.19 * 50)</f>
        <v>45.252000000000002</v>
      </c>
      <c r="AF11">
        <f>0.215*(4.19 * 50)</f>
        <v>45.042500000000004</v>
      </c>
      <c r="AG11">
        <f>0.212*(4.19 * 50)</f>
        <v>44.414000000000001</v>
      </c>
    </row>
    <row r="12" spans="1:33" x14ac:dyDescent="0.3">
      <c r="A12" t="s">
        <v>55</v>
      </c>
      <c r="B12">
        <v>363456.78125</v>
      </c>
      <c r="C12">
        <v>6672186.5625</v>
      </c>
      <c r="D12" t="s">
        <v>541</v>
      </c>
      <c r="E12">
        <v>100</v>
      </c>
      <c r="F12">
        <v>74.233001708984304</v>
      </c>
      <c r="G12">
        <v>0.35433413703572447</v>
      </c>
      <c r="H12">
        <f t="shared" si="1"/>
        <v>143.78700170898432</v>
      </c>
      <c r="I12">
        <f t="shared" si="0"/>
        <v>209.50000000000003</v>
      </c>
      <c r="J12">
        <f>0.323*(4.19 * 50)</f>
        <v>67.668500000000009</v>
      </c>
      <c r="K12">
        <f>0.321*(4.19 * 50)</f>
        <v>67.249500000000012</v>
      </c>
      <c r="L12">
        <f>0.319*(4.19 * 50)</f>
        <v>66.830500000000015</v>
      </c>
      <c r="M12">
        <f>0.317*(4.19 * 50)</f>
        <v>66.411500000000004</v>
      </c>
      <c r="N12">
        <f>0.319*(4.19 * 50)</f>
        <v>66.830500000000015</v>
      </c>
      <c r="O12">
        <f>0.323*(4.19 * 50)</f>
        <v>67.668500000000009</v>
      </c>
      <c r="P12">
        <f>0.332*(4.19 * 50)</f>
        <v>69.554000000000016</v>
      </c>
      <c r="Q12">
        <f>0.341*(4.19 * 50)</f>
        <v>71.43950000000001</v>
      </c>
      <c r="R12">
        <f>0.338*(4.19 * 50)</f>
        <v>70.811000000000021</v>
      </c>
      <c r="S12">
        <f>0.331*(4.19 * 50)</f>
        <v>69.344500000000011</v>
      </c>
      <c r="T12">
        <f>0.33*(4.19 * 50)</f>
        <v>69.135000000000019</v>
      </c>
      <c r="U12">
        <f>0.316*(4.19 * 50)</f>
        <v>66.202000000000012</v>
      </c>
      <c r="V12">
        <f>0.311*(4.19 * 50)</f>
        <v>65.154500000000013</v>
      </c>
      <c r="W12">
        <f>0.307*(4.19 * 50)</f>
        <v>64.316500000000005</v>
      </c>
      <c r="X12">
        <f>0.306*(4.19 * 50)</f>
        <v>64.107000000000014</v>
      </c>
      <c r="Y12">
        <f>0.307*(4.19 * 50)</f>
        <v>64.316500000000005</v>
      </c>
      <c r="Z12">
        <f>0.31*(4.19 * 50)</f>
        <v>64.945000000000007</v>
      </c>
      <c r="AA12">
        <f>0.316*(4.19 * 50)</f>
        <v>66.202000000000012</v>
      </c>
      <c r="AB12">
        <f>0.321*(4.19 * 50)</f>
        <v>67.249500000000012</v>
      </c>
      <c r="AC12">
        <f>0.326*(4.19 * 50)</f>
        <v>68.297000000000011</v>
      </c>
      <c r="AD12">
        <f>0.332*(4.19 * 50)</f>
        <v>69.554000000000016</v>
      </c>
      <c r="AE12">
        <f>0.334*(4.19 * 50)</f>
        <v>69.973000000000013</v>
      </c>
      <c r="AF12">
        <f>0.331*(4.19 * 50)</f>
        <v>69.344500000000011</v>
      </c>
      <c r="AG12">
        <f>0.327*(4.19 * 50)</f>
        <v>68.506500000000017</v>
      </c>
    </row>
    <row r="13" spans="1:33" x14ac:dyDescent="0.3">
      <c r="A13" t="s">
        <v>56</v>
      </c>
      <c r="B13">
        <v>365693.136719</v>
      </c>
      <c r="C13">
        <v>6670223.4140630001</v>
      </c>
      <c r="D13" t="s">
        <v>542</v>
      </c>
      <c r="E13">
        <v>100</v>
      </c>
      <c r="F13">
        <v>97</v>
      </c>
      <c r="G13">
        <v>0.46300715990453462</v>
      </c>
      <c r="H13">
        <f t="shared" si="1"/>
        <v>187.923</v>
      </c>
      <c r="I13">
        <f t="shared" si="0"/>
        <v>209.50000000000003</v>
      </c>
      <c r="J13">
        <f>0.422*(4.19 * 50)</f>
        <v>88.409000000000006</v>
      </c>
      <c r="K13">
        <f>0.419*(4.19 * 50)</f>
        <v>87.780500000000004</v>
      </c>
      <c r="L13">
        <f>0.416*(4.19 * 50)</f>
        <v>87.152000000000001</v>
      </c>
      <c r="M13">
        <f>0.415*(4.19 * 50)</f>
        <v>86.94250000000001</v>
      </c>
      <c r="N13">
        <f>0.416*(4.19 * 50)</f>
        <v>87.152000000000001</v>
      </c>
      <c r="O13">
        <f>0.422*(4.19 * 50)</f>
        <v>88.409000000000006</v>
      </c>
      <c r="P13">
        <f>0.434*(4.19 * 50)</f>
        <v>90.923000000000016</v>
      </c>
      <c r="Q13">
        <f>0.446*(4.19 * 50)</f>
        <v>93.437000000000012</v>
      </c>
      <c r="R13">
        <f>0.442*(4.19 * 50)</f>
        <v>92.599000000000018</v>
      </c>
      <c r="S13">
        <f>0.433*(4.19 * 50)</f>
        <v>90.71350000000001</v>
      </c>
      <c r="T13">
        <f>0.431*(4.19 * 50)</f>
        <v>90.294500000000014</v>
      </c>
      <c r="U13">
        <f>0.413*(4.19 * 50)</f>
        <v>86.523500000000013</v>
      </c>
      <c r="V13">
        <f>0.407*(4.19 * 50)</f>
        <v>85.266500000000008</v>
      </c>
      <c r="W13">
        <f>0.402*(4.19 * 50)</f>
        <v>84.219000000000023</v>
      </c>
      <c r="X13">
        <f>0.4*(4.19 * 50)</f>
        <v>83.800000000000011</v>
      </c>
      <c r="Y13">
        <f>0.401*(4.19 * 50)</f>
        <v>84.009500000000017</v>
      </c>
      <c r="Z13">
        <f>0.405*(4.19 * 50)</f>
        <v>84.847500000000011</v>
      </c>
      <c r="AA13">
        <f>0.413*(4.19 * 50)</f>
        <v>86.523500000000013</v>
      </c>
      <c r="AB13">
        <f>0.419*(4.19 * 50)</f>
        <v>87.780500000000004</v>
      </c>
      <c r="AC13">
        <f>0.426*(4.19 * 50)</f>
        <v>89.247000000000014</v>
      </c>
      <c r="AD13">
        <f>0.434*(4.19 * 50)</f>
        <v>90.923000000000016</v>
      </c>
      <c r="AE13">
        <f>0.437*(4.19 * 50)</f>
        <v>91.551500000000019</v>
      </c>
      <c r="AF13">
        <f>0.433*(4.19 * 50)</f>
        <v>90.71350000000001</v>
      </c>
      <c r="AG13">
        <f>0.427*(4.19 * 50)</f>
        <v>89.456500000000005</v>
      </c>
    </row>
    <row r="14" spans="1:33" x14ac:dyDescent="0.3">
      <c r="A14" t="s">
        <v>57</v>
      </c>
      <c r="B14">
        <v>365639.296875</v>
      </c>
      <c r="C14">
        <v>6670175.3242189996</v>
      </c>
      <c r="D14" t="s">
        <v>542</v>
      </c>
      <c r="E14">
        <v>100</v>
      </c>
      <c r="F14">
        <v>85.432998657226506</v>
      </c>
      <c r="G14">
        <v>0.40779474299392121</v>
      </c>
      <c r="H14">
        <f t="shared" si="1"/>
        <v>165.67149865722652</v>
      </c>
      <c r="I14">
        <f t="shared" si="0"/>
        <v>209.50000000000003</v>
      </c>
      <c r="J14">
        <f>0.372*(4.19 * 50)</f>
        <v>77.934000000000012</v>
      </c>
      <c r="K14">
        <f>0.369*(4.19 * 50)</f>
        <v>77.305500000000009</v>
      </c>
      <c r="L14">
        <f>0.367*(4.19 * 50)</f>
        <v>76.886500000000012</v>
      </c>
      <c r="M14">
        <f>0.365*(4.19 * 50)</f>
        <v>76.467500000000015</v>
      </c>
      <c r="N14">
        <f>0.367*(4.19 * 50)</f>
        <v>76.886500000000012</v>
      </c>
      <c r="O14">
        <f>0.371*(4.19 * 50)</f>
        <v>77.724500000000006</v>
      </c>
      <c r="P14">
        <f>0.383*(4.19 * 50)</f>
        <v>80.238500000000016</v>
      </c>
      <c r="Q14">
        <f>0.393*(4.19 * 50)</f>
        <v>82.333500000000015</v>
      </c>
      <c r="R14">
        <f>0.389*(4.19 * 50)</f>
        <v>81.495500000000007</v>
      </c>
      <c r="S14">
        <f>0.381*(4.19 * 50)</f>
        <v>79.819500000000005</v>
      </c>
      <c r="T14">
        <f>0.38*(4.19 * 50)</f>
        <v>79.610000000000014</v>
      </c>
      <c r="U14">
        <f>0.364*(4.19 * 50)</f>
        <v>76.25800000000001</v>
      </c>
      <c r="V14">
        <f>0.358*(4.19 * 50)</f>
        <v>75.001000000000005</v>
      </c>
      <c r="W14">
        <f>0.354*(4.19 * 50)</f>
        <v>74.163000000000011</v>
      </c>
      <c r="X14">
        <f>0.353*(4.19 * 50)</f>
        <v>73.953500000000005</v>
      </c>
      <c r="Y14">
        <f>0.353*(4.19 * 50)</f>
        <v>73.953500000000005</v>
      </c>
      <c r="Z14">
        <f>0.357*(4.19 * 50)</f>
        <v>74.791500000000013</v>
      </c>
      <c r="AA14">
        <f>0.364*(4.19 * 50)</f>
        <v>76.25800000000001</v>
      </c>
      <c r="AB14">
        <f>0.369*(4.19 * 50)</f>
        <v>77.305500000000009</v>
      </c>
      <c r="AC14">
        <f>0.376*(4.19 * 50)</f>
        <v>78.772000000000006</v>
      </c>
      <c r="AD14">
        <f>0.382*(4.19 * 50)</f>
        <v>80.029000000000011</v>
      </c>
      <c r="AE14">
        <f>0.384*(4.19 * 50)</f>
        <v>80.448000000000008</v>
      </c>
      <c r="AF14">
        <f>0.381*(4.19 * 50)</f>
        <v>79.819500000000005</v>
      </c>
      <c r="AG14">
        <f>0.376*(4.19 * 50)</f>
        <v>78.772000000000006</v>
      </c>
    </row>
    <row r="15" spans="1:33" x14ac:dyDescent="0.3">
      <c r="A15" t="s">
        <v>58</v>
      </c>
      <c r="B15">
        <v>364418.613281</v>
      </c>
      <c r="C15">
        <v>6671739.3632810004</v>
      </c>
      <c r="D15" t="s">
        <v>541</v>
      </c>
      <c r="E15">
        <v>100</v>
      </c>
      <c r="F15">
        <v>75.467002868652301</v>
      </c>
      <c r="G15">
        <v>0.36022435736826869</v>
      </c>
      <c r="H15">
        <f t="shared" si="1"/>
        <v>146.27800286865232</v>
      </c>
      <c r="I15">
        <f t="shared" si="0"/>
        <v>209.50000000000003</v>
      </c>
      <c r="J15">
        <f>0.328*(4.19 * 50)</f>
        <v>68.716000000000008</v>
      </c>
      <c r="K15">
        <f>0.326*(4.19 * 50)</f>
        <v>68.297000000000011</v>
      </c>
      <c r="L15">
        <f>0.324*(4.19 * 50)</f>
        <v>67.878000000000014</v>
      </c>
      <c r="M15">
        <f>0.323*(4.19 * 50)</f>
        <v>67.668500000000009</v>
      </c>
      <c r="N15">
        <f>0.324*(4.19 * 50)</f>
        <v>67.878000000000014</v>
      </c>
      <c r="O15">
        <f>0.328*(4.19 * 50)</f>
        <v>68.716000000000008</v>
      </c>
      <c r="P15">
        <f>0.338*(4.19 * 50)</f>
        <v>70.811000000000021</v>
      </c>
      <c r="Q15">
        <f>0.347*(4.19 * 50)</f>
        <v>72.6965</v>
      </c>
      <c r="R15">
        <f>0.344*(4.19 * 50)</f>
        <v>72.067999999999998</v>
      </c>
      <c r="S15">
        <f>0.337*(4.19 * 50)</f>
        <v>70.601500000000016</v>
      </c>
      <c r="T15">
        <f>0.335*(4.19 * 50)</f>
        <v>70.182500000000019</v>
      </c>
      <c r="U15">
        <f>0.321*(4.19 * 50)</f>
        <v>67.249500000000012</v>
      </c>
      <c r="V15">
        <f>0.317*(4.19 * 50)</f>
        <v>66.411500000000004</v>
      </c>
      <c r="W15">
        <f>0.312*(4.19 * 50)</f>
        <v>65.364000000000004</v>
      </c>
      <c r="X15">
        <f>0.311*(4.19 * 50)</f>
        <v>65.154500000000013</v>
      </c>
      <c r="Y15">
        <f>0.312*(4.19 * 50)</f>
        <v>65.364000000000004</v>
      </c>
      <c r="Z15">
        <f>0.315*(4.19 * 50)</f>
        <v>65.992500000000007</v>
      </c>
      <c r="AA15">
        <f>0.321*(4.19 * 50)</f>
        <v>67.249500000000012</v>
      </c>
      <c r="AB15">
        <f>0.326*(4.19 * 50)</f>
        <v>68.297000000000011</v>
      </c>
      <c r="AC15">
        <f>0.332*(4.19 * 50)</f>
        <v>69.554000000000016</v>
      </c>
      <c r="AD15">
        <f>0.337*(4.19 * 50)</f>
        <v>70.601500000000016</v>
      </c>
      <c r="AE15">
        <f>0.34*(4.19 * 50)</f>
        <v>71.230000000000018</v>
      </c>
      <c r="AF15">
        <f>0.337*(4.19 * 50)</f>
        <v>70.601500000000016</v>
      </c>
      <c r="AG15">
        <f>0.332*(4.19 * 50)</f>
        <v>69.554000000000016</v>
      </c>
    </row>
    <row r="16" spans="1:33" x14ac:dyDescent="0.3">
      <c r="A16" t="s">
        <v>59</v>
      </c>
      <c r="B16">
        <v>364417.324219</v>
      </c>
      <c r="C16">
        <v>6671738.7617189996</v>
      </c>
      <c r="D16" t="s">
        <v>541</v>
      </c>
      <c r="E16">
        <v>100</v>
      </c>
      <c r="F16">
        <v>91.5</v>
      </c>
      <c r="G16">
        <v>0.43675417661097848</v>
      </c>
      <c r="H16">
        <f t="shared" si="1"/>
        <v>177.39500000000001</v>
      </c>
      <c r="I16">
        <f t="shared" si="0"/>
        <v>209.50000000000003</v>
      </c>
      <c r="J16">
        <f>0.398*(4.19 * 50)</f>
        <v>83.381000000000014</v>
      </c>
      <c r="K16">
        <f>0.395*(4.19 * 50)</f>
        <v>82.752500000000012</v>
      </c>
      <c r="L16">
        <f>0.393*(4.19 * 50)</f>
        <v>82.333500000000015</v>
      </c>
      <c r="M16">
        <f>0.391*(4.19 * 50)</f>
        <v>81.914500000000018</v>
      </c>
      <c r="N16">
        <f>0.393*(4.19 * 50)</f>
        <v>82.333500000000015</v>
      </c>
      <c r="O16">
        <f>0.398*(4.19 * 50)</f>
        <v>83.381000000000014</v>
      </c>
      <c r="P16">
        <f>0.41*(4.19 * 50)</f>
        <v>85.89500000000001</v>
      </c>
      <c r="Q16">
        <f>0.42*(4.19 * 50)</f>
        <v>87.990000000000009</v>
      </c>
      <c r="R16">
        <f>0.417*(4.19 * 50)</f>
        <v>87.361500000000007</v>
      </c>
      <c r="S16">
        <f>0.408*(4.19 * 50)</f>
        <v>85.475999999999999</v>
      </c>
      <c r="T16">
        <f>0.407*(4.19 * 50)</f>
        <v>85.266500000000008</v>
      </c>
      <c r="U16">
        <f>0.389*(4.19 * 50)</f>
        <v>81.495500000000007</v>
      </c>
      <c r="V16">
        <f>0.384*(4.19 * 50)</f>
        <v>80.448000000000008</v>
      </c>
      <c r="W16">
        <f>0.379*(4.19 * 50)</f>
        <v>79.400500000000008</v>
      </c>
      <c r="X16">
        <f>0.378*(4.19 * 50)</f>
        <v>79.191000000000017</v>
      </c>
      <c r="Y16">
        <f>0.378*(4.19 * 50)</f>
        <v>79.191000000000017</v>
      </c>
      <c r="Z16">
        <f>0.382*(4.19 * 50)</f>
        <v>80.029000000000011</v>
      </c>
      <c r="AA16">
        <f>0.389*(4.19 * 50)</f>
        <v>81.495500000000007</v>
      </c>
      <c r="AB16">
        <f>0.395*(4.19 * 50)</f>
        <v>82.752500000000012</v>
      </c>
      <c r="AC16">
        <f>0.402*(4.19 * 50)</f>
        <v>84.219000000000023</v>
      </c>
      <c r="AD16">
        <f>0.409*(4.19 * 50)</f>
        <v>85.685500000000005</v>
      </c>
      <c r="AE16">
        <f>0.412*(4.19 * 50)</f>
        <v>86.314000000000007</v>
      </c>
      <c r="AF16">
        <f>0.408*(4.19 * 50)</f>
        <v>85.475999999999999</v>
      </c>
      <c r="AG16">
        <f>0.403*(4.19 * 50)</f>
        <v>84.428500000000014</v>
      </c>
    </row>
    <row r="17" spans="1:33" x14ac:dyDescent="0.3">
      <c r="A17" t="s">
        <v>60</v>
      </c>
      <c r="B17">
        <v>356782.054688</v>
      </c>
      <c r="C17">
        <v>6667995.15625</v>
      </c>
      <c r="D17" t="s">
        <v>540</v>
      </c>
      <c r="E17">
        <v>100</v>
      </c>
      <c r="F17">
        <v>14</v>
      </c>
      <c r="G17">
        <v>6.6825775656324568E-2</v>
      </c>
      <c r="H17">
        <f t="shared" si="1"/>
        <v>27.198500000000003</v>
      </c>
      <c r="I17">
        <f t="shared" si="0"/>
        <v>209.50000000000003</v>
      </c>
      <c r="J17">
        <f>0.061*(4.19 * 50)</f>
        <v>12.779500000000002</v>
      </c>
      <c r="K17">
        <f>0.06*(4.19 * 50)</f>
        <v>12.570000000000002</v>
      </c>
      <c r="L17">
        <f>0.06*(4.19 * 50)</f>
        <v>12.570000000000002</v>
      </c>
      <c r="M17">
        <f>0.06*(4.19 * 50)</f>
        <v>12.570000000000002</v>
      </c>
      <c r="N17">
        <f>0.06*(4.19 * 50)</f>
        <v>12.570000000000002</v>
      </c>
      <c r="O17">
        <f>0.061*(4.19 * 50)</f>
        <v>12.779500000000002</v>
      </c>
      <c r="P17">
        <f>0.063*(4.19 * 50)</f>
        <v>13.198500000000001</v>
      </c>
      <c r="Q17">
        <f>0.064*(4.19 * 50)</f>
        <v>13.408000000000001</v>
      </c>
      <c r="R17">
        <f>0.064*(4.19 * 50)</f>
        <v>13.408000000000001</v>
      </c>
      <c r="S17">
        <f>0.062*(4.19 * 50)</f>
        <v>12.989000000000003</v>
      </c>
      <c r="T17">
        <f>0.062*(4.19 * 50)</f>
        <v>12.989000000000003</v>
      </c>
      <c r="U17">
        <f>0.06*(4.19 * 50)</f>
        <v>12.570000000000002</v>
      </c>
      <c r="V17">
        <f>0.059*(4.19 * 50)</f>
        <v>12.360500000000002</v>
      </c>
      <c r="W17">
        <f>0.058*(4.19 * 50)</f>
        <v>12.151000000000002</v>
      </c>
      <c r="X17">
        <f>0.058*(4.19 * 50)</f>
        <v>12.151000000000002</v>
      </c>
      <c r="Y17">
        <f>0.058*(4.19 * 50)</f>
        <v>12.151000000000002</v>
      </c>
      <c r="Z17">
        <f>0.059*(4.19 * 50)</f>
        <v>12.360500000000002</v>
      </c>
      <c r="AA17">
        <f>0.06*(4.19 * 50)</f>
        <v>12.570000000000002</v>
      </c>
      <c r="AB17">
        <f>0.06*(4.19 * 50)</f>
        <v>12.570000000000002</v>
      </c>
      <c r="AC17">
        <f>0.062*(4.19 * 50)</f>
        <v>12.989000000000003</v>
      </c>
      <c r="AD17">
        <f>0.063*(4.19 * 50)</f>
        <v>13.198500000000001</v>
      </c>
      <c r="AE17">
        <f>0.063*(4.19 * 50)</f>
        <v>13.198500000000001</v>
      </c>
      <c r="AF17">
        <f>0.062*(4.19 * 50)</f>
        <v>12.989000000000003</v>
      </c>
      <c r="AG17">
        <f>0.062*(4.19 * 50)</f>
        <v>12.989000000000003</v>
      </c>
    </row>
    <row r="18" spans="1:33" x14ac:dyDescent="0.3">
      <c r="A18" t="s">
        <v>61</v>
      </c>
      <c r="B18">
        <v>363239.128906</v>
      </c>
      <c r="C18">
        <v>6671913.65625</v>
      </c>
      <c r="D18" t="s">
        <v>542</v>
      </c>
      <c r="E18">
        <v>100</v>
      </c>
      <c r="F18">
        <v>94.567001342773395</v>
      </c>
      <c r="G18">
        <v>0.45139380115882283</v>
      </c>
      <c r="H18">
        <f t="shared" si="1"/>
        <v>183.39500134277341</v>
      </c>
      <c r="I18">
        <f t="shared" si="0"/>
        <v>209.50000000000003</v>
      </c>
      <c r="J18">
        <f>0.412*(4.19 * 50)</f>
        <v>86.314000000000007</v>
      </c>
      <c r="K18">
        <f>0.408*(4.19 * 50)</f>
        <v>85.475999999999999</v>
      </c>
      <c r="L18">
        <f>0.406*(4.19 * 50)</f>
        <v>85.057000000000016</v>
      </c>
      <c r="M18">
        <f>0.404*(4.19 * 50)</f>
        <v>84.638000000000019</v>
      </c>
      <c r="N18">
        <f>0.406*(4.19 * 50)</f>
        <v>85.057000000000016</v>
      </c>
      <c r="O18">
        <f>0.411*(4.19 * 50)</f>
        <v>86.104500000000002</v>
      </c>
      <c r="P18">
        <f>0.424*(4.19 * 50)</f>
        <v>88.828000000000003</v>
      </c>
      <c r="Q18">
        <f>0.435*(4.19 * 50)</f>
        <v>91.132500000000007</v>
      </c>
      <c r="R18">
        <f>0.431*(4.19 * 50)</f>
        <v>90.294500000000014</v>
      </c>
      <c r="S18">
        <f>0.422*(4.19 * 50)</f>
        <v>88.409000000000006</v>
      </c>
      <c r="T18">
        <f>0.42*(4.19 * 50)</f>
        <v>87.990000000000009</v>
      </c>
      <c r="U18">
        <f>0.403*(4.19 * 50)</f>
        <v>84.428500000000014</v>
      </c>
      <c r="V18">
        <f>0.397*(4.19 * 50)</f>
        <v>83.171500000000009</v>
      </c>
      <c r="W18">
        <f>0.391*(4.19 * 50)</f>
        <v>81.914500000000018</v>
      </c>
      <c r="X18">
        <f>0.39*(4.19 * 50)</f>
        <v>81.705000000000013</v>
      </c>
      <c r="Y18">
        <f>0.391*(4.19 * 50)</f>
        <v>81.914500000000018</v>
      </c>
      <c r="Z18">
        <f>0.395*(4.19 * 50)</f>
        <v>82.752500000000012</v>
      </c>
      <c r="AA18">
        <f>0.403*(4.19 * 50)</f>
        <v>84.428500000000014</v>
      </c>
      <c r="AB18">
        <f>0.408*(4.19 * 50)</f>
        <v>85.475999999999999</v>
      </c>
      <c r="AC18">
        <f>0.416*(4.19 * 50)</f>
        <v>87.152000000000001</v>
      </c>
      <c r="AD18">
        <f>0.423*(4.19 * 50)</f>
        <v>88.618500000000012</v>
      </c>
      <c r="AE18">
        <f>0.426*(4.19 * 50)</f>
        <v>89.247000000000014</v>
      </c>
      <c r="AF18">
        <f>0.422*(4.19 * 50)</f>
        <v>88.409000000000006</v>
      </c>
      <c r="AG18">
        <f>0.416*(4.19 * 50)</f>
        <v>87.152000000000001</v>
      </c>
    </row>
    <row r="19" spans="1:33" x14ac:dyDescent="0.3">
      <c r="A19" t="s">
        <v>62</v>
      </c>
      <c r="B19">
        <v>362780.175781</v>
      </c>
      <c r="C19">
        <v>6670984.9765630001</v>
      </c>
      <c r="D19" t="s">
        <v>542</v>
      </c>
      <c r="E19">
        <v>100</v>
      </c>
      <c r="F19">
        <v>56.932998657226499</v>
      </c>
      <c r="G19">
        <v>0.27175655683640332</v>
      </c>
      <c r="H19">
        <f t="shared" si="1"/>
        <v>110.35549865722651</v>
      </c>
      <c r="I19">
        <f t="shared" si="0"/>
        <v>209.50000000000003</v>
      </c>
      <c r="J19">
        <f>0.248*(4.19 * 50)</f>
        <v>51.95600000000001</v>
      </c>
      <c r="K19">
        <f>0.246*(4.19 * 50)</f>
        <v>51.537000000000006</v>
      </c>
      <c r="L19">
        <f>0.244*(4.19 * 50)</f>
        <v>51.118000000000009</v>
      </c>
      <c r="M19">
        <f>0.243*(4.19 * 50)</f>
        <v>50.908500000000004</v>
      </c>
      <c r="N19">
        <f>0.244*(4.19 * 50)</f>
        <v>51.118000000000009</v>
      </c>
      <c r="O19">
        <f>0.248*(4.19 * 50)</f>
        <v>51.95600000000001</v>
      </c>
      <c r="P19">
        <f>0.255*(4.19 * 50)</f>
        <v>53.422500000000007</v>
      </c>
      <c r="Q19">
        <f>0.262*(4.19 * 50)</f>
        <v>54.88900000000001</v>
      </c>
      <c r="R19">
        <f>0.259*(4.19 * 50)</f>
        <v>54.260500000000008</v>
      </c>
      <c r="S19">
        <f>0.254*(4.19 * 50)</f>
        <v>53.213000000000008</v>
      </c>
      <c r="T19">
        <f>0.253*(4.19 * 50)</f>
        <v>53.00350000000001</v>
      </c>
      <c r="U19">
        <f>0.242*(4.19 * 50)</f>
        <v>50.699000000000005</v>
      </c>
      <c r="V19">
        <f>0.239*(4.19 * 50)</f>
        <v>50.070500000000003</v>
      </c>
      <c r="W19">
        <f>0.236*(4.19 * 50)</f>
        <v>49.442000000000007</v>
      </c>
      <c r="X19">
        <f>0.235*(4.19 * 50)</f>
        <v>49.232500000000002</v>
      </c>
      <c r="Y19">
        <f>0.235*(4.19 * 50)</f>
        <v>49.232500000000002</v>
      </c>
      <c r="Z19">
        <f>0.238*(4.19 * 50)</f>
        <v>49.861000000000004</v>
      </c>
      <c r="AA19">
        <f>0.242*(4.19 * 50)</f>
        <v>50.699000000000005</v>
      </c>
      <c r="AB19">
        <f>0.246*(4.19 * 50)</f>
        <v>51.537000000000006</v>
      </c>
      <c r="AC19">
        <f>0.25*(4.19 * 50)</f>
        <v>52.375000000000007</v>
      </c>
      <c r="AD19">
        <f>0.254*(4.19 * 50)</f>
        <v>53.213000000000008</v>
      </c>
      <c r="AE19">
        <f>0.256*(4.19 * 50)</f>
        <v>53.632000000000005</v>
      </c>
      <c r="AF19">
        <f>0.254*(4.19 * 50)</f>
        <v>53.213000000000008</v>
      </c>
      <c r="AG19">
        <f>0.251*(4.19 * 50)</f>
        <v>52.584500000000006</v>
      </c>
    </row>
    <row r="20" spans="1:33" x14ac:dyDescent="0.3">
      <c r="A20" t="s">
        <v>63</v>
      </c>
      <c r="B20">
        <v>362741.058594</v>
      </c>
      <c r="C20">
        <v>6671054.9101560004</v>
      </c>
      <c r="D20" t="s">
        <v>541</v>
      </c>
      <c r="E20">
        <v>100</v>
      </c>
      <c r="F20">
        <v>29.299999237060501</v>
      </c>
      <c r="G20">
        <v>0.1398567982675919</v>
      </c>
      <c r="H20">
        <f t="shared" si="1"/>
        <v>56.744499237060509</v>
      </c>
      <c r="I20">
        <f t="shared" si="0"/>
        <v>209.50000000000003</v>
      </c>
      <c r="J20">
        <f>0.128*(4.19 * 50)</f>
        <v>26.816000000000003</v>
      </c>
      <c r="K20">
        <f>0.127*(4.19 * 50)</f>
        <v>26.606500000000004</v>
      </c>
      <c r="L20">
        <f>0.126*(4.19 * 50)</f>
        <v>26.397000000000002</v>
      </c>
      <c r="M20">
        <f>0.125*(4.19 * 50)</f>
        <v>26.187500000000004</v>
      </c>
      <c r="N20">
        <f>0.126*(4.19 * 50)</f>
        <v>26.397000000000002</v>
      </c>
      <c r="O20">
        <f>0.127*(4.19 * 50)</f>
        <v>26.606500000000004</v>
      </c>
      <c r="P20">
        <f>0.131*(4.19 * 50)</f>
        <v>27.444500000000005</v>
      </c>
      <c r="Q20">
        <f>0.135*(4.19 * 50)</f>
        <v>28.282500000000006</v>
      </c>
      <c r="R20">
        <f>0.134*(4.19 * 50)</f>
        <v>28.073000000000004</v>
      </c>
      <c r="S20">
        <f>0.131*(4.19 * 50)</f>
        <v>27.444500000000005</v>
      </c>
      <c r="T20">
        <f>0.13*(4.19 * 50)</f>
        <v>27.235000000000003</v>
      </c>
      <c r="U20">
        <f>0.125*(4.19 * 50)</f>
        <v>26.187500000000004</v>
      </c>
      <c r="V20">
        <f>0.123*(4.19 * 50)</f>
        <v>25.768500000000003</v>
      </c>
      <c r="W20">
        <f>0.121*(4.19 * 50)</f>
        <v>25.349500000000003</v>
      </c>
      <c r="X20">
        <f>0.121*(4.19 * 50)</f>
        <v>25.349500000000003</v>
      </c>
      <c r="Y20">
        <f>0.121*(4.19 * 50)</f>
        <v>25.349500000000003</v>
      </c>
      <c r="Z20">
        <f>0.122*(4.19 * 50)</f>
        <v>25.559000000000005</v>
      </c>
      <c r="AA20">
        <f>0.125*(4.19 * 50)</f>
        <v>26.187500000000004</v>
      </c>
      <c r="AB20">
        <f>0.127*(4.19 * 50)</f>
        <v>26.606500000000004</v>
      </c>
      <c r="AC20">
        <f>0.129*(4.19 * 50)</f>
        <v>27.025500000000005</v>
      </c>
      <c r="AD20">
        <f>0.131*(4.19 * 50)</f>
        <v>27.444500000000005</v>
      </c>
      <c r="AE20">
        <f>0.132*(4.19 * 50)</f>
        <v>27.654000000000003</v>
      </c>
      <c r="AF20">
        <f>0.131*(4.19 * 50)</f>
        <v>27.444500000000005</v>
      </c>
      <c r="AG20">
        <f>0.129*(4.19 * 50)</f>
        <v>27.025500000000005</v>
      </c>
    </row>
    <row r="21" spans="1:33" x14ac:dyDescent="0.3">
      <c r="A21" t="s">
        <v>64</v>
      </c>
      <c r="B21">
        <v>362739.609375</v>
      </c>
      <c r="C21">
        <v>6671054.5859380001</v>
      </c>
      <c r="D21" t="s">
        <v>541</v>
      </c>
      <c r="E21">
        <v>100</v>
      </c>
      <c r="F21">
        <v>40.333000183105398</v>
      </c>
      <c r="G21">
        <v>0.1925202872701928</v>
      </c>
      <c r="H21">
        <f t="shared" si="1"/>
        <v>78.252500183105411</v>
      </c>
      <c r="I21">
        <f t="shared" si="0"/>
        <v>209.50000000000003</v>
      </c>
      <c r="J21">
        <f>0.176*(4.19 * 50)</f>
        <v>36.872</v>
      </c>
      <c r="K21">
        <f>0.174*(4.19 * 50)</f>
        <v>36.453000000000003</v>
      </c>
      <c r="L21">
        <f>0.173*(4.19 * 50)</f>
        <v>36.243500000000004</v>
      </c>
      <c r="M21">
        <f>0.172*(4.19 * 50)</f>
        <v>36.033999999999999</v>
      </c>
      <c r="N21">
        <f>0.173*(4.19 * 50)</f>
        <v>36.243500000000004</v>
      </c>
      <c r="O21">
        <f>0.175*(4.19 * 50)</f>
        <v>36.662500000000001</v>
      </c>
      <c r="P21">
        <f>0.181*(4.19 * 50)</f>
        <v>37.919500000000006</v>
      </c>
      <c r="Q21">
        <f>0.185*(4.19 * 50)</f>
        <v>38.757500000000007</v>
      </c>
      <c r="R21">
        <f>0.184*(4.19 * 50)</f>
        <v>38.548000000000002</v>
      </c>
      <c r="S21">
        <f>0.18*(4.19 * 50)</f>
        <v>37.71</v>
      </c>
      <c r="T21">
        <f>0.179*(4.19 * 50)</f>
        <v>37.500500000000002</v>
      </c>
      <c r="U21">
        <f>0.172*(4.19 * 50)</f>
        <v>36.033999999999999</v>
      </c>
      <c r="V21">
        <f>0.169*(4.19 * 50)</f>
        <v>35.405500000000011</v>
      </c>
      <c r="W21">
        <f>0.167*(4.19 * 50)</f>
        <v>34.986500000000007</v>
      </c>
      <c r="X21">
        <f>0.166*(4.19 * 50)</f>
        <v>34.777000000000008</v>
      </c>
      <c r="Y21">
        <f>0.167*(4.19 * 50)</f>
        <v>34.986500000000007</v>
      </c>
      <c r="Z21">
        <f>0.169*(4.19 * 50)</f>
        <v>35.405500000000011</v>
      </c>
      <c r="AA21">
        <f>0.172*(4.19 * 50)</f>
        <v>36.033999999999999</v>
      </c>
      <c r="AB21">
        <f>0.174*(4.19 * 50)</f>
        <v>36.453000000000003</v>
      </c>
      <c r="AC21">
        <f>0.177*(4.19 * 50)</f>
        <v>37.081500000000005</v>
      </c>
      <c r="AD21">
        <f>0.18*(4.19 * 50)</f>
        <v>37.71</v>
      </c>
      <c r="AE21">
        <f>0.182*(4.19 * 50)</f>
        <v>38.129000000000005</v>
      </c>
      <c r="AF21">
        <f>0.18*(4.19 * 50)</f>
        <v>37.71</v>
      </c>
      <c r="AG21">
        <f>0.177*(4.19 * 50)</f>
        <v>37.081500000000005</v>
      </c>
    </row>
    <row r="22" spans="1:33" x14ac:dyDescent="0.3">
      <c r="A22" t="s">
        <v>65</v>
      </c>
      <c r="B22">
        <v>363145.933594</v>
      </c>
      <c r="C22">
        <v>6672008.9296880001</v>
      </c>
      <c r="D22" t="s">
        <v>540</v>
      </c>
      <c r="E22">
        <v>100</v>
      </c>
      <c r="F22">
        <v>7</v>
      </c>
      <c r="G22">
        <v>3.3412887828162277E-2</v>
      </c>
      <c r="H22">
        <f t="shared" si="1"/>
        <v>13.494500000000002</v>
      </c>
      <c r="I22">
        <f t="shared" si="0"/>
        <v>209.50000000000003</v>
      </c>
      <c r="J22">
        <f>0.03*(4.19 * 50)</f>
        <v>6.285000000000001</v>
      </c>
      <c r="K22">
        <f>0.03*(4.19 * 50)</f>
        <v>6.285000000000001</v>
      </c>
      <c r="L22">
        <f>0.03*(4.19 * 50)</f>
        <v>6.285000000000001</v>
      </c>
      <c r="M22">
        <f>0.03*(4.19 * 50)</f>
        <v>6.285000000000001</v>
      </c>
      <c r="N22">
        <f>0.03*(4.19 * 50)</f>
        <v>6.285000000000001</v>
      </c>
      <c r="O22">
        <f>0.03*(4.19 * 50)</f>
        <v>6.285000000000001</v>
      </c>
      <c r="P22">
        <f>0.031*(4.19 * 50)</f>
        <v>6.4945000000000013</v>
      </c>
      <c r="Q22">
        <f>0.032*(4.19 * 50)</f>
        <v>6.7040000000000006</v>
      </c>
      <c r="R22">
        <f>0.032*(4.19 * 50)</f>
        <v>6.7040000000000006</v>
      </c>
      <c r="S22">
        <f>0.031*(4.19 * 50)</f>
        <v>6.4945000000000013</v>
      </c>
      <c r="T22">
        <f>0.031*(4.19 * 50)</f>
        <v>6.4945000000000013</v>
      </c>
      <c r="U22">
        <f>0.03*(4.19 * 50)</f>
        <v>6.285000000000001</v>
      </c>
      <c r="V22">
        <f>0.029*(4.19 * 50)</f>
        <v>6.0755000000000008</v>
      </c>
      <c r="W22">
        <f>0.029*(4.19 * 50)</f>
        <v>6.0755000000000008</v>
      </c>
      <c r="X22">
        <f>0.029*(4.19 * 50)</f>
        <v>6.0755000000000008</v>
      </c>
      <c r="Y22">
        <f>0.029*(4.19 * 50)</f>
        <v>6.0755000000000008</v>
      </c>
      <c r="Z22">
        <f>0.029*(4.19 * 50)</f>
        <v>6.0755000000000008</v>
      </c>
      <c r="AA22">
        <f>0.03*(4.19 * 50)</f>
        <v>6.285000000000001</v>
      </c>
      <c r="AB22">
        <f>0.03*(4.19 * 50)</f>
        <v>6.285000000000001</v>
      </c>
      <c r="AC22">
        <f>0.031*(4.19 * 50)</f>
        <v>6.4945000000000013</v>
      </c>
      <c r="AD22">
        <f>0.031*(4.19 * 50)</f>
        <v>6.4945000000000013</v>
      </c>
      <c r="AE22">
        <f>0.032*(4.19 * 50)</f>
        <v>6.7040000000000006</v>
      </c>
      <c r="AF22">
        <f>0.031*(4.19 * 50)</f>
        <v>6.4945000000000013</v>
      </c>
      <c r="AG22">
        <f>0.031*(4.19 * 50)</f>
        <v>6.4945000000000013</v>
      </c>
    </row>
    <row r="23" spans="1:33" x14ac:dyDescent="0.3">
      <c r="A23" t="s">
        <v>66</v>
      </c>
      <c r="B23">
        <v>357952.671875</v>
      </c>
      <c r="C23">
        <v>6668109.0351560004</v>
      </c>
      <c r="D23" t="s">
        <v>544</v>
      </c>
      <c r="E23">
        <v>100</v>
      </c>
      <c r="F23">
        <v>716.6669921875</v>
      </c>
      <c r="G23">
        <v>3.420844831443913</v>
      </c>
      <c r="H23">
        <f t="shared" si="1"/>
        <v>1388.9524921875</v>
      </c>
      <c r="I23">
        <f t="shared" si="0"/>
        <v>209.50000000000003</v>
      </c>
      <c r="J23">
        <f>3.119*(4.19 * 50)</f>
        <v>653.43050000000017</v>
      </c>
      <c r="K23">
        <f>3.094*(4.19 * 50)</f>
        <v>648.1930000000001</v>
      </c>
      <c r="L23">
        <f>3.076*(4.19 * 50)</f>
        <v>644.42200000000014</v>
      </c>
      <c r="M23">
        <f>3.063*(4.19 * 50)</f>
        <v>641.69850000000008</v>
      </c>
      <c r="N23">
        <f>3.076*(4.19 * 50)</f>
        <v>644.42200000000014</v>
      </c>
      <c r="O23">
        <f>3.116*(4.19 * 50)</f>
        <v>652.80200000000013</v>
      </c>
      <c r="P23">
        <f>3.209*(4.19 * 50)</f>
        <v>672.28550000000007</v>
      </c>
      <c r="Q23">
        <f>3.294*(4.19 * 50)</f>
        <v>690.09300000000007</v>
      </c>
      <c r="R23">
        <f>3.266*(4.19 * 50)</f>
        <v>684.22700000000009</v>
      </c>
      <c r="S23">
        <f>3.197*(4.19 * 50)</f>
        <v>669.77150000000006</v>
      </c>
      <c r="T23">
        <f>3.185*(4.19 * 50)</f>
        <v>667.25750000000005</v>
      </c>
      <c r="U23">
        <f>3.051*(4.19 * 50)</f>
        <v>639.18450000000007</v>
      </c>
      <c r="V23">
        <f>3.007*(4.19 * 50)</f>
        <v>629.96650000000011</v>
      </c>
      <c r="W23">
        <f>2.967*(4.19 * 50)</f>
        <v>621.58650000000011</v>
      </c>
      <c r="X23">
        <f>2.957*(4.19 * 50)</f>
        <v>619.49150000000009</v>
      </c>
      <c r="Y23">
        <f>2.964*(4.19 * 50)</f>
        <v>620.95800000000008</v>
      </c>
      <c r="Z23">
        <f>2.995*(4.19 * 50)</f>
        <v>627.4525000000001</v>
      </c>
      <c r="AA23">
        <f>3.051*(4.19 * 50)</f>
        <v>639.18450000000007</v>
      </c>
      <c r="AB23">
        <f>3.094*(4.19 * 50)</f>
        <v>648.1930000000001</v>
      </c>
      <c r="AC23">
        <f>3.15*(4.19 * 50)</f>
        <v>659.92500000000007</v>
      </c>
      <c r="AD23">
        <f>3.203*(4.19 * 50)</f>
        <v>671.02850000000001</v>
      </c>
      <c r="AE23">
        <f>3.225*(4.19 * 50)</f>
        <v>675.63750000000016</v>
      </c>
      <c r="AF23">
        <f>3.197*(4.19 * 50)</f>
        <v>669.77150000000006</v>
      </c>
      <c r="AG23">
        <f>3.153*(4.19 * 50)</f>
        <v>660.5535000000001</v>
      </c>
    </row>
    <row r="24" spans="1:33" x14ac:dyDescent="0.3">
      <c r="A24" t="s">
        <v>67</v>
      </c>
      <c r="B24">
        <v>357457.574219</v>
      </c>
      <c r="C24">
        <v>6669242.1914060004</v>
      </c>
      <c r="D24" t="s">
        <v>541</v>
      </c>
      <c r="E24">
        <v>100</v>
      </c>
      <c r="F24">
        <v>60</v>
      </c>
      <c r="G24">
        <v>0.28639618138424822</v>
      </c>
      <c r="H24">
        <f t="shared" si="1"/>
        <v>116.35550000000001</v>
      </c>
      <c r="I24">
        <f t="shared" si="0"/>
        <v>209.50000000000003</v>
      </c>
      <c r="J24">
        <f>0.261*(4.19 * 50)</f>
        <v>54.679500000000012</v>
      </c>
      <c r="K24">
        <f>0.259*(4.19 * 50)</f>
        <v>54.260500000000008</v>
      </c>
      <c r="L24">
        <f>0.257*(4.19 * 50)</f>
        <v>53.841500000000011</v>
      </c>
      <c r="M24">
        <f>0.256*(4.19 * 50)</f>
        <v>53.632000000000005</v>
      </c>
      <c r="N24">
        <f>0.257*(4.19 * 50)</f>
        <v>53.841500000000011</v>
      </c>
      <c r="O24">
        <f>0.261*(4.19 * 50)</f>
        <v>54.679500000000012</v>
      </c>
      <c r="P24">
        <f>0.269*(4.19 * 50)</f>
        <v>56.355500000000013</v>
      </c>
      <c r="Q24">
        <f>0.276*(4.19 * 50)</f>
        <v>57.82200000000001</v>
      </c>
      <c r="R24">
        <f>0.273*(4.19 * 50)</f>
        <v>57.193500000000014</v>
      </c>
      <c r="S24">
        <f>0.268*(4.19 * 50)</f>
        <v>56.146000000000008</v>
      </c>
      <c r="T24">
        <f>0.267*(4.19 * 50)</f>
        <v>55.936500000000009</v>
      </c>
      <c r="U24">
        <f>0.255*(4.19 * 50)</f>
        <v>53.422500000000007</v>
      </c>
      <c r="V24">
        <f>0.252*(4.19 * 50)</f>
        <v>52.794000000000004</v>
      </c>
      <c r="W24">
        <f>0.248*(4.19 * 50)</f>
        <v>51.95600000000001</v>
      </c>
      <c r="X24">
        <f>0.248*(4.19 * 50)</f>
        <v>51.95600000000001</v>
      </c>
      <c r="Y24">
        <f>0.248*(4.19 * 50)</f>
        <v>51.95600000000001</v>
      </c>
      <c r="Z24">
        <f>0.251*(4.19 * 50)</f>
        <v>52.584500000000006</v>
      </c>
      <c r="AA24">
        <f>0.255*(4.19 * 50)</f>
        <v>53.422500000000007</v>
      </c>
      <c r="AB24">
        <f>0.259*(4.19 * 50)</f>
        <v>54.260500000000008</v>
      </c>
      <c r="AC24">
        <f>0.264*(4.19 * 50)</f>
        <v>55.308000000000007</v>
      </c>
      <c r="AD24">
        <f>0.268*(4.19 * 50)</f>
        <v>56.146000000000008</v>
      </c>
      <c r="AE24">
        <f>0.27*(4.19 * 50)</f>
        <v>56.565000000000012</v>
      </c>
      <c r="AF24">
        <f>0.268*(4.19 * 50)</f>
        <v>56.146000000000008</v>
      </c>
      <c r="AG24">
        <f>0.264*(4.19 * 50)</f>
        <v>55.308000000000007</v>
      </c>
    </row>
    <row r="25" spans="1:33" x14ac:dyDescent="0.3">
      <c r="A25" t="s">
        <v>68</v>
      </c>
      <c r="B25">
        <v>357047.3125</v>
      </c>
      <c r="C25">
        <v>6669431.2382810004</v>
      </c>
      <c r="D25" t="s">
        <v>540</v>
      </c>
      <c r="E25">
        <v>100</v>
      </c>
      <c r="F25">
        <v>12</v>
      </c>
      <c r="G25">
        <v>5.7279236276849638E-2</v>
      </c>
      <c r="H25">
        <f t="shared" si="1"/>
        <v>23.313000000000002</v>
      </c>
      <c r="I25">
        <f t="shared" si="0"/>
        <v>209.50000000000003</v>
      </c>
      <c r="J25">
        <f>0.052*(4.19 * 50)</f>
        <v>10.894</v>
      </c>
      <c r="K25">
        <f>0.052*(4.19 * 50)</f>
        <v>10.894</v>
      </c>
      <c r="L25">
        <f>0.051*(4.19 * 50)</f>
        <v>10.6845</v>
      </c>
      <c r="M25">
        <f>0.051*(4.19 * 50)</f>
        <v>10.6845</v>
      </c>
      <c r="N25">
        <f>0.051*(4.19 * 50)</f>
        <v>10.6845</v>
      </c>
      <c r="O25">
        <f>0.052*(4.19 * 50)</f>
        <v>10.894</v>
      </c>
      <c r="P25">
        <f>0.054*(4.19 * 50)</f>
        <v>11.313000000000001</v>
      </c>
      <c r="Q25">
        <f>0.055*(4.19 * 50)</f>
        <v>11.522500000000001</v>
      </c>
      <c r="R25">
        <f>0.055*(4.19 * 50)</f>
        <v>11.522500000000001</v>
      </c>
      <c r="S25">
        <f>0.054*(4.19 * 50)</f>
        <v>11.313000000000001</v>
      </c>
      <c r="T25">
        <f>0.053*(4.19 * 50)</f>
        <v>11.1035</v>
      </c>
      <c r="U25">
        <f>0.051*(4.19 * 50)</f>
        <v>10.6845</v>
      </c>
      <c r="V25">
        <f>0.05*(4.19 * 50)</f>
        <v>10.475000000000001</v>
      </c>
      <c r="W25">
        <f>0.05*(4.19 * 50)</f>
        <v>10.475000000000001</v>
      </c>
      <c r="X25">
        <f>0.05*(4.19 * 50)</f>
        <v>10.475000000000001</v>
      </c>
      <c r="Y25">
        <f>0.05*(4.19 * 50)</f>
        <v>10.475000000000001</v>
      </c>
      <c r="Z25">
        <f>0.05*(4.19 * 50)</f>
        <v>10.475000000000001</v>
      </c>
      <c r="AA25">
        <f>0.051*(4.19 * 50)</f>
        <v>10.6845</v>
      </c>
      <c r="AB25">
        <f>0.052*(4.19 * 50)</f>
        <v>10.894</v>
      </c>
      <c r="AC25">
        <f>0.053*(4.19 * 50)</f>
        <v>11.1035</v>
      </c>
      <c r="AD25">
        <f>0.054*(4.19 * 50)</f>
        <v>11.313000000000001</v>
      </c>
      <c r="AE25">
        <f>0.054*(4.19 * 50)</f>
        <v>11.313000000000001</v>
      </c>
      <c r="AF25">
        <f>0.054*(4.19 * 50)</f>
        <v>11.313000000000001</v>
      </c>
      <c r="AG25">
        <f>0.053*(4.19 * 50)</f>
        <v>11.1035</v>
      </c>
    </row>
    <row r="26" spans="1:33" x14ac:dyDescent="0.3">
      <c r="A26" t="s">
        <v>69</v>
      </c>
      <c r="B26">
        <v>355672.488281</v>
      </c>
      <c r="C26">
        <v>6664548.4023439996</v>
      </c>
      <c r="D26" t="s">
        <v>542</v>
      </c>
      <c r="E26">
        <v>100</v>
      </c>
      <c r="F26">
        <v>177</v>
      </c>
      <c r="G26">
        <v>0.84486873508353211</v>
      </c>
      <c r="H26">
        <f t="shared" si="1"/>
        <v>343.13350000000003</v>
      </c>
      <c r="I26">
        <f t="shared" si="0"/>
        <v>209.50000000000003</v>
      </c>
      <c r="J26">
        <f>0.77*(4.19 * 50)</f>
        <v>161.31500000000003</v>
      </c>
      <c r="K26">
        <f>0.764*(4.19 * 50)</f>
        <v>160.05800000000002</v>
      </c>
      <c r="L26">
        <f>0.76*(4.19 * 50)</f>
        <v>159.22000000000003</v>
      </c>
      <c r="M26">
        <f>0.757*(4.19 * 50)</f>
        <v>158.59150000000002</v>
      </c>
      <c r="N26">
        <f>0.76*(4.19 * 50)</f>
        <v>159.22000000000003</v>
      </c>
      <c r="O26">
        <f>0.77*(4.19 * 50)</f>
        <v>161.31500000000003</v>
      </c>
      <c r="P26">
        <f>0.793*(4.19 * 50)</f>
        <v>166.13350000000003</v>
      </c>
      <c r="Q26">
        <f>0.813*(4.19 * 50)</f>
        <v>170.32350000000002</v>
      </c>
      <c r="R26">
        <f>0.807*(4.19 * 50)</f>
        <v>169.06650000000005</v>
      </c>
      <c r="S26">
        <f>0.79*(4.19 * 50)</f>
        <v>165.50500000000002</v>
      </c>
      <c r="T26">
        <f>0.787*(4.19 * 50)</f>
        <v>164.87650000000002</v>
      </c>
      <c r="U26">
        <f>0.753*(4.19 * 50)</f>
        <v>157.75350000000003</v>
      </c>
      <c r="V26">
        <f>0.743*(4.19 * 50)</f>
        <v>155.65850000000003</v>
      </c>
      <c r="W26">
        <f>0.733*(4.19 * 50)</f>
        <v>153.5635</v>
      </c>
      <c r="X26">
        <f>0.73*(4.19 * 50)</f>
        <v>152.93500000000003</v>
      </c>
      <c r="Y26">
        <f>0.732*(4.19 * 50)</f>
        <v>153.35400000000001</v>
      </c>
      <c r="Z26">
        <f>0.74*(4.19 * 50)</f>
        <v>155.03000000000003</v>
      </c>
      <c r="AA26">
        <f>0.753*(4.19 * 50)</f>
        <v>157.75350000000003</v>
      </c>
      <c r="AB26">
        <f>0.764*(4.19 * 50)</f>
        <v>160.05800000000002</v>
      </c>
      <c r="AC26">
        <f>0.778*(4.19 * 50)</f>
        <v>162.99100000000001</v>
      </c>
      <c r="AD26">
        <f>0.791*(4.19 * 50)</f>
        <v>165.71450000000004</v>
      </c>
      <c r="AE26">
        <f>0.797*(4.19 * 50)</f>
        <v>166.97150000000002</v>
      </c>
      <c r="AF26">
        <f>0.79*(4.19 * 50)</f>
        <v>165.50500000000002</v>
      </c>
      <c r="AG26">
        <f>0.779*(4.19 * 50)</f>
        <v>163.20050000000003</v>
      </c>
    </row>
    <row r="27" spans="1:33" x14ac:dyDescent="0.3">
      <c r="A27" t="s">
        <v>70</v>
      </c>
      <c r="B27">
        <v>355459.882813</v>
      </c>
      <c r="C27">
        <v>6664662.2539060004</v>
      </c>
      <c r="D27" t="s">
        <v>541</v>
      </c>
      <c r="E27">
        <v>100</v>
      </c>
      <c r="F27">
        <v>64</v>
      </c>
      <c r="G27">
        <v>0.30548926014319799</v>
      </c>
      <c r="H27">
        <f t="shared" si="1"/>
        <v>124.12649999999999</v>
      </c>
      <c r="I27">
        <f t="shared" si="0"/>
        <v>209.50000000000003</v>
      </c>
      <c r="J27">
        <f>0.279*(4.19 * 50)</f>
        <v>58.450500000000012</v>
      </c>
      <c r="K27">
        <f>0.276*(4.19 * 50)</f>
        <v>57.82200000000001</v>
      </c>
      <c r="L27">
        <f>0.275*(4.19 * 50)</f>
        <v>57.612500000000011</v>
      </c>
      <c r="M27">
        <f>0.274*(4.19 * 50)</f>
        <v>57.403000000000013</v>
      </c>
      <c r="N27">
        <f>0.275*(4.19 * 50)</f>
        <v>57.612500000000011</v>
      </c>
      <c r="O27">
        <f>0.278*(4.19 * 50)</f>
        <v>58.241000000000014</v>
      </c>
      <c r="P27">
        <f>0.287*(4.19 * 50)</f>
        <v>60.1265</v>
      </c>
      <c r="Q27">
        <f>0.294*(4.19 * 50)</f>
        <v>61.593000000000004</v>
      </c>
      <c r="R27">
        <f>0.292*(4.19 * 50)</f>
        <v>61.174000000000007</v>
      </c>
      <c r="S27">
        <f>0.286*(4.19 * 50)</f>
        <v>59.917000000000002</v>
      </c>
      <c r="T27">
        <f>0.284*(4.19 * 50)</f>
        <v>59.498000000000005</v>
      </c>
      <c r="U27">
        <f>0.272*(4.19 * 50)</f>
        <v>56.984000000000009</v>
      </c>
      <c r="V27">
        <f>0.269*(4.19 * 50)</f>
        <v>56.355500000000013</v>
      </c>
      <c r="W27">
        <f>0.265*(4.19 * 50)</f>
        <v>55.517500000000013</v>
      </c>
      <c r="X27">
        <f>0.264*(4.19 * 50)</f>
        <v>55.308000000000007</v>
      </c>
      <c r="Y27">
        <f>0.265*(4.19 * 50)</f>
        <v>55.517500000000013</v>
      </c>
      <c r="Z27">
        <f>0.267*(4.19 * 50)</f>
        <v>55.936500000000009</v>
      </c>
      <c r="AA27">
        <f>0.272*(4.19 * 50)</f>
        <v>56.984000000000009</v>
      </c>
      <c r="AB27">
        <f>0.276*(4.19 * 50)</f>
        <v>57.82200000000001</v>
      </c>
      <c r="AC27">
        <f>0.281*(4.19 * 50)</f>
        <v>58.869500000000016</v>
      </c>
      <c r="AD27">
        <f>0.286*(4.19 * 50)</f>
        <v>59.917000000000002</v>
      </c>
      <c r="AE27">
        <f>0.288*(4.19 * 50)</f>
        <v>60.336000000000006</v>
      </c>
      <c r="AF27">
        <f>0.286*(4.19 * 50)</f>
        <v>59.917000000000002</v>
      </c>
      <c r="AG27">
        <f>0.282*(4.19 * 50)</f>
        <v>59.079000000000001</v>
      </c>
    </row>
    <row r="28" spans="1:33" x14ac:dyDescent="0.3">
      <c r="A28" t="s">
        <v>71</v>
      </c>
      <c r="B28">
        <v>356821.457031</v>
      </c>
      <c r="C28">
        <v>6668012.328125</v>
      </c>
      <c r="D28" t="s">
        <v>540</v>
      </c>
      <c r="E28">
        <v>100</v>
      </c>
      <c r="F28">
        <v>5</v>
      </c>
      <c r="G28">
        <v>2.386634844868735E-2</v>
      </c>
      <c r="H28">
        <f t="shared" si="1"/>
        <v>9.609</v>
      </c>
      <c r="I28">
        <f t="shared" si="0"/>
        <v>209.50000000000003</v>
      </c>
      <c r="J28">
        <f>0.022*(4.19 * 50)</f>
        <v>4.609</v>
      </c>
      <c r="K28">
        <f>0.022*(4.19 * 50)</f>
        <v>4.609</v>
      </c>
      <c r="L28">
        <f>0.021*(4.19 * 50)</f>
        <v>4.3995000000000006</v>
      </c>
      <c r="M28">
        <f>0.021*(4.19 * 50)</f>
        <v>4.3995000000000006</v>
      </c>
      <c r="N28">
        <f>0.021*(4.19 * 50)</f>
        <v>4.3995000000000006</v>
      </c>
      <c r="O28">
        <f>0.022*(4.19 * 50)</f>
        <v>4.609</v>
      </c>
      <c r="P28">
        <f>0.022*(4.19 * 50)</f>
        <v>4.609</v>
      </c>
      <c r="Q28">
        <f>0.023*(4.19 * 50)</f>
        <v>4.8185000000000002</v>
      </c>
      <c r="R28">
        <f>0.023*(4.19 * 50)</f>
        <v>4.8185000000000002</v>
      </c>
      <c r="S28">
        <f>0.022*(4.19 * 50)</f>
        <v>4.609</v>
      </c>
      <c r="T28">
        <f>0.022*(4.19 * 50)</f>
        <v>4.609</v>
      </c>
      <c r="U28">
        <f>0.021*(4.19 * 50)</f>
        <v>4.3995000000000006</v>
      </c>
      <c r="V28">
        <f>0.021*(4.19 * 50)</f>
        <v>4.3995000000000006</v>
      </c>
      <c r="W28">
        <f>0.021*(4.19 * 50)</f>
        <v>4.3995000000000006</v>
      </c>
      <c r="X28">
        <f>0.021*(4.19 * 50)</f>
        <v>4.3995000000000006</v>
      </c>
      <c r="Y28">
        <f>0.021*(4.19 * 50)</f>
        <v>4.3995000000000006</v>
      </c>
      <c r="Z28">
        <f>0.021*(4.19 * 50)</f>
        <v>4.3995000000000006</v>
      </c>
      <c r="AA28">
        <f>0.021*(4.19 * 50)</f>
        <v>4.3995000000000006</v>
      </c>
      <c r="AB28">
        <f>0.022*(4.19 * 50)</f>
        <v>4.609</v>
      </c>
      <c r="AC28">
        <f>0.022*(4.19 * 50)</f>
        <v>4.609</v>
      </c>
      <c r="AD28">
        <f>0.022*(4.19 * 50)</f>
        <v>4.609</v>
      </c>
      <c r="AE28">
        <f>0.023*(4.19 * 50)</f>
        <v>4.8185000000000002</v>
      </c>
      <c r="AF28">
        <f>0.022*(4.19 * 50)</f>
        <v>4.609</v>
      </c>
      <c r="AG28">
        <f>0.022*(4.19 * 50)</f>
        <v>4.609</v>
      </c>
    </row>
    <row r="29" spans="1:33" x14ac:dyDescent="0.3">
      <c r="A29" t="s">
        <v>72</v>
      </c>
      <c r="B29">
        <v>357003.667969</v>
      </c>
      <c r="C29">
        <v>6668326.7070310004</v>
      </c>
      <c r="D29" t="s">
        <v>540</v>
      </c>
      <c r="E29">
        <v>100</v>
      </c>
      <c r="F29">
        <v>11</v>
      </c>
      <c r="G29">
        <v>5.2505966587112173E-2</v>
      </c>
      <c r="H29">
        <f t="shared" si="1"/>
        <v>21.265500000000003</v>
      </c>
      <c r="I29">
        <f t="shared" si="0"/>
        <v>209.50000000000003</v>
      </c>
      <c r="J29">
        <f>0.048*(4.19 * 50)</f>
        <v>10.056000000000001</v>
      </c>
      <c r="K29">
        <f>0.047*(4.19 * 50)</f>
        <v>9.8465000000000007</v>
      </c>
      <c r="L29">
        <f>0.047*(4.19 * 50)</f>
        <v>9.8465000000000007</v>
      </c>
      <c r="M29">
        <f>0.047*(4.19 * 50)</f>
        <v>9.8465000000000007</v>
      </c>
      <c r="N29">
        <f>0.047*(4.19 * 50)</f>
        <v>9.8465000000000007</v>
      </c>
      <c r="O29">
        <f>0.048*(4.19 * 50)</f>
        <v>10.056000000000001</v>
      </c>
      <c r="P29">
        <f>0.049*(4.19 * 50)</f>
        <v>10.265500000000001</v>
      </c>
      <c r="Q29">
        <f>0.051*(4.19 * 50)</f>
        <v>10.6845</v>
      </c>
      <c r="R29">
        <f>0.05*(4.19 * 50)</f>
        <v>10.475000000000001</v>
      </c>
      <c r="S29">
        <f>0.049*(4.19 * 50)</f>
        <v>10.265500000000001</v>
      </c>
      <c r="T29">
        <f>0.049*(4.19 * 50)</f>
        <v>10.265500000000001</v>
      </c>
      <c r="U29">
        <f>0.047*(4.19 * 50)</f>
        <v>9.8465000000000007</v>
      </c>
      <c r="V29">
        <f>0.046*(4.19 * 50)</f>
        <v>9.6370000000000005</v>
      </c>
      <c r="W29">
        <f>0.046*(4.19 * 50)</f>
        <v>9.6370000000000005</v>
      </c>
      <c r="X29">
        <f>0.045*(4.19 * 50)</f>
        <v>9.4275000000000002</v>
      </c>
      <c r="Y29">
        <f>0.045*(4.19 * 50)</f>
        <v>9.4275000000000002</v>
      </c>
      <c r="Z29">
        <f>0.046*(4.19 * 50)</f>
        <v>9.6370000000000005</v>
      </c>
      <c r="AA29">
        <f>0.047*(4.19 * 50)</f>
        <v>9.8465000000000007</v>
      </c>
      <c r="AB29">
        <f>0.047*(4.19 * 50)</f>
        <v>9.8465000000000007</v>
      </c>
      <c r="AC29">
        <f>0.048*(4.19 * 50)</f>
        <v>10.056000000000001</v>
      </c>
      <c r="AD29">
        <f>0.049*(4.19 * 50)</f>
        <v>10.265500000000001</v>
      </c>
      <c r="AE29">
        <f>0.05*(4.19 * 50)</f>
        <v>10.475000000000001</v>
      </c>
      <c r="AF29">
        <f>0.049*(4.19 * 50)</f>
        <v>10.265500000000001</v>
      </c>
      <c r="AG29">
        <f>0.048*(4.19 * 50)</f>
        <v>10.056000000000001</v>
      </c>
    </row>
    <row r="30" spans="1:33" x14ac:dyDescent="0.3">
      <c r="A30" t="s">
        <v>73</v>
      </c>
      <c r="B30">
        <v>356756.128906</v>
      </c>
      <c r="C30">
        <v>6667989.7421880001</v>
      </c>
      <c r="D30" t="s">
        <v>540</v>
      </c>
      <c r="E30">
        <v>100</v>
      </c>
      <c r="F30">
        <v>4</v>
      </c>
      <c r="G30">
        <v>1.9093078758949882E-2</v>
      </c>
      <c r="H30">
        <f t="shared" si="1"/>
        <v>7.7710000000000008</v>
      </c>
      <c r="I30">
        <f t="shared" si="0"/>
        <v>209.50000000000003</v>
      </c>
      <c r="J30">
        <f>0.017*(4.19 * 50)</f>
        <v>3.5615000000000006</v>
      </c>
      <c r="K30">
        <f>0.017*(4.19 * 50)</f>
        <v>3.5615000000000006</v>
      </c>
      <c r="L30">
        <f>0.017*(4.19 * 50)</f>
        <v>3.5615000000000006</v>
      </c>
      <c r="M30">
        <f>0.017*(4.19 * 50)</f>
        <v>3.5615000000000006</v>
      </c>
      <c r="N30">
        <f>0.017*(4.19 * 50)</f>
        <v>3.5615000000000006</v>
      </c>
      <c r="O30">
        <f>0.017*(4.19 * 50)</f>
        <v>3.5615000000000006</v>
      </c>
      <c r="P30">
        <f>0.018*(4.19 * 50)</f>
        <v>3.7710000000000004</v>
      </c>
      <c r="Q30">
        <f>0.018*(4.19 * 50)</f>
        <v>3.7710000000000004</v>
      </c>
      <c r="R30">
        <f>0.018*(4.19 * 50)</f>
        <v>3.7710000000000004</v>
      </c>
      <c r="S30">
        <f>0.018*(4.19 * 50)</f>
        <v>3.7710000000000004</v>
      </c>
      <c r="T30">
        <f>0.018*(4.19 * 50)</f>
        <v>3.7710000000000004</v>
      </c>
      <c r="U30">
        <f>0.017*(4.19 * 50)</f>
        <v>3.5615000000000006</v>
      </c>
      <c r="V30">
        <f>0.017*(4.19 * 50)</f>
        <v>3.5615000000000006</v>
      </c>
      <c r="W30">
        <f>0.017*(4.19 * 50)</f>
        <v>3.5615000000000006</v>
      </c>
      <c r="X30">
        <f>0.017*(4.19 * 50)</f>
        <v>3.5615000000000006</v>
      </c>
      <c r="Y30">
        <f>0.017*(4.19 * 50)</f>
        <v>3.5615000000000006</v>
      </c>
      <c r="Z30">
        <f>0.017*(4.19 * 50)</f>
        <v>3.5615000000000006</v>
      </c>
      <c r="AA30">
        <f>0.017*(4.19 * 50)</f>
        <v>3.5615000000000006</v>
      </c>
      <c r="AB30">
        <f>0.017*(4.19 * 50)</f>
        <v>3.5615000000000006</v>
      </c>
      <c r="AC30">
        <f>0.018*(4.19 * 50)</f>
        <v>3.7710000000000004</v>
      </c>
      <c r="AD30">
        <f>0.018*(4.19 * 50)</f>
        <v>3.7710000000000004</v>
      </c>
      <c r="AE30">
        <f>0.018*(4.19 * 50)</f>
        <v>3.7710000000000004</v>
      </c>
      <c r="AF30">
        <f>0.018*(4.19 * 50)</f>
        <v>3.7710000000000004</v>
      </c>
      <c r="AG30">
        <f>0.018*(4.19 * 50)</f>
        <v>3.7710000000000004</v>
      </c>
    </row>
    <row r="31" spans="1:33" x14ac:dyDescent="0.3">
      <c r="A31" t="s">
        <v>74</v>
      </c>
      <c r="B31">
        <v>356756.375</v>
      </c>
      <c r="C31">
        <v>6668030.9882810004</v>
      </c>
      <c r="D31" t="s">
        <v>540</v>
      </c>
      <c r="E31">
        <v>100</v>
      </c>
      <c r="F31">
        <v>9</v>
      </c>
      <c r="G31">
        <v>4.2959427207637228E-2</v>
      </c>
      <c r="H31">
        <f t="shared" si="1"/>
        <v>17.380000000000003</v>
      </c>
      <c r="I31">
        <f t="shared" si="0"/>
        <v>209.50000000000003</v>
      </c>
      <c r="J31">
        <f>0.039*(4.19 * 50)</f>
        <v>8.1705000000000005</v>
      </c>
      <c r="K31">
        <f>0.039*(4.19 * 50)</f>
        <v>8.1705000000000005</v>
      </c>
      <c r="L31">
        <f>0.039*(4.19 * 50)</f>
        <v>8.1705000000000005</v>
      </c>
      <c r="M31">
        <f>0.038*(4.19 * 50)</f>
        <v>7.9610000000000012</v>
      </c>
      <c r="N31">
        <f>0.039*(4.19 * 50)</f>
        <v>8.1705000000000005</v>
      </c>
      <c r="O31">
        <f>0.039*(4.19 * 50)</f>
        <v>8.1705000000000005</v>
      </c>
      <c r="P31">
        <f>0.04*(4.19 * 50)</f>
        <v>8.3800000000000008</v>
      </c>
      <c r="Q31">
        <f>0.041*(4.19 * 50)</f>
        <v>8.589500000000001</v>
      </c>
      <c r="R31">
        <f>0.041*(4.19 * 50)</f>
        <v>8.589500000000001</v>
      </c>
      <c r="S31">
        <f>0.04*(4.19 * 50)</f>
        <v>8.3800000000000008</v>
      </c>
      <c r="T31">
        <f>0.04*(4.19 * 50)</f>
        <v>8.3800000000000008</v>
      </c>
      <c r="U31">
        <f>0.038*(4.19 * 50)</f>
        <v>7.9610000000000012</v>
      </c>
      <c r="V31">
        <f>0.038*(4.19 * 50)</f>
        <v>7.9610000000000012</v>
      </c>
      <c r="W31">
        <f>0.037*(4.19 * 50)</f>
        <v>7.7515000000000009</v>
      </c>
      <c r="X31">
        <f>0.037*(4.19 * 50)</f>
        <v>7.7515000000000009</v>
      </c>
      <c r="Y31">
        <f>0.037*(4.19 * 50)</f>
        <v>7.7515000000000009</v>
      </c>
      <c r="Z31">
        <f>0.038*(4.19 * 50)</f>
        <v>7.9610000000000012</v>
      </c>
      <c r="AA31">
        <f>0.038*(4.19 * 50)</f>
        <v>7.9610000000000012</v>
      </c>
      <c r="AB31">
        <f>0.039*(4.19 * 50)</f>
        <v>8.1705000000000005</v>
      </c>
      <c r="AC31">
        <f>0.04*(4.19 * 50)</f>
        <v>8.3800000000000008</v>
      </c>
      <c r="AD31">
        <f>0.04*(4.19 * 50)</f>
        <v>8.3800000000000008</v>
      </c>
      <c r="AE31">
        <f>0.041*(4.19 * 50)</f>
        <v>8.589500000000001</v>
      </c>
      <c r="AF31">
        <f>0.04*(4.19 * 50)</f>
        <v>8.3800000000000008</v>
      </c>
      <c r="AG31">
        <f>0.04*(4.19 * 50)</f>
        <v>8.3800000000000008</v>
      </c>
    </row>
    <row r="32" spans="1:33" x14ac:dyDescent="0.3">
      <c r="A32" t="s">
        <v>75</v>
      </c>
      <c r="B32">
        <v>356754.5625</v>
      </c>
      <c r="C32">
        <v>6668051.1679689996</v>
      </c>
      <c r="D32" t="s">
        <v>540</v>
      </c>
      <c r="E32">
        <v>100</v>
      </c>
      <c r="F32">
        <v>6</v>
      </c>
      <c r="G32">
        <v>2.8639618138424819E-2</v>
      </c>
      <c r="H32">
        <f t="shared" si="1"/>
        <v>11.656500000000001</v>
      </c>
      <c r="I32">
        <f t="shared" si="0"/>
        <v>209.50000000000003</v>
      </c>
      <c r="J32">
        <f>0.026*(4.19 * 50)</f>
        <v>5.4470000000000001</v>
      </c>
      <c r="K32">
        <f>0.026*(4.19 * 50)</f>
        <v>5.4470000000000001</v>
      </c>
      <c r="L32">
        <f>0.026*(4.19 * 50)</f>
        <v>5.4470000000000001</v>
      </c>
      <c r="M32">
        <f>0.026*(4.19 * 50)</f>
        <v>5.4470000000000001</v>
      </c>
      <c r="N32">
        <f>0.026*(4.19 * 50)</f>
        <v>5.4470000000000001</v>
      </c>
      <c r="O32">
        <f>0.026*(4.19 * 50)</f>
        <v>5.4470000000000001</v>
      </c>
      <c r="P32">
        <f>0.027*(4.19 * 50)</f>
        <v>5.6565000000000003</v>
      </c>
      <c r="Q32">
        <f>0.028*(4.19 * 50)</f>
        <v>5.8660000000000005</v>
      </c>
      <c r="R32">
        <f>0.027*(4.19 * 50)</f>
        <v>5.6565000000000003</v>
      </c>
      <c r="S32">
        <f>0.027*(4.19 * 50)</f>
        <v>5.6565000000000003</v>
      </c>
      <c r="T32">
        <f>0.027*(4.19 * 50)</f>
        <v>5.6565000000000003</v>
      </c>
      <c r="U32">
        <f>0.026*(4.19 * 50)</f>
        <v>5.4470000000000001</v>
      </c>
      <c r="V32">
        <f>0.025*(4.19 * 50)</f>
        <v>5.2375000000000007</v>
      </c>
      <c r="W32">
        <f>0.025*(4.19 * 50)</f>
        <v>5.2375000000000007</v>
      </c>
      <c r="X32">
        <f>0.025*(4.19 * 50)</f>
        <v>5.2375000000000007</v>
      </c>
      <c r="Y32">
        <f>0.025*(4.19 * 50)</f>
        <v>5.2375000000000007</v>
      </c>
      <c r="Z32">
        <f>0.025*(4.19 * 50)</f>
        <v>5.2375000000000007</v>
      </c>
      <c r="AA32">
        <f>0.026*(4.19 * 50)</f>
        <v>5.4470000000000001</v>
      </c>
      <c r="AB32">
        <f>0.026*(4.19 * 50)</f>
        <v>5.4470000000000001</v>
      </c>
      <c r="AC32">
        <f>0.026*(4.19 * 50)</f>
        <v>5.4470000000000001</v>
      </c>
      <c r="AD32">
        <f>0.027*(4.19 * 50)</f>
        <v>5.6565000000000003</v>
      </c>
      <c r="AE32">
        <f>0.027*(4.19 * 50)</f>
        <v>5.6565000000000003</v>
      </c>
      <c r="AF32">
        <f>0.027*(4.19 * 50)</f>
        <v>5.6565000000000003</v>
      </c>
      <c r="AG32">
        <f>0.026*(4.19 * 50)</f>
        <v>5.4470000000000001</v>
      </c>
    </row>
    <row r="33" spans="1:33" x14ac:dyDescent="0.3">
      <c r="A33" t="s">
        <v>76</v>
      </c>
      <c r="B33">
        <v>356740.296875</v>
      </c>
      <c r="C33">
        <v>6668054.234375</v>
      </c>
      <c r="D33" t="s">
        <v>540</v>
      </c>
      <c r="E33">
        <v>100</v>
      </c>
      <c r="F33">
        <v>5</v>
      </c>
      <c r="G33">
        <v>2.386634844868735E-2</v>
      </c>
      <c r="H33">
        <f t="shared" si="1"/>
        <v>9.609</v>
      </c>
      <c r="I33">
        <f t="shared" si="0"/>
        <v>209.50000000000003</v>
      </c>
      <c r="J33">
        <f>0.022*(4.19 * 50)</f>
        <v>4.609</v>
      </c>
      <c r="K33">
        <f>0.022*(4.19 * 50)</f>
        <v>4.609</v>
      </c>
      <c r="L33">
        <f>0.021*(4.19 * 50)</f>
        <v>4.3995000000000006</v>
      </c>
      <c r="M33">
        <f>0.021*(4.19 * 50)</f>
        <v>4.3995000000000006</v>
      </c>
      <c r="N33">
        <f>0.021*(4.19 * 50)</f>
        <v>4.3995000000000006</v>
      </c>
      <c r="O33">
        <f>0.022*(4.19 * 50)</f>
        <v>4.609</v>
      </c>
      <c r="P33">
        <f>0.022*(4.19 * 50)</f>
        <v>4.609</v>
      </c>
      <c r="Q33">
        <f>0.023*(4.19 * 50)</f>
        <v>4.8185000000000002</v>
      </c>
      <c r="R33">
        <f>0.023*(4.19 * 50)</f>
        <v>4.8185000000000002</v>
      </c>
      <c r="S33">
        <f>0.022*(4.19 * 50)</f>
        <v>4.609</v>
      </c>
      <c r="T33">
        <f>0.022*(4.19 * 50)</f>
        <v>4.609</v>
      </c>
      <c r="U33">
        <f>0.021*(4.19 * 50)</f>
        <v>4.3995000000000006</v>
      </c>
      <c r="V33">
        <f>0.021*(4.19 * 50)</f>
        <v>4.3995000000000006</v>
      </c>
      <c r="W33">
        <f>0.021*(4.19 * 50)</f>
        <v>4.3995000000000006</v>
      </c>
      <c r="X33">
        <f>0.021*(4.19 * 50)</f>
        <v>4.3995000000000006</v>
      </c>
      <c r="Y33">
        <f>0.021*(4.19 * 50)</f>
        <v>4.3995000000000006</v>
      </c>
      <c r="Z33">
        <f>0.021*(4.19 * 50)</f>
        <v>4.3995000000000006</v>
      </c>
      <c r="AA33">
        <f>0.021*(4.19 * 50)</f>
        <v>4.3995000000000006</v>
      </c>
      <c r="AB33">
        <f>0.022*(4.19 * 50)</f>
        <v>4.609</v>
      </c>
      <c r="AC33">
        <f>0.022*(4.19 * 50)</f>
        <v>4.609</v>
      </c>
      <c r="AD33">
        <f>0.022*(4.19 * 50)</f>
        <v>4.609</v>
      </c>
      <c r="AE33">
        <f>0.023*(4.19 * 50)</f>
        <v>4.8185000000000002</v>
      </c>
      <c r="AF33">
        <f>0.022*(4.19 * 50)</f>
        <v>4.609</v>
      </c>
      <c r="AG33">
        <f>0.022*(4.19 * 50)</f>
        <v>4.609</v>
      </c>
    </row>
    <row r="34" spans="1:33" x14ac:dyDescent="0.3">
      <c r="A34" t="s">
        <v>77</v>
      </c>
      <c r="B34">
        <v>356733.480469</v>
      </c>
      <c r="C34">
        <v>6668061.765625</v>
      </c>
      <c r="D34" t="s">
        <v>540</v>
      </c>
      <c r="E34">
        <v>100</v>
      </c>
      <c r="F34">
        <v>4</v>
      </c>
      <c r="G34">
        <v>1.9093078758949882E-2</v>
      </c>
      <c r="H34">
        <f t="shared" si="1"/>
        <v>7.7710000000000008</v>
      </c>
      <c r="I34">
        <f t="shared" si="0"/>
        <v>209.50000000000003</v>
      </c>
      <c r="J34">
        <f>0.017*(4.19 * 50)</f>
        <v>3.5615000000000006</v>
      </c>
      <c r="K34">
        <f>0.017*(4.19 * 50)</f>
        <v>3.5615000000000006</v>
      </c>
      <c r="L34">
        <f>0.017*(4.19 * 50)</f>
        <v>3.5615000000000006</v>
      </c>
      <c r="M34">
        <f>0.017*(4.19 * 50)</f>
        <v>3.5615000000000006</v>
      </c>
      <c r="N34">
        <f>0.017*(4.19 * 50)</f>
        <v>3.5615000000000006</v>
      </c>
      <c r="O34">
        <f>0.017*(4.19 * 50)</f>
        <v>3.5615000000000006</v>
      </c>
      <c r="P34">
        <f>0.018*(4.19 * 50)</f>
        <v>3.7710000000000004</v>
      </c>
      <c r="Q34">
        <f>0.018*(4.19 * 50)</f>
        <v>3.7710000000000004</v>
      </c>
      <c r="R34">
        <f>0.018*(4.19 * 50)</f>
        <v>3.7710000000000004</v>
      </c>
      <c r="S34">
        <f>0.018*(4.19 * 50)</f>
        <v>3.7710000000000004</v>
      </c>
      <c r="T34">
        <f>0.018*(4.19 * 50)</f>
        <v>3.7710000000000004</v>
      </c>
      <c r="U34">
        <f>0.017*(4.19 * 50)</f>
        <v>3.5615000000000006</v>
      </c>
      <c r="V34">
        <f>0.017*(4.19 * 50)</f>
        <v>3.5615000000000006</v>
      </c>
      <c r="W34">
        <f>0.017*(4.19 * 50)</f>
        <v>3.5615000000000006</v>
      </c>
      <c r="X34">
        <f>0.017*(4.19 * 50)</f>
        <v>3.5615000000000006</v>
      </c>
      <c r="Y34">
        <f>0.017*(4.19 * 50)</f>
        <v>3.5615000000000006</v>
      </c>
      <c r="Z34">
        <f>0.017*(4.19 * 50)</f>
        <v>3.5615000000000006</v>
      </c>
      <c r="AA34">
        <f>0.017*(4.19 * 50)</f>
        <v>3.5615000000000006</v>
      </c>
      <c r="AB34">
        <f>0.017*(4.19 * 50)</f>
        <v>3.5615000000000006</v>
      </c>
      <c r="AC34">
        <f>0.018*(4.19 * 50)</f>
        <v>3.7710000000000004</v>
      </c>
      <c r="AD34">
        <f>0.018*(4.19 * 50)</f>
        <v>3.7710000000000004</v>
      </c>
      <c r="AE34">
        <f>0.018*(4.19 * 50)</f>
        <v>3.7710000000000004</v>
      </c>
      <c r="AF34">
        <f>0.018*(4.19 * 50)</f>
        <v>3.7710000000000004</v>
      </c>
      <c r="AG34">
        <f>0.018*(4.19 * 50)</f>
        <v>3.7710000000000004</v>
      </c>
    </row>
    <row r="35" spans="1:33" x14ac:dyDescent="0.3">
      <c r="A35" t="s">
        <v>78</v>
      </c>
      <c r="B35">
        <v>356745.679688</v>
      </c>
      <c r="C35">
        <v>6668073.3164060004</v>
      </c>
      <c r="D35" t="s">
        <v>540</v>
      </c>
      <c r="E35">
        <v>100</v>
      </c>
      <c r="F35">
        <v>6</v>
      </c>
      <c r="G35">
        <v>2.8639618138424819E-2</v>
      </c>
      <c r="H35">
        <f t="shared" si="1"/>
        <v>11.656500000000001</v>
      </c>
      <c r="I35">
        <f t="shared" si="0"/>
        <v>209.50000000000003</v>
      </c>
      <c r="J35">
        <f>0.026*(4.19 * 50)</f>
        <v>5.4470000000000001</v>
      </c>
      <c r="K35">
        <f>0.026*(4.19 * 50)</f>
        <v>5.4470000000000001</v>
      </c>
      <c r="L35">
        <f>0.026*(4.19 * 50)</f>
        <v>5.4470000000000001</v>
      </c>
      <c r="M35">
        <f>0.026*(4.19 * 50)</f>
        <v>5.4470000000000001</v>
      </c>
      <c r="N35">
        <f>0.026*(4.19 * 50)</f>
        <v>5.4470000000000001</v>
      </c>
      <c r="O35">
        <f>0.026*(4.19 * 50)</f>
        <v>5.4470000000000001</v>
      </c>
      <c r="P35">
        <f>0.027*(4.19 * 50)</f>
        <v>5.6565000000000003</v>
      </c>
      <c r="Q35">
        <f>0.028*(4.19 * 50)</f>
        <v>5.8660000000000005</v>
      </c>
      <c r="R35">
        <f>0.027*(4.19 * 50)</f>
        <v>5.6565000000000003</v>
      </c>
      <c r="S35">
        <f>0.027*(4.19 * 50)</f>
        <v>5.6565000000000003</v>
      </c>
      <c r="T35">
        <f>0.027*(4.19 * 50)</f>
        <v>5.6565000000000003</v>
      </c>
      <c r="U35">
        <f>0.026*(4.19 * 50)</f>
        <v>5.4470000000000001</v>
      </c>
      <c r="V35">
        <f>0.025*(4.19 * 50)</f>
        <v>5.2375000000000007</v>
      </c>
      <c r="W35">
        <f>0.025*(4.19 * 50)</f>
        <v>5.2375000000000007</v>
      </c>
      <c r="X35">
        <f>0.025*(4.19 * 50)</f>
        <v>5.2375000000000007</v>
      </c>
      <c r="Y35">
        <f>0.025*(4.19 * 50)</f>
        <v>5.2375000000000007</v>
      </c>
      <c r="Z35">
        <f>0.025*(4.19 * 50)</f>
        <v>5.2375000000000007</v>
      </c>
      <c r="AA35">
        <f>0.026*(4.19 * 50)</f>
        <v>5.4470000000000001</v>
      </c>
      <c r="AB35">
        <f>0.026*(4.19 * 50)</f>
        <v>5.4470000000000001</v>
      </c>
      <c r="AC35">
        <f>0.026*(4.19 * 50)</f>
        <v>5.4470000000000001</v>
      </c>
      <c r="AD35">
        <f>0.027*(4.19 * 50)</f>
        <v>5.6565000000000003</v>
      </c>
      <c r="AE35">
        <f>0.027*(4.19 * 50)</f>
        <v>5.6565000000000003</v>
      </c>
      <c r="AF35">
        <f>0.027*(4.19 * 50)</f>
        <v>5.6565000000000003</v>
      </c>
      <c r="AG35">
        <f>0.026*(4.19 * 50)</f>
        <v>5.4470000000000001</v>
      </c>
    </row>
    <row r="36" spans="1:33" x14ac:dyDescent="0.3">
      <c r="A36" t="s">
        <v>79</v>
      </c>
      <c r="B36">
        <v>356976.1875</v>
      </c>
      <c r="C36">
        <v>6668239.3242189996</v>
      </c>
      <c r="D36" t="s">
        <v>541</v>
      </c>
      <c r="E36">
        <v>100</v>
      </c>
      <c r="F36">
        <v>26.333000183105401</v>
      </c>
      <c r="G36">
        <v>0.12569451161386819</v>
      </c>
      <c r="H36">
        <f t="shared" si="1"/>
        <v>51.054000183105401</v>
      </c>
      <c r="I36">
        <f t="shared" si="0"/>
        <v>209.50000000000003</v>
      </c>
      <c r="J36">
        <f>0.115*(4.19 * 50)</f>
        <v>24.092500000000005</v>
      </c>
      <c r="K36">
        <f>0.114*(4.19 * 50)</f>
        <v>23.883000000000003</v>
      </c>
      <c r="L36">
        <f>0.113*(4.19 * 50)</f>
        <v>23.673500000000004</v>
      </c>
      <c r="M36">
        <f>0.113*(4.19 * 50)</f>
        <v>23.673500000000004</v>
      </c>
      <c r="N36">
        <f>0.113*(4.19 * 50)</f>
        <v>23.673500000000004</v>
      </c>
      <c r="O36">
        <f>0.114*(4.19 * 50)</f>
        <v>23.883000000000003</v>
      </c>
      <c r="P36">
        <f>0.118*(4.19 * 50)</f>
        <v>24.721000000000004</v>
      </c>
      <c r="Q36">
        <f>0.121*(4.19 * 50)</f>
        <v>25.349500000000003</v>
      </c>
      <c r="R36">
        <f>0.12*(4.19 * 50)</f>
        <v>25.140000000000004</v>
      </c>
      <c r="S36">
        <f>0.117*(4.19 * 50)</f>
        <v>24.511500000000005</v>
      </c>
      <c r="T36">
        <f>0.117*(4.19 * 50)</f>
        <v>24.511500000000005</v>
      </c>
      <c r="U36">
        <f>0.112*(4.19 * 50)</f>
        <v>23.464000000000002</v>
      </c>
      <c r="V36">
        <f>0.11*(4.19 * 50)</f>
        <v>23.045000000000002</v>
      </c>
      <c r="W36">
        <f>0.109*(4.19 * 50)</f>
        <v>22.835500000000003</v>
      </c>
      <c r="X36">
        <f>0.109*(4.19 * 50)</f>
        <v>22.835500000000003</v>
      </c>
      <c r="Y36">
        <f>0.109*(4.19 * 50)</f>
        <v>22.835500000000003</v>
      </c>
      <c r="Z36">
        <f>0.11*(4.19 * 50)</f>
        <v>23.045000000000002</v>
      </c>
      <c r="AA36">
        <f>0.112*(4.19 * 50)</f>
        <v>23.464000000000002</v>
      </c>
      <c r="AB36">
        <f>0.114*(4.19 * 50)</f>
        <v>23.883000000000003</v>
      </c>
      <c r="AC36">
        <f>0.116*(4.19 * 50)</f>
        <v>24.302000000000003</v>
      </c>
      <c r="AD36">
        <f>0.118*(4.19 * 50)</f>
        <v>24.721000000000004</v>
      </c>
      <c r="AE36">
        <f>0.118*(4.19 * 50)</f>
        <v>24.721000000000004</v>
      </c>
      <c r="AF36">
        <f>0.117*(4.19 * 50)</f>
        <v>24.511500000000005</v>
      </c>
      <c r="AG36">
        <f>0.116*(4.19 * 50)</f>
        <v>24.302000000000003</v>
      </c>
    </row>
    <row r="37" spans="1:33" x14ac:dyDescent="0.3">
      <c r="A37" t="s">
        <v>80</v>
      </c>
      <c r="B37">
        <v>356850.867188</v>
      </c>
      <c r="C37">
        <v>6668396.4804689996</v>
      </c>
      <c r="D37" t="s">
        <v>540</v>
      </c>
      <c r="E37">
        <v>100</v>
      </c>
      <c r="F37">
        <v>6</v>
      </c>
      <c r="G37">
        <v>2.8639618138424819E-2</v>
      </c>
      <c r="H37">
        <f t="shared" si="1"/>
        <v>11.656500000000001</v>
      </c>
      <c r="I37">
        <f t="shared" si="0"/>
        <v>209.50000000000003</v>
      </c>
      <c r="J37">
        <f>0.026*(4.19 * 50)</f>
        <v>5.4470000000000001</v>
      </c>
      <c r="K37">
        <f>0.026*(4.19 * 50)</f>
        <v>5.4470000000000001</v>
      </c>
      <c r="L37">
        <f>0.026*(4.19 * 50)</f>
        <v>5.4470000000000001</v>
      </c>
      <c r="M37">
        <f>0.026*(4.19 * 50)</f>
        <v>5.4470000000000001</v>
      </c>
      <c r="N37">
        <f>0.026*(4.19 * 50)</f>
        <v>5.4470000000000001</v>
      </c>
      <c r="O37">
        <f>0.026*(4.19 * 50)</f>
        <v>5.4470000000000001</v>
      </c>
      <c r="P37">
        <f>0.027*(4.19 * 50)</f>
        <v>5.6565000000000003</v>
      </c>
      <c r="Q37">
        <f>0.028*(4.19 * 50)</f>
        <v>5.8660000000000005</v>
      </c>
      <c r="R37">
        <f>0.027*(4.19 * 50)</f>
        <v>5.6565000000000003</v>
      </c>
      <c r="S37">
        <f>0.027*(4.19 * 50)</f>
        <v>5.6565000000000003</v>
      </c>
      <c r="T37">
        <f>0.027*(4.19 * 50)</f>
        <v>5.6565000000000003</v>
      </c>
      <c r="U37">
        <f>0.026*(4.19 * 50)</f>
        <v>5.4470000000000001</v>
      </c>
      <c r="V37">
        <f>0.025*(4.19 * 50)</f>
        <v>5.2375000000000007</v>
      </c>
      <c r="W37">
        <f>0.025*(4.19 * 50)</f>
        <v>5.2375000000000007</v>
      </c>
      <c r="X37">
        <f>0.025*(4.19 * 50)</f>
        <v>5.2375000000000007</v>
      </c>
      <c r="Y37">
        <f>0.025*(4.19 * 50)</f>
        <v>5.2375000000000007</v>
      </c>
      <c r="Z37">
        <f>0.025*(4.19 * 50)</f>
        <v>5.2375000000000007</v>
      </c>
      <c r="AA37">
        <f>0.026*(4.19 * 50)</f>
        <v>5.4470000000000001</v>
      </c>
      <c r="AB37">
        <f>0.026*(4.19 * 50)</f>
        <v>5.4470000000000001</v>
      </c>
      <c r="AC37">
        <f>0.026*(4.19 * 50)</f>
        <v>5.4470000000000001</v>
      </c>
      <c r="AD37">
        <f>0.027*(4.19 * 50)</f>
        <v>5.6565000000000003</v>
      </c>
      <c r="AE37">
        <f>0.027*(4.19 * 50)</f>
        <v>5.6565000000000003</v>
      </c>
      <c r="AF37">
        <f>0.027*(4.19 * 50)</f>
        <v>5.6565000000000003</v>
      </c>
      <c r="AG37">
        <f>0.026*(4.19 * 50)</f>
        <v>5.4470000000000001</v>
      </c>
    </row>
    <row r="38" spans="1:33" x14ac:dyDescent="0.3">
      <c r="A38" t="s">
        <v>81</v>
      </c>
      <c r="B38">
        <v>357618.621094</v>
      </c>
      <c r="C38">
        <v>6667761.1132810004</v>
      </c>
      <c r="D38" t="s">
        <v>545</v>
      </c>
      <c r="E38">
        <v>100</v>
      </c>
      <c r="F38">
        <v>830</v>
      </c>
      <c r="G38">
        <v>3.9618138424820999</v>
      </c>
      <c r="H38">
        <f t="shared" si="1"/>
        <v>1608.7115000000001</v>
      </c>
      <c r="I38">
        <f t="shared" si="0"/>
        <v>209.50000000000003</v>
      </c>
      <c r="J38">
        <f>3.612*(4.19 * 50)</f>
        <v>756.71400000000017</v>
      </c>
      <c r="K38">
        <f>3.584*(4.19 * 50)</f>
        <v>750.84800000000007</v>
      </c>
      <c r="L38">
        <f>3.562*(4.19 * 50)</f>
        <v>746.23900000000003</v>
      </c>
      <c r="M38">
        <f>3.548*(4.19 * 50)</f>
        <v>743.30600000000015</v>
      </c>
      <c r="N38">
        <f>3.562*(4.19 * 50)</f>
        <v>746.23900000000003</v>
      </c>
      <c r="O38">
        <f>3.609*(4.19 * 50)</f>
        <v>756.08550000000014</v>
      </c>
      <c r="P38">
        <f>3.717*(4.19 * 50)</f>
        <v>778.71150000000011</v>
      </c>
      <c r="Q38">
        <f>3.814*(4.19 * 50)</f>
        <v>799.03300000000013</v>
      </c>
      <c r="R38">
        <f>3.782*(4.19 * 50)</f>
        <v>792.32900000000006</v>
      </c>
      <c r="S38">
        <f>3.703*(4.19 * 50)</f>
        <v>775.77850000000012</v>
      </c>
      <c r="T38">
        <f>3.688*(4.19 * 50)</f>
        <v>772.63600000000019</v>
      </c>
      <c r="U38">
        <f>3.533*(4.19 * 50)</f>
        <v>740.16350000000011</v>
      </c>
      <c r="V38">
        <f>3.483*(4.19 * 50)</f>
        <v>729.68850000000009</v>
      </c>
      <c r="W38">
        <f>3.436*(4.19 * 50)</f>
        <v>719.8420000000001</v>
      </c>
      <c r="X38">
        <f>3.425*(4.19 * 50)</f>
        <v>717.53750000000002</v>
      </c>
      <c r="Y38">
        <f>3.432*(4.19 * 50)</f>
        <v>719.00400000000013</v>
      </c>
      <c r="Z38">
        <f>3.468*(4.19 * 50)</f>
        <v>726.54600000000005</v>
      </c>
      <c r="AA38">
        <f>3.533*(4.19 * 50)</f>
        <v>740.16350000000011</v>
      </c>
      <c r="AB38">
        <f>3.584*(4.19 * 50)</f>
        <v>750.84800000000007</v>
      </c>
      <c r="AC38">
        <f>3.649*(4.19 * 50)</f>
        <v>764.46550000000013</v>
      </c>
      <c r="AD38">
        <f>3.71*(4.19 * 50)</f>
        <v>777.24500000000012</v>
      </c>
      <c r="AE38">
        <f>3.735*(4.19 * 50)</f>
        <v>782.48250000000007</v>
      </c>
      <c r="AF38">
        <f>3.703*(4.19 * 50)</f>
        <v>775.77850000000012</v>
      </c>
      <c r="AG38">
        <f>3.652*(4.19 * 50)</f>
        <v>765.09400000000016</v>
      </c>
    </row>
    <row r="39" spans="1:33" x14ac:dyDescent="0.3">
      <c r="A39" t="s">
        <v>82</v>
      </c>
      <c r="B39">
        <v>359830.027344</v>
      </c>
      <c r="C39">
        <v>6667805.0273439996</v>
      </c>
      <c r="D39" t="s">
        <v>541</v>
      </c>
      <c r="E39">
        <v>100</v>
      </c>
      <c r="F39">
        <v>120</v>
      </c>
      <c r="G39">
        <v>0.57279236276849632</v>
      </c>
      <c r="H39">
        <f t="shared" si="1"/>
        <v>232.50150000000002</v>
      </c>
      <c r="I39">
        <f t="shared" si="0"/>
        <v>209.50000000000003</v>
      </c>
      <c r="J39">
        <f>0.522*(4.19 * 50)</f>
        <v>109.35900000000002</v>
      </c>
      <c r="K39">
        <f>0.518*(4.19 * 50)</f>
        <v>108.52100000000002</v>
      </c>
      <c r="L39">
        <f>0.515*(4.19 * 50)</f>
        <v>107.89250000000001</v>
      </c>
      <c r="M39">
        <f>0.513*(4.19 * 50)</f>
        <v>107.47350000000002</v>
      </c>
      <c r="N39">
        <f>0.515*(4.19 * 50)</f>
        <v>107.89250000000001</v>
      </c>
      <c r="O39">
        <f>0.522*(4.19 * 50)</f>
        <v>109.35900000000002</v>
      </c>
      <c r="P39">
        <f>0.537*(4.19 * 50)</f>
        <v>112.50150000000002</v>
      </c>
      <c r="Q39">
        <f>0.551*(4.19 * 50)</f>
        <v>115.43450000000003</v>
      </c>
      <c r="R39">
        <f>0.547*(4.19 * 50)</f>
        <v>114.59650000000002</v>
      </c>
      <c r="S39">
        <f>0.535*(4.19 * 50)</f>
        <v>112.08250000000002</v>
      </c>
      <c r="T39">
        <f>0.533*(4.19 * 50)</f>
        <v>111.66350000000003</v>
      </c>
      <c r="U39">
        <f>0.511*(4.19 * 50)</f>
        <v>107.05450000000002</v>
      </c>
      <c r="V39">
        <f>0.504*(4.19 * 50)</f>
        <v>105.58800000000001</v>
      </c>
      <c r="W39">
        <f>0.497*(4.19 * 50)</f>
        <v>104.12150000000001</v>
      </c>
      <c r="X39">
        <f>0.495*(4.19 * 50)</f>
        <v>103.70250000000001</v>
      </c>
      <c r="Y39">
        <f>0.496*(4.19 * 50)</f>
        <v>103.91200000000002</v>
      </c>
      <c r="Z39">
        <f>0.501*(4.19 * 50)</f>
        <v>104.95950000000002</v>
      </c>
      <c r="AA39">
        <f>0.511*(4.19 * 50)</f>
        <v>107.05450000000002</v>
      </c>
      <c r="AB39">
        <f>0.518*(4.19 * 50)</f>
        <v>108.52100000000002</v>
      </c>
      <c r="AC39">
        <f>0.527*(4.19 * 50)</f>
        <v>110.40650000000002</v>
      </c>
      <c r="AD39">
        <f>0.536*(4.19 * 50)</f>
        <v>112.29200000000002</v>
      </c>
      <c r="AE39">
        <f>0.54*(4.19 * 50)</f>
        <v>113.13000000000002</v>
      </c>
      <c r="AF39">
        <f>0.535*(4.19 * 50)</f>
        <v>112.08250000000002</v>
      </c>
      <c r="AG39">
        <f>0.528*(4.19 * 50)</f>
        <v>110.61600000000001</v>
      </c>
    </row>
    <row r="40" spans="1:33" x14ac:dyDescent="0.3">
      <c r="A40" t="s">
        <v>83</v>
      </c>
      <c r="B40">
        <v>358042.191406</v>
      </c>
      <c r="C40">
        <v>6668992.125</v>
      </c>
      <c r="D40" t="s">
        <v>545</v>
      </c>
      <c r="E40">
        <v>100</v>
      </c>
      <c r="F40">
        <v>109</v>
      </c>
      <c r="G40">
        <v>0.52028639618138417</v>
      </c>
      <c r="H40">
        <f t="shared" si="1"/>
        <v>211.23600000000002</v>
      </c>
      <c r="I40">
        <f t="shared" si="0"/>
        <v>209.50000000000003</v>
      </c>
      <c r="J40">
        <f>0.474*(4.19 * 50)</f>
        <v>99.303000000000011</v>
      </c>
      <c r="K40">
        <f>0.471*(4.19 * 50)</f>
        <v>98.674500000000009</v>
      </c>
      <c r="L40">
        <f>0.468*(4.19 * 50)</f>
        <v>98.046000000000021</v>
      </c>
      <c r="M40">
        <f>0.466*(4.19 * 50)</f>
        <v>97.627000000000024</v>
      </c>
      <c r="N40">
        <f>0.468*(4.19 * 50)</f>
        <v>98.046000000000021</v>
      </c>
      <c r="O40">
        <f>0.474*(4.19 * 50)</f>
        <v>99.303000000000011</v>
      </c>
      <c r="P40">
        <f>0.488*(4.19 * 50)</f>
        <v>102.23600000000002</v>
      </c>
      <c r="Q40">
        <f>0.501*(4.19 * 50)</f>
        <v>104.95950000000002</v>
      </c>
      <c r="R40">
        <f>0.497*(4.19 * 50)</f>
        <v>104.12150000000001</v>
      </c>
      <c r="S40">
        <f>0.486*(4.19 * 50)</f>
        <v>101.81700000000001</v>
      </c>
      <c r="T40">
        <f>0.484*(4.19 * 50)</f>
        <v>101.39800000000001</v>
      </c>
      <c r="U40">
        <f>0.464*(4.19 * 50)</f>
        <v>97.208000000000013</v>
      </c>
      <c r="V40">
        <f>0.457*(4.19 * 50)</f>
        <v>95.741500000000016</v>
      </c>
      <c r="W40">
        <f>0.451*(4.19 * 50)</f>
        <v>94.484500000000011</v>
      </c>
      <c r="X40">
        <f>0.45*(4.19 * 50)</f>
        <v>94.27500000000002</v>
      </c>
      <c r="Y40">
        <f>0.451*(4.19 * 50)</f>
        <v>94.484500000000011</v>
      </c>
      <c r="Z40">
        <f>0.455*(4.19 * 50)</f>
        <v>95.322500000000019</v>
      </c>
      <c r="AA40">
        <f>0.464*(4.19 * 50)</f>
        <v>97.208000000000013</v>
      </c>
      <c r="AB40">
        <f>0.471*(4.19 * 50)</f>
        <v>98.674500000000009</v>
      </c>
      <c r="AC40">
        <f>0.479*(4.19 * 50)</f>
        <v>100.35050000000001</v>
      </c>
      <c r="AD40">
        <f>0.487*(4.19 * 50)</f>
        <v>102.02650000000001</v>
      </c>
      <c r="AE40">
        <f>0.491*(4.19 * 50)</f>
        <v>102.86450000000001</v>
      </c>
      <c r="AF40">
        <f>0.486*(4.19 * 50)</f>
        <v>101.81700000000001</v>
      </c>
      <c r="AG40">
        <f>0.48*(4.19 * 50)</f>
        <v>100.56000000000002</v>
      </c>
    </row>
    <row r="41" spans="1:33" x14ac:dyDescent="0.3">
      <c r="A41" t="s">
        <v>84</v>
      </c>
      <c r="B41">
        <v>357599.585938</v>
      </c>
      <c r="C41">
        <v>6668448.3554689996</v>
      </c>
      <c r="D41" t="s">
        <v>541</v>
      </c>
      <c r="E41">
        <v>100</v>
      </c>
      <c r="F41">
        <v>69.333000183105398</v>
      </c>
      <c r="G41">
        <v>0.33094510827257939</v>
      </c>
      <c r="H41">
        <f t="shared" si="1"/>
        <v>134.27800018310541</v>
      </c>
      <c r="I41">
        <f t="shared" si="0"/>
        <v>209.50000000000003</v>
      </c>
      <c r="J41">
        <f>0.302*(4.19 * 50)</f>
        <v>63.269000000000005</v>
      </c>
      <c r="K41">
        <f>0.299*(4.19 * 50)</f>
        <v>62.640500000000003</v>
      </c>
      <c r="L41">
        <f>0.298*(4.19 * 50)</f>
        <v>62.431000000000004</v>
      </c>
      <c r="M41">
        <f>0.296*(4.19 * 50)</f>
        <v>62.012000000000008</v>
      </c>
      <c r="N41">
        <f>0.298*(4.19 * 50)</f>
        <v>62.431000000000004</v>
      </c>
      <c r="O41">
        <f>0.301*(4.19 * 50)</f>
        <v>63.059500000000007</v>
      </c>
      <c r="P41">
        <f>0.31*(4.19 * 50)</f>
        <v>64.945000000000007</v>
      </c>
      <c r="Q41">
        <f>0.319*(4.19 * 50)</f>
        <v>66.830500000000015</v>
      </c>
      <c r="R41">
        <f>0.316*(4.19 * 50)</f>
        <v>66.202000000000012</v>
      </c>
      <c r="S41">
        <f>0.309*(4.19 * 50)</f>
        <v>64.735500000000002</v>
      </c>
      <c r="T41">
        <f>0.308*(4.19 * 50)</f>
        <v>64.52600000000001</v>
      </c>
      <c r="U41">
        <f>0.295*(4.19 * 50)</f>
        <v>61.802500000000002</v>
      </c>
      <c r="V41">
        <f>0.291*(4.19 * 50)</f>
        <v>60.964500000000001</v>
      </c>
      <c r="W41">
        <f>0.287*(4.19 * 50)</f>
        <v>60.1265</v>
      </c>
      <c r="X41">
        <f>0.286*(4.19 * 50)</f>
        <v>59.917000000000002</v>
      </c>
      <c r="Y41">
        <f>0.287*(4.19 * 50)</f>
        <v>60.1265</v>
      </c>
      <c r="Z41">
        <f>0.29*(4.19 * 50)</f>
        <v>60.755000000000003</v>
      </c>
      <c r="AA41">
        <f>0.295*(4.19 * 50)</f>
        <v>61.802500000000002</v>
      </c>
      <c r="AB41">
        <f>0.299*(4.19 * 50)</f>
        <v>62.640500000000003</v>
      </c>
      <c r="AC41">
        <f>0.305*(4.19 * 50)</f>
        <v>63.897500000000008</v>
      </c>
      <c r="AD41">
        <f>0.31*(4.19 * 50)</f>
        <v>64.945000000000007</v>
      </c>
      <c r="AE41">
        <f>0.312*(4.19 * 50)</f>
        <v>65.364000000000004</v>
      </c>
      <c r="AF41">
        <f>0.309*(4.19 * 50)</f>
        <v>64.735500000000002</v>
      </c>
      <c r="AG41">
        <f>0.305*(4.19 * 50)</f>
        <v>63.897500000000008</v>
      </c>
    </row>
    <row r="42" spans="1:33" x14ac:dyDescent="0.3">
      <c r="A42" t="s">
        <v>85</v>
      </c>
      <c r="B42">
        <v>357491.789063</v>
      </c>
      <c r="C42">
        <v>6668449.6796880001</v>
      </c>
      <c r="D42" t="s">
        <v>542</v>
      </c>
      <c r="E42">
        <v>100</v>
      </c>
      <c r="F42">
        <v>61</v>
      </c>
      <c r="G42">
        <v>0.29116945107398562</v>
      </c>
      <c r="H42">
        <f t="shared" si="1"/>
        <v>118.19350000000001</v>
      </c>
      <c r="I42">
        <f t="shared" si="0"/>
        <v>209.50000000000003</v>
      </c>
      <c r="J42">
        <f>0.265*(4.19 * 50)</f>
        <v>55.517500000000013</v>
      </c>
      <c r="K42">
        <f>0.263*(4.19 * 50)</f>
        <v>55.098500000000008</v>
      </c>
      <c r="L42">
        <f>0.262*(4.19 * 50)</f>
        <v>54.88900000000001</v>
      </c>
      <c r="M42">
        <f>0.261*(4.19 * 50)</f>
        <v>54.679500000000012</v>
      </c>
      <c r="N42">
        <f>0.262*(4.19 * 50)</f>
        <v>54.88900000000001</v>
      </c>
      <c r="O42">
        <f>0.265*(4.19 * 50)</f>
        <v>55.517500000000013</v>
      </c>
      <c r="P42">
        <f>0.273*(4.19 * 50)</f>
        <v>57.193500000000014</v>
      </c>
      <c r="Q42">
        <f>0.28*(4.19 * 50)</f>
        <v>58.660000000000011</v>
      </c>
      <c r="R42">
        <f>0.278*(4.19 * 50)</f>
        <v>58.241000000000014</v>
      </c>
      <c r="S42">
        <f>0.272*(4.19 * 50)</f>
        <v>56.984000000000009</v>
      </c>
      <c r="T42">
        <f>0.271*(4.19 * 50)</f>
        <v>56.77450000000001</v>
      </c>
      <c r="U42">
        <f>0.26*(4.19 * 50)</f>
        <v>54.470000000000006</v>
      </c>
      <c r="V42">
        <f>0.256*(4.19 * 50)</f>
        <v>53.632000000000005</v>
      </c>
      <c r="W42">
        <f>0.253*(4.19 * 50)</f>
        <v>53.00350000000001</v>
      </c>
      <c r="X42">
        <f>0.252*(4.19 * 50)</f>
        <v>52.794000000000004</v>
      </c>
      <c r="Y42">
        <f>0.252*(4.19 * 50)</f>
        <v>52.794000000000004</v>
      </c>
      <c r="Z42">
        <f>0.255*(4.19 * 50)</f>
        <v>53.422500000000007</v>
      </c>
      <c r="AA42">
        <f>0.26*(4.19 * 50)</f>
        <v>54.470000000000006</v>
      </c>
      <c r="AB42">
        <f>0.263*(4.19 * 50)</f>
        <v>55.098500000000008</v>
      </c>
      <c r="AC42">
        <f>0.268*(4.19 * 50)</f>
        <v>56.146000000000008</v>
      </c>
      <c r="AD42">
        <f>0.273*(4.19 * 50)</f>
        <v>57.193500000000014</v>
      </c>
      <c r="AE42">
        <f>0.275*(4.19 * 50)</f>
        <v>57.612500000000011</v>
      </c>
      <c r="AF42">
        <f>0.272*(4.19 * 50)</f>
        <v>56.984000000000009</v>
      </c>
      <c r="AG42">
        <f>0.268*(4.19 * 50)</f>
        <v>56.146000000000008</v>
      </c>
    </row>
    <row r="43" spans="1:33" x14ac:dyDescent="0.3">
      <c r="A43" t="s">
        <v>86</v>
      </c>
      <c r="B43">
        <v>357533.535156</v>
      </c>
      <c r="C43">
        <v>6668082.15625</v>
      </c>
      <c r="D43" t="s">
        <v>542</v>
      </c>
      <c r="E43">
        <v>100</v>
      </c>
      <c r="F43">
        <v>167.33299255371</v>
      </c>
      <c r="G43">
        <v>0.79872550144968968</v>
      </c>
      <c r="H43">
        <f t="shared" si="1"/>
        <v>324.24849255370998</v>
      </c>
      <c r="I43">
        <f t="shared" si="0"/>
        <v>209.50000000000003</v>
      </c>
      <c r="J43">
        <f>0.728*(4.19 * 50)</f>
        <v>152.51600000000002</v>
      </c>
      <c r="K43">
        <f>0.722*(4.19 * 50)</f>
        <v>151.25900000000001</v>
      </c>
      <c r="L43">
        <f>0.718*(4.19 * 50)</f>
        <v>150.42100000000002</v>
      </c>
      <c r="M43">
        <f>0.715*(4.19 * 50)</f>
        <v>149.79250000000002</v>
      </c>
      <c r="N43">
        <f>0.718*(4.19 * 50)</f>
        <v>150.42100000000002</v>
      </c>
      <c r="O43">
        <f>0.728*(4.19 * 50)</f>
        <v>152.51600000000002</v>
      </c>
      <c r="P43">
        <f>0.749*(4.19 * 50)</f>
        <v>156.91550000000001</v>
      </c>
      <c r="Q43">
        <f>0.769*(4.19 * 50)</f>
        <v>161.10550000000003</v>
      </c>
      <c r="R43">
        <f>0.762*(4.19 * 50)</f>
        <v>159.63900000000001</v>
      </c>
      <c r="S43">
        <f>0.746*(4.19 * 50)</f>
        <v>156.28700000000003</v>
      </c>
      <c r="T43">
        <f>0.744*(4.19 * 50)</f>
        <v>155.86800000000002</v>
      </c>
      <c r="U43">
        <f>0.712*(4.19 * 50)</f>
        <v>149.16400000000002</v>
      </c>
      <c r="V43">
        <f>0.702*(4.19 * 50)</f>
        <v>147.06900000000002</v>
      </c>
      <c r="W43">
        <f>0.693*(4.19 * 50)</f>
        <v>145.18350000000001</v>
      </c>
      <c r="X43">
        <f>0.69*(4.19 * 50)</f>
        <v>144.55500000000001</v>
      </c>
      <c r="Y43">
        <f>0.692*(4.19 * 50)</f>
        <v>144.97400000000002</v>
      </c>
      <c r="Z43">
        <f>0.699*(4.19 * 50)</f>
        <v>146.44050000000001</v>
      </c>
      <c r="AA43">
        <f>0.712*(4.19 * 50)</f>
        <v>149.16400000000002</v>
      </c>
      <c r="AB43">
        <f>0.722*(4.19 * 50)</f>
        <v>151.25900000000001</v>
      </c>
      <c r="AC43">
        <f>0.736*(4.19 * 50)</f>
        <v>154.19200000000001</v>
      </c>
      <c r="AD43">
        <f>0.748*(4.19 * 50)</f>
        <v>156.70600000000002</v>
      </c>
      <c r="AE43">
        <f>0.753*(4.19 * 50)</f>
        <v>157.75350000000003</v>
      </c>
      <c r="AF43">
        <f>0.746*(4.19 * 50)</f>
        <v>156.28700000000003</v>
      </c>
      <c r="AG43">
        <f>0.736*(4.19 * 50)</f>
        <v>154.19200000000001</v>
      </c>
    </row>
    <row r="44" spans="1:33" x14ac:dyDescent="0.3">
      <c r="A44" t="s">
        <v>87</v>
      </c>
      <c r="B44">
        <v>356792.675781</v>
      </c>
      <c r="C44">
        <v>6668019.1445310004</v>
      </c>
      <c r="D44" t="s">
        <v>540</v>
      </c>
      <c r="E44">
        <v>100</v>
      </c>
      <c r="F44">
        <v>6</v>
      </c>
      <c r="G44">
        <v>2.8639618138424819E-2</v>
      </c>
      <c r="H44">
        <f t="shared" si="1"/>
        <v>11.656500000000001</v>
      </c>
      <c r="I44">
        <f t="shared" si="0"/>
        <v>209.50000000000003</v>
      </c>
      <c r="J44">
        <f>0.026*(4.19 * 50)</f>
        <v>5.4470000000000001</v>
      </c>
      <c r="K44">
        <f>0.026*(4.19 * 50)</f>
        <v>5.4470000000000001</v>
      </c>
      <c r="L44">
        <f>0.026*(4.19 * 50)</f>
        <v>5.4470000000000001</v>
      </c>
      <c r="M44">
        <f>0.026*(4.19 * 50)</f>
        <v>5.4470000000000001</v>
      </c>
      <c r="N44">
        <f>0.026*(4.19 * 50)</f>
        <v>5.4470000000000001</v>
      </c>
      <c r="O44">
        <f>0.026*(4.19 * 50)</f>
        <v>5.4470000000000001</v>
      </c>
      <c r="P44">
        <f>0.027*(4.19 * 50)</f>
        <v>5.6565000000000003</v>
      </c>
      <c r="Q44">
        <f>0.028*(4.19 * 50)</f>
        <v>5.8660000000000005</v>
      </c>
      <c r="R44">
        <f>0.027*(4.19 * 50)</f>
        <v>5.6565000000000003</v>
      </c>
      <c r="S44">
        <f>0.027*(4.19 * 50)</f>
        <v>5.6565000000000003</v>
      </c>
      <c r="T44">
        <f>0.027*(4.19 * 50)</f>
        <v>5.6565000000000003</v>
      </c>
      <c r="U44">
        <f>0.026*(4.19 * 50)</f>
        <v>5.4470000000000001</v>
      </c>
      <c r="V44">
        <f>0.025*(4.19 * 50)</f>
        <v>5.2375000000000007</v>
      </c>
      <c r="W44">
        <f>0.025*(4.19 * 50)</f>
        <v>5.2375000000000007</v>
      </c>
      <c r="X44">
        <f>0.025*(4.19 * 50)</f>
        <v>5.2375000000000007</v>
      </c>
      <c r="Y44">
        <f>0.025*(4.19 * 50)</f>
        <v>5.2375000000000007</v>
      </c>
      <c r="Z44">
        <f>0.025*(4.19 * 50)</f>
        <v>5.2375000000000007</v>
      </c>
      <c r="AA44">
        <f>0.026*(4.19 * 50)</f>
        <v>5.4470000000000001</v>
      </c>
      <c r="AB44">
        <f>0.026*(4.19 * 50)</f>
        <v>5.4470000000000001</v>
      </c>
      <c r="AC44">
        <f>0.026*(4.19 * 50)</f>
        <v>5.4470000000000001</v>
      </c>
      <c r="AD44">
        <f>0.027*(4.19 * 50)</f>
        <v>5.6565000000000003</v>
      </c>
      <c r="AE44">
        <f>0.027*(4.19 * 50)</f>
        <v>5.6565000000000003</v>
      </c>
      <c r="AF44">
        <f>0.027*(4.19 * 50)</f>
        <v>5.6565000000000003</v>
      </c>
      <c r="AG44">
        <f>0.026*(4.19 * 50)</f>
        <v>5.4470000000000001</v>
      </c>
    </row>
    <row r="45" spans="1:33" x14ac:dyDescent="0.3">
      <c r="A45" t="s">
        <v>88</v>
      </c>
      <c r="B45">
        <v>359489.019531</v>
      </c>
      <c r="C45">
        <v>6667661.2890630001</v>
      </c>
      <c r="D45" t="s">
        <v>545</v>
      </c>
      <c r="E45">
        <v>100</v>
      </c>
      <c r="F45">
        <v>113</v>
      </c>
      <c r="G45">
        <v>0.539379474940334</v>
      </c>
      <c r="H45">
        <f t="shared" si="1"/>
        <v>219.00700000000001</v>
      </c>
      <c r="I45">
        <f t="shared" si="0"/>
        <v>209.50000000000003</v>
      </c>
      <c r="J45">
        <f>0.492*(4.19 * 50)</f>
        <v>103.07400000000001</v>
      </c>
      <c r="K45">
        <f>0.488*(4.19 * 50)</f>
        <v>102.23600000000002</v>
      </c>
      <c r="L45">
        <f>0.485*(4.19 * 50)</f>
        <v>101.60750000000002</v>
      </c>
      <c r="M45">
        <f>0.483*(4.19 * 50)</f>
        <v>101.1885</v>
      </c>
      <c r="N45">
        <f>0.485*(4.19 * 50)</f>
        <v>101.60750000000002</v>
      </c>
      <c r="O45">
        <f>0.491*(4.19 * 50)</f>
        <v>102.86450000000001</v>
      </c>
      <c r="P45">
        <f>0.506*(4.19 * 50)</f>
        <v>106.00700000000002</v>
      </c>
      <c r="Q45">
        <f>0.519*(4.19 * 50)</f>
        <v>108.73050000000002</v>
      </c>
      <c r="R45">
        <f>0.515*(4.19 * 50)</f>
        <v>107.89250000000001</v>
      </c>
      <c r="S45">
        <f>0.504*(4.19 * 50)</f>
        <v>105.58800000000001</v>
      </c>
      <c r="T45">
        <f>0.502*(4.19 * 50)</f>
        <v>105.16900000000001</v>
      </c>
      <c r="U45">
        <f>0.481*(4.19 * 50)</f>
        <v>100.76950000000001</v>
      </c>
      <c r="V45">
        <f>0.474*(4.19 * 50)</f>
        <v>99.303000000000011</v>
      </c>
      <c r="W45">
        <f>0.468*(4.19 * 50)</f>
        <v>98.046000000000021</v>
      </c>
      <c r="X45">
        <f>0.466*(4.19 * 50)</f>
        <v>97.627000000000024</v>
      </c>
      <c r="Y45">
        <f>0.467*(4.19 * 50)</f>
        <v>97.836500000000015</v>
      </c>
      <c r="Z45">
        <f>0.472*(4.19 * 50)</f>
        <v>98.884000000000015</v>
      </c>
      <c r="AA45">
        <f>0.481*(4.19 * 50)</f>
        <v>100.76950000000001</v>
      </c>
      <c r="AB45">
        <f>0.488*(4.19 * 50)</f>
        <v>102.23600000000002</v>
      </c>
      <c r="AC45">
        <f>0.497*(4.19 * 50)</f>
        <v>104.12150000000001</v>
      </c>
      <c r="AD45">
        <f>0.505*(4.19 * 50)</f>
        <v>105.79750000000001</v>
      </c>
      <c r="AE45">
        <f>0.509*(4.19 * 50)</f>
        <v>106.63550000000002</v>
      </c>
      <c r="AF45">
        <f>0.504*(4.19 * 50)</f>
        <v>105.58800000000001</v>
      </c>
      <c r="AG45">
        <f>0.497*(4.19 * 50)</f>
        <v>104.12150000000001</v>
      </c>
    </row>
    <row r="46" spans="1:33" x14ac:dyDescent="0.3">
      <c r="A46" t="s">
        <v>89</v>
      </c>
      <c r="B46">
        <v>357461.875</v>
      </c>
      <c r="C46">
        <v>6668430.296875</v>
      </c>
      <c r="D46" t="s">
        <v>541</v>
      </c>
      <c r="E46">
        <v>100</v>
      </c>
      <c r="F46">
        <v>26</v>
      </c>
      <c r="G46">
        <v>0.12410501193317421</v>
      </c>
      <c r="H46">
        <f t="shared" si="1"/>
        <v>50.302000000000007</v>
      </c>
      <c r="I46">
        <f t="shared" si="0"/>
        <v>209.50000000000003</v>
      </c>
      <c r="J46">
        <f>0.113*(4.19 * 50)</f>
        <v>23.673500000000004</v>
      </c>
      <c r="K46">
        <f>0.112*(4.19 * 50)</f>
        <v>23.464000000000002</v>
      </c>
      <c r="L46">
        <f>0.112*(4.19 * 50)</f>
        <v>23.464000000000002</v>
      </c>
      <c r="M46">
        <f>0.111*(4.19 * 50)</f>
        <v>23.254500000000004</v>
      </c>
      <c r="N46">
        <f>0.112*(4.19 * 50)</f>
        <v>23.464000000000002</v>
      </c>
      <c r="O46">
        <f>0.113*(4.19 * 50)</f>
        <v>23.673500000000004</v>
      </c>
      <c r="P46">
        <f>0.116*(4.19 * 50)</f>
        <v>24.302000000000003</v>
      </c>
      <c r="Q46">
        <f>0.119*(4.19 * 50)</f>
        <v>24.930500000000002</v>
      </c>
      <c r="R46">
        <f>0.118*(4.19 * 50)</f>
        <v>24.721000000000004</v>
      </c>
      <c r="S46">
        <f>0.116*(4.19 * 50)</f>
        <v>24.302000000000003</v>
      </c>
      <c r="T46">
        <f>0.116*(4.19 * 50)</f>
        <v>24.302000000000003</v>
      </c>
      <c r="U46">
        <f>0.111*(4.19 * 50)</f>
        <v>23.254500000000004</v>
      </c>
      <c r="V46">
        <f>0.109*(4.19 * 50)</f>
        <v>22.835500000000003</v>
      </c>
      <c r="W46">
        <f>0.108*(4.19 * 50)</f>
        <v>22.626000000000001</v>
      </c>
      <c r="X46">
        <f>0.107*(4.19 * 50)</f>
        <v>22.416500000000003</v>
      </c>
      <c r="Y46">
        <f>0.108*(4.19 * 50)</f>
        <v>22.626000000000001</v>
      </c>
      <c r="Z46">
        <f>0.109*(4.19 * 50)</f>
        <v>22.835500000000003</v>
      </c>
      <c r="AA46">
        <f>0.111*(4.19 * 50)</f>
        <v>23.254500000000004</v>
      </c>
      <c r="AB46">
        <f>0.112*(4.19 * 50)</f>
        <v>23.464000000000002</v>
      </c>
      <c r="AC46">
        <f>0.114*(4.19 * 50)</f>
        <v>23.883000000000003</v>
      </c>
      <c r="AD46">
        <f>0.116*(4.19 * 50)</f>
        <v>24.302000000000003</v>
      </c>
      <c r="AE46">
        <f>0.117*(4.19 * 50)</f>
        <v>24.511500000000005</v>
      </c>
      <c r="AF46">
        <f>0.116*(4.19 * 50)</f>
        <v>24.302000000000003</v>
      </c>
      <c r="AG46">
        <f>0.114*(4.19 * 50)</f>
        <v>23.883000000000003</v>
      </c>
    </row>
    <row r="47" spans="1:33" x14ac:dyDescent="0.3">
      <c r="A47" t="s">
        <v>90</v>
      </c>
      <c r="B47">
        <v>357440.535156</v>
      </c>
      <c r="C47">
        <v>6668360.2890630001</v>
      </c>
      <c r="D47" t="s">
        <v>542</v>
      </c>
      <c r="E47">
        <v>100</v>
      </c>
      <c r="F47">
        <v>32</v>
      </c>
      <c r="G47">
        <v>0.152744630071599</v>
      </c>
      <c r="H47">
        <f t="shared" si="1"/>
        <v>61.958500000000001</v>
      </c>
      <c r="I47">
        <f t="shared" si="0"/>
        <v>209.50000000000003</v>
      </c>
      <c r="J47">
        <f>0.139*(4.19 * 50)</f>
        <v>29.120500000000007</v>
      </c>
      <c r="K47">
        <f>0.138*(4.19 * 50)</f>
        <v>28.911000000000005</v>
      </c>
      <c r="L47">
        <f>0.137*(4.19 * 50)</f>
        <v>28.701500000000006</v>
      </c>
      <c r="M47">
        <f>0.137*(4.19 * 50)</f>
        <v>28.701500000000006</v>
      </c>
      <c r="N47">
        <f>0.137*(4.19 * 50)</f>
        <v>28.701500000000006</v>
      </c>
      <c r="O47">
        <f>0.139*(4.19 * 50)</f>
        <v>29.120500000000007</v>
      </c>
      <c r="P47">
        <f>0.143*(4.19 * 50)</f>
        <v>29.958500000000001</v>
      </c>
      <c r="Q47">
        <f>0.147*(4.19 * 50)</f>
        <v>30.796500000000002</v>
      </c>
      <c r="R47">
        <f>0.146*(4.19 * 50)</f>
        <v>30.587000000000003</v>
      </c>
      <c r="S47">
        <f>0.143*(4.19 * 50)</f>
        <v>29.958500000000001</v>
      </c>
      <c r="T47">
        <f>0.142*(4.19 * 50)</f>
        <v>29.749000000000002</v>
      </c>
      <c r="U47">
        <f>0.136*(4.19 * 50)</f>
        <v>28.492000000000004</v>
      </c>
      <c r="V47">
        <f>0.134*(4.19 * 50)</f>
        <v>28.073000000000004</v>
      </c>
      <c r="W47">
        <f>0.132*(4.19 * 50)</f>
        <v>27.654000000000003</v>
      </c>
      <c r="X47">
        <f>0.132*(4.19 * 50)</f>
        <v>27.654000000000003</v>
      </c>
      <c r="Y47">
        <f>0.132*(4.19 * 50)</f>
        <v>27.654000000000003</v>
      </c>
      <c r="Z47">
        <f>0.134*(4.19 * 50)</f>
        <v>28.073000000000004</v>
      </c>
      <c r="AA47">
        <f>0.136*(4.19 * 50)</f>
        <v>28.492000000000004</v>
      </c>
      <c r="AB47">
        <f>0.138*(4.19 * 50)</f>
        <v>28.911000000000005</v>
      </c>
      <c r="AC47">
        <f>0.141*(4.19 * 50)</f>
        <v>29.5395</v>
      </c>
      <c r="AD47">
        <f>0.143*(4.19 * 50)</f>
        <v>29.958500000000001</v>
      </c>
      <c r="AE47">
        <f>0.144*(4.19 * 50)</f>
        <v>30.168000000000003</v>
      </c>
      <c r="AF47">
        <f>0.143*(4.19 * 50)</f>
        <v>29.958500000000001</v>
      </c>
      <c r="AG47">
        <f>0.141*(4.19 * 50)</f>
        <v>29.5395</v>
      </c>
    </row>
    <row r="48" spans="1:33" x14ac:dyDescent="0.3">
      <c r="A48" t="s">
        <v>91</v>
      </c>
      <c r="B48">
        <v>358026.808594</v>
      </c>
      <c r="C48">
        <v>6668557.3007810004</v>
      </c>
      <c r="D48" t="s">
        <v>540</v>
      </c>
      <c r="E48">
        <v>100</v>
      </c>
      <c r="F48">
        <v>12</v>
      </c>
      <c r="G48">
        <v>5.7279236276849638E-2</v>
      </c>
      <c r="H48">
        <f t="shared" si="1"/>
        <v>23.313000000000002</v>
      </c>
      <c r="I48">
        <f t="shared" si="0"/>
        <v>209.50000000000003</v>
      </c>
      <c r="J48">
        <f>0.052*(4.19 * 50)</f>
        <v>10.894</v>
      </c>
      <c r="K48">
        <f>0.052*(4.19 * 50)</f>
        <v>10.894</v>
      </c>
      <c r="L48">
        <f>0.051*(4.19 * 50)</f>
        <v>10.6845</v>
      </c>
      <c r="M48">
        <f>0.051*(4.19 * 50)</f>
        <v>10.6845</v>
      </c>
      <c r="N48">
        <f>0.051*(4.19 * 50)</f>
        <v>10.6845</v>
      </c>
      <c r="O48">
        <f>0.052*(4.19 * 50)</f>
        <v>10.894</v>
      </c>
      <c r="P48">
        <f>0.054*(4.19 * 50)</f>
        <v>11.313000000000001</v>
      </c>
      <c r="Q48">
        <f>0.055*(4.19 * 50)</f>
        <v>11.522500000000001</v>
      </c>
      <c r="R48">
        <f>0.055*(4.19 * 50)</f>
        <v>11.522500000000001</v>
      </c>
      <c r="S48">
        <f>0.054*(4.19 * 50)</f>
        <v>11.313000000000001</v>
      </c>
      <c r="T48">
        <f>0.053*(4.19 * 50)</f>
        <v>11.1035</v>
      </c>
      <c r="U48">
        <f>0.051*(4.19 * 50)</f>
        <v>10.6845</v>
      </c>
      <c r="V48">
        <f>0.05*(4.19 * 50)</f>
        <v>10.475000000000001</v>
      </c>
      <c r="W48">
        <f>0.05*(4.19 * 50)</f>
        <v>10.475000000000001</v>
      </c>
      <c r="X48">
        <f>0.05*(4.19 * 50)</f>
        <v>10.475000000000001</v>
      </c>
      <c r="Y48">
        <f>0.05*(4.19 * 50)</f>
        <v>10.475000000000001</v>
      </c>
      <c r="Z48">
        <f>0.05*(4.19 * 50)</f>
        <v>10.475000000000001</v>
      </c>
      <c r="AA48">
        <f>0.051*(4.19 * 50)</f>
        <v>10.6845</v>
      </c>
      <c r="AB48">
        <f>0.052*(4.19 * 50)</f>
        <v>10.894</v>
      </c>
      <c r="AC48">
        <f>0.053*(4.19 * 50)</f>
        <v>11.1035</v>
      </c>
      <c r="AD48">
        <f>0.054*(4.19 * 50)</f>
        <v>11.313000000000001</v>
      </c>
      <c r="AE48">
        <f>0.054*(4.19 * 50)</f>
        <v>11.313000000000001</v>
      </c>
      <c r="AF48">
        <f>0.054*(4.19 * 50)</f>
        <v>11.313000000000001</v>
      </c>
      <c r="AG48">
        <f>0.053*(4.19 * 50)</f>
        <v>11.1035</v>
      </c>
    </row>
    <row r="49" spans="1:33" x14ac:dyDescent="0.3">
      <c r="A49" t="s">
        <v>92</v>
      </c>
      <c r="B49">
        <v>359672.203125</v>
      </c>
      <c r="C49">
        <v>6667725.890625</v>
      </c>
      <c r="D49" t="s">
        <v>541</v>
      </c>
      <c r="E49">
        <v>100</v>
      </c>
      <c r="F49">
        <v>81</v>
      </c>
      <c r="G49">
        <v>0.38663484486873501</v>
      </c>
      <c r="H49">
        <f t="shared" si="1"/>
        <v>157.04849999999999</v>
      </c>
      <c r="I49">
        <f t="shared" si="0"/>
        <v>209.50000000000003</v>
      </c>
      <c r="J49">
        <f>0.353*(4.19 * 50)</f>
        <v>73.953500000000005</v>
      </c>
      <c r="K49">
        <f>0.35*(4.19 * 50)</f>
        <v>73.325000000000003</v>
      </c>
      <c r="L49">
        <f>0.348*(4.19 * 50)</f>
        <v>72.906000000000006</v>
      </c>
      <c r="M49">
        <f>0.346*(4.19 * 50)</f>
        <v>72.487000000000009</v>
      </c>
      <c r="N49">
        <f>0.348*(4.19 * 50)</f>
        <v>72.906000000000006</v>
      </c>
      <c r="O49">
        <f>0.352*(4.19 * 50)</f>
        <v>73.744</v>
      </c>
      <c r="P49">
        <f>0.363*(4.19 * 50)</f>
        <v>76.048500000000004</v>
      </c>
      <c r="Q49">
        <f>0.372*(4.19 * 50)</f>
        <v>77.934000000000012</v>
      </c>
      <c r="R49">
        <f>0.369*(4.19 * 50)</f>
        <v>77.305500000000009</v>
      </c>
      <c r="S49">
        <f>0.361*(4.19 * 50)</f>
        <v>75.629500000000007</v>
      </c>
      <c r="T49">
        <f>0.36*(4.19 * 50)</f>
        <v>75.42</v>
      </c>
      <c r="U49">
        <f>0.345*(4.19 * 50)</f>
        <v>72.277500000000003</v>
      </c>
      <c r="V49">
        <f>0.34*(4.19 * 50)</f>
        <v>71.230000000000018</v>
      </c>
      <c r="W49">
        <f>0.335*(4.19 * 50)</f>
        <v>70.182500000000019</v>
      </c>
      <c r="X49">
        <f>0.334*(4.19 * 50)</f>
        <v>69.973000000000013</v>
      </c>
      <c r="Y49">
        <f>0.335*(4.19 * 50)</f>
        <v>70.182500000000019</v>
      </c>
      <c r="Z49">
        <f>0.338*(4.19 * 50)</f>
        <v>70.811000000000021</v>
      </c>
      <c r="AA49">
        <f>0.345*(4.19 * 50)</f>
        <v>72.277500000000003</v>
      </c>
      <c r="AB49">
        <f>0.35*(4.19 * 50)</f>
        <v>73.325000000000003</v>
      </c>
      <c r="AC49">
        <f>0.356*(4.19 * 50)</f>
        <v>74.582000000000008</v>
      </c>
      <c r="AD49">
        <f>0.362*(4.19 * 50)</f>
        <v>75.839000000000013</v>
      </c>
      <c r="AE49">
        <f>0.365*(4.19 * 50)</f>
        <v>76.467500000000015</v>
      </c>
      <c r="AF49">
        <f>0.361*(4.19 * 50)</f>
        <v>75.629500000000007</v>
      </c>
      <c r="AG49">
        <f>0.356*(4.19 * 50)</f>
        <v>74.582000000000008</v>
      </c>
    </row>
    <row r="50" spans="1:33" x14ac:dyDescent="0.3">
      <c r="A50" t="s">
        <v>93</v>
      </c>
      <c r="B50">
        <v>359661.917969</v>
      </c>
      <c r="C50">
        <v>6667695.0703130001</v>
      </c>
      <c r="D50" t="s">
        <v>542</v>
      </c>
      <c r="E50">
        <v>100</v>
      </c>
      <c r="F50">
        <v>81.333000183105398</v>
      </c>
      <c r="G50">
        <v>0.38822434454942911</v>
      </c>
      <c r="H50">
        <f t="shared" si="1"/>
        <v>157.59100018310539</v>
      </c>
      <c r="I50">
        <f t="shared" si="0"/>
        <v>209.50000000000003</v>
      </c>
      <c r="J50">
        <f>0.354*(4.19 * 50)</f>
        <v>74.163000000000011</v>
      </c>
      <c r="K50">
        <f>0.351*(4.19 * 50)</f>
        <v>73.534500000000008</v>
      </c>
      <c r="L50">
        <f>0.349*(4.19 * 50)</f>
        <v>73.115500000000011</v>
      </c>
      <c r="M50">
        <f>0.348*(4.19 * 50)</f>
        <v>72.906000000000006</v>
      </c>
      <c r="N50">
        <f>0.349*(4.19 * 50)</f>
        <v>73.115500000000011</v>
      </c>
      <c r="O50">
        <f>0.354*(4.19 * 50)</f>
        <v>74.163000000000011</v>
      </c>
      <c r="P50">
        <f>0.364*(4.19 * 50)</f>
        <v>76.25800000000001</v>
      </c>
      <c r="Q50">
        <f>0.374*(4.19 * 50)</f>
        <v>78.353000000000009</v>
      </c>
      <c r="R50">
        <f>0.371*(4.19 * 50)</f>
        <v>77.724500000000006</v>
      </c>
      <c r="S50">
        <f>0.363*(4.19 * 50)</f>
        <v>76.048500000000004</v>
      </c>
      <c r="T50">
        <f>0.361*(4.19 * 50)</f>
        <v>75.629500000000007</v>
      </c>
      <c r="U50">
        <f>0.346*(4.19 * 50)</f>
        <v>72.487000000000009</v>
      </c>
      <c r="V50">
        <f>0.341*(4.19 * 50)</f>
        <v>71.43950000000001</v>
      </c>
      <c r="W50">
        <f>0.337*(4.19 * 50)</f>
        <v>70.601500000000016</v>
      </c>
      <c r="X50">
        <f>0.336*(4.19 * 50)</f>
        <v>70.39200000000001</v>
      </c>
      <c r="Y50">
        <f>0.336*(4.19 * 50)</f>
        <v>70.39200000000001</v>
      </c>
      <c r="Z50">
        <f>0.34*(4.19 * 50)</f>
        <v>71.230000000000018</v>
      </c>
      <c r="AA50">
        <f>0.346*(4.19 * 50)</f>
        <v>72.487000000000009</v>
      </c>
      <c r="AB50">
        <f>0.351*(4.19 * 50)</f>
        <v>73.534500000000008</v>
      </c>
      <c r="AC50">
        <f>0.358*(4.19 * 50)</f>
        <v>75.001000000000005</v>
      </c>
      <c r="AD50">
        <f>0.364*(4.19 * 50)</f>
        <v>76.25800000000001</v>
      </c>
      <c r="AE50">
        <f>0.366*(4.19 * 50)</f>
        <v>76.677000000000007</v>
      </c>
      <c r="AF50">
        <f>0.363*(4.19 * 50)</f>
        <v>76.048500000000004</v>
      </c>
      <c r="AG50">
        <f>0.358*(4.19 * 50)</f>
        <v>75.001000000000005</v>
      </c>
    </row>
    <row r="51" spans="1:33" x14ac:dyDescent="0.3">
      <c r="A51" t="s">
        <v>94</v>
      </c>
      <c r="B51">
        <v>357036.785156</v>
      </c>
      <c r="C51">
        <v>6668234.2304689996</v>
      </c>
      <c r="D51" t="s">
        <v>540</v>
      </c>
      <c r="E51">
        <v>100</v>
      </c>
      <c r="F51">
        <v>11</v>
      </c>
      <c r="G51">
        <v>5.2505966587112173E-2</v>
      </c>
      <c r="H51">
        <f t="shared" si="1"/>
        <v>21.265500000000003</v>
      </c>
      <c r="I51">
        <f t="shared" si="0"/>
        <v>209.50000000000003</v>
      </c>
      <c r="J51">
        <f>0.048*(4.19 * 50)</f>
        <v>10.056000000000001</v>
      </c>
      <c r="K51">
        <f>0.047*(4.19 * 50)</f>
        <v>9.8465000000000007</v>
      </c>
      <c r="L51">
        <f>0.047*(4.19 * 50)</f>
        <v>9.8465000000000007</v>
      </c>
      <c r="M51">
        <f>0.047*(4.19 * 50)</f>
        <v>9.8465000000000007</v>
      </c>
      <c r="N51">
        <f>0.047*(4.19 * 50)</f>
        <v>9.8465000000000007</v>
      </c>
      <c r="O51">
        <f>0.048*(4.19 * 50)</f>
        <v>10.056000000000001</v>
      </c>
      <c r="P51">
        <f>0.049*(4.19 * 50)</f>
        <v>10.265500000000001</v>
      </c>
      <c r="Q51">
        <f>0.051*(4.19 * 50)</f>
        <v>10.6845</v>
      </c>
      <c r="R51">
        <f>0.05*(4.19 * 50)</f>
        <v>10.475000000000001</v>
      </c>
      <c r="S51">
        <f>0.049*(4.19 * 50)</f>
        <v>10.265500000000001</v>
      </c>
      <c r="T51">
        <f>0.049*(4.19 * 50)</f>
        <v>10.265500000000001</v>
      </c>
      <c r="U51">
        <f>0.047*(4.19 * 50)</f>
        <v>9.8465000000000007</v>
      </c>
      <c r="V51">
        <f>0.046*(4.19 * 50)</f>
        <v>9.6370000000000005</v>
      </c>
      <c r="W51">
        <f>0.046*(4.19 * 50)</f>
        <v>9.6370000000000005</v>
      </c>
      <c r="X51">
        <f>0.045*(4.19 * 50)</f>
        <v>9.4275000000000002</v>
      </c>
      <c r="Y51">
        <f>0.045*(4.19 * 50)</f>
        <v>9.4275000000000002</v>
      </c>
      <c r="Z51">
        <f>0.046*(4.19 * 50)</f>
        <v>9.6370000000000005</v>
      </c>
      <c r="AA51">
        <f>0.047*(4.19 * 50)</f>
        <v>9.8465000000000007</v>
      </c>
      <c r="AB51">
        <f>0.047*(4.19 * 50)</f>
        <v>9.8465000000000007</v>
      </c>
      <c r="AC51">
        <f>0.048*(4.19 * 50)</f>
        <v>10.056000000000001</v>
      </c>
      <c r="AD51">
        <f>0.049*(4.19 * 50)</f>
        <v>10.265500000000001</v>
      </c>
      <c r="AE51">
        <f>0.05*(4.19 * 50)</f>
        <v>10.475000000000001</v>
      </c>
      <c r="AF51">
        <f>0.049*(4.19 * 50)</f>
        <v>10.265500000000001</v>
      </c>
      <c r="AG51">
        <f>0.048*(4.19 * 50)</f>
        <v>10.056000000000001</v>
      </c>
    </row>
    <row r="52" spans="1:33" x14ac:dyDescent="0.3">
      <c r="A52" t="s">
        <v>95</v>
      </c>
      <c r="B52">
        <v>357428.632813</v>
      </c>
      <c r="C52">
        <v>6667671.5117189996</v>
      </c>
      <c r="D52" t="s">
        <v>542</v>
      </c>
      <c r="E52">
        <v>100</v>
      </c>
      <c r="F52">
        <v>86.333000183105398</v>
      </c>
      <c r="G52">
        <v>0.4120906929981164</v>
      </c>
      <c r="H52">
        <f t="shared" si="1"/>
        <v>167.40950018310542</v>
      </c>
      <c r="I52">
        <f t="shared" si="0"/>
        <v>209.50000000000003</v>
      </c>
      <c r="J52">
        <f>0.376*(4.19 * 50)</f>
        <v>78.772000000000006</v>
      </c>
      <c r="K52">
        <f>0.373*(4.19 * 50)</f>
        <v>78.143500000000017</v>
      </c>
      <c r="L52">
        <f>0.371*(4.19 * 50)</f>
        <v>77.724500000000006</v>
      </c>
      <c r="M52">
        <f>0.369*(4.19 * 50)</f>
        <v>77.305500000000009</v>
      </c>
      <c r="N52">
        <f>0.371*(4.19 * 50)</f>
        <v>77.724500000000006</v>
      </c>
      <c r="O52">
        <f>0.375*(4.19 * 50)</f>
        <v>78.562500000000014</v>
      </c>
      <c r="P52">
        <f>0.387*(4.19 * 50)</f>
        <v>81.07650000000001</v>
      </c>
      <c r="Q52">
        <f>0.397*(4.19 * 50)</f>
        <v>83.171500000000009</v>
      </c>
      <c r="R52">
        <f>0.393*(4.19 * 50)</f>
        <v>82.333500000000015</v>
      </c>
      <c r="S52">
        <f>0.385*(4.19 * 50)</f>
        <v>80.657500000000013</v>
      </c>
      <c r="T52">
        <f>0.384*(4.19 * 50)</f>
        <v>80.448000000000008</v>
      </c>
      <c r="U52">
        <f>0.368*(4.19 * 50)</f>
        <v>77.096000000000004</v>
      </c>
      <c r="V52">
        <f>0.362*(4.19 * 50)</f>
        <v>75.839000000000013</v>
      </c>
      <c r="W52">
        <f>0.357*(4.19 * 50)</f>
        <v>74.791500000000013</v>
      </c>
      <c r="X52">
        <f>0.356*(4.19 * 50)</f>
        <v>74.582000000000008</v>
      </c>
      <c r="Y52">
        <f>0.357*(4.19 * 50)</f>
        <v>74.791500000000013</v>
      </c>
      <c r="Z52">
        <f>0.361*(4.19 * 50)</f>
        <v>75.629500000000007</v>
      </c>
      <c r="AA52">
        <f>0.368*(4.19 * 50)</f>
        <v>77.096000000000004</v>
      </c>
      <c r="AB52">
        <f>0.373*(4.19 * 50)</f>
        <v>78.143500000000017</v>
      </c>
      <c r="AC52">
        <f>0.38*(4.19 * 50)</f>
        <v>79.610000000000014</v>
      </c>
      <c r="AD52">
        <f>0.386*(4.19 * 50)</f>
        <v>80.867000000000019</v>
      </c>
      <c r="AE52">
        <f>0.389*(4.19 * 50)</f>
        <v>81.495500000000007</v>
      </c>
      <c r="AF52">
        <f>0.385*(4.19 * 50)</f>
        <v>80.657500000000013</v>
      </c>
      <c r="AG52">
        <f>0.38*(4.19 * 50)</f>
        <v>79.610000000000014</v>
      </c>
    </row>
    <row r="53" spans="1:33" x14ac:dyDescent="0.3">
      <c r="A53" t="s">
        <v>96</v>
      </c>
      <c r="B53">
        <v>356937.101563</v>
      </c>
      <c r="C53">
        <v>6668388.1796880001</v>
      </c>
      <c r="D53" t="s">
        <v>540</v>
      </c>
      <c r="E53">
        <v>100</v>
      </c>
      <c r="F53">
        <v>5</v>
      </c>
      <c r="G53">
        <v>2.386634844868735E-2</v>
      </c>
      <c r="H53">
        <f t="shared" si="1"/>
        <v>9.609</v>
      </c>
      <c r="I53">
        <f t="shared" si="0"/>
        <v>209.50000000000003</v>
      </c>
      <c r="J53">
        <f>0.022*(4.19 * 50)</f>
        <v>4.609</v>
      </c>
      <c r="K53">
        <f>0.022*(4.19 * 50)</f>
        <v>4.609</v>
      </c>
      <c r="L53">
        <f>0.021*(4.19 * 50)</f>
        <v>4.3995000000000006</v>
      </c>
      <c r="M53">
        <f>0.021*(4.19 * 50)</f>
        <v>4.3995000000000006</v>
      </c>
      <c r="N53">
        <f>0.021*(4.19 * 50)</f>
        <v>4.3995000000000006</v>
      </c>
      <c r="O53">
        <f>0.022*(4.19 * 50)</f>
        <v>4.609</v>
      </c>
      <c r="P53">
        <f>0.022*(4.19 * 50)</f>
        <v>4.609</v>
      </c>
      <c r="Q53">
        <f>0.023*(4.19 * 50)</f>
        <v>4.8185000000000002</v>
      </c>
      <c r="R53">
        <f>0.023*(4.19 * 50)</f>
        <v>4.8185000000000002</v>
      </c>
      <c r="S53">
        <f>0.022*(4.19 * 50)</f>
        <v>4.609</v>
      </c>
      <c r="T53">
        <f>0.022*(4.19 * 50)</f>
        <v>4.609</v>
      </c>
      <c r="U53">
        <f>0.021*(4.19 * 50)</f>
        <v>4.3995000000000006</v>
      </c>
      <c r="V53">
        <f>0.021*(4.19 * 50)</f>
        <v>4.3995000000000006</v>
      </c>
      <c r="W53">
        <f>0.021*(4.19 * 50)</f>
        <v>4.3995000000000006</v>
      </c>
      <c r="X53">
        <f>0.021*(4.19 * 50)</f>
        <v>4.3995000000000006</v>
      </c>
      <c r="Y53">
        <f>0.021*(4.19 * 50)</f>
        <v>4.3995000000000006</v>
      </c>
      <c r="Z53">
        <f>0.021*(4.19 * 50)</f>
        <v>4.3995000000000006</v>
      </c>
      <c r="AA53">
        <f>0.021*(4.19 * 50)</f>
        <v>4.3995000000000006</v>
      </c>
      <c r="AB53">
        <f>0.022*(4.19 * 50)</f>
        <v>4.609</v>
      </c>
      <c r="AC53">
        <f>0.022*(4.19 * 50)</f>
        <v>4.609</v>
      </c>
      <c r="AD53">
        <f>0.022*(4.19 * 50)</f>
        <v>4.609</v>
      </c>
      <c r="AE53">
        <f>0.023*(4.19 * 50)</f>
        <v>4.8185000000000002</v>
      </c>
      <c r="AF53">
        <f>0.022*(4.19 * 50)</f>
        <v>4.609</v>
      </c>
      <c r="AG53">
        <f>0.022*(4.19 * 50)</f>
        <v>4.609</v>
      </c>
    </row>
    <row r="54" spans="1:33" x14ac:dyDescent="0.3">
      <c r="A54" t="s">
        <v>97</v>
      </c>
      <c r="B54">
        <v>356937.074219</v>
      </c>
      <c r="C54">
        <v>6668421.1289060004</v>
      </c>
      <c r="D54" t="s">
        <v>540</v>
      </c>
      <c r="E54">
        <v>100</v>
      </c>
      <c r="F54">
        <v>6</v>
      </c>
      <c r="G54">
        <v>2.8639618138424819E-2</v>
      </c>
      <c r="H54">
        <f t="shared" si="1"/>
        <v>11.656500000000001</v>
      </c>
      <c r="I54">
        <f t="shared" si="0"/>
        <v>209.50000000000003</v>
      </c>
      <c r="J54">
        <f>0.026*(4.19 * 50)</f>
        <v>5.4470000000000001</v>
      </c>
      <c r="K54">
        <f>0.026*(4.19 * 50)</f>
        <v>5.4470000000000001</v>
      </c>
      <c r="L54">
        <f>0.026*(4.19 * 50)</f>
        <v>5.4470000000000001</v>
      </c>
      <c r="M54">
        <f>0.026*(4.19 * 50)</f>
        <v>5.4470000000000001</v>
      </c>
      <c r="N54">
        <f>0.026*(4.19 * 50)</f>
        <v>5.4470000000000001</v>
      </c>
      <c r="O54">
        <f>0.026*(4.19 * 50)</f>
        <v>5.4470000000000001</v>
      </c>
      <c r="P54">
        <f>0.027*(4.19 * 50)</f>
        <v>5.6565000000000003</v>
      </c>
      <c r="Q54">
        <f>0.028*(4.19 * 50)</f>
        <v>5.8660000000000005</v>
      </c>
      <c r="R54">
        <f>0.027*(4.19 * 50)</f>
        <v>5.6565000000000003</v>
      </c>
      <c r="S54">
        <f>0.027*(4.19 * 50)</f>
        <v>5.6565000000000003</v>
      </c>
      <c r="T54">
        <f>0.027*(4.19 * 50)</f>
        <v>5.6565000000000003</v>
      </c>
      <c r="U54">
        <f>0.026*(4.19 * 50)</f>
        <v>5.4470000000000001</v>
      </c>
      <c r="V54">
        <f>0.025*(4.19 * 50)</f>
        <v>5.2375000000000007</v>
      </c>
      <c r="W54">
        <f>0.025*(4.19 * 50)</f>
        <v>5.2375000000000007</v>
      </c>
      <c r="X54">
        <f>0.025*(4.19 * 50)</f>
        <v>5.2375000000000007</v>
      </c>
      <c r="Y54">
        <f>0.025*(4.19 * 50)</f>
        <v>5.2375000000000007</v>
      </c>
      <c r="Z54">
        <f>0.025*(4.19 * 50)</f>
        <v>5.2375000000000007</v>
      </c>
      <c r="AA54">
        <f>0.026*(4.19 * 50)</f>
        <v>5.4470000000000001</v>
      </c>
      <c r="AB54">
        <f>0.026*(4.19 * 50)</f>
        <v>5.4470000000000001</v>
      </c>
      <c r="AC54">
        <f>0.026*(4.19 * 50)</f>
        <v>5.4470000000000001</v>
      </c>
      <c r="AD54">
        <f>0.027*(4.19 * 50)</f>
        <v>5.6565000000000003</v>
      </c>
      <c r="AE54">
        <f>0.027*(4.19 * 50)</f>
        <v>5.6565000000000003</v>
      </c>
      <c r="AF54">
        <f>0.027*(4.19 * 50)</f>
        <v>5.6565000000000003</v>
      </c>
      <c r="AG54">
        <f>0.026*(4.19 * 50)</f>
        <v>5.4470000000000001</v>
      </c>
    </row>
    <row r="55" spans="1:33" x14ac:dyDescent="0.3">
      <c r="A55" t="s">
        <v>98</v>
      </c>
      <c r="B55">
        <v>356894.386719</v>
      </c>
      <c r="C55">
        <v>6668405.4804689996</v>
      </c>
      <c r="D55" t="s">
        <v>540</v>
      </c>
      <c r="E55">
        <v>100</v>
      </c>
      <c r="F55">
        <v>6</v>
      </c>
      <c r="G55">
        <v>2.8639618138424819E-2</v>
      </c>
      <c r="H55">
        <f t="shared" si="1"/>
        <v>11.656500000000001</v>
      </c>
      <c r="I55">
        <f t="shared" si="0"/>
        <v>209.50000000000003</v>
      </c>
      <c r="J55">
        <f>0.026*(4.19 * 50)</f>
        <v>5.4470000000000001</v>
      </c>
      <c r="K55">
        <f>0.026*(4.19 * 50)</f>
        <v>5.4470000000000001</v>
      </c>
      <c r="L55">
        <f>0.026*(4.19 * 50)</f>
        <v>5.4470000000000001</v>
      </c>
      <c r="M55">
        <f>0.026*(4.19 * 50)</f>
        <v>5.4470000000000001</v>
      </c>
      <c r="N55">
        <f>0.026*(4.19 * 50)</f>
        <v>5.4470000000000001</v>
      </c>
      <c r="O55">
        <f>0.026*(4.19 * 50)</f>
        <v>5.4470000000000001</v>
      </c>
      <c r="P55">
        <f>0.027*(4.19 * 50)</f>
        <v>5.6565000000000003</v>
      </c>
      <c r="Q55">
        <f>0.028*(4.19 * 50)</f>
        <v>5.8660000000000005</v>
      </c>
      <c r="R55">
        <f>0.027*(4.19 * 50)</f>
        <v>5.6565000000000003</v>
      </c>
      <c r="S55">
        <f>0.027*(4.19 * 50)</f>
        <v>5.6565000000000003</v>
      </c>
      <c r="T55">
        <f>0.027*(4.19 * 50)</f>
        <v>5.6565000000000003</v>
      </c>
      <c r="U55">
        <f>0.026*(4.19 * 50)</f>
        <v>5.4470000000000001</v>
      </c>
      <c r="V55">
        <f>0.025*(4.19 * 50)</f>
        <v>5.2375000000000007</v>
      </c>
      <c r="W55">
        <f>0.025*(4.19 * 50)</f>
        <v>5.2375000000000007</v>
      </c>
      <c r="X55">
        <f>0.025*(4.19 * 50)</f>
        <v>5.2375000000000007</v>
      </c>
      <c r="Y55">
        <f>0.025*(4.19 * 50)</f>
        <v>5.2375000000000007</v>
      </c>
      <c r="Z55">
        <f>0.025*(4.19 * 50)</f>
        <v>5.2375000000000007</v>
      </c>
      <c r="AA55">
        <f>0.026*(4.19 * 50)</f>
        <v>5.4470000000000001</v>
      </c>
      <c r="AB55">
        <f>0.026*(4.19 * 50)</f>
        <v>5.4470000000000001</v>
      </c>
      <c r="AC55">
        <f>0.026*(4.19 * 50)</f>
        <v>5.4470000000000001</v>
      </c>
      <c r="AD55">
        <f>0.027*(4.19 * 50)</f>
        <v>5.6565000000000003</v>
      </c>
      <c r="AE55">
        <f>0.027*(4.19 * 50)</f>
        <v>5.6565000000000003</v>
      </c>
      <c r="AF55">
        <f>0.027*(4.19 * 50)</f>
        <v>5.6565000000000003</v>
      </c>
      <c r="AG55">
        <f>0.026*(4.19 * 50)</f>
        <v>5.4470000000000001</v>
      </c>
    </row>
    <row r="56" spans="1:33" x14ac:dyDescent="0.3">
      <c r="A56" t="s">
        <v>99</v>
      </c>
      <c r="B56">
        <v>357324.941406</v>
      </c>
      <c r="C56">
        <v>6668076.4960939996</v>
      </c>
      <c r="D56" t="s">
        <v>540</v>
      </c>
      <c r="E56">
        <v>100</v>
      </c>
      <c r="F56">
        <v>7</v>
      </c>
      <c r="G56">
        <v>3.3412887828162277E-2</v>
      </c>
      <c r="H56">
        <f t="shared" si="1"/>
        <v>13.494500000000002</v>
      </c>
      <c r="I56">
        <f t="shared" si="0"/>
        <v>209.50000000000003</v>
      </c>
      <c r="J56">
        <f>0.03*(4.19 * 50)</f>
        <v>6.285000000000001</v>
      </c>
      <c r="K56">
        <f>0.03*(4.19 * 50)</f>
        <v>6.285000000000001</v>
      </c>
      <c r="L56">
        <f>0.03*(4.19 * 50)</f>
        <v>6.285000000000001</v>
      </c>
      <c r="M56">
        <f>0.03*(4.19 * 50)</f>
        <v>6.285000000000001</v>
      </c>
      <c r="N56">
        <f>0.03*(4.19 * 50)</f>
        <v>6.285000000000001</v>
      </c>
      <c r="O56">
        <f>0.03*(4.19 * 50)</f>
        <v>6.285000000000001</v>
      </c>
      <c r="P56">
        <f>0.031*(4.19 * 50)</f>
        <v>6.4945000000000013</v>
      </c>
      <c r="Q56">
        <f>0.032*(4.19 * 50)</f>
        <v>6.7040000000000006</v>
      </c>
      <c r="R56">
        <f>0.032*(4.19 * 50)</f>
        <v>6.7040000000000006</v>
      </c>
      <c r="S56">
        <f>0.031*(4.19 * 50)</f>
        <v>6.4945000000000013</v>
      </c>
      <c r="T56">
        <f>0.031*(4.19 * 50)</f>
        <v>6.4945000000000013</v>
      </c>
      <c r="U56">
        <f>0.03*(4.19 * 50)</f>
        <v>6.285000000000001</v>
      </c>
      <c r="V56">
        <f>0.029*(4.19 * 50)</f>
        <v>6.0755000000000008</v>
      </c>
      <c r="W56">
        <f>0.029*(4.19 * 50)</f>
        <v>6.0755000000000008</v>
      </c>
      <c r="X56">
        <f>0.029*(4.19 * 50)</f>
        <v>6.0755000000000008</v>
      </c>
      <c r="Y56">
        <f>0.029*(4.19 * 50)</f>
        <v>6.0755000000000008</v>
      </c>
      <c r="Z56">
        <f>0.029*(4.19 * 50)</f>
        <v>6.0755000000000008</v>
      </c>
      <c r="AA56">
        <f>0.03*(4.19 * 50)</f>
        <v>6.285000000000001</v>
      </c>
      <c r="AB56">
        <f>0.03*(4.19 * 50)</f>
        <v>6.285000000000001</v>
      </c>
      <c r="AC56">
        <f>0.031*(4.19 * 50)</f>
        <v>6.4945000000000013</v>
      </c>
      <c r="AD56">
        <f>0.031*(4.19 * 50)</f>
        <v>6.4945000000000013</v>
      </c>
      <c r="AE56">
        <f>0.032*(4.19 * 50)</f>
        <v>6.7040000000000006</v>
      </c>
      <c r="AF56">
        <f>0.031*(4.19 * 50)</f>
        <v>6.4945000000000013</v>
      </c>
      <c r="AG56">
        <f>0.031*(4.19 * 50)</f>
        <v>6.4945000000000013</v>
      </c>
    </row>
    <row r="57" spans="1:33" x14ac:dyDescent="0.3">
      <c r="A57" t="s">
        <v>100</v>
      </c>
      <c r="B57">
        <v>356636.6875</v>
      </c>
      <c r="C57">
        <v>6667875.6875</v>
      </c>
      <c r="D57" t="s">
        <v>541</v>
      </c>
      <c r="E57">
        <v>100</v>
      </c>
      <c r="F57">
        <v>88</v>
      </c>
      <c r="G57">
        <v>0.42004773269689732</v>
      </c>
      <c r="H57">
        <f t="shared" si="1"/>
        <v>170.54300000000001</v>
      </c>
      <c r="I57">
        <f t="shared" si="0"/>
        <v>209.50000000000003</v>
      </c>
      <c r="J57">
        <f>0.383*(4.19 * 50)</f>
        <v>80.238500000000016</v>
      </c>
      <c r="K57">
        <f>0.38*(4.19 * 50)</f>
        <v>79.610000000000014</v>
      </c>
      <c r="L57">
        <f>0.378*(4.19 * 50)</f>
        <v>79.191000000000017</v>
      </c>
      <c r="M57">
        <f>0.376*(4.19 * 50)</f>
        <v>78.772000000000006</v>
      </c>
      <c r="N57">
        <f>0.378*(4.19 * 50)</f>
        <v>79.191000000000017</v>
      </c>
      <c r="O57">
        <f>0.383*(4.19 * 50)</f>
        <v>80.238500000000016</v>
      </c>
      <c r="P57">
        <f>0.394*(4.19 * 50)</f>
        <v>82.543000000000021</v>
      </c>
      <c r="Q57">
        <f>0.404*(4.19 * 50)</f>
        <v>84.638000000000019</v>
      </c>
      <c r="R57">
        <f>0.401*(4.19 * 50)</f>
        <v>84.009500000000017</v>
      </c>
      <c r="S57">
        <f>0.393*(4.19 * 50)</f>
        <v>82.333500000000015</v>
      </c>
      <c r="T57">
        <f>0.391*(4.19 * 50)</f>
        <v>81.914500000000018</v>
      </c>
      <c r="U57">
        <f>0.375*(4.19 * 50)</f>
        <v>78.562500000000014</v>
      </c>
      <c r="V57">
        <f>0.369*(4.19 * 50)</f>
        <v>77.305500000000009</v>
      </c>
      <c r="W57">
        <f>0.364*(4.19 * 50)</f>
        <v>76.25800000000001</v>
      </c>
      <c r="X57">
        <f>0.363*(4.19 * 50)</f>
        <v>76.048500000000004</v>
      </c>
      <c r="Y57">
        <f>0.364*(4.19 * 50)</f>
        <v>76.25800000000001</v>
      </c>
      <c r="Z57">
        <f>0.368*(4.19 * 50)</f>
        <v>77.096000000000004</v>
      </c>
      <c r="AA57">
        <f>0.375*(4.19 * 50)</f>
        <v>78.562500000000014</v>
      </c>
      <c r="AB57">
        <f>0.38*(4.19 * 50)</f>
        <v>79.610000000000014</v>
      </c>
      <c r="AC57">
        <f>0.387*(4.19 * 50)</f>
        <v>81.07650000000001</v>
      </c>
      <c r="AD57">
        <f>0.393*(4.19 * 50)</f>
        <v>82.333500000000015</v>
      </c>
      <c r="AE57">
        <f>0.396*(4.19 * 50)</f>
        <v>82.962000000000018</v>
      </c>
      <c r="AF57">
        <f>0.393*(4.19 * 50)</f>
        <v>82.333500000000015</v>
      </c>
      <c r="AG57">
        <f>0.387*(4.19 * 50)</f>
        <v>81.07650000000001</v>
      </c>
    </row>
    <row r="58" spans="1:33" x14ac:dyDescent="0.3">
      <c r="A58" t="s">
        <v>101</v>
      </c>
      <c r="B58">
        <v>357003.414063</v>
      </c>
      <c r="C58">
        <v>6667855.4882810004</v>
      </c>
      <c r="D58" t="s">
        <v>540</v>
      </c>
      <c r="E58">
        <v>100</v>
      </c>
      <c r="F58">
        <v>4</v>
      </c>
      <c r="G58">
        <v>1.9093078758949882E-2</v>
      </c>
      <c r="H58">
        <f t="shared" si="1"/>
        <v>7.7710000000000008</v>
      </c>
      <c r="I58">
        <f t="shared" si="0"/>
        <v>209.50000000000003</v>
      </c>
      <c r="J58">
        <f>0.017*(4.19 * 50)</f>
        <v>3.5615000000000006</v>
      </c>
      <c r="K58">
        <f>0.017*(4.19 * 50)</f>
        <v>3.5615000000000006</v>
      </c>
      <c r="L58">
        <f>0.017*(4.19 * 50)</f>
        <v>3.5615000000000006</v>
      </c>
      <c r="M58">
        <f>0.017*(4.19 * 50)</f>
        <v>3.5615000000000006</v>
      </c>
      <c r="N58">
        <f>0.017*(4.19 * 50)</f>
        <v>3.5615000000000006</v>
      </c>
      <c r="O58">
        <f>0.017*(4.19 * 50)</f>
        <v>3.5615000000000006</v>
      </c>
      <c r="P58">
        <f>0.018*(4.19 * 50)</f>
        <v>3.7710000000000004</v>
      </c>
      <c r="Q58">
        <f>0.018*(4.19 * 50)</f>
        <v>3.7710000000000004</v>
      </c>
      <c r="R58">
        <f>0.018*(4.19 * 50)</f>
        <v>3.7710000000000004</v>
      </c>
      <c r="S58">
        <f>0.018*(4.19 * 50)</f>
        <v>3.7710000000000004</v>
      </c>
      <c r="T58">
        <f>0.018*(4.19 * 50)</f>
        <v>3.7710000000000004</v>
      </c>
      <c r="U58">
        <f>0.017*(4.19 * 50)</f>
        <v>3.5615000000000006</v>
      </c>
      <c r="V58">
        <f>0.017*(4.19 * 50)</f>
        <v>3.5615000000000006</v>
      </c>
      <c r="W58">
        <f>0.017*(4.19 * 50)</f>
        <v>3.5615000000000006</v>
      </c>
      <c r="X58">
        <f>0.017*(4.19 * 50)</f>
        <v>3.5615000000000006</v>
      </c>
      <c r="Y58">
        <f>0.017*(4.19 * 50)</f>
        <v>3.5615000000000006</v>
      </c>
      <c r="Z58">
        <f>0.017*(4.19 * 50)</f>
        <v>3.5615000000000006</v>
      </c>
      <c r="AA58">
        <f>0.017*(4.19 * 50)</f>
        <v>3.5615000000000006</v>
      </c>
      <c r="AB58">
        <f>0.017*(4.19 * 50)</f>
        <v>3.5615000000000006</v>
      </c>
      <c r="AC58">
        <f>0.018*(4.19 * 50)</f>
        <v>3.7710000000000004</v>
      </c>
      <c r="AD58">
        <f>0.018*(4.19 * 50)</f>
        <v>3.7710000000000004</v>
      </c>
      <c r="AE58">
        <f>0.018*(4.19 * 50)</f>
        <v>3.7710000000000004</v>
      </c>
      <c r="AF58">
        <f>0.018*(4.19 * 50)</f>
        <v>3.7710000000000004</v>
      </c>
      <c r="AG58">
        <f>0.018*(4.19 * 50)</f>
        <v>3.7710000000000004</v>
      </c>
    </row>
    <row r="59" spans="1:33" x14ac:dyDescent="0.3">
      <c r="A59" t="s">
        <v>102</v>
      </c>
      <c r="B59">
        <v>357419.191406</v>
      </c>
      <c r="C59">
        <v>6667366.9257810004</v>
      </c>
      <c r="D59" t="s">
        <v>546</v>
      </c>
      <c r="E59">
        <v>100</v>
      </c>
      <c r="F59">
        <v>104.66699981689401</v>
      </c>
      <c r="G59">
        <v>0.49960381774173751</v>
      </c>
      <c r="H59">
        <f t="shared" si="1"/>
        <v>202.922499816894</v>
      </c>
      <c r="I59">
        <f t="shared" si="0"/>
        <v>209.50000000000003</v>
      </c>
      <c r="J59">
        <f>0.456*(4.19 * 50)</f>
        <v>95.532000000000011</v>
      </c>
      <c r="K59">
        <f>0.452*(4.19 * 50)</f>
        <v>94.694000000000017</v>
      </c>
      <c r="L59">
        <f>0.449*(4.19 * 50)</f>
        <v>94.065500000000014</v>
      </c>
      <c r="M59">
        <f>0.447*(4.19 * 50)</f>
        <v>93.646500000000017</v>
      </c>
      <c r="N59">
        <f>0.449*(4.19 * 50)</f>
        <v>94.065500000000014</v>
      </c>
      <c r="O59">
        <f>0.455*(4.19 * 50)</f>
        <v>95.322500000000019</v>
      </c>
      <c r="P59">
        <f>0.469*(4.19 * 50)</f>
        <v>98.255500000000012</v>
      </c>
      <c r="Q59">
        <f>0.481*(4.19 * 50)</f>
        <v>100.76950000000001</v>
      </c>
      <c r="R59">
        <f>0.477*(4.19 * 50)</f>
        <v>99.931500000000014</v>
      </c>
      <c r="S59">
        <f>0.467*(4.19 * 50)</f>
        <v>97.836500000000015</v>
      </c>
      <c r="T59">
        <f>0.465*(4.19 * 50)</f>
        <v>97.417500000000018</v>
      </c>
      <c r="U59">
        <f>0.446*(4.19 * 50)</f>
        <v>93.437000000000012</v>
      </c>
      <c r="V59">
        <f>0.439*(4.19 * 50)</f>
        <v>91.970500000000015</v>
      </c>
      <c r="W59">
        <f>0.433*(4.19 * 50)</f>
        <v>90.71350000000001</v>
      </c>
      <c r="X59">
        <f>0.432*(4.19 * 50)</f>
        <v>90.504000000000005</v>
      </c>
      <c r="Y59">
        <f>0.433*(4.19 * 50)</f>
        <v>90.71350000000001</v>
      </c>
      <c r="Z59">
        <f>0.437*(4.19 * 50)</f>
        <v>91.551500000000019</v>
      </c>
      <c r="AA59">
        <f>0.446*(4.19 * 50)</f>
        <v>93.437000000000012</v>
      </c>
      <c r="AB59">
        <f>0.452*(4.19 * 50)</f>
        <v>94.694000000000017</v>
      </c>
      <c r="AC59">
        <f>0.46*(4.19 * 50)</f>
        <v>96.370000000000019</v>
      </c>
      <c r="AD59">
        <f>0.468*(4.19 * 50)</f>
        <v>98.046000000000021</v>
      </c>
      <c r="AE59">
        <f>0.471*(4.19 * 50)</f>
        <v>98.674500000000009</v>
      </c>
      <c r="AF59">
        <f>0.467*(4.19 * 50)</f>
        <v>97.836500000000015</v>
      </c>
      <c r="AG59">
        <f>0.461*(4.19 * 50)</f>
        <v>96.579500000000024</v>
      </c>
    </row>
    <row r="60" spans="1:33" x14ac:dyDescent="0.3">
      <c r="A60" t="s">
        <v>103</v>
      </c>
      <c r="B60">
        <v>356888.660156</v>
      </c>
      <c r="C60">
        <v>6667878.5195310004</v>
      </c>
      <c r="D60" t="s">
        <v>540</v>
      </c>
      <c r="E60">
        <v>100</v>
      </c>
      <c r="F60">
        <v>7</v>
      </c>
      <c r="G60">
        <v>3.3412887828162277E-2</v>
      </c>
      <c r="H60">
        <f t="shared" si="1"/>
        <v>13.494500000000002</v>
      </c>
      <c r="I60">
        <f t="shared" si="0"/>
        <v>209.50000000000003</v>
      </c>
      <c r="J60">
        <f>0.03*(4.19 * 50)</f>
        <v>6.285000000000001</v>
      </c>
      <c r="K60">
        <f>0.03*(4.19 * 50)</f>
        <v>6.285000000000001</v>
      </c>
      <c r="L60">
        <f>0.03*(4.19 * 50)</f>
        <v>6.285000000000001</v>
      </c>
      <c r="M60">
        <f>0.03*(4.19 * 50)</f>
        <v>6.285000000000001</v>
      </c>
      <c r="N60">
        <f>0.03*(4.19 * 50)</f>
        <v>6.285000000000001</v>
      </c>
      <c r="O60">
        <f>0.03*(4.19 * 50)</f>
        <v>6.285000000000001</v>
      </c>
      <c r="P60">
        <f>0.031*(4.19 * 50)</f>
        <v>6.4945000000000013</v>
      </c>
      <c r="Q60">
        <f>0.032*(4.19 * 50)</f>
        <v>6.7040000000000006</v>
      </c>
      <c r="R60">
        <f>0.032*(4.19 * 50)</f>
        <v>6.7040000000000006</v>
      </c>
      <c r="S60">
        <f>0.031*(4.19 * 50)</f>
        <v>6.4945000000000013</v>
      </c>
      <c r="T60">
        <f>0.031*(4.19 * 50)</f>
        <v>6.4945000000000013</v>
      </c>
      <c r="U60">
        <f>0.03*(4.19 * 50)</f>
        <v>6.285000000000001</v>
      </c>
      <c r="V60">
        <f>0.029*(4.19 * 50)</f>
        <v>6.0755000000000008</v>
      </c>
      <c r="W60">
        <f>0.029*(4.19 * 50)</f>
        <v>6.0755000000000008</v>
      </c>
      <c r="X60">
        <f>0.029*(4.19 * 50)</f>
        <v>6.0755000000000008</v>
      </c>
      <c r="Y60">
        <f>0.029*(4.19 * 50)</f>
        <v>6.0755000000000008</v>
      </c>
      <c r="Z60">
        <f>0.029*(4.19 * 50)</f>
        <v>6.0755000000000008</v>
      </c>
      <c r="AA60">
        <f>0.03*(4.19 * 50)</f>
        <v>6.285000000000001</v>
      </c>
      <c r="AB60">
        <f>0.03*(4.19 * 50)</f>
        <v>6.285000000000001</v>
      </c>
      <c r="AC60">
        <f>0.031*(4.19 * 50)</f>
        <v>6.4945000000000013</v>
      </c>
      <c r="AD60">
        <f>0.031*(4.19 * 50)</f>
        <v>6.4945000000000013</v>
      </c>
      <c r="AE60">
        <f>0.032*(4.19 * 50)</f>
        <v>6.7040000000000006</v>
      </c>
      <c r="AF60">
        <f>0.031*(4.19 * 50)</f>
        <v>6.4945000000000013</v>
      </c>
      <c r="AG60">
        <f>0.031*(4.19 * 50)</f>
        <v>6.4945000000000013</v>
      </c>
    </row>
    <row r="61" spans="1:33" x14ac:dyDescent="0.3">
      <c r="A61" t="s">
        <v>104</v>
      </c>
      <c r="B61">
        <v>356867.867188</v>
      </c>
      <c r="C61">
        <v>6667858.9140630001</v>
      </c>
      <c r="D61" t="s">
        <v>540</v>
      </c>
      <c r="E61">
        <v>100</v>
      </c>
      <c r="F61">
        <v>4</v>
      </c>
      <c r="G61">
        <v>1.9093078758949882E-2</v>
      </c>
      <c r="H61">
        <f t="shared" si="1"/>
        <v>7.7710000000000008</v>
      </c>
      <c r="I61">
        <f t="shared" si="0"/>
        <v>209.50000000000003</v>
      </c>
      <c r="J61">
        <f>0.017*(4.19 * 50)</f>
        <v>3.5615000000000006</v>
      </c>
      <c r="K61">
        <f>0.017*(4.19 * 50)</f>
        <v>3.5615000000000006</v>
      </c>
      <c r="L61">
        <f>0.017*(4.19 * 50)</f>
        <v>3.5615000000000006</v>
      </c>
      <c r="M61">
        <f>0.017*(4.19 * 50)</f>
        <v>3.5615000000000006</v>
      </c>
      <c r="N61">
        <f>0.017*(4.19 * 50)</f>
        <v>3.5615000000000006</v>
      </c>
      <c r="O61">
        <f>0.017*(4.19 * 50)</f>
        <v>3.5615000000000006</v>
      </c>
      <c r="P61">
        <f>0.018*(4.19 * 50)</f>
        <v>3.7710000000000004</v>
      </c>
      <c r="Q61">
        <f>0.018*(4.19 * 50)</f>
        <v>3.7710000000000004</v>
      </c>
      <c r="R61">
        <f>0.018*(4.19 * 50)</f>
        <v>3.7710000000000004</v>
      </c>
      <c r="S61">
        <f>0.018*(4.19 * 50)</f>
        <v>3.7710000000000004</v>
      </c>
      <c r="T61">
        <f>0.018*(4.19 * 50)</f>
        <v>3.7710000000000004</v>
      </c>
      <c r="U61">
        <f>0.017*(4.19 * 50)</f>
        <v>3.5615000000000006</v>
      </c>
      <c r="V61">
        <f>0.017*(4.19 * 50)</f>
        <v>3.5615000000000006</v>
      </c>
      <c r="W61">
        <f>0.017*(4.19 * 50)</f>
        <v>3.5615000000000006</v>
      </c>
      <c r="X61">
        <f>0.017*(4.19 * 50)</f>
        <v>3.5615000000000006</v>
      </c>
      <c r="Y61">
        <f>0.017*(4.19 * 50)</f>
        <v>3.5615000000000006</v>
      </c>
      <c r="Z61">
        <f>0.017*(4.19 * 50)</f>
        <v>3.5615000000000006</v>
      </c>
      <c r="AA61">
        <f>0.017*(4.19 * 50)</f>
        <v>3.5615000000000006</v>
      </c>
      <c r="AB61">
        <f>0.017*(4.19 * 50)</f>
        <v>3.5615000000000006</v>
      </c>
      <c r="AC61">
        <f>0.018*(4.19 * 50)</f>
        <v>3.7710000000000004</v>
      </c>
      <c r="AD61">
        <f>0.018*(4.19 * 50)</f>
        <v>3.7710000000000004</v>
      </c>
      <c r="AE61">
        <f>0.018*(4.19 * 50)</f>
        <v>3.7710000000000004</v>
      </c>
      <c r="AF61">
        <f>0.018*(4.19 * 50)</f>
        <v>3.7710000000000004</v>
      </c>
      <c r="AG61">
        <f>0.018*(4.19 * 50)</f>
        <v>3.7710000000000004</v>
      </c>
    </row>
    <row r="62" spans="1:33" x14ac:dyDescent="0.3">
      <c r="A62" t="s">
        <v>105</v>
      </c>
      <c r="B62">
        <v>356939.339844</v>
      </c>
      <c r="C62">
        <v>6667838.09375</v>
      </c>
      <c r="D62" t="s">
        <v>540</v>
      </c>
      <c r="E62">
        <v>100</v>
      </c>
      <c r="F62">
        <v>5</v>
      </c>
      <c r="G62">
        <v>2.386634844868735E-2</v>
      </c>
      <c r="H62">
        <f t="shared" si="1"/>
        <v>9.609</v>
      </c>
      <c r="I62">
        <f t="shared" si="0"/>
        <v>209.50000000000003</v>
      </c>
      <c r="J62">
        <f>0.022*(4.19 * 50)</f>
        <v>4.609</v>
      </c>
      <c r="K62">
        <f>0.022*(4.19 * 50)</f>
        <v>4.609</v>
      </c>
      <c r="L62">
        <f>0.021*(4.19 * 50)</f>
        <v>4.3995000000000006</v>
      </c>
      <c r="M62">
        <f>0.021*(4.19 * 50)</f>
        <v>4.3995000000000006</v>
      </c>
      <c r="N62">
        <f>0.021*(4.19 * 50)</f>
        <v>4.3995000000000006</v>
      </c>
      <c r="O62">
        <f>0.022*(4.19 * 50)</f>
        <v>4.609</v>
      </c>
      <c r="P62">
        <f>0.022*(4.19 * 50)</f>
        <v>4.609</v>
      </c>
      <c r="Q62">
        <f>0.023*(4.19 * 50)</f>
        <v>4.8185000000000002</v>
      </c>
      <c r="R62">
        <f>0.023*(4.19 * 50)</f>
        <v>4.8185000000000002</v>
      </c>
      <c r="S62">
        <f>0.022*(4.19 * 50)</f>
        <v>4.609</v>
      </c>
      <c r="T62">
        <f>0.022*(4.19 * 50)</f>
        <v>4.609</v>
      </c>
      <c r="U62">
        <f>0.021*(4.19 * 50)</f>
        <v>4.3995000000000006</v>
      </c>
      <c r="V62">
        <f>0.021*(4.19 * 50)</f>
        <v>4.3995000000000006</v>
      </c>
      <c r="W62">
        <f>0.021*(4.19 * 50)</f>
        <v>4.3995000000000006</v>
      </c>
      <c r="X62">
        <f>0.021*(4.19 * 50)</f>
        <v>4.3995000000000006</v>
      </c>
      <c r="Y62">
        <f>0.021*(4.19 * 50)</f>
        <v>4.3995000000000006</v>
      </c>
      <c r="Z62">
        <f>0.021*(4.19 * 50)</f>
        <v>4.3995000000000006</v>
      </c>
      <c r="AA62">
        <f>0.021*(4.19 * 50)</f>
        <v>4.3995000000000006</v>
      </c>
      <c r="AB62">
        <f>0.022*(4.19 * 50)</f>
        <v>4.609</v>
      </c>
      <c r="AC62">
        <f>0.022*(4.19 * 50)</f>
        <v>4.609</v>
      </c>
      <c r="AD62">
        <f>0.022*(4.19 * 50)</f>
        <v>4.609</v>
      </c>
      <c r="AE62">
        <f>0.023*(4.19 * 50)</f>
        <v>4.8185000000000002</v>
      </c>
      <c r="AF62">
        <f>0.022*(4.19 * 50)</f>
        <v>4.609</v>
      </c>
      <c r="AG62">
        <f>0.022*(4.19 * 50)</f>
        <v>4.609</v>
      </c>
    </row>
    <row r="63" spans="1:33" x14ac:dyDescent="0.3">
      <c r="A63" t="s">
        <v>106</v>
      </c>
      <c r="B63">
        <v>356933.746094</v>
      </c>
      <c r="C63">
        <v>6667827.6484380001</v>
      </c>
      <c r="D63" t="s">
        <v>540</v>
      </c>
      <c r="E63">
        <v>100</v>
      </c>
      <c r="F63">
        <v>5</v>
      </c>
      <c r="G63">
        <v>2.386634844868735E-2</v>
      </c>
      <c r="H63">
        <f t="shared" si="1"/>
        <v>9.609</v>
      </c>
      <c r="I63">
        <f t="shared" si="0"/>
        <v>209.50000000000003</v>
      </c>
      <c r="J63">
        <f>0.022*(4.19 * 50)</f>
        <v>4.609</v>
      </c>
      <c r="K63">
        <f>0.022*(4.19 * 50)</f>
        <v>4.609</v>
      </c>
      <c r="L63">
        <f>0.021*(4.19 * 50)</f>
        <v>4.3995000000000006</v>
      </c>
      <c r="M63">
        <f>0.021*(4.19 * 50)</f>
        <v>4.3995000000000006</v>
      </c>
      <c r="N63">
        <f>0.021*(4.19 * 50)</f>
        <v>4.3995000000000006</v>
      </c>
      <c r="O63">
        <f>0.022*(4.19 * 50)</f>
        <v>4.609</v>
      </c>
      <c r="P63">
        <f>0.022*(4.19 * 50)</f>
        <v>4.609</v>
      </c>
      <c r="Q63">
        <f>0.023*(4.19 * 50)</f>
        <v>4.8185000000000002</v>
      </c>
      <c r="R63">
        <f>0.023*(4.19 * 50)</f>
        <v>4.8185000000000002</v>
      </c>
      <c r="S63">
        <f>0.022*(4.19 * 50)</f>
        <v>4.609</v>
      </c>
      <c r="T63">
        <f>0.022*(4.19 * 50)</f>
        <v>4.609</v>
      </c>
      <c r="U63">
        <f>0.021*(4.19 * 50)</f>
        <v>4.3995000000000006</v>
      </c>
      <c r="V63">
        <f>0.021*(4.19 * 50)</f>
        <v>4.3995000000000006</v>
      </c>
      <c r="W63">
        <f>0.021*(4.19 * 50)</f>
        <v>4.3995000000000006</v>
      </c>
      <c r="X63">
        <f>0.021*(4.19 * 50)</f>
        <v>4.3995000000000006</v>
      </c>
      <c r="Y63">
        <f>0.021*(4.19 * 50)</f>
        <v>4.3995000000000006</v>
      </c>
      <c r="Z63">
        <f>0.021*(4.19 * 50)</f>
        <v>4.3995000000000006</v>
      </c>
      <c r="AA63">
        <f>0.021*(4.19 * 50)</f>
        <v>4.3995000000000006</v>
      </c>
      <c r="AB63">
        <f>0.022*(4.19 * 50)</f>
        <v>4.609</v>
      </c>
      <c r="AC63">
        <f>0.022*(4.19 * 50)</f>
        <v>4.609</v>
      </c>
      <c r="AD63">
        <f>0.022*(4.19 * 50)</f>
        <v>4.609</v>
      </c>
      <c r="AE63">
        <f>0.023*(4.19 * 50)</f>
        <v>4.8185000000000002</v>
      </c>
      <c r="AF63">
        <f>0.022*(4.19 * 50)</f>
        <v>4.609</v>
      </c>
      <c r="AG63">
        <f>0.022*(4.19 * 50)</f>
        <v>4.609</v>
      </c>
    </row>
    <row r="64" spans="1:33" x14ac:dyDescent="0.3">
      <c r="A64" t="s">
        <v>107</v>
      </c>
      <c r="B64">
        <v>356959.296875</v>
      </c>
      <c r="C64">
        <v>6667830.703125</v>
      </c>
      <c r="D64" t="s">
        <v>540</v>
      </c>
      <c r="E64">
        <v>100</v>
      </c>
      <c r="F64">
        <v>6</v>
      </c>
      <c r="G64">
        <v>2.8639618138424819E-2</v>
      </c>
      <c r="H64">
        <f t="shared" si="1"/>
        <v>11.656500000000001</v>
      </c>
      <c r="I64">
        <f t="shared" si="0"/>
        <v>209.50000000000003</v>
      </c>
      <c r="J64">
        <f>0.026*(4.19 * 50)</f>
        <v>5.4470000000000001</v>
      </c>
      <c r="K64">
        <f>0.026*(4.19 * 50)</f>
        <v>5.4470000000000001</v>
      </c>
      <c r="L64">
        <f>0.026*(4.19 * 50)</f>
        <v>5.4470000000000001</v>
      </c>
      <c r="M64">
        <f>0.026*(4.19 * 50)</f>
        <v>5.4470000000000001</v>
      </c>
      <c r="N64">
        <f>0.026*(4.19 * 50)</f>
        <v>5.4470000000000001</v>
      </c>
      <c r="O64">
        <f>0.026*(4.19 * 50)</f>
        <v>5.4470000000000001</v>
      </c>
      <c r="P64">
        <f>0.027*(4.19 * 50)</f>
        <v>5.6565000000000003</v>
      </c>
      <c r="Q64">
        <f>0.028*(4.19 * 50)</f>
        <v>5.8660000000000005</v>
      </c>
      <c r="R64">
        <f>0.027*(4.19 * 50)</f>
        <v>5.6565000000000003</v>
      </c>
      <c r="S64">
        <f>0.027*(4.19 * 50)</f>
        <v>5.6565000000000003</v>
      </c>
      <c r="T64">
        <f>0.027*(4.19 * 50)</f>
        <v>5.6565000000000003</v>
      </c>
      <c r="U64">
        <f>0.026*(4.19 * 50)</f>
        <v>5.4470000000000001</v>
      </c>
      <c r="V64">
        <f>0.025*(4.19 * 50)</f>
        <v>5.2375000000000007</v>
      </c>
      <c r="W64">
        <f>0.025*(4.19 * 50)</f>
        <v>5.2375000000000007</v>
      </c>
      <c r="X64">
        <f>0.025*(4.19 * 50)</f>
        <v>5.2375000000000007</v>
      </c>
      <c r="Y64">
        <f>0.025*(4.19 * 50)</f>
        <v>5.2375000000000007</v>
      </c>
      <c r="Z64">
        <f>0.025*(4.19 * 50)</f>
        <v>5.2375000000000007</v>
      </c>
      <c r="AA64">
        <f>0.026*(4.19 * 50)</f>
        <v>5.4470000000000001</v>
      </c>
      <c r="AB64">
        <f>0.026*(4.19 * 50)</f>
        <v>5.4470000000000001</v>
      </c>
      <c r="AC64">
        <f>0.026*(4.19 * 50)</f>
        <v>5.4470000000000001</v>
      </c>
      <c r="AD64">
        <f>0.027*(4.19 * 50)</f>
        <v>5.6565000000000003</v>
      </c>
      <c r="AE64">
        <f>0.027*(4.19 * 50)</f>
        <v>5.6565000000000003</v>
      </c>
      <c r="AF64">
        <f>0.027*(4.19 * 50)</f>
        <v>5.6565000000000003</v>
      </c>
      <c r="AG64">
        <f>0.026*(4.19 * 50)</f>
        <v>5.4470000000000001</v>
      </c>
    </row>
    <row r="65" spans="1:33" x14ac:dyDescent="0.3">
      <c r="A65" t="s">
        <v>108</v>
      </c>
      <c r="B65">
        <v>357128.324219</v>
      </c>
      <c r="C65">
        <v>6668001.5976560004</v>
      </c>
      <c r="D65" t="s">
        <v>540</v>
      </c>
      <c r="E65">
        <v>100</v>
      </c>
      <c r="F65">
        <v>10</v>
      </c>
      <c r="G65">
        <v>4.7732696897374693E-2</v>
      </c>
      <c r="H65">
        <f t="shared" si="1"/>
        <v>19.427500000000002</v>
      </c>
      <c r="I65">
        <f t="shared" si="0"/>
        <v>209.50000000000003</v>
      </c>
      <c r="J65">
        <f>0.044*(4.19 * 50)</f>
        <v>9.218</v>
      </c>
      <c r="K65">
        <f>0.043*(4.19 * 50)</f>
        <v>9.0084999999999997</v>
      </c>
      <c r="L65">
        <f>0.043*(4.19 * 50)</f>
        <v>9.0084999999999997</v>
      </c>
      <c r="M65">
        <f>0.043*(4.19 * 50)</f>
        <v>9.0084999999999997</v>
      </c>
      <c r="N65">
        <f>0.043*(4.19 * 50)</f>
        <v>9.0084999999999997</v>
      </c>
      <c r="O65">
        <f>0.043*(4.19 * 50)</f>
        <v>9.0084999999999997</v>
      </c>
      <c r="P65">
        <f>0.045*(4.19 * 50)</f>
        <v>9.4275000000000002</v>
      </c>
      <c r="Q65">
        <f>0.046*(4.19 * 50)</f>
        <v>9.6370000000000005</v>
      </c>
      <c r="R65">
        <f>0.046*(4.19 * 50)</f>
        <v>9.6370000000000005</v>
      </c>
      <c r="S65">
        <f>0.045*(4.19 * 50)</f>
        <v>9.4275000000000002</v>
      </c>
      <c r="T65">
        <f>0.044*(4.19 * 50)</f>
        <v>9.218</v>
      </c>
      <c r="U65">
        <f>0.043*(4.19 * 50)</f>
        <v>9.0084999999999997</v>
      </c>
      <c r="V65">
        <f>0.042*(4.19 * 50)</f>
        <v>8.7990000000000013</v>
      </c>
      <c r="W65">
        <f>0.041*(4.19 * 50)</f>
        <v>8.589500000000001</v>
      </c>
      <c r="X65">
        <f>0.041*(4.19 * 50)</f>
        <v>8.589500000000001</v>
      </c>
      <c r="Y65">
        <f>0.041*(4.19 * 50)</f>
        <v>8.589500000000001</v>
      </c>
      <c r="Z65">
        <f>0.042*(4.19 * 50)</f>
        <v>8.7990000000000013</v>
      </c>
      <c r="AA65">
        <f>0.043*(4.19 * 50)</f>
        <v>9.0084999999999997</v>
      </c>
      <c r="AB65">
        <f>0.043*(4.19 * 50)</f>
        <v>9.0084999999999997</v>
      </c>
      <c r="AC65">
        <f>0.044*(4.19 * 50)</f>
        <v>9.218</v>
      </c>
      <c r="AD65">
        <f>0.045*(4.19 * 50)</f>
        <v>9.4275000000000002</v>
      </c>
      <c r="AE65">
        <f>0.045*(4.19 * 50)</f>
        <v>9.4275000000000002</v>
      </c>
      <c r="AF65">
        <f>0.045*(4.19 * 50)</f>
        <v>9.4275000000000002</v>
      </c>
      <c r="AG65">
        <f>0.044*(4.19 * 50)</f>
        <v>9.218</v>
      </c>
    </row>
    <row r="66" spans="1:33" x14ac:dyDescent="0.3">
      <c r="A66" t="s">
        <v>109</v>
      </c>
      <c r="B66">
        <v>357131.125</v>
      </c>
      <c r="C66">
        <v>6667873.5273439996</v>
      </c>
      <c r="D66" t="s">
        <v>542</v>
      </c>
      <c r="E66">
        <v>100</v>
      </c>
      <c r="F66">
        <v>80.333000183105398</v>
      </c>
      <c r="G66">
        <v>0.3834510748596916</v>
      </c>
      <c r="H66">
        <f t="shared" si="1"/>
        <v>155.7530001831054</v>
      </c>
      <c r="I66">
        <f t="shared" si="0"/>
        <v>209.50000000000003</v>
      </c>
      <c r="J66">
        <f>0.35*(4.19 * 50)</f>
        <v>73.325000000000003</v>
      </c>
      <c r="K66">
        <f>0.347*(4.19 * 50)</f>
        <v>72.6965</v>
      </c>
      <c r="L66">
        <f>0.345*(4.19 * 50)</f>
        <v>72.277500000000003</v>
      </c>
      <c r="M66">
        <f>0.343*(4.19 * 50)</f>
        <v>71.858500000000021</v>
      </c>
      <c r="N66">
        <f>0.345*(4.19 * 50)</f>
        <v>72.277500000000003</v>
      </c>
      <c r="O66">
        <f>0.349*(4.19 * 50)</f>
        <v>73.115500000000011</v>
      </c>
      <c r="P66">
        <f>0.36*(4.19 * 50)</f>
        <v>75.42</v>
      </c>
      <c r="Q66">
        <f>0.369*(4.19 * 50)</f>
        <v>77.305500000000009</v>
      </c>
      <c r="R66">
        <f>0.366*(4.19 * 50)</f>
        <v>76.677000000000007</v>
      </c>
      <c r="S66">
        <f>0.358*(4.19 * 50)</f>
        <v>75.001000000000005</v>
      </c>
      <c r="T66">
        <f>0.357*(4.19 * 50)</f>
        <v>74.791500000000013</v>
      </c>
      <c r="U66">
        <f>0.342*(4.19 * 50)</f>
        <v>71.649000000000015</v>
      </c>
      <c r="V66">
        <f>0.337*(4.19 * 50)</f>
        <v>70.601500000000016</v>
      </c>
      <c r="W66">
        <f>0.333*(4.19 * 50)</f>
        <v>69.763500000000008</v>
      </c>
      <c r="X66">
        <f>0.331*(4.19 * 50)</f>
        <v>69.344500000000011</v>
      </c>
      <c r="Y66">
        <f>0.332*(4.19 * 50)</f>
        <v>69.554000000000016</v>
      </c>
      <c r="Z66">
        <f>0.336*(4.19 * 50)</f>
        <v>70.39200000000001</v>
      </c>
      <c r="AA66">
        <f>0.342*(4.19 * 50)</f>
        <v>71.649000000000015</v>
      </c>
      <c r="AB66">
        <f>0.347*(4.19 * 50)</f>
        <v>72.6965</v>
      </c>
      <c r="AC66">
        <f>0.353*(4.19 * 50)</f>
        <v>73.953500000000005</v>
      </c>
      <c r="AD66">
        <f>0.359*(4.19 * 50)</f>
        <v>75.21050000000001</v>
      </c>
      <c r="AE66">
        <f>0.362*(4.19 * 50)</f>
        <v>75.839000000000013</v>
      </c>
      <c r="AF66">
        <f>0.358*(4.19 * 50)</f>
        <v>75.001000000000005</v>
      </c>
      <c r="AG66">
        <f>0.353*(4.19 * 50)</f>
        <v>73.953500000000005</v>
      </c>
    </row>
    <row r="67" spans="1:33" x14ac:dyDescent="0.3">
      <c r="A67" t="s">
        <v>110</v>
      </c>
      <c r="B67">
        <v>356876.777344</v>
      </c>
      <c r="C67">
        <v>6668403.1992189996</v>
      </c>
      <c r="D67" t="s">
        <v>540</v>
      </c>
      <c r="E67">
        <v>100</v>
      </c>
      <c r="F67">
        <v>7</v>
      </c>
      <c r="G67">
        <v>3.3412887828162277E-2</v>
      </c>
      <c r="H67">
        <f t="shared" si="1"/>
        <v>13.494500000000002</v>
      </c>
      <c r="I67">
        <f t="shared" ref="I67:I130" si="2">4.19 * 50</f>
        <v>209.50000000000003</v>
      </c>
      <c r="J67">
        <f>0.03*(4.19 * 50)</f>
        <v>6.285000000000001</v>
      </c>
      <c r="K67">
        <f>0.03*(4.19 * 50)</f>
        <v>6.285000000000001</v>
      </c>
      <c r="L67">
        <f>0.03*(4.19 * 50)</f>
        <v>6.285000000000001</v>
      </c>
      <c r="M67">
        <f>0.03*(4.19 * 50)</f>
        <v>6.285000000000001</v>
      </c>
      <c r="N67">
        <f>0.03*(4.19 * 50)</f>
        <v>6.285000000000001</v>
      </c>
      <c r="O67">
        <f>0.03*(4.19 * 50)</f>
        <v>6.285000000000001</v>
      </c>
      <c r="P67">
        <f>0.031*(4.19 * 50)</f>
        <v>6.4945000000000013</v>
      </c>
      <c r="Q67">
        <f>0.032*(4.19 * 50)</f>
        <v>6.7040000000000006</v>
      </c>
      <c r="R67">
        <f>0.032*(4.19 * 50)</f>
        <v>6.7040000000000006</v>
      </c>
      <c r="S67">
        <f>0.031*(4.19 * 50)</f>
        <v>6.4945000000000013</v>
      </c>
      <c r="T67">
        <f>0.031*(4.19 * 50)</f>
        <v>6.4945000000000013</v>
      </c>
      <c r="U67">
        <f>0.03*(4.19 * 50)</f>
        <v>6.285000000000001</v>
      </c>
      <c r="V67">
        <f>0.029*(4.19 * 50)</f>
        <v>6.0755000000000008</v>
      </c>
      <c r="W67">
        <f>0.029*(4.19 * 50)</f>
        <v>6.0755000000000008</v>
      </c>
      <c r="X67">
        <f>0.029*(4.19 * 50)</f>
        <v>6.0755000000000008</v>
      </c>
      <c r="Y67">
        <f>0.029*(4.19 * 50)</f>
        <v>6.0755000000000008</v>
      </c>
      <c r="Z67">
        <f>0.029*(4.19 * 50)</f>
        <v>6.0755000000000008</v>
      </c>
      <c r="AA67">
        <f>0.03*(4.19 * 50)</f>
        <v>6.285000000000001</v>
      </c>
      <c r="AB67">
        <f>0.03*(4.19 * 50)</f>
        <v>6.285000000000001</v>
      </c>
      <c r="AC67">
        <f>0.031*(4.19 * 50)</f>
        <v>6.4945000000000013</v>
      </c>
      <c r="AD67">
        <f>0.031*(4.19 * 50)</f>
        <v>6.4945000000000013</v>
      </c>
      <c r="AE67">
        <f>0.032*(4.19 * 50)</f>
        <v>6.7040000000000006</v>
      </c>
      <c r="AF67">
        <f>0.031*(4.19 * 50)</f>
        <v>6.4945000000000013</v>
      </c>
      <c r="AG67">
        <f>0.031*(4.19 * 50)</f>
        <v>6.4945000000000013</v>
      </c>
    </row>
    <row r="68" spans="1:33" x14ac:dyDescent="0.3">
      <c r="A68" t="s">
        <v>111</v>
      </c>
      <c r="B68">
        <v>357427.242188</v>
      </c>
      <c r="C68">
        <v>6668579.7617189996</v>
      </c>
      <c r="D68" t="s">
        <v>542</v>
      </c>
      <c r="E68">
        <v>100</v>
      </c>
      <c r="F68">
        <v>89</v>
      </c>
      <c r="G68">
        <v>0.42482100238663478</v>
      </c>
      <c r="H68">
        <f t="shared" ref="H68:H131" si="3">F68+P68</f>
        <v>172.59050000000002</v>
      </c>
      <c r="I68">
        <f t="shared" si="2"/>
        <v>209.50000000000003</v>
      </c>
      <c r="J68">
        <f>0.387*(4.19 * 50)</f>
        <v>81.07650000000001</v>
      </c>
      <c r="K68">
        <f>0.384*(4.19 * 50)</f>
        <v>80.448000000000008</v>
      </c>
      <c r="L68">
        <f>0.382*(4.19 * 50)</f>
        <v>80.029000000000011</v>
      </c>
      <c r="M68">
        <f>0.38*(4.19 * 50)</f>
        <v>79.610000000000014</v>
      </c>
      <c r="N68">
        <f>0.382*(4.19 * 50)</f>
        <v>80.029000000000011</v>
      </c>
      <c r="O68">
        <f>0.387*(4.19 * 50)</f>
        <v>81.07650000000001</v>
      </c>
      <c r="P68">
        <f>0.399*(4.19 * 50)</f>
        <v>83.59050000000002</v>
      </c>
      <c r="Q68">
        <f>0.409*(4.19 * 50)</f>
        <v>85.685500000000005</v>
      </c>
      <c r="R68">
        <f>0.406*(4.19 * 50)</f>
        <v>85.057000000000016</v>
      </c>
      <c r="S68">
        <f>0.397*(4.19 * 50)</f>
        <v>83.171500000000009</v>
      </c>
      <c r="T68">
        <f>0.395*(4.19 * 50)</f>
        <v>82.752500000000012</v>
      </c>
      <c r="U68">
        <f>0.379*(4.19 * 50)</f>
        <v>79.400500000000008</v>
      </c>
      <c r="V68">
        <f>0.373*(4.19 * 50)</f>
        <v>78.143500000000017</v>
      </c>
      <c r="W68">
        <f>0.368*(4.19 * 50)</f>
        <v>77.096000000000004</v>
      </c>
      <c r="X68">
        <f>0.367*(4.19 * 50)</f>
        <v>76.886500000000012</v>
      </c>
      <c r="Y68">
        <f>0.368*(4.19 * 50)</f>
        <v>77.096000000000004</v>
      </c>
      <c r="Z68">
        <f>0.372*(4.19 * 50)</f>
        <v>77.934000000000012</v>
      </c>
      <c r="AA68">
        <f>0.379*(4.19 * 50)</f>
        <v>79.400500000000008</v>
      </c>
      <c r="AB68">
        <f>0.384*(4.19 * 50)</f>
        <v>80.448000000000008</v>
      </c>
      <c r="AC68">
        <f>0.391*(4.19 * 50)</f>
        <v>81.914500000000018</v>
      </c>
      <c r="AD68">
        <f>0.398*(4.19 * 50)</f>
        <v>83.381000000000014</v>
      </c>
      <c r="AE68">
        <f>0.401*(4.19 * 50)</f>
        <v>84.009500000000017</v>
      </c>
      <c r="AF68">
        <f>0.397*(4.19 * 50)</f>
        <v>83.171500000000009</v>
      </c>
      <c r="AG68">
        <f>0.392*(4.19 * 50)</f>
        <v>82.124000000000009</v>
      </c>
    </row>
    <row r="69" spans="1:33" x14ac:dyDescent="0.3">
      <c r="A69" t="s">
        <v>112</v>
      </c>
      <c r="B69">
        <v>357576.039063</v>
      </c>
      <c r="C69">
        <v>6668337.7734380001</v>
      </c>
      <c r="D69" t="s">
        <v>542</v>
      </c>
      <c r="E69">
        <v>100</v>
      </c>
      <c r="F69">
        <v>155.66700744628901</v>
      </c>
      <c r="G69">
        <v>0.74304060833550833</v>
      </c>
      <c r="H69">
        <f t="shared" si="3"/>
        <v>301.68850744628901</v>
      </c>
      <c r="I69">
        <f t="shared" si="2"/>
        <v>209.50000000000003</v>
      </c>
      <c r="J69">
        <f>0.678*(4.19 * 50)</f>
        <v>142.04100000000003</v>
      </c>
      <c r="K69">
        <f>0.672*(4.19 * 50)</f>
        <v>140.78400000000002</v>
      </c>
      <c r="L69">
        <f>0.668*(4.19 * 50)</f>
        <v>139.94600000000003</v>
      </c>
      <c r="M69">
        <f>0.665*(4.19 * 50)</f>
        <v>139.31750000000002</v>
      </c>
      <c r="N69">
        <f>0.668*(4.19 * 50)</f>
        <v>139.94600000000003</v>
      </c>
      <c r="O69">
        <f>0.677*(4.19 * 50)</f>
        <v>141.83150000000003</v>
      </c>
      <c r="P69">
        <f>0.697*(4.19 * 50)</f>
        <v>146.0215</v>
      </c>
      <c r="Q69">
        <f>0.715*(4.19 * 50)</f>
        <v>149.79250000000002</v>
      </c>
      <c r="R69">
        <f>0.709*(4.19 * 50)</f>
        <v>148.53550000000001</v>
      </c>
      <c r="S69">
        <f>0.694*(4.19 * 50)</f>
        <v>145.393</v>
      </c>
      <c r="T69">
        <f>0.692*(4.19 * 50)</f>
        <v>144.97400000000002</v>
      </c>
      <c r="U69">
        <f>0.663*(4.19 * 50)</f>
        <v>138.89850000000001</v>
      </c>
      <c r="V69">
        <f>0.653*(4.19 * 50)</f>
        <v>136.80350000000001</v>
      </c>
      <c r="W69">
        <f>0.644*(4.19 * 50)</f>
        <v>134.91800000000003</v>
      </c>
      <c r="X69">
        <f>0.642*(4.19 * 50)</f>
        <v>134.49900000000002</v>
      </c>
      <c r="Y69">
        <f>0.644*(4.19 * 50)</f>
        <v>134.91800000000003</v>
      </c>
      <c r="Z69">
        <f>0.65*(4.19 * 50)</f>
        <v>136.17500000000001</v>
      </c>
      <c r="AA69">
        <f>0.663*(4.19 * 50)</f>
        <v>138.89850000000001</v>
      </c>
      <c r="AB69">
        <f>0.672*(4.19 * 50)</f>
        <v>140.78400000000002</v>
      </c>
      <c r="AC69">
        <f>0.684*(4.19 * 50)</f>
        <v>143.29800000000003</v>
      </c>
      <c r="AD69">
        <f>0.696*(4.19 * 50)</f>
        <v>145.81200000000001</v>
      </c>
      <c r="AE69">
        <f>0.701*(4.19 * 50)</f>
        <v>146.8595</v>
      </c>
      <c r="AF69">
        <f>0.694*(4.19 * 50)</f>
        <v>145.393</v>
      </c>
      <c r="AG69">
        <f>0.685*(4.19 * 50)</f>
        <v>143.50750000000002</v>
      </c>
    </row>
    <row r="70" spans="1:33" x14ac:dyDescent="0.3">
      <c r="A70" t="s">
        <v>113</v>
      </c>
      <c r="B70">
        <v>357595.308594</v>
      </c>
      <c r="C70">
        <v>6668309.4882810004</v>
      </c>
      <c r="D70" t="s">
        <v>542</v>
      </c>
      <c r="E70">
        <v>100</v>
      </c>
      <c r="F70">
        <v>87.333000183105398</v>
      </c>
      <c r="G70">
        <v>0.41686396268785392</v>
      </c>
      <c r="H70">
        <f t="shared" si="3"/>
        <v>169.24750018310542</v>
      </c>
      <c r="I70">
        <f t="shared" si="2"/>
        <v>209.50000000000003</v>
      </c>
      <c r="J70">
        <f>0.38*(4.19 * 50)</f>
        <v>79.610000000000014</v>
      </c>
      <c r="K70">
        <f>0.377*(4.19 * 50)</f>
        <v>78.981500000000011</v>
      </c>
      <c r="L70">
        <f>0.375*(4.19 * 50)</f>
        <v>78.562500000000014</v>
      </c>
      <c r="M70">
        <f>0.373*(4.19 * 50)</f>
        <v>78.143500000000017</v>
      </c>
      <c r="N70">
        <f>0.375*(4.19 * 50)</f>
        <v>78.562500000000014</v>
      </c>
      <c r="O70">
        <f>0.38*(4.19 * 50)</f>
        <v>79.610000000000014</v>
      </c>
      <c r="P70">
        <f>0.391*(4.19 * 50)</f>
        <v>81.914500000000018</v>
      </c>
      <c r="Q70">
        <f>0.401*(4.19 * 50)</f>
        <v>84.009500000000017</v>
      </c>
      <c r="R70">
        <f>0.398*(4.19 * 50)</f>
        <v>83.381000000000014</v>
      </c>
      <c r="S70">
        <f>0.39*(4.19 * 50)</f>
        <v>81.705000000000013</v>
      </c>
      <c r="T70">
        <f>0.388*(4.19 * 50)</f>
        <v>81.286000000000016</v>
      </c>
      <c r="U70">
        <f>0.372*(4.19 * 50)</f>
        <v>77.934000000000012</v>
      </c>
      <c r="V70">
        <f>0.366*(4.19 * 50)</f>
        <v>76.677000000000007</v>
      </c>
      <c r="W70">
        <f>0.362*(4.19 * 50)</f>
        <v>75.839000000000013</v>
      </c>
      <c r="X70">
        <f>0.36*(4.19 * 50)</f>
        <v>75.42</v>
      </c>
      <c r="Y70">
        <f>0.361*(4.19 * 50)</f>
        <v>75.629500000000007</v>
      </c>
      <c r="Z70">
        <f>0.365*(4.19 * 50)</f>
        <v>76.467500000000015</v>
      </c>
      <c r="AA70">
        <f>0.372*(4.19 * 50)</f>
        <v>77.934000000000012</v>
      </c>
      <c r="AB70">
        <f>0.377*(4.19 * 50)</f>
        <v>78.981500000000011</v>
      </c>
      <c r="AC70">
        <f>0.384*(4.19 * 50)</f>
        <v>80.448000000000008</v>
      </c>
      <c r="AD70">
        <f>0.39*(4.19 * 50)</f>
        <v>81.705000000000013</v>
      </c>
      <c r="AE70">
        <f>0.393*(4.19 * 50)</f>
        <v>82.333500000000015</v>
      </c>
      <c r="AF70">
        <f>0.39*(4.19 * 50)</f>
        <v>81.705000000000013</v>
      </c>
      <c r="AG70">
        <f>0.384*(4.19 * 50)</f>
        <v>80.448000000000008</v>
      </c>
    </row>
    <row r="71" spans="1:33" x14ac:dyDescent="0.3">
      <c r="A71" t="s">
        <v>114</v>
      </c>
      <c r="B71">
        <v>356802.058594</v>
      </c>
      <c r="C71">
        <v>6668434.2226560004</v>
      </c>
      <c r="D71" t="s">
        <v>540</v>
      </c>
      <c r="E71">
        <v>100</v>
      </c>
      <c r="F71">
        <v>8</v>
      </c>
      <c r="G71">
        <v>3.8186157517899763E-2</v>
      </c>
      <c r="H71">
        <f t="shared" si="3"/>
        <v>15.542000000000002</v>
      </c>
      <c r="I71">
        <f t="shared" si="2"/>
        <v>209.50000000000003</v>
      </c>
      <c r="J71">
        <f>0.035*(4.19 * 50)</f>
        <v>7.3325000000000014</v>
      </c>
      <c r="K71">
        <f>0.035*(4.19 * 50)</f>
        <v>7.3325000000000014</v>
      </c>
      <c r="L71">
        <f>0.034*(4.19 * 50)</f>
        <v>7.1230000000000011</v>
      </c>
      <c r="M71">
        <f>0.034*(4.19 * 50)</f>
        <v>7.1230000000000011</v>
      </c>
      <c r="N71">
        <f>0.034*(4.19 * 50)</f>
        <v>7.1230000000000011</v>
      </c>
      <c r="O71">
        <f>0.035*(4.19 * 50)</f>
        <v>7.3325000000000014</v>
      </c>
      <c r="P71">
        <f>0.036*(4.19 * 50)</f>
        <v>7.5420000000000007</v>
      </c>
      <c r="Q71">
        <f>0.037*(4.19 * 50)</f>
        <v>7.7515000000000009</v>
      </c>
      <c r="R71">
        <f>0.036*(4.19 * 50)</f>
        <v>7.5420000000000007</v>
      </c>
      <c r="S71">
        <f>0.036*(4.19 * 50)</f>
        <v>7.5420000000000007</v>
      </c>
      <c r="T71">
        <f>0.036*(4.19 * 50)</f>
        <v>7.5420000000000007</v>
      </c>
      <c r="U71">
        <f>0.034*(4.19 * 50)</f>
        <v>7.1230000000000011</v>
      </c>
      <c r="V71">
        <f>0.034*(4.19 * 50)</f>
        <v>7.1230000000000011</v>
      </c>
      <c r="W71">
        <f>0.033*(4.19 * 50)</f>
        <v>6.9135000000000009</v>
      </c>
      <c r="X71">
        <f>0.033*(4.19 * 50)</f>
        <v>6.9135000000000009</v>
      </c>
      <c r="Y71">
        <f>0.033*(4.19 * 50)</f>
        <v>6.9135000000000009</v>
      </c>
      <c r="Z71">
        <f>0.033*(4.19 * 50)</f>
        <v>6.9135000000000009</v>
      </c>
      <c r="AA71">
        <f>0.034*(4.19 * 50)</f>
        <v>7.1230000000000011</v>
      </c>
      <c r="AB71">
        <f>0.035*(4.19 * 50)</f>
        <v>7.3325000000000014</v>
      </c>
      <c r="AC71">
        <f>0.035*(4.19 * 50)</f>
        <v>7.3325000000000014</v>
      </c>
      <c r="AD71">
        <f>0.036*(4.19 * 50)</f>
        <v>7.5420000000000007</v>
      </c>
      <c r="AE71">
        <f>0.036*(4.19 * 50)</f>
        <v>7.5420000000000007</v>
      </c>
      <c r="AF71">
        <f>0.036*(4.19 * 50)</f>
        <v>7.5420000000000007</v>
      </c>
      <c r="AG71">
        <f>0.035*(4.19 * 50)</f>
        <v>7.3325000000000014</v>
      </c>
    </row>
    <row r="72" spans="1:33" x14ac:dyDescent="0.3">
      <c r="A72" t="s">
        <v>115</v>
      </c>
      <c r="B72">
        <v>356836.90625</v>
      </c>
      <c r="C72">
        <v>6668438.2148439996</v>
      </c>
      <c r="D72" t="s">
        <v>540</v>
      </c>
      <c r="E72">
        <v>100</v>
      </c>
      <c r="F72">
        <v>5</v>
      </c>
      <c r="G72">
        <v>2.386634844868735E-2</v>
      </c>
      <c r="H72">
        <f t="shared" si="3"/>
        <v>9.609</v>
      </c>
      <c r="I72">
        <f t="shared" si="2"/>
        <v>209.50000000000003</v>
      </c>
      <c r="J72">
        <f>0.022*(4.19 * 50)</f>
        <v>4.609</v>
      </c>
      <c r="K72">
        <f>0.022*(4.19 * 50)</f>
        <v>4.609</v>
      </c>
      <c r="L72">
        <f>0.021*(4.19 * 50)</f>
        <v>4.3995000000000006</v>
      </c>
      <c r="M72">
        <f>0.021*(4.19 * 50)</f>
        <v>4.3995000000000006</v>
      </c>
      <c r="N72">
        <f>0.021*(4.19 * 50)</f>
        <v>4.3995000000000006</v>
      </c>
      <c r="O72">
        <f>0.022*(4.19 * 50)</f>
        <v>4.609</v>
      </c>
      <c r="P72">
        <f>0.022*(4.19 * 50)</f>
        <v>4.609</v>
      </c>
      <c r="Q72">
        <f>0.023*(4.19 * 50)</f>
        <v>4.8185000000000002</v>
      </c>
      <c r="R72">
        <f>0.023*(4.19 * 50)</f>
        <v>4.8185000000000002</v>
      </c>
      <c r="S72">
        <f>0.022*(4.19 * 50)</f>
        <v>4.609</v>
      </c>
      <c r="T72">
        <f>0.022*(4.19 * 50)</f>
        <v>4.609</v>
      </c>
      <c r="U72">
        <f>0.021*(4.19 * 50)</f>
        <v>4.3995000000000006</v>
      </c>
      <c r="V72">
        <f>0.021*(4.19 * 50)</f>
        <v>4.3995000000000006</v>
      </c>
      <c r="W72">
        <f>0.021*(4.19 * 50)</f>
        <v>4.3995000000000006</v>
      </c>
      <c r="X72">
        <f>0.021*(4.19 * 50)</f>
        <v>4.3995000000000006</v>
      </c>
      <c r="Y72">
        <f>0.021*(4.19 * 50)</f>
        <v>4.3995000000000006</v>
      </c>
      <c r="Z72">
        <f>0.021*(4.19 * 50)</f>
        <v>4.3995000000000006</v>
      </c>
      <c r="AA72">
        <f>0.021*(4.19 * 50)</f>
        <v>4.3995000000000006</v>
      </c>
      <c r="AB72">
        <f>0.022*(4.19 * 50)</f>
        <v>4.609</v>
      </c>
      <c r="AC72">
        <f>0.022*(4.19 * 50)</f>
        <v>4.609</v>
      </c>
      <c r="AD72">
        <f>0.022*(4.19 * 50)</f>
        <v>4.609</v>
      </c>
      <c r="AE72">
        <f>0.023*(4.19 * 50)</f>
        <v>4.8185000000000002</v>
      </c>
      <c r="AF72">
        <f>0.022*(4.19 * 50)</f>
        <v>4.609</v>
      </c>
      <c r="AG72">
        <f>0.022*(4.19 * 50)</f>
        <v>4.609</v>
      </c>
    </row>
    <row r="73" spans="1:33" x14ac:dyDescent="0.3">
      <c r="A73" t="s">
        <v>116</v>
      </c>
      <c r="B73">
        <v>356814.617188</v>
      </c>
      <c r="C73">
        <v>6668404.4882810004</v>
      </c>
      <c r="D73" t="s">
        <v>540</v>
      </c>
      <c r="E73">
        <v>100</v>
      </c>
      <c r="F73">
        <v>5</v>
      </c>
      <c r="G73">
        <v>2.386634844868735E-2</v>
      </c>
      <c r="H73">
        <f t="shared" si="3"/>
        <v>9.609</v>
      </c>
      <c r="I73">
        <f t="shared" si="2"/>
        <v>209.50000000000003</v>
      </c>
      <c r="J73">
        <f>0.022*(4.19 * 50)</f>
        <v>4.609</v>
      </c>
      <c r="K73">
        <f>0.022*(4.19 * 50)</f>
        <v>4.609</v>
      </c>
      <c r="L73">
        <f>0.021*(4.19 * 50)</f>
        <v>4.3995000000000006</v>
      </c>
      <c r="M73">
        <f>0.021*(4.19 * 50)</f>
        <v>4.3995000000000006</v>
      </c>
      <c r="N73">
        <f>0.021*(4.19 * 50)</f>
        <v>4.3995000000000006</v>
      </c>
      <c r="O73">
        <f>0.022*(4.19 * 50)</f>
        <v>4.609</v>
      </c>
      <c r="P73">
        <f>0.022*(4.19 * 50)</f>
        <v>4.609</v>
      </c>
      <c r="Q73">
        <f>0.023*(4.19 * 50)</f>
        <v>4.8185000000000002</v>
      </c>
      <c r="R73">
        <f>0.023*(4.19 * 50)</f>
        <v>4.8185000000000002</v>
      </c>
      <c r="S73">
        <f>0.022*(4.19 * 50)</f>
        <v>4.609</v>
      </c>
      <c r="T73">
        <f>0.022*(4.19 * 50)</f>
        <v>4.609</v>
      </c>
      <c r="U73">
        <f>0.021*(4.19 * 50)</f>
        <v>4.3995000000000006</v>
      </c>
      <c r="V73">
        <f>0.021*(4.19 * 50)</f>
        <v>4.3995000000000006</v>
      </c>
      <c r="W73">
        <f>0.021*(4.19 * 50)</f>
        <v>4.3995000000000006</v>
      </c>
      <c r="X73">
        <f>0.021*(4.19 * 50)</f>
        <v>4.3995000000000006</v>
      </c>
      <c r="Y73">
        <f>0.021*(4.19 * 50)</f>
        <v>4.3995000000000006</v>
      </c>
      <c r="Z73">
        <f>0.021*(4.19 * 50)</f>
        <v>4.3995000000000006</v>
      </c>
      <c r="AA73">
        <f>0.021*(4.19 * 50)</f>
        <v>4.3995000000000006</v>
      </c>
      <c r="AB73">
        <f>0.022*(4.19 * 50)</f>
        <v>4.609</v>
      </c>
      <c r="AC73">
        <f>0.022*(4.19 * 50)</f>
        <v>4.609</v>
      </c>
      <c r="AD73">
        <f>0.022*(4.19 * 50)</f>
        <v>4.609</v>
      </c>
      <c r="AE73">
        <f>0.023*(4.19 * 50)</f>
        <v>4.8185000000000002</v>
      </c>
      <c r="AF73">
        <f>0.022*(4.19 * 50)</f>
        <v>4.609</v>
      </c>
      <c r="AG73">
        <f>0.022*(4.19 * 50)</f>
        <v>4.609</v>
      </c>
    </row>
    <row r="74" spans="1:33" x14ac:dyDescent="0.3">
      <c r="A74" t="s">
        <v>117</v>
      </c>
      <c r="B74">
        <v>358263.398438</v>
      </c>
      <c r="C74">
        <v>6667549.3320310004</v>
      </c>
      <c r="D74" t="s">
        <v>541</v>
      </c>
      <c r="E74">
        <v>100</v>
      </c>
      <c r="F74">
        <v>46.666999816894503</v>
      </c>
      <c r="G74">
        <v>0.2227541757369666</v>
      </c>
      <c r="H74">
        <f t="shared" si="3"/>
        <v>90.452499816894516</v>
      </c>
      <c r="I74">
        <f t="shared" si="2"/>
        <v>209.50000000000003</v>
      </c>
      <c r="J74">
        <f>0.203*(4.19 * 50)</f>
        <v>42.528500000000008</v>
      </c>
      <c r="K74">
        <f>0.201*(4.19 * 50)</f>
        <v>42.109500000000011</v>
      </c>
      <c r="L74">
        <f>0.2*(4.19 * 50)</f>
        <v>41.900000000000006</v>
      </c>
      <c r="M74">
        <f>0.199*(4.19 * 50)</f>
        <v>41.690500000000007</v>
      </c>
      <c r="N74">
        <f>0.2*(4.19 * 50)</f>
        <v>41.900000000000006</v>
      </c>
      <c r="O74">
        <f>0.203*(4.19 * 50)</f>
        <v>42.528500000000008</v>
      </c>
      <c r="P74">
        <f>0.209*(4.19 * 50)</f>
        <v>43.785500000000006</v>
      </c>
      <c r="Q74">
        <f>0.214*(4.19 * 50)</f>
        <v>44.833000000000006</v>
      </c>
      <c r="R74">
        <f>0.213*(4.19 * 50)</f>
        <v>44.623500000000007</v>
      </c>
      <c r="S74">
        <f>0.208*(4.19 * 50)</f>
        <v>43.576000000000001</v>
      </c>
      <c r="T74">
        <f>0.207*(4.19 * 50)</f>
        <v>43.366500000000002</v>
      </c>
      <c r="U74">
        <f>0.199*(4.19 * 50)</f>
        <v>41.690500000000007</v>
      </c>
      <c r="V74">
        <f>0.196*(4.19 * 50)</f>
        <v>41.062000000000005</v>
      </c>
      <c r="W74">
        <f>0.193*(4.19 * 50)</f>
        <v>40.433500000000009</v>
      </c>
      <c r="X74">
        <f>0.193*(4.19 * 50)</f>
        <v>40.433500000000009</v>
      </c>
      <c r="Y74">
        <f>0.193*(4.19 * 50)</f>
        <v>40.433500000000009</v>
      </c>
      <c r="Z74">
        <f>0.195*(4.19 * 50)</f>
        <v>40.852500000000006</v>
      </c>
      <c r="AA74">
        <f>0.199*(4.19 * 50)</f>
        <v>41.690500000000007</v>
      </c>
      <c r="AB74">
        <f>0.201*(4.19 * 50)</f>
        <v>42.109500000000011</v>
      </c>
      <c r="AC74">
        <f>0.205*(4.19 * 50)</f>
        <v>42.947500000000005</v>
      </c>
      <c r="AD74">
        <f>0.209*(4.19 * 50)</f>
        <v>43.785500000000006</v>
      </c>
      <c r="AE74">
        <f>0.21*(4.19 * 50)</f>
        <v>43.995000000000005</v>
      </c>
      <c r="AF74">
        <f>0.208*(4.19 * 50)</f>
        <v>43.576000000000001</v>
      </c>
      <c r="AG74">
        <f>0.205*(4.19 * 50)</f>
        <v>42.947500000000005</v>
      </c>
    </row>
    <row r="75" spans="1:33" x14ac:dyDescent="0.3">
      <c r="A75" t="s">
        <v>118</v>
      </c>
      <c r="B75">
        <v>357340.203125</v>
      </c>
      <c r="C75">
        <v>6667826.828125</v>
      </c>
      <c r="D75" t="s">
        <v>542</v>
      </c>
      <c r="E75">
        <v>100</v>
      </c>
      <c r="F75">
        <v>82</v>
      </c>
      <c r="G75">
        <v>0.39140811455847252</v>
      </c>
      <c r="H75">
        <f t="shared" si="3"/>
        <v>158.88650000000001</v>
      </c>
      <c r="I75">
        <f t="shared" si="2"/>
        <v>209.50000000000003</v>
      </c>
      <c r="J75">
        <f>0.357*(4.19 * 50)</f>
        <v>74.791500000000013</v>
      </c>
      <c r="K75">
        <f>0.354*(4.19 * 50)</f>
        <v>74.163000000000011</v>
      </c>
      <c r="L75">
        <f>0.352*(4.19 * 50)</f>
        <v>73.744</v>
      </c>
      <c r="M75">
        <f>0.35*(4.19 * 50)</f>
        <v>73.325000000000003</v>
      </c>
      <c r="N75">
        <f>0.352*(4.19 * 50)</f>
        <v>73.744</v>
      </c>
      <c r="O75">
        <f>0.357*(4.19 * 50)</f>
        <v>74.791500000000013</v>
      </c>
      <c r="P75">
        <f>0.367*(4.19 * 50)</f>
        <v>76.886500000000012</v>
      </c>
      <c r="Q75">
        <f>0.377*(4.19 * 50)</f>
        <v>78.981500000000011</v>
      </c>
      <c r="R75">
        <f>0.374*(4.19 * 50)</f>
        <v>78.353000000000009</v>
      </c>
      <c r="S75">
        <f>0.366*(4.19 * 50)</f>
        <v>76.677000000000007</v>
      </c>
      <c r="T75">
        <f>0.364*(4.19 * 50)</f>
        <v>76.25800000000001</v>
      </c>
      <c r="U75">
        <f>0.349*(4.19 * 50)</f>
        <v>73.115500000000011</v>
      </c>
      <c r="V75">
        <f>0.344*(4.19 * 50)</f>
        <v>72.067999999999998</v>
      </c>
      <c r="W75">
        <f>0.339*(4.19 * 50)</f>
        <v>71.020500000000013</v>
      </c>
      <c r="X75">
        <f>0.338*(4.19 * 50)</f>
        <v>70.811000000000021</v>
      </c>
      <c r="Y75">
        <f>0.339*(4.19 * 50)</f>
        <v>71.020500000000013</v>
      </c>
      <c r="Z75">
        <f>0.343*(4.19 * 50)</f>
        <v>71.858500000000021</v>
      </c>
      <c r="AA75">
        <f>0.349*(4.19 * 50)</f>
        <v>73.115500000000011</v>
      </c>
      <c r="AB75">
        <f>0.354*(4.19 * 50)</f>
        <v>74.163000000000011</v>
      </c>
      <c r="AC75">
        <f>0.36*(4.19 * 50)</f>
        <v>75.42</v>
      </c>
      <c r="AD75">
        <f>0.367*(4.19 * 50)</f>
        <v>76.886500000000012</v>
      </c>
      <c r="AE75">
        <f>0.369*(4.19 * 50)</f>
        <v>77.305500000000009</v>
      </c>
      <c r="AF75">
        <f>0.366*(4.19 * 50)</f>
        <v>76.677000000000007</v>
      </c>
      <c r="AG75">
        <f>0.361*(4.19 * 50)</f>
        <v>75.629500000000007</v>
      </c>
    </row>
    <row r="76" spans="1:33" x14ac:dyDescent="0.3">
      <c r="A76" t="s">
        <v>119</v>
      </c>
      <c r="B76">
        <v>357358.167969</v>
      </c>
      <c r="C76">
        <v>6667811.515625</v>
      </c>
      <c r="D76" t="s">
        <v>541</v>
      </c>
      <c r="E76">
        <v>100</v>
      </c>
      <c r="F76">
        <v>104.333000183105</v>
      </c>
      <c r="G76">
        <v>0.49800954741338888</v>
      </c>
      <c r="H76">
        <f t="shared" si="3"/>
        <v>202.16950018310501</v>
      </c>
      <c r="I76">
        <f t="shared" si="2"/>
        <v>209.50000000000003</v>
      </c>
      <c r="J76">
        <f>0.454*(4.19 * 50)</f>
        <v>95.113000000000014</v>
      </c>
      <c r="K76">
        <f>0.45*(4.19 * 50)</f>
        <v>94.27500000000002</v>
      </c>
      <c r="L76">
        <f>0.448*(4.19 * 50)</f>
        <v>93.856000000000009</v>
      </c>
      <c r="M76">
        <f>0.446*(4.19 * 50)</f>
        <v>93.437000000000012</v>
      </c>
      <c r="N76">
        <f>0.448*(4.19 * 50)</f>
        <v>93.856000000000009</v>
      </c>
      <c r="O76">
        <f>0.454*(4.19 * 50)</f>
        <v>95.113000000000014</v>
      </c>
      <c r="P76">
        <f>0.467*(4.19 * 50)</f>
        <v>97.836500000000015</v>
      </c>
      <c r="Q76">
        <f>0.479*(4.19 * 50)</f>
        <v>100.35050000000001</v>
      </c>
      <c r="R76">
        <f>0.475*(4.19 * 50)</f>
        <v>99.512500000000003</v>
      </c>
      <c r="S76">
        <f>0.465*(4.19 * 50)</f>
        <v>97.417500000000018</v>
      </c>
      <c r="T76">
        <f>0.464*(4.19 * 50)</f>
        <v>97.208000000000013</v>
      </c>
      <c r="U76">
        <f>0.444*(4.19 * 50)</f>
        <v>93.018000000000015</v>
      </c>
      <c r="V76">
        <f>0.438*(4.19 * 50)</f>
        <v>91.76100000000001</v>
      </c>
      <c r="W76">
        <f>0.432*(4.19 * 50)</f>
        <v>90.504000000000005</v>
      </c>
      <c r="X76">
        <f>0.431*(4.19 * 50)</f>
        <v>90.294500000000014</v>
      </c>
      <c r="Y76">
        <f>0.431*(4.19 * 50)</f>
        <v>90.294500000000014</v>
      </c>
      <c r="Z76">
        <f>0.436*(4.19 * 50)</f>
        <v>91.342000000000013</v>
      </c>
      <c r="AA76">
        <f>0.444*(4.19 * 50)</f>
        <v>93.018000000000015</v>
      </c>
      <c r="AB76">
        <f>0.45*(4.19 * 50)</f>
        <v>94.27500000000002</v>
      </c>
      <c r="AC76">
        <f>0.459*(4.19 * 50)</f>
        <v>96.160500000000013</v>
      </c>
      <c r="AD76">
        <f>0.466*(4.19 * 50)</f>
        <v>97.627000000000024</v>
      </c>
      <c r="AE76">
        <f>0.47*(4.19 * 50)</f>
        <v>98.465000000000003</v>
      </c>
      <c r="AF76">
        <f>0.465*(4.19 * 50)</f>
        <v>97.417500000000018</v>
      </c>
      <c r="AG76">
        <f>0.459*(4.19 * 50)</f>
        <v>96.160500000000013</v>
      </c>
    </row>
    <row r="77" spans="1:33" x14ac:dyDescent="0.3">
      <c r="A77" t="s">
        <v>120</v>
      </c>
      <c r="B77">
        <v>357366.132813</v>
      </c>
      <c r="C77">
        <v>6667758.9023439996</v>
      </c>
      <c r="D77" t="s">
        <v>541</v>
      </c>
      <c r="E77">
        <v>100</v>
      </c>
      <c r="F77">
        <v>70.333000183105398</v>
      </c>
      <c r="G77">
        <v>0.33571837796231691</v>
      </c>
      <c r="H77">
        <f t="shared" si="3"/>
        <v>136.32550018310542</v>
      </c>
      <c r="I77">
        <f t="shared" si="2"/>
        <v>209.50000000000003</v>
      </c>
      <c r="J77">
        <f>0.306*(4.19 * 50)</f>
        <v>64.107000000000014</v>
      </c>
      <c r="K77">
        <f>0.304*(4.19 * 50)</f>
        <v>63.688000000000009</v>
      </c>
      <c r="L77">
        <f>0.302*(4.19 * 50)</f>
        <v>63.269000000000005</v>
      </c>
      <c r="M77">
        <f>0.301*(4.19 * 50)</f>
        <v>63.059500000000007</v>
      </c>
      <c r="N77">
        <f>0.302*(4.19 * 50)</f>
        <v>63.269000000000005</v>
      </c>
      <c r="O77">
        <f>0.306*(4.19 * 50)</f>
        <v>64.107000000000014</v>
      </c>
      <c r="P77">
        <f>0.315*(4.19 * 50)</f>
        <v>65.992500000000007</v>
      </c>
      <c r="Q77">
        <f>0.323*(4.19 * 50)</f>
        <v>67.668500000000009</v>
      </c>
      <c r="R77">
        <f>0.32*(4.19 * 50)</f>
        <v>67.040000000000006</v>
      </c>
      <c r="S77">
        <f>0.314*(4.19 * 50)</f>
        <v>65.783000000000015</v>
      </c>
      <c r="T77">
        <f>0.313*(4.19 * 50)</f>
        <v>65.57350000000001</v>
      </c>
      <c r="U77">
        <f>0.299*(4.19 * 50)</f>
        <v>62.640500000000003</v>
      </c>
      <c r="V77">
        <f>0.295*(4.19 * 50)</f>
        <v>61.802500000000002</v>
      </c>
      <c r="W77">
        <f>0.291*(4.19 * 50)</f>
        <v>60.964500000000001</v>
      </c>
      <c r="X77">
        <f>0.29*(4.19 * 50)</f>
        <v>60.755000000000003</v>
      </c>
      <c r="Y77">
        <f>0.291*(4.19 * 50)</f>
        <v>60.964500000000001</v>
      </c>
      <c r="Z77">
        <f>0.294*(4.19 * 50)</f>
        <v>61.593000000000004</v>
      </c>
      <c r="AA77">
        <f>0.299*(4.19 * 50)</f>
        <v>62.640500000000003</v>
      </c>
      <c r="AB77">
        <f>0.304*(4.19 * 50)</f>
        <v>63.688000000000009</v>
      </c>
      <c r="AC77">
        <f>0.309*(4.19 * 50)</f>
        <v>64.735500000000002</v>
      </c>
      <c r="AD77">
        <f>0.314*(4.19 * 50)</f>
        <v>65.783000000000015</v>
      </c>
      <c r="AE77">
        <f>0.317*(4.19 * 50)</f>
        <v>66.411500000000004</v>
      </c>
      <c r="AF77">
        <f>0.314*(4.19 * 50)</f>
        <v>65.783000000000015</v>
      </c>
      <c r="AG77">
        <f>0.309*(4.19 * 50)</f>
        <v>64.735500000000002</v>
      </c>
    </row>
    <row r="78" spans="1:33" x14ac:dyDescent="0.3">
      <c r="A78" t="s">
        <v>121</v>
      </c>
      <c r="B78">
        <v>357285.738281</v>
      </c>
      <c r="C78">
        <v>6668461.8242189996</v>
      </c>
      <c r="D78" t="s">
        <v>547</v>
      </c>
      <c r="E78">
        <v>100</v>
      </c>
      <c r="F78">
        <v>72</v>
      </c>
      <c r="G78">
        <v>0.34367541766109783</v>
      </c>
      <c r="H78">
        <f t="shared" si="3"/>
        <v>139.459</v>
      </c>
      <c r="I78">
        <f t="shared" si="2"/>
        <v>209.50000000000003</v>
      </c>
      <c r="J78">
        <f>0.313*(4.19 * 50)</f>
        <v>65.57350000000001</v>
      </c>
      <c r="K78">
        <f>0.311*(4.19 * 50)</f>
        <v>65.154500000000013</v>
      </c>
      <c r="L78">
        <f>0.309*(4.19 * 50)</f>
        <v>64.735500000000002</v>
      </c>
      <c r="M78">
        <f>0.308*(4.19 * 50)</f>
        <v>64.52600000000001</v>
      </c>
      <c r="N78">
        <f>0.309*(4.19 * 50)</f>
        <v>64.735500000000002</v>
      </c>
      <c r="O78">
        <f>0.313*(4.19 * 50)</f>
        <v>65.57350000000001</v>
      </c>
      <c r="P78">
        <f>0.322*(4.19 * 50)</f>
        <v>67.459000000000017</v>
      </c>
      <c r="Q78">
        <f>0.331*(4.19 * 50)</f>
        <v>69.344500000000011</v>
      </c>
      <c r="R78">
        <f>0.328*(4.19 * 50)</f>
        <v>68.716000000000008</v>
      </c>
      <c r="S78">
        <f>0.321*(4.19 * 50)</f>
        <v>67.249500000000012</v>
      </c>
      <c r="T78">
        <f>0.32*(4.19 * 50)</f>
        <v>67.040000000000006</v>
      </c>
      <c r="U78">
        <f>0.306*(4.19 * 50)</f>
        <v>64.107000000000014</v>
      </c>
      <c r="V78">
        <f>0.302*(4.19 * 50)</f>
        <v>63.269000000000005</v>
      </c>
      <c r="W78">
        <f>0.298*(4.19 * 50)</f>
        <v>62.431000000000004</v>
      </c>
      <c r="X78">
        <f>0.297*(4.19 * 50)</f>
        <v>62.221500000000006</v>
      </c>
      <c r="Y78">
        <f>0.298*(4.19 * 50)</f>
        <v>62.431000000000004</v>
      </c>
      <c r="Z78">
        <f>0.301*(4.19 * 50)</f>
        <v>63.059500000000007</v>
      </c>
      <c r="AA78">
        <f>0.306*(4.19 * 50)</f>
        <v>64.107000000000014</v>
      </c>
      <c r="AB78">
        <f>0.311*(4.19 * 50)</f>
        <v>65.154500000000013</v>
      </c>
      <c r="AC78">
        <f>0.316*(4.19 * 50)</f>
        <v>66.202000000000012</v>
      </c>
      <c r="AD78">
        <f>0.322*(4.19 * 50)</f>
        <v>67.459000000000017</v>
      </c>
      <c r="AE78">
        <f>0.324*(4.19 * 50)</f>
        <v>67.878000000000014</v>
      </c>
      <c r="AF78">
        <f>0.321*(4.19 * 50)</f>
        <v>67.249500000000012</v>
      </c>
      <c r="AG78">
        <f>0.317*(4.19 * 50)</f>
        <v>66.411500000000004</v>
      </c>
    </row>
    <row r="79" spans="1:33" x14ac:dyDescent="0.3">
      <c r="A79" t="s">
        <v>122</v>
      </c>
      <c r="B79">
        <v>357268.738281</v>
      </c>
      <c r="C79">
        <v>6668449.65625</v>
      </c>
      <c r="D79" t="s">
        <v>541</v>
      </c>
      <c r="E79">
        <v>100</v>
      </c>
      <c r="F79">
        <v>39.666999816894503</v>
      </c>
      <c r="G79">
        <v>0.18934128790880431</v>
      </c>
      <c r="H79">
        <f t="shared" si="3"/>
        <v>76.9579998168945</v>
      </c>
      <c r="I79">
        <f t="shared" si="2"/>
        <v>209.50000000000003</v>
      </c>
      <c r="J79">
        <f>0.173*(4.19 * 50)</f>
        <v>36.243500000000004</v>
      </c>
      <c r="K79">
        <f>0.171*(4.19 * 50)</f>
        <v>35.824500000000008</v>
      </c>
      <c r="L79">
        <f>0.17*(4.19 * 50)</f>
        <v>35.615000000000009</v>
      </c>
      <c r="M79">
        <f>0.17*(4.19 * 50)</f>
        <v>35.615000000000009</v>
      </c>
      <c r="N79">
        <f>0.17*(4.19 * 50)</f>
        <v>35.615000000000009</v>
      </c>
      <c r="O79">
        <f>0.172*(4.19 * 50)</f>
        <v>36.033999999999999</v>
      </c>
      <c r="P79">
        <f>0.178*(4.19 * 50)</f>
        <v>37.291000000000004</v>
      </c>
      <c r="Q79">
        <f>0.182*(4.19 * 50)</f>
        <v>38.129000000000005</v>
      </c>
      <c r="R79">
        <f>0.181*(4.19 * 50)</f>
        <v>37.919500000000006</v>
      </c>
      <c r="S79">
        <f>0.177*(4.19 * 50)</f>
        <v>37.081500000000005</v>
      </c>
      <c r="T79">
        <f>0.176*(4.19 * 50)</f>
        <v>36.872</v>
      </c>
      <c r="U79">
        <f>0.169*(4.19 * 50)</f>
        <v>35.405500000000011</v>
      </c>
      <c r="V79">
        <f>0.166*(4.19 * 50)</f>
        <v>34.777000000000008</v>
      </c>
      <c r="W79">
        <f>0.164*(4.19 * 50)</f>
        <v>34.358000000000004</v>
      </c>
      <c r="X79">
        <f>0.164*(4.19 * 50)</f>
        <v>34.358000000000004</v>
      </c>
      <c r="Y79">
        <f>0.164*(4.19 * 50)</f>
        <v>34.358000000000004</v>
      </c>
      <c r="Z79">
        <f>0.166*(4.19 * 50)</f>
        <v>34.777000000000008</v>
      </c>
      <c r="AA79">
        <f>0.169*(4.19 * 50)</f>
        <v>35.405500000000011</v>
      </c>
      <c r="AB79">
        <f>0.171*(4.19 * 50)</f>
        <v>35.824500000000008</v>
      </c>
      <c r="AC79">
        <f>0.174*(4.19 * 50)</f>
        <v>36.453000000000003</v>
      </c>
      <c r="AD79">
        <f>0.177*(4.19 * 50)</f>
        <v>37.081500000000005</v>
      </c>
      <c r="AE79">
        <f>0.179*(4.19 * 50)</f>
        <v>37.500500000000002</v>
      </c>
      <c r="AF79">
        <f>0.177*(4.19 * 50)</f>
        <v>37.081500000000005</v>
      </c>
      <c r="AG79">
        <f>0.175*(4.19 * 50)</f>
        <v>36.662500000000001</v>
      </c>
    </row>
    <row r="80" spans="1:33" x14ac:dyDescent="0.3">
      <c r="A80" t="s">
        <v>123</v>
      </c>
      <c r="B80">
        <v>357635.664063</v>
      </c>
      <c r="C80">
        <v>6668372.6015630001</v>
      </c>
      <c r="D80" t="s">
        <v>542</v>
      </c>
      <c r="E80">
        <v>100</v>
      </c>
      <c r="F80">
        <v>98.333000183105398</v>
      </c>
      <c r="G80">
        <v>0.46936992927496601</v>
      </c>
      <c r="H80">
        <f t="shared" si="3"/>
        <v>190.51300018310542</v>
      </c>
      <c r="I80">
        <f t="shared" si="2"/>
        <v>209.50000000000003</v>
      </c>
      <c r="J80">
        <f>0.428*(4.19 * 50)</f>
        <v>89.666000000000011</v>
      </c>
      <c r="K80">
        <f>0.425*(4.19 * 50)</f>
        <v>89.037500000000009</v>
      </c>
      <c r="L80">
        <f>0.422*(4.19 * 50)</f>
        <v>88.409000000000006</v>
      </c>
      <c r="M80">
        <f>0.42*(4.19 * 50)</f>
        <v>87.990000000000009</v>
      </c>
      <c r="N80">
        <f>0.422*(4.19 * 50)</f>
        <v>88.409000000000006</v>
      </c>
      <c r="O80">
        <f>0.428*(4.19 * 50)</f>
        <v>89.666000000000011</v>
      </c>
      <c r="P80">
        <f>0.44*(4.19 * 50)</f>
        <v>92.18</v>
      </c>
      <c r="Q80">
        <f>0.452*(4.19 * 50)</f>
        <v>94.694000000000017</v>
      </c>
      <c r="R80">
        <f>0.448*(4.19 * 50)</f>
        <v>93.856000000000009</v>
      </c>
      <c r="S80">
        <f>0.439*(4.19 * 50)</f>
        <v>91.970500000000015</v>
      </c>
      <c r="T80">
        <f>0.437*(4.19 * 50)</f>
        <v>91.551500000000019</v>
      </c>
      <c r="U80">
        <f>0.419*(4.19 * 50)</f>
        <v>87.780500000000004</v>
      </c>
      <c r="V80">
        <f>0.413*(4.19 * 50)</f>
        <v>86.523500000000013</v>
      </c>
      <c r="W80">
        <f>0.407*(4.19 * 50)</f>
        <v>85.266500000000008</v>
      </c>
      <c r="X80">
        <f>0.406*(4.19 * 50)</f>
        <v>85.057000000000016</v>
      </c>
      <c r="Y80">
        <f>0.407*(4.19 * 50)</f>
        <v>85.266500000000008</v>
      </c>
      <c r="Z80">
        <f>0.411*(4.19 * 50)</f>
        <v>86.104500000000002</v>
      </c>
      <c r="AA80">
        <f>0.419*(4.19 * 50)</f>
        <v>87.780500000000004</v>
      </c>
      <c r="AB80">
        <f>0.425*(4.19 * 50)</f>
        <v>89.037500000000009</v>
      </c>
      <c r="AC80">
        <f>0.432*(4.19 * 50)</f>
        <v>90.504000000000005</v>
      </c>
      <c r="AD80">
        <f>0.44*(4.19 * 50)</f>
        <v>92.18</v>
      </c>
      <c r="AE80">
        <f>0.443*(4.19 * 50)</f>
        <v>92.808500000000009</v>
      </c>
      <c r="AF80">
        <f>0.439*(4.19 * 50)</f>
        <v>91.970500000000015</v>
      </c>
      <c r="AG80">
        <f>0.433*(4.19 * 50)</f>
        <v>90.71350000000001</v>
      </c>
    </row>
    <row r="81" spans="1:33" x14ac:dyDescent="0.3">
      <c r="A81" t="s">
        <v>124</v>
      </c>
      <c r="B81">
        <v>357620.992188</v>
      </c>
      <c r="C81">
        <v>6667609.34375</v>
      </c>
      <c r="D81" t="s">
        <v>542</v>
      </c>
      <c r="E81">
        <v>100</v>
      </c>
      <c r="F81">
        <v>153.33299255371</v>
      </c>
      <c r="G81">
        <v>0.73189972579336504</v>
      </c>
      <c r="H81">
        <f t="shared" si="3"/>
        <v>297.25949255371006</v>
      </c>
      <c r="I81">
        <f t="shared" si="2"/>
        <v>209.50000000000003</v>
      </c>
      <c r="J81">
        <f>0.667*(4.19 * 50)</f>
        <v>139.73650000000004</v>
      </c>
      <c r="K81">
        <f>0.662*(4.19 * 50)</f>
        <v>138.68900000000002</v>
      </c>
      <c r="L81">
        <f>0.658*(4.19 * 50)</f>
        <v>137.85100000000003</v>
      </c>
      <c r="M81">
        <f>0.655*(4.19 * 50)</f>
        <v>137.22250000000003</v>
      </c>
      <c r="N81">
        <f>0.658*(4.19 * 50)</f>
        <v>137.85100000000003</v>
      </c>
      <c r="O81">
        <f>0.667*(4.19 * 50)</f>
        <v>139.73650000000004</v>
      </c>
      <c r="P81">
        <f>0.687*(4.19 * 50)</f>
        <v>143.92650000000003</v>
      </c>
      <c r="Q81">
        <f>0.705*(4.19 * 50)</f>
        <v>147.69750000000002</v>
      </c>
      <c r="R81">
        <f>0.699*(4.19 * 50)</f>
        <v>146.44050000000001</v>
      </c>
      <c r="S81">
        <f>0.684*(4.19 * 50)</f>
        <v>143.29800000000003</v>
      </c>
      <c r="T81">
        <f>0.681*(4.19 * 50)</f>
        <v>142.66950000000003</v>
      </c>
      <c r="U81">
        <f>0.653*(4.19 * 50)</f>
        <v>136.80350000000001</v>
      </c>
      <c r="V81">
        <f>0.643*(4.19 * 50)</f>
        <v>134.70850000000002</v>
      </c>
      <c r="W81">
        <f>0.635*(4.19 * 50)</f>
        <v>133.03250000000003</v>
      </c>
      <c r="X81">
        <f>0.633*(4.19 * 50)</f>
        <v>132.61350000000002</v>
      </c>
      <c r="Y81">
        <f>0.634*(4.19 * 50)</f>
        <v>132.82300000000001</v>
      </c>
      <c r="Z81">
        <f>0.641*(4.19 * 50)</f>
        <v>134.28950000000003</v>
      </c>
      <c r="AA81">
        <f>0.653*(4.19 * 50)</f>
        <v>136.80350000000001</v>
      </c>
      <c r="AB81">
        <f>0.662*(4.19 * 50)</f>
        <v>138.68900000000002</v>
      </c>
      <c r="AC81">
        <f>0.674*(4.19 * 50)</f>
        <v>141.20300000000003</v>
      </c>
      <c r="AD81">
        <f>0.685*(4.19 * 50)</f>
        <v>143.50750000000002</v>
      </c>
      <c r="AE81">
        <f>0.69*(4.19 * 50)</f>
        <v>144.55500000000001</v>
      </c>
      <c r="AF81">
        <f>0.684*(4.19 * 50)</f>
        <v>143.29800000000003</v>
      </c>
      <c r="AG81">
        <f>0.675*(4.19 * 50)</f>
        <v>141.41250000000002</v>
      </c>
    </row>
    <row r="82" spans="1:33" x14ac:dyDescent="0.3">
      <c r="A82" t="s">
        <v>125</v>
      </c>
      <c r="B82">
        <v>357839.355469</v>
      </c>
      <c r="C82">
        <v>6667675.5625</v>
      </c>
      <c r="D82" t="s">
        <v>543</v>
      </c>
      <c r="E82">
        <v>100</v>
      </c>
      <c r="F82">
        <v>112.66699981689401</v>
      </c>
      <c r="G82">
        <v>0.53778997525963723</v>
      </c>
      <c r="H82">
        <f t="shared" si="3"/>
        <v>218.46449981689403</v>
      </c>
      <c r="I82">
        <f t="shared" si="2"/>
        <v>209.50000000000003</v>
      </c>
      <c r="J82">
        <f>0.49*(4.19 * 50)</f>
        <v>102.65500000000002</v>
      </c>
      <c r="K82">
        <f>0.486*(4.19 * 50)</f>
        <v>101.81700000000001</v>
      </c>
      <c r="L82">
        <f>0.484*(4.19 * 50)</f>
        <v>101.39800000000001</v>
      </c>
      <c r="M82">
        <f>0.482*(4.19 * 50)</f>
        <v>100.97900000000001</v>
      </c>
      <c r="N82">
        <f>0.484*(4.19 * 50)</f>
        <v>101.39800000000001</v>
      </c>
      <c r="O82">
        <f>0.49*(4.19 * 50)</f>
        <v>102.65500000000002</v>
      </c>
      <c r="P82">
        <f>0.505*(4.19 * 50)</f>
        <v>105.79750000000001</v>
      </c>
      <c r="Q82">
        <f>0.518*(4.19 * 50)</f>
        <v>108.52100000000002</v>
      </c>
      <c r="R82">
        <f>0.513*(4.19 * 50)</f>
        <v>107.47350000000002</v>
      </c>
      <c r="S82">
        <f>0.503*(4.19 * 50)</f>
        <v>105.37850000000002</v>
      </c>
      <c r="T82">
        <f>0.501*(4.19 * 50)</f>
        <v>104.95950000000002</v>
      </c>
      <c r="U82">
        <f>0.48*(4.19 * 50)</f>
        <v>100.56000000000002</v>
      </c>
      <c r="V82">
        <f>0.473*(4.19 * 50)</f>
        <v>99.093500000000006</v>
      </c>
      <c r="W82">
        <f>0.466*(4.19 * 50)</f>
        <v>97.627000000000024</v>
      </c>
      <c r="X82">
        <f>0.465*(4.19 * 50)</f>
        <v>97.417500000000018</v>
      </c>
      <c r="Y82">
        <f>0.466*(4.19 * 50)</f>
        <v>97.627000000000024</v>
      </c>
      <c r="Z82">
        <f>0.471*(4.19 * 50)</f>
        <v>98.674500000000009</v>
      </c>
      <c r="AA82">
        <f>0.48*(4.19 * 50)</f>
        <v>100.56000000000002</v>
      </c>
      <c r="AB82">
        <f>0.486*(4.19 * 50)</f>
        <v>101.81700000000001</v>
      </c>
      <c r="AC82">
        <f>0.495*(4.19 * 50)</f>
        <v>103.70250000000001</v>
      </c>
      <c r="AD82">
        <f>0.504*(4.19 * 50)</f>
        <v>105.58800000000001</v>
      </c>
      <c r="AE82">
        <f>0.507*(4.19 * 50)</f>
        <v>106.21650000000001</v>
      </c>
      <c r="AF82">
        <f>0.503*(4.19 * 50)</f>
        <v>105.37850000000002</v>
      </c>
      <c r="AG82">
        <f>0.496*(4.19 * 50)</f>
        <v>103.91200000000002</v>
      </c>
    </row>
    <row r="83" spans="1:33" x14ac:dyDescent="0.3">
      <c r="A83" t="s">
        <v>126</v>
      </c>
      <c r="B83">
        <v>357672.566406</v>
      </c>
      <c r="C83">
        <v>6667568.0039060004</v>
      </c>
      <c r="D83" t="s">
        <v>548</v>
      </c>
      <c r="E83">
        <v>100</v>
      </c>
      <c r="F83">
        <v>270</v>
      </c>
      <c r="G83">
        <v>1.2887828162291171</v>
      </c>
      <c r="H83">
        <f t="shared" si="3"/>
        <v>523.28550000000007</v>
      </c>
      <c r="I83">
        <f t="shared" si="2"/>
        <v>209.50000000000003</v>
      </c>
      <c r="J83">
        <f>1.175*(4.19 * 50)</f>
        <v>246.16250000000005</v>
      </c>
      <c r="K83">
        <f>1.166*(4.19 * 50)</f>
        <v>244.27700000000002</v>
      </c>
      <c r="L83">
        <f>1.159*(4.19 * 50)</f>
        <v>242.81050000000005</v>
      </c>
      <c r="M83">
        <f>1.154*(4.19 * 50)</f>
        <v>241.76300000000001</v>
      </c>
      <c r="N83">
        <f>1.159*(4.19 * 50)</f>
        <v>242.81050000000005</v>
      </c>
      <c r="O83">
        <f>1.174*(4.19 * 50)</f>
        <v>245.95300000000003</v>
      </c>
      <c r="P83">
        <f>1.209*(4.19 * 50)</f>
        <v>253.28550000000004</v>
      </c>
      <c r="Q83">
        <f>1.241*(4.19 * 50)</f>
        <v>259.98950000000008</v>
      </c>
      <c r="R83">
        <f>1.23*(4.19 * 50)</f>
        <v>257.68500000000006</v>
      </c>
      <c r="S83">
        <f>1.204*(4.19 * 50)</f>
        <v>252.23800000000003</v>
      </c>
      <c r="T83">
        <f>1.2*(4.19 * 50)</f>
        <v>251.40000000000003</v>
      </c>
      <c r="U83">
        <f>1.149*(4.19 * 50)</f>
        <v>240.71550000000005</v>
      </c>
      <c r="V83">
        <f>1.133*(4.19 * 50)</f>
        <v>237.36350000000004</v>
      </c>
      <c r="W83">
        <f>1.118*(4.19 * 50)</f>
        <v>234.22100000000006</v>
      </c>
      <c r="X83">
        <f>1.114*(4.19 * 50)</f>
        <v>233.38300000000007</v>
      </c>
      <c r="Y83">
        <f>1.116*(4.19 * 50)</f>
        <v>233.80200000000005</v>
      </c>
      <c r="Z83">
        <f>1.128*(4.19 * 50)</f>
        <v>236.316</v>
      </c>
      <c r="AA83">
        <f>1.149*(4.19 * 50)</f>
        <v>240.71550000000005</v>
      </c>
      <c r="AB83">
        <f>1.166*(4.19 * 50)</f>
        <v>244.27700000000002</v>
      </c>
      <c r="AC83">
        <f>1.187*(4.19 * 50)</f>
        <v>248.67650000000003</v>
      </c>
      <c r="AD83">
        <f>1.207*(4.19 * 50)</f>
        <v>252.86650000000006</v>
      </c>
      <c r="AE83">
        <f>1.215*(4.19 * 50)</f>
        <v>254.54250000000005</v>
      </c>
      <c r="AF83">
        <f>1.204*(4.19 * 50)</f>
        <v>252.23800000000003</v>
      </c>
      <c r="AG83">
        <f>1.188*(4.19 * 50)</f>
        <v>248.88600000000002</v>
      </c>
    </row>
    <row r="84" spans="1:33" x14ac:dyDescent="0.3">
      <c r="A84" t="s">
        <v>127</v>
      </c>
      <c r="B84">
        <v>357697.984375</v>
      </c>
      <c r="C84">
        <v>6667517.9609380001</v>
      </c>
      <c r="D84" t="s">
        <v>549</v>
      </c>
      <c r="E84">
        <v>100</v>
      </c>
      <c r="F84">
        <v>30.333000183105401</v>
      </c>
      <c r="G84">
        <v>0.1447875903728181</v>
      </c>
      <c r="H84">
        <f t="shared" si="3"/>
        <v>58.825000183105402</v>
      </c>
      <c r="I84">
        <f t="shared" si="2"/>
        <v>209.50000000000003</v>
      </c>
      <c r="J84">
        <f>0.132*(4.19 * 50)</f>
        <v>27.654000000000003</v>
      </c>
      <c r="K84">
        <f>0.131*(4.19 * 50)</f>
        <v>27.444500000000005</v>
      </c>
      <c r="L84">
        <f>0.13*(4.19 * 50)</f>
        <v>27.235000000000003</v>
      </c>
      <c r="M84">
        <f>0.13*(4.19 * 50)</f>
        <v>27.235000000000003</v>
      </c>
      <c r="N84">
        <f>0.13*(4.19 * 50)</f>
        <v>27.235000000000003</v>
      </c>
      <c r="O84">
        <f>0.132*(4.19 * 50)</f>
        <v>27.654000000000003</v>
      </c>
      <c r="P84">
        <f>0.136*(4.19 * 50)</f>
        <v>28.492000000000004</v>
      </c>
      <c r="Q84">
        <f>0.139*(4.19 * 50)</f>
        <v>29.120500000000007</v>
      </c>
      <c r="R84">
        <f>0.138*(4.19 * 50)</f>
        <v>28.911000000000005</v>
      </c>
      <c r="S84">
        <f>0.135*(4.19 * 50)</f>
        <v>28.282500000000006</v>
      </c>
      <c r="T84">
        <f>0.135*(4.19 * 50)</f>
        <v>28.282500000000006</v>
      </c>
      <c r="U84">
        <f>0.129*(4.19 * 50)</f>
        <v>27.025500000000005</v>
      </c>
      <c r="V84">
        <f>0.127*(4.19 * 50)</f>
        <v>26.606500000000004</v>
      </c>
      <c r="W84">
        <f>0.126*(4.19 * 50)</f>
        <v>26.397000000000002</v>
      </c>
      <c r="X84">
        <f>0.125*(4.19 * 50)</f>
        <v>26.187500000000004</v>
      </c>
      <c r="Y84">
        <f>0.125*(4.19 * 50)</f>
        <v>26.187500000000004</v>
      </c>
      <c r="Z84">
        <f>0.127*(4.19 * 50)</f>
        <v>26.606500000000004</v>
      </c>
      <c r="AA84">
        <f>0.129*(4.19 * 50)</f>
        <v>27.025500000000005</v>
      </c>
      <c r="AB84">
        <f>0.131*(4.19 * 50)</f>
        <v>27.444500000000005</v>
      </c>
      <c r="AC84">
        <f>0.133*(4.19 * 50)</f>
        <v>27.863500000000005</v>
      </c>
      <c r="AD84">
        <f>0.136*(4.19 * 50)</f>
        <v>28.492000000000004</v>
      </c>
      <c r="AE84">
        <f>0.136*(4.19 * 50)</f>
        <v>28.492000000000004</v>
      </c>
      <c r="AF84">
        <f>0.135*(4.19 * 50)</f>
        <v>28.282500000000006</v>
      </c>
      <c r="AG84">
        <f>0.133*(4.19 * 50)</f>
        <v>27.863500000000005</v>
      </c>
    </row>
    <row r="85" spans="1:33" x14ac:dyDescent="0.3">
      <c r="A85" t="s">
        <v>128</v>
      </c>
      <c r="B85">
        <v>359630.316406</v>
      </c>
      <c r="C85">
        <v>6667677.4414060004</v>
      </c>
      <c r="D85" t="s">
        <v>542</v>
      </c>
      <c r="E85">
        <v>100</v>
      </c>
      <c r="F85">
        <v>136.33299255371</v>
      </c>
      <c r="G85">
        <v>0.65075414106782803</v>
      </c>
      <c r="H85">
        <f t="shared" si="3"/>
        <v>264.33749255371004</v>
      </c>
      <c r="I85">
        <f t="shared" si="2"/>
        <v>209.50000000000003</v>
      </c>
      <c r="J85">
        <f>0.593*(4.19 * 50)</f>
        <v>124.23350000000001</v>
      </c>
      <c r="K85">
        <f>0.589*(4.19 * 50)</f>
        <v>123.39550000000001</v>
      </c>
      <c r="L85">
        <f>0.585*(4.19 * 50)</f>
        <v>122.5575</v>
      </c>
      <c r="M85">
        <f>0.583*(4.19 * 50)</f>
        <v>122.13850000000001</v>
      </c>
      <c r="N85">
        <f>0.585*(4.19 * 50)</f>
        <v>122.5575</v>
      </c>
      <c r="O85">
        <f>0.593*(4.19 * 50)</f>
        <v>124.23350000000001</v>
      </c>
      <c r="P85">
        <f>0.611*(4.19 * 50)</f>
        <v>128.00450000000001</v>
      </c>
      <c r="Q85">
        <f>0.627*(4.19 * 50)</f>
        <v>131.35650000000001</v>
      </c>
      <c r="R85">
        <f>0.621*(4.19 * 50)</f>
        <v>130.09950000000001</v>
      </c>
      <c r="S85">
        <f>0.608*(4.19 * 50)</f>
        <v>127.37600000000002</v>
      </c>
      <c r="T85">
        <f>0.606*(4.19 * 50)</f>
        <v>126.95700000000001</v>
      </c>
      <c r="U85">
        <f>0.58*(4.19 * 50)</f>
        <v>121.51</v>
      </c>
      <c r="V85">
        <f>0.572*(4.19 * 50)</f>
        <v>119.834</v>
      </c>
      <c r="W85">
        <f>0.564*(4.19 * 50)</f>
        <v>118.158</v>
      </c>
      <c r="X85">
        <f>0.563*(4.19 * 50)</f>
        <v>117.94850000000001</v>
      </c>
      <c r="Y85">
        <f>0.564*(4.19 * 50)</f>
        <v>118.158</v>
      </c>
      <c r="Z85">
        <f>0.57*(4.19 * 50)</f>
        <v>119.41500000000001</v>
      </c>
      <c r="AA85">
        <f>0.58*(4.19 * 50)</f>
        <v>121.51</v>
      </c>
      <c r="AB85">
        <f>0.589*(4.19 * 50)</f>
        <v>123.39550000000001</v>
      </c>
      <c r="AC85">
        <f>0.599*(4.19 * 50)</f>
        <v>125.49050000000001</v>
      </c>
      <c r="AD85">
        <f>0.609*(4.19 * 50)</f>
        <v>127.58550000000001</v>
      </c>
      <c r="AE85">
        <f>0.614*(4.19 * 50)</f>
        <v>128.63300000000001</v>
      </c>
      <c r="AF85">
        <f>0.608*(4.19 * 50)</f>
        <v>127.37600000000002</v>
      </c>
      <c r="AG85">
        <f>0.6*(4.19 * 50)</f>
        <v>125.70000000000002</v>
      </c>
    </row>
    <row r="86" spans="1:33" x14ac:dyDescent="0.3">
      <c r="A86" t="s">
        <v>129</v>
      </c>
      <c r="B86">
        <v>357073.90625</v>
      </c>
      <c r="C86">
        <v>6668292.6328130001</v>
      </c>
      <c r="D86" t="s">
        <v>541</v>
      </c>
      <c r="E86">
        <v>100</v>
      </c>
      <c r="F86">
        <v>54.333000183105398</v>
      </c>
      <c r="G86">
        <v>0.25934606292651741</v>
      </c>
      <c r="H86">
        <f t="shared" si="3"/>
        <v>105.2415001831054</v>
      </c>
      <c r="I86">
        <f t="shared" si="2"/>
        <v>209.50000000000003</v>
      </c>
      <c r="J86">
        <f>0.236*(4.19 * 50)</f>
        <v>49.442000000000007</v>
      </c>
      <c r="K86">
        <f>0.235*(4.19 * 50)</f>
        <v>49.232500000000002</v>
      </c>
      <c r="L86">
        <f>0.233*(4.19 * 50)</f>
        <v>48.813500000000012</v>
      </c>
      <c r="M86">
        <f>0.232*(4.19 * 50)</f>
        <v>48.604000000000006</v>
      </c>
      <c r="N86">
        <f>0.233*(4.19 * 50)</f>
        <v>48.813500000000012</v>
      </c>
      <c r="O86">
        <f>0.236*(4.19 * 50)</f>
        <v>49.442000000000007</v>
      </c>
      <c r="P86">
        <f>0.243*(4.19 * 50)</f>
        <v>50.908500000000004</v>
      </c>
      <c r="Q86">
        <f>0.25*(4.19 * 50)</f>
        <v>52.375000000000007</v>
      </c>
      <c r="R86">
        <f>0.248*(4.19 * 50)</f>
        <v>51.95600000000001</v>
      </c>
      <c r="S86">
        <f>0.242*(4.19 * 50)</f>
        <v>50.699000000000005</v>
      </c>
      <c r="T86">
        <f>0.241*(4.19 * 50)</f>
        <v>50.489500000000007</v>
      </c>
      <c r="U86">
        <f>0.231*(4.19 * 50)</f>
        <v>48.394500000000008</v>
      </c>
      <c r="V86">
        <f>0.228*(4.19 * 50)</f>
        <v>47.766000000000005</v>
      </c>
      <c r="W86">
        <f>0.225*(4.19 * 50)</f>
        <v>47.13750000000001</v>
      </c>
      <c r="X86">
        <f>0.224*(4.19 * 50)</f>
        <v>46.928000000000004</v>
      </c>
      <c r="Y86">
        <f>0.225*(4.19 * 50)</f>
        <v>47.13750000000001</v>
      </c>
      <c r="Z86">
        <f>0.227*(4.19 * 50)</f>
        <v>47.556500000000007</v>
      </c>
      <c r="AA86">
        <f>0.231*(4.19 * 50)</f>
        <v>48.394500000000008</v>
      </c>
      <c r="AB86">
        <f>0.235*(4.19 * 50)</f>
        <v>49.232500000000002</v>
      </c>
      <c r="AC86">
        <f>0.239*(4.19 * 50)</f>
        <v>50.070500000000003</v>
      </c>
      <c r="AD86">
        <f>0.243*(4.19 * 50)</f>
        <v>50.908500000000004</v>
      </c>
      <c r="AE86">
        <f>0.245*(4.19 * 50)</f>
        <v>51.327500000000008</v>
      </c>
      <c r="AF86">
        <f>0.242*(4.19 * 50)</f>
        <v>50.699000000000005</v>
      </c>
      <c r="AG86">
        <f>0.239*(4.19 * 50)</f>
        <v>50.070500000000003</v>
      </c>
    </row>
    <row r="87" spans="1:33" x14ac:dyDescent="0.3">
      <c r="A87" t="s">
        <v>130</v>
      </c>
      <c r="B87">
        <v>356978.84375</v>
      </c>
      <c r="C87">
        <v>6667886.4882810004</v>
      </c>
      <c r="D87" t="s">
        <v>540</v>
      </c>
      <c r="E87">
        <v>100</v>
      </c>
      <c r="F87">
        <v>5</v>
      </c>
      <c r="G87">
        <v>2.386634844868735E-2</v>
      </c>
      <c r="H87">
        <f t="shared" si="3"/>
        <v>9.609</v>
      </c>
      <c r="I87">
        <f t="shared" si="2"/>
        <v>209.50000000000003</v>
      </c>
      <c r="J87">
        <f>0.022*(4.19 * 50)</f>
        <v>4.609</v>
      </c>
      <c r="K87">
        <f>0.022*(4.19 * 50)</f>
        <v>4.609</v>
      </c>
      <c r="L87">
        <f>0.021*(4.19 * 50)</f>
        <v>4.3995000000000006</v>
      </c>
      <c r="M87">
        <f>0.021*(4.19 * 50)</f>
        <v>4.3995000000000006</v>
      </c>
      <c r="N87">
        <f>0.021*(4.19 * 50)</f>
        <v>4.3995000000000006</v>
      </c>
      <c r="O87">
        <f>0.022*(4.19 * 50)</f>
        <v>4.609</v>
      </c>
      <c r="P87">
        <f>0.022*(4.19 * 50)</f>
        <v>4.609</v>
      </c>
      <c r="Q87">
        <f>0.023*(4.19 * 50)</f>
        <v>4.8185000000000002</v>
      </c>
      <c r="R87">
        <f>0.023*(4.19 * 50)</f>
        <v>4.8185000000000002</v>
      </c>
      <c r="S87">
        <f>0.022*(4.19 * 50)</f>
        <v>4.609</v>
      </c>
      <c r="T87">
        <f>0.022*(4.19 * 50)</f>
        <v>4.609</v>
      </c>
      <c r="U87">
        <f>0.021*(4.19 * 50)</f>
        <v>4.3995000000000006</v>
      </c>
      <c r="V87">
        <f>0.021*(4.19 * 50)</f>
        <v>4.3995000000000006</v>
      </c>
      <c r="W87">
        <f>0.021*(4.19 * 50)</f>
        <v>4.3995000000000006</v>
      </c>
      <c r="X87">
        <f>0.021*(4.19 * 50)</f>
        <v>4.3995000000000006</v>
      </c>
      <c r="Y87">
        <f>0.021*(4.19 * 50)</f>
        <v>4.3995000000000006</v>
      </c>
      <c r="Z87">
        <f>0.021*(4.19 * 50)</f>
        <v>4.3995000000000006</v>
      </c>
      <c r="AA87">
        <f>0.021*(4.19 * 50)</f>
        <v>4.3995000000000006</v>
      </c>
      <c r="AB87">
        <f>0.022*(4.19 * 50)</f>
        <v>4.609</v>
      </c>
      <c r="AC87">
        <f>0.022*(4.19 * 50)</f>
        <v>4.609</v>
      </c>
      <c r="AD87">
        <f>0.022*(4.19 * 50)</f>
        <v>4.609</v>
      </c>
      <c r="AE87">
        <f>0.023*(4.19 * 50)</f>
        <v>4.8185000000000002</v>
      </c>
      <c r="AF87">
        <f>0.022*(4.19 * 50)</f>
        <v>4.609</v>
      </c>
      <c r="AG87">
        <f>0.022*(4.19 * 50)</f>
        <v>4.609</v>
      </c>
    </row>
    <row r="88" spans="1:33" x14ac:dyDescent="0.3">
      <c r="A88" t="s">
        <v>131</v>
      </c>
      <c r="B88">
        <v>357730.148438</v>
      </c>
      <c r="C88">
        <v>6668116.828125</v>
      </c>
      <c r="D88" t="s">
        <v>548</v>
      </c>
      <c r="E88">
        <v>100</v>
      </c>
      <c r="F88">
        <v>91</v>
      </c>
      <c r="G88">
        <v>0.4343675417661097</v>
      </c>
      <c r="H88">
        <f t="shared" si="3"/>
        <v>176.476</v>
      </c>
      <c r="I88">
        <f t="shared" si="2"/>
        <v>209.50000000000003</v>
      </c>
      <c r="J88">
        <f>0.396*(4.19 * 50)</f>
        <v>82.962000000000018</v>
      </c>
      <c r="K88">
        <f>0.393*(4.19 * 50)</f>
        <v>82.333500000000015</v>
      </c>
      <c r="L88">
        <f>0.391*(4.19 * 50)</f>
        <v>81.914500000000018</v>
      </c>
      <c r="M88">
        <f>0.389*(4.19 * 50)</f>
        <v>81.495500000000007</v>
      </c>
      <c r="N88">
        <f>0.391*(4.19 * 50)</f>
        <v>81.914500000000018</v>
      </c>
      <c r="O88">
        <f>0.396*(4.19 * 50)</f>
        <v>82.962000000000018</v>
      </c>
      <c r="P88">
        <f>0.408*(4.19 * 50)</f>
        <v>85.475999999999999</v>
      </c>
      <c r="Q88">
        <f>0.418*(4.19 * 50)</f>
        <v>87.571000000000012</v>
      </c>
      <c r="R88">
        <f>0.415*(4.19 * 50)</f>
        <v>86.94250000000001</v>
      </c>
      <c r="S88">
        <f>0.406*(4.19 * 50)</f>
        <v>85.057000000000016</v>
      </c>
      <c r="T88">
        <f>0.404*(4.19 * 50)</f>
        <v>84.638000000000019</v>
      </c>
      <c r="U88">
        <f>0.387*(4.19 * 50)</f>
        <v>81.07650000000001</v>
      </c>
      <c r="V88">
        <f>0.382*(4.19 * 50)</f>
        <v>80.029000000000011</v>
      </c>
      <c r="W88">
        <f>0.377*(4.19 * 50)</f>
        <v>78.981500000000011</v>
      </c>
      <c r="X88">
        <f>0.376*(4.19 * 50)</f>
        <v>78.772000000000006</v>
      </c>
      <c r="Y88">
        <f>0.376*(4.19 * 50)</f>
        <v>78.772000000000006</v>
      </c>
      <c r="Z88">
        <f>0.38*(4.19 * 50)</f>
        <v>79.610000000000014</v>
      </c>
      <c r="AA88">
        <f>0.387*(4.19 * 50)</f>
        <v>81.07650000000001</v>
      </c>
      <c r="AB88">
        <f>0.393*(4.19 * 50)</f>
        <v>82.333500000000015</v>
      </c>
      <c r="AC88">
        <f>0.4*(4.19 * 50)</f>
        <v>83.800000000000011</v>
      </c>
      <c r="AD88">
        <f>0.407*(4.19 * 50)</f>
        <v>85.266500000000008</v>
      </c>
      <c r="AE88">
        <f>0.41*(4.19 * 50)</f>
        <v>85.89500000000001</v>
      </c>
      <c r="AF88">
        <f>0.406*(4.19 * 50)</f>
        <v>85.057000000000016</v>
      </c>
      <c r="AG88">
        <f>0.4*(4.19 * 50)</f>
        <v>83.800000000000011</v>
      </c>
    </row>
    <row r="89" spans="1:33" x14ac:dyDescent="0.3">
      <c r="A89" t="s">
        <v>132</v>
      </c>
      <c r="B89">
        <v>356884.953125</v>
      </c>
      <c r="C89">
        <v>6668368.1523439996</v>
      </c>
      <c r="D89" t="s">
        <v>540</v>
      </c>
      <c r="E89">
        <v>100</v>
      </c>
      <c r="F89">
        <v>11</v>
      </c>
      <c r="G89">
        <v>5.2505966587112173E-2</v>
      </c>
      <c r="H89">
        <f t="shared" si="3"/>
        <v>21.265500000000003</v>
      </c>
      <c r="I89">
        <f t="shared" si="2"/>
        <v>209.50000000000003</v>
      </c>
      <c r="J89">
        <f>0.048*(4.19 * 50)</f>
        <v>10.056000000000001</v>
      </c>
      <c r="K89">
        <f>0.047*(4.19 * 50)</f>
        <v>9.8465000000000007</v>
      </c>
      <c r="L89">
        <f>0.047*(4.19 * 50)</f>
        <v>9.8465000000000007</v>
      </c>
      <c r="M89">
        <f>0.047*(4.19 * 50)</f>
        <v>9.8465000000000007</v>
      </c>
      <c r="N89">
        <f>0.047*(4.19 * 50)</f>
        <v>9.8465000000000007</v>
      </c>
      <c r="O89">
        <f>0.048*(4.19 * 50)</f>
        <v>10.056000000000001</v>
      </c>
      <c r="P89">
        <f>0.049*(4.19 * 50)</f>
        <v>10.265500000000001</v>
      </c>
      <c r="Q89">
        <f>0.051*(4.19 * 50)</f>
        <v>10.6845</v>
      </c>
      <c r="R89">
        <f>0.05*(4.19 * 50)</f>
        <v>10.475000000000001</v>
      </c>
      <c r="S89">
        <f>0.049*(4.19 * 50)</f>
        <v>10.265500000000001</v>
      </c>
      <c r="T89">
        <f>0.049*(4.19 * 50)</f>
        <v>10.265500000000001</v>
      </c>
      <c r="U89">
        <f>0.047*(4.19 * 50)</f>
        <v>9.8465000000000007</v>
      </c>
      <c r="V89">
        <f>0.046*(4.19 * 50)</f>
        <v>9.6370000000000005</v>
      </c>
      <c r="W89">
        <f>0.046*(4.19 * 50)</f>
        <v>9.6370000000000005</v>
      </c>
      <c r="X89">
        <f>0.045*(4.19 * 50)</f>
        <v>9.4275000000000002</v>
      </c>
      <c r="Y89">
        <f>0.045*(4.19 * 50)</f>
        <v>9.4275000000000002</v>
      </c>
      <c r="Z89">
        <f>0.046*(4.19 * 50)</f>
        <v>9.6370000000000005</v>
      </c>
      <c r="AA89">
        <f>0.047*(4.19 * 50)</f>
        <v>9.8465000000000007</v>
      </c>
      <c r="AB89">
        <f>0.047*(4.19 * 50)</f>
        <v>9.8465000000000007</v>
      </c>
      <c r="AC89">
        <f>0.048*(4.19 * 50)</f>
        <v>10.056000000000001</v>
      </c>
      <c r="AD89">
        <f>0.049*(4.19 * 50)</f>
        <v>10.265500000000001</v>
      </c>
      <c r="AE89">
        <f>0.05*(4.19 * 50)</f>
        <v>10.475000000000001</v>
      </c>
      <c r="AF89">
        <f>0.049*(4.19 * 50)</f>
        <v>10.265500000000001</v>
      </c>
      <c r="AG89">
        <f>0.048*(4.19 * 50)</f>
        <v>10.056000000000001</v>
      </c>
    </row>
    <row r="90" spans="1:33" x14ac:dyDescent="0.3">
      <c r="A90" t="s">
        <v>133</v>
      </c>
      <c r="B90">
        <v>357325.191406</v>
      </c>
      <c r="C90">
        <v>6668055.1992189996</v>
      </c>
      <c r="D90" t="s">
        <v>540</v>
      </c>
      <c r="E90">
        <v>100</v>
      </c>
      <c r="F90">
        <v>8</v>
      </c>
      <c r="G90">
        <v>3.8186157517899763E-2</v>
      </c>
      <c r="H90">
        <f t="shared" si="3"/>
        <v>15.542000000000002</v>
      </c>
      <c r="I90">
        <f t="shared" si="2"/>
        <v>209.50000000000003</v>
      </c>
      <c r="J90">
        <f>0.035*(4.19 * 50)</f>
        <v>7.3325000000000014</v>
      </c>
      <c r="K90">
        <f>0.035*(4.19 * 50)</f>
        <v>7.3325000000000014</v>
      </c>
      <c r="L90">
        <f>0.034*(4.19 * 50)</f>
        <v>7.1230000000000011</v>
      </c>
      <c r="M90">
        <f>0.034*(4.19 * 50)</f>
        <v>7.1230000000000011</v>
      </c>
      <c r="N90">
        <f>0.034*(4.19 * 50)</f>
        <v>7.1230000000000011</v>
      </c>
      <c r="O90">
        <f>0.035*(4.19 * 50)</f>
        <v>7.3325000000000014</v>
      </c>
      <c r="P90">
        <f>0.036*(4.19 * 50)</f>
        <v>7.5420000000000007</v>
      </c>
      <c r="Q90">
        <f>0.037*(4.19 * 50)</f>
        <v>7.7515000000000009</v>
      </c>
      <c r="R90">
        <f>0.036*(4.19 * 50)</f>
        <v>7.5420000000000007</v>
      </c>
      <c r="S90">
        <f>0.036*(4.19 * 50)</f>
        <v>7.5420000000000007</v>
      </c>
      <c r="T90">
        <f>0.036*(4.19 * 50)</f>
        <v>7.5420000000000007</v>
      </c>
      <c r="U90">
        <f>0.034*(4.19 * 50)</f>
        <v>7.1230000000000011</v>
      </c>
      <c r="V90">
        <f>0.034*(4.19 * 50)</f>
        <v>7.1230000000000011</v>
      </c>
      <c r="W90">
        <f>0.033*(4.19 * 50)</f>
        <v>6.9135000000000009</v>
      </c>
      <c r="X90">
        <f>0.033*(4.19 * 50)</f>
        <v>6.9135000000000009</v>
      </c>
      <c r="Y90">
        <f>0.033*(4.19 * 50)</f>
        <v>6.9135000000000009</v>
      </c>
      <c r="Z90">
        <f>0.033*(4.19 * 50)</f>
        <v>6.9135000000000009</v>
      </c>
      <c r="AA90">
        <f>0.034*(4.19 * 50)</f>
        <v>7.1230000000000011</v>
      </c>
      <c r="AB90">
        <f>0.035*(4.19 * 50)</f>
        <v>7.3325000000000014</v>
      </c>
      <c r="AC90">
        <f>0.035*(4.19 * 50)</f>
        <v>7.3325000000000014</v>
      </c>
      <c r="AD90">
        <f>0.036*(4.19 * 50)</f>
        <v>7.5420000000000007</v>
      </c>
      <c r="AE90">
        <f>0.036*(4.19 * 50)</f>
        <v>7.5420000000000007</v>
      </c>
      <c r="AF90">
        <f>0.036*(4.19 * 50)</f>
        <v>7.5420000000000007</v>
      </c>
      <c r="AG90">
        <f>0.035*(4.19 * 50)</f>
        <v>7.3325000000000014</v>
      </c>
    </row>
    <row r="91" spans="1:33" x14ac:dyDescent="0.3">
      <c r="A91" t="s">
        <v>134</v>
      </c>
      <c r="B91">
        <v>356850.542969</v>
      </c>
      <c r="C91">
        <v>6668353.8710939996</v>
      </c>
      <c r="D91" t="s">
        <v>540</v>
      </c>
      <c r="E91">
        <v>100</v>
      </c>
      <c r="F91">
        <v>7</v>
      </c>
      <c r="G91">
        <v>3.3412887828162277E-2</v>
      </c>
      <c r="H91">
        <f t="shared" si="3"/>
        <v>13.494500000000002</v>
      </c>
      <c r="I91">
        <f t="shared" si="2"/>
        <v>209.50000000000003</v>
      </c>
      <c r="J91">
        <f>0.03*(4.19 * 50)</f>
        <v>6.285000000000001</v>
      </c>
      <c r="K91">
        <f>0.03*(4.19 * 50)</f>
        <v>6.285000000000001</v>
      </c>
      <c r="L91">
        <f>0.03*(4.19 * 50)</f>
        <v>6.285000000000001</v>
      </c>
      <c r="M91">
        <f>0.03*(4.19 * 50)</f>
        <v>6.285000000000001</v>
      </c>
      <c r="N91">
        <f>0.03*(4.19 * 50)</f>
        <v>6.285000000000001</v>
      </c>
      <c r="O91">
        <f>0.03*(4.19 * 50)</f>
        <v>6.285000000000001</v>
      </c>
      <c r="P91">
        <f>0.031*(4.19 * 50)</f>
        <v>6.4945000000000013</v>
      </c>
      <c r="Q91">
        <f>0.032*(4.19 * 50)</f>
        <v>6.7040000000000006</v>
      </c>
      <c r="R91">
        <f>0.032*(4.19 * 50)</f>
        <v>6.7040000000000006</v>
      </c>
      <c r="S91">
        <f>0.031*(4.19 * 50)</f>
        <v>6.4945000000000013</v>
      </c>
      <c r="T91">
        <f>0.031*(4.19 * 50)</f>
        <v>6.4945000000000013</v>
      </c>
      <c r="U91">
        <f>0.03*(4.19 * 50)</f>
        <v>6.285000000000001</v>
      </c>
      <c r="V91">
        <f>0.029*(4.19 * 50)</f>
        <v>6.0755000000000008</v>
      </c>
      <c r="W91">
        <f>0.029*(4.19 * 50)</f>
        <v>6.0755000000000008</v>
      </c>
      <c r="X91">
        <f>0.029*(4.19 * 50)</f>
        <v>6.0755000000000008</v>
      </c>
      <c r="Y91">
        <f>0.029*(4.19 * 50)</f>
        <v>6.0755000000000008</v>
      </c>
      <c r="Z91">
        <f>0.029*(4.19 * 50)</f>
        <v>6.0755000000000008</v>
      </c>
      <c r="AA91">
        <f>0.03*(4.19 * 50)</f>
        <v>6.285000000000001</v>
      </c>
      <c r="AB91">
        <f>0.03*(4.19 * 50)</f>
        <v>6.285000000000001</v>
      </c>
      <c r="AC91">
        <f>0.031*(4.19 * 50)</f>
        <v>6.4945000000000013</v>
      </c>
      <c r="AD91">
        <f>0.031*(4.19 * 50)</f>
        <v>6.4945000000000013</v>
      </c>
      <c r="AE91">
        <f>0.032*(4.19 * 50)</f>
        <v>6.7040000000000006</v>
      </c>
      <c r="AF91">
        <f>0.031*(4.19 * 50)</f>
        <v>6.4945000000000013</v>
      </c>
      <c r="AG91">
        <f>0.031*(4.19 * 50)</f>
        <v>6.4945000000000013</v>
      </c>
    </row>
    <row r="92" spans="1:33" x14ac:dyDescent="0.3">
      <c r="A92" t="s">
        <v>135</v>
      </c>
      <c r="B92">
        <v>356840.917969</v>
      </c>
      <c r="C92">
        <v>6668353.7421880001</v>
      </c>
      <c r="D92" t="s">
        <v>540</v>
      </c>
      <c r="E92">
        <v>100</v>
      </c>
      <c r="F92">
        <v>5</v>
      </c>
      <c r="G92">
        <v>2.386634844868735E-2</v>
      </c>
      <c r="H92">
        <f t="shared" si="3"/>
        <v>9.609</v>
      </c>
      <c r="I92">
        <f t="shared" si="2"/>
        <v>209.50000000000003</v>
      </c>
      <c r="J92">
        <f>0.022*(4.19 * 50)</f>
        <v>4.609</v>
      </c>
      <c r="K92">
        <f>0.022*(4.19 * 50)</f>
        <v>4.609</v>
      </c>
      <c r="L92">
        <f>0.021*(4.19 * 50)</f>
        <v>4.3995000000000006</v>
      </c>
      <c r="M92">
        <f>0.021*(4.19 * 50)</f>
        <v>4.3995000000000006</v>
      </c>
      <c r="N92">
        <f>0.021*(4.19 * 50)</f>
        <v>4.3995000000000006</v>
      </c>
      <c r="O92">
        <f>0.022*(4.19 * 50)</f>
        <v>4.609</v>
      </c>
      <c r="P92">
        <f>0.022*(4.19 * 50)</f>
        <v>4.609</v>
      </c>
      <c r="Q92">
        <f>0.023*(4.19 * 50)</f>
        <v>4.8185000000000002</v>
      </c>
      <c r="R92">
        <f>0.023*(4.19 * 50)</f>
        <v>4.8185000000000002</v>
      </c>
      <c r="S92">
        <f>0.022*(4.19 * 50)</f>
        <v>4.609</v>
      </c>
      <c r="T92">
        <f>0.022*(4.19 * 50)</f>
        <v>4.609</v>
      </c>
      <c r="U92">
        <f>0.021*(4.19 * 50)</f>
        <v>4.3995000000000006</v>
      </c>
      <c r="V92">
        <f>0.021*(4.19 * 50)</f>
        <v>4.3995000000000006</v>
      </c>
      <c r="W92">
        <f>0.021*(4.19 * 50)</f>
        <v>4.3995000000000006</v>
      </c>
      <c r="X92">
        <f>0.021*(4.19 * 50)</f>
        <v>4.3995000000000006</v>
      </c>
      <c r="Y92">
        <f>0.021*(4.19 * 50)</f>
        <v>4.3995000000000006</v>
      </c>
      <c r="Z92">
        <f>0.021*(4.19 * 50)</f>
        <v>4.3995000000000006</v>
      </c>
      <c r="AA92">
        <f>0.021*(4.19 * 50)</f>
        <v>4.3995000000000006</v>
      </c>
      <c r="AB92">
        <f>0.022*(4.19 * 50)</f>
        <v>4.609</v>
      </c>
      <c r="AC92">
        <f>0.022*(4.19 * 50)</f>
        <v>4.609</v>
      </c>
      <c r="AD92">
        <f>0.022*(4.19 * 50)</f>
        <v>4.609</v>
      </c>
      <c r="AE92">
        <f>0.023*(4.19 * 50)</f>
        <v>4.8185000000000002</v>
      </c>
      <c r="AF92">
        <f>0.022*(4.19 * 50)</f>
        <v>4.609</v>
      </c>
      <c r="AG92">
        <f>0.022*(4.19 * 50)</f>
        <v>4.609</v>
      </c>
    </row>
    <row r="93" spans="1:33" x14ac:dyDescent="0.3">
      <c r="A93" t="s">
        <v>136</v>
      </c>
      <c r="B93">
        <v>356816.128906</v>
      </c>
      <c r="C93">
        <v>6668376.2382810004</v>
      </c>
      <c r="D93" t="s">
        <v>540</v>
      </c>
      <c r="E93">
        <v>100</v>
      </c>
      <c r="F93">
        <v>7</v>
      </c>
      <c r="G93">
        <v>3.3412887828162277E-2</v>
      </c>
      <c r="H93">
        <f t="shared" si="3"/>
        <v>13.494500000000002</v>
      </c>
      <c r="I93">
        <f t="shared" si="2"/>
        <v>209.50000000000003</v>
      </c>
      <c r="J93">
        <f>0.03*(4.19 * 50)</f>
        <v>6.285000000000001</v>
      </c>
      <c r="K93">
        <f>0.03*(4.19 * 50)</f>
        <v>6.285000000000001</v>
      </c>
      <c r="L93">
        <f>0.03*(4.19 * 50)</f>
        <v>6.285000000000001</v>
      </c>
      <c r="M93">
        <f>0.03*(4.19 * 50)</f>
        <v>6.285000000000001</v>
      </c>
      <c r="N93">
        <f>0.03*(4.19 * 50)</f>
        <v>6.285000000000001</v>
      </c>
      <c r="O93">
        <f>0.03*(4.19 * 50)</f>
        <v>6.285000000000001</v>
      </c>
      <c r="P93">
        <f>0.031*(4.19 * 50)</f>
        <v>6.4945000000000013</v>
      </c>
      <c r="Q93">
        <f>0.032*(4.19 * 50)</f>
        <v>6.7040000000000006</v>
      </c>
      <c r="R93">
        <f>0.032*(4.19 * 50)</f>
        <v>6.7040000000000006</v>
      </c>
      <c r="S93">
        <f>0.031*(4.19 * 50)</f>
        <v>6.4945000000000013</v>
      </c>
      <c r="T93">
        <f>0.031*(4.19 * 50)</f>
        <v>6.4945000000000013</v>
      </c>
      <c r="U93">
        <f>0.03*(4.19 * 50)</f>
        <v>6.285000000000001</v>
      </c>
      <c r="V93">
        <f>0.029*(4.19 * 50)</f>
        <v>6.0755000000000008</v>
      </c>
      <c r="W93">
        <f>0.029*(4.19 * 50)</f>
        <v>6.0755000000000008</v>
      </c>
      <c r="X93">
        <f>0.029*(4.19 * 50)</f>
        <v>6.0755000000000008</v>
      </c>
      <c r="Y93">
        <f>0.029*(4.19 * 50)</f>
        <v>6.0755000000000008</v>
      </c>
      <c r="Z93">
        <f>0.029*(4.19 * 50)</f>
        <v>6.0755000000000008</v>
      </c>
      <c r="AA93">
        <f>0.03*(4.19 * 50)</f>
        <v>6.285000000000001</v>
      </c>
      <c r="AB93">
        <f>0.03*(4.19 * 50)</f>
        <v>6.285000000000001</v>
      </c>
      <c r="AC93">
        <f>0.031*(4.19 * 50)</f>
        <v>6.4945000000000013</v>
      </c>
      <c r="AD93">
        <f>0.031*(4.19 * 50)</f>
        <v>6.4945000000000013</v>
      </c>
      <c r="AE93">
        <f>0.032*(4.19 * 50)</f>
        <v>6.7040000000000006</v>
      </c>
      <c r="AF93">
        <f>0.031*(4.19 * 50)</f>
        <v>6.4945000000000013</v>
      </c>
      <c r="AG93">
        <f>0.031*(4.19 * 50)</f>
        <v>6.4945000000000013</v>
      </c>
    </row>
    <row r="94" spans="1:33" x14ac:dyDescent="0.3">
      <c r="A94" t="s">
        <v>137</v>
      </c>
      <c r="B94">
        <v>356827.964844</v>
      </c>
      <c r="C94">
        <v>6668418.2851560004</v>
      </c>
      <c r="D94" t="s">
        <v>540</v>
      </c>
      <c r="E94">
        <v>100</v>
      </c>
      <c r="F94">
        <v>5</v>
      </c>
      <c r="G94">
        <v>2.386634844868735E-2</v>
      </c>
      <c r="H94">
        <f t="shared" si="3"/>
        <v>9.609</v>
      </c>
      <c r="I94">
        <f t="shared" si="2"/>
        <v>209.50000000000003</v>
      </c>
      <c r="J94">
        <f>0.022*(4.19 * 50)</f>
        <v>4.609</v>
      </c>
      <c r="K94">
        <f>0.022*(4.19 * 50)</f>
        <v>4.609</v>
      </c>
      <c r="L94">
        <f>0.021*(4.19 * 50)</f>
        <v>4.3995000000000006</v>
      </c>
      <c r="M94">
        <f>0.021*(4.19 * 50)</f>
        <v>4.3995000000000006</v>
      </c>
      <c r="N94">
        <f>0.021*(4.19 * 50)</f>
        <v>4.3995000000000006</v>
      </c>
      <c r="O94">
        <f>0.022*(4.19 * 50)</f>
        <v>4.609</v>
      </c>
      <c r="P94">
        <f>0.022*(4.19 * 50)</f>
        <v>4.609</v>
      </c>
      <c r="Q94">
        <f>0.023*(4.19 * 50)</f>
        <v>4.8185000000000002</v>
      </c>
      <c r="R94">
        <f>0.023*(4.19 * 50)</f>
        <v>4.8185000000000002</v>
      </c>
      <c r="S94">
        <f>0.022*(4.19 * 50)</f>
        <v>4.609</v>
      </c>
      <c r="T94">
        <f>0.022*(4.19 * 50)</f>
        <v>4.609</v>
      </c>
      <c r="U94">
        <f>0.021*(4.19 * 50)</f>
        <v>4.3995000000000006</v>
      </c>
      <c r="V94">
        <f>0.021*(4.19 * 50)</f>
        <v>4.3995000000000006</v>
      </c>
      <c r="W94">
        <f>0.021*(4.19 * 50)</f>
        <v>4.3995000000000006</v>
      </c>
      <c r="X94">
        <f>0.021*(4.19 * 50)</f>
        <v>4.3995000000000006</v>
      </c>
      <c r="Y94">
        <f>0.021*(4.19 * 50)</f>
        <v>4.3995000000000006</v>
      </c>
      <c r="Z94">
        <f>0.021*(4.19 * 50)</f>
        <v>4.3995000000000006</v>
      </c>
      <c r="AA94">
        <f>0.021*(4.19 * 50)</f>
        <v>4.3995000000000006</v>
      </c>
      <c r="AB94">
        <f>0.022*(4.19 * 50)</f>
        <v>4.609</v>
      </c>
      <c r="AC94">
        <f>0.022*(4.19 * 50)</f>
        <v>4.609</v>
      </c>
      <c r="AD94">
        <f>0.022*(4.19 * 50)</f>
        <v>4.609</v>
      </c>
      <c r="AE94">
        <f>0.023*(4.19 * 50)</f>
        <v>4.8185000000000002</v>
      </c>
      <c r="AF94">
        <f>0.022*(4.19 * 50)</f>
        <v>4.609</v>
      </c>
      <c r="AG94">
        <f>0.022*(4.19 * 50)</f>
        <v>4.609</v>
      </c>
    </row>
    <row r="95" spans="1:33" x14ac:dyDescent="0.3">
      <c r="A95" t="s">
        <v>138</v>
      </c>
      <c r="B95">
        <v>356794.671875</v>
      </c>
      <c r="C95">
        <v>6668418.5078130001</v>
      </c>
      <c r="D95" t="s">
        <v>540</v>
      </c>
      <c r="E95">
        <v>100</v>
      </c>
      <c r="F95">
        <v>5</v>
      </c>
      <c r="G95">
        <v>2.386634844868735E-2</v>
      </c>
      <c r="H95">
        <f t="shared" si="3"/>
        <v>9.609</v>
      </c>
      <c r="I95">
        <f t="shared" si="2"/>
        <v>209.50000000000003</v>
      </c>
      <c r="J95">
        <f>0.022*(4.19 * 50)</f>
        <v>4.609</v>
      </c>
      <c r="K95">
        <f>0.022*(4.19 * 50)</f>
        <v>4.609</v>
      </c>
      <c r="L95">
        <f>0.021*(4.19 * 50)</f>
        <v>4.3995000000000006</v>
      </c>
      <c r="M95">
        <f>0.021*(4.19 * 50)</f>
        <v>4.3995000000000006</v>
      </c>
      <c r="N95">
        <f>0.021*(4.19 * 50)</f>
        <v>4.3995000000000006</v>
      </c>
      <c r="O95">
        <f>0.022*(4.19 * 50)</f>
        <v>4.609</v>
      </c>
      <c r="P95">
        <f>0.022*(4.19 * 50)</f>
        <v>4.609</v>
      </c>
      <c r="Q95">
        <f>0.023*(4.19 * 50)</f>
        <v>4.8185000000000002</v>
      </c>
      <c r="R95">
        <f>0.023*(4.19 * 50)</f>
        <v>4.8185000000000002</v>
      </c>
      <c r="S95">
        <f>0.022*(4.19 * 50)</f>
        <v>4.609</v>
      </c>
      <c r="T95">
        <f>0.022*(4.19 * 50)</f>
        <v>4.609</v>
      </c>
      <c r="U95">
        <f>0.021*(4.19 * 50)</f>
        <v>4.3995000000000006</v>
      </c>
      <c r="V95">
        <f>0.021*(4.19 * 50)</f>
        <v>4.3995000000000006</v>
      </c>
      <c r="W95">
        <f>0.021*(4.19 * 50)</f>
        <v>4.3995000000000006</v>
      </c>
      <c r="X95">
        <f>0.021*(4.19 * 50)</f>
        <v>4.3995000000000006</v>
      </c>
      <c r="Y95">
        <f>0.021*(4.19 * 50)</f>
        <v>4.3995000000000006</v>
      </c>
      <c r="Z95">
        <f>0.021*(4.19 * 50)</f>
        <v>4.3995000000000006</v>
      </c>
      <c r="AA95">
        <f>0.021*(4.19 * 50)</f>
        <v>4.3995000000000006</v>
      </c>
      <c r="AB95">
        <f>0.022*(4.19 * 50)</f>
        <v>4.609</v>
      </c>
      <c r="AC95">
        <f>0.022*(4.19 * 50)</f>
        <v>4.609</v>
      </c>
      <c r="AD95">
        <f>0.022*(4.19 * 50)</f>
        <v>4.609</v>
      </c>
      <c r="AE95">
        <f>0.023*(4.19 * 50)</f>
        <v>4.8185000000000002</v>
      </c>
      <c r="AF95">
        <f>0.022*(4.19 * 50)</f>
        <v>4.609</v>
      </c>
      <c r="AG95">
        <f>0.022*(4.19 * 50)</f>
        <v>4.609</v>
      </c>
    </row>
    <row r="96" spans="1:33" x14ac:dyDescent="0.3">
      <c r="A96" t="s">
        <v>139</v>
      </c>
      <c r="B96">
        <v>356800.160156</v>
      </c>
      <c r="C96">
        <v>6668456.96875</v>
      </c>
      <c r="D96" t="s">
        <v>540</v>
      </c>
      <c r="E96">
        <v>100</v>
      </c>
      <c r="F96">
        <v>2</v>
      </c>
      <c r="G96">
        <v>9.546539379474939E-3</v>
      </c>
      <c r="H96">
        <f t="shared" si="3"/>
        <v>3.8855000000000004</v>
      </c>
      <c r="I96">
        <f t="shared" si="2"/>
        <v>209.50000000000003</v>
      </c>
      <c r="J96">
        <f>0.009*(4.19 * 50)</f>
        <v>1.8855000000000002</v>
      </c>
      <c r="K96">
        <f>0.009*(4.19 * 50)</f>
        <v>1.8855000000000002</v>
      </c>
      <c r="L96">
        <f>0.009*(4.19 * 50)</f>
        <v>1.8855000000000002</v>
      </c>
      <c r="M96">
        <f>0.009*(4.19 * 50)</f>
        <v>1.8855000000000002</v>
      </c>
      <c r="N96">
        <f>0.009*(4.19 * 50)</f>
        <v>1.8855000000000002</v>
      </c>
      <c r="O96">
        <f>0.009*(4.19 * 50)</f>
        <v>1.8855000000000002</v>
      </c>
      <c r="P96">
        <f>0.009*(4.19 * 50)</f>
        <v>1.8855000000000002</v>
      </c>
      <c r="Q96">
        <f>0.009*(4.19 * 50)</f>
        <v>1.8855000000000002</v>
      </c>
      <c r="R96">
        <f>0.009*(4.19 * 50)</f>
        <v>1.8855000000000002</v>
      </c>
      <c r="S96">
        <f>0.009*(4.19 * 50)</f>
        <v>1.8855000000000002</v>
      </c>
      <c r="T96">
        <f>0.009*(4.19 * 50)</f>
        <v>1.8855000000000002</v>
      </c>
      <c r="U96">
        <f>0.009*(4.19 * 50)</f>
        <v>1.8855000000000002</v>
      </c>
      <c r="V96">
        <f>0.008*(4.19 * 50)</f>
        <v>1.6760000000000002</v>
      </c>
      <c r="W96">
        <f>0.008*(4.19 * 50)</f>
        <v>1.6760000000000002</v>
      </c>
      <c r="X96">
        <f>0.008*(4.19 * 50)</f>
        <v>1.6760000000000002</v>
      </c>
      <c r="Y96">
        <f>0.008*(4.19 * 50)</f>
        <v>1.6760000000000002</v>
      </c>
      <c r="Z96">
        <f>0.008*(4.19 * 50)</f>
        <v>1.6760000000000002</v>
      </c>
      <c r="AA96">
        <f>0.009*(4.19 * 50)</f>
        <v>1.8855000000000002</v>
      </c>
      <c r="AB96">
        <f>0.009*(4.19 * 50)</f>
        <v>1.8855000000000002</v>
      </c>
      <c r="AC96">
        <f>0.009*(4.19 * 50)</f>
        <v>1.8855000000000002</v>
      </c>
      <c r="AD96">
        <f>0.009*(4.19 * 50)</f>
        <v>1.8855000000000002</v>
      </c>
      <c r="AE96">
        <f>0.009*(4.19 * 50)</f>
        <v>1.8855000000000002</v>
      </c>
      <c r="AF96">
        <f>0.009*(4.19 * 50)</f>
        <v>1.8855000000000002</v>
      </c>
      <c r="AG96">
        <f>0.009*(4.19 * 50)</f>
        <v>1.8855000000000002</v>
      </c>
    </row>
    <row r="97" spans="1:33" x14ac:dyDescent="0.3">
      <c r="A97" t="s">
        <v>140</v>
      </c>
      <c r="B97">
        <v>356819.324219</v>
      </c>
      <c r="C97">
        <v>6668460.421875</v>
      </c>
      <c r="D97" t="s">
        <v>540</v>
      </c>
      <c r="E97">
        <v>100</v>
      </c>
      <c r="F97">
        <v>9</v>
      </c>
      <c r="G97">
        <v>4.2959427207637228E-2</v>
      </c>
      <c r="H97">
        <f t="shared" si="3"/>
        <v>17.380000000000003</v>
      </c>
      <c r="I97">
        <f t="shared" si="2"/>
        <v>209.50000000000003</v>
      </c>
      <c r="J97">
        <f>0.039*(4.19 * 50)</f>
        <v>8.1705000000000005</v>
      </c>
      <c r="K97">
        <f>0.039*(4.19 * 50)</f>
        <v>8.1705000000000005</v>
      </c>
      <c r="L97">
        <f>0.039*(4.19 * 50)</f>
        <v>8.1705000000000005</v>
      </c>
      <c r="M97">
        <f>0.038*(4.19 * 50)</f>
        <v>7.9610000000000012</v>
      </c>
      <c r="N97">
        <f>0.039*(4.19 * 50)</f>
        <v>8.1705000000000005</v>
      </c>
      <c r="O97">
        <f>0.039*(4.19 * 50)</f>
        <v>8.1705000000000005</v>
      </c>
      <c r="P97">
        <f>0.04*(4.19 * 50)</f>
        <v>8.3800000000000008</v>
      </c>
      <c r="Q97">
        <f>0.041*(4.19 * 50)</f>
        <v>8.589500000000001</v>
      </c>
      <c r="R97">
        <f>0.041*(4.19 * 50)</f>
        <v>8.589500000000001</v>
      </c>
      <c r="S97">
        <f>0.04*(4.19 * 50)</f>
        <v>8.3800000000000008</v>
      </c>
      <c r="T97">
        <f>0.04*(4.19 * 50)</f>
        <v>8.3800000000000008</v>
      </c>
      <c r="U97">
        <f>0.038*(4.19 * 50)</f>
        <v>7.9610000000000012</v>
      </c>
      <c r="V97">
        <f>0.038*(4.19 * 50)</f>
        <v>7.9610000000000012</v>
      </c>
      <c r="W97">
        <f>0.037*(4.19 * 50)</f>
        <v>7.7515000000000009</v>
      </c>
      <c r="X97">
        <f>0.037*(4.19 * 50)</f>
        <v>7.7515000000000009</v>
      </c>
      <c r="Y97">
        <f>0.037*(4.19 * 50)</f>
        <v>7.7515000000000009</v>
      </c>
      <c r="Z97">
        <f>0.038*(4.19 * 50)</f>
        <v>7.9610000000000012</v>
      </c>
      <c r="AA97">
        <f>0.038*(4.19 * 50)</f>
        <v>7.9610000000000012</v>
      </c>
      <c r="AB97">
        <f>0.039*(4.19 * 50)</f>
        <v>8.1705000000000005</v>
      </c>
      <c r="AC97">
        <f>0.04*(4.19 * 50)</f>
        <v>8.3800000000000008</v>
      </c>
      <c r="AD97">
        <f>0.04*(4.19 * 50)</f>
        <v>8.3800000000000008</v>
      </c>
      <c r="AE97">
        <f>0.041*(4.19 * 50)</f>
        <v>8.589500000000001</v>
      </c>
      <c r="AF97">
        <f>0.04*(4.19 * 50)</f>
        <v>8.3800000000000008</v>
      </c>
      <c r="AG97">
        <f>0.04*(4.19 * 50)</f>
        <v>8.3800000000000008</v>
      </c>
    </row>
    <row r="98" spans="1:33" x14ac:dyDescent="0.3">
      <c r="A98" t="s">
        <v>141</v>
      </c>
      <c r="B98">
        <v>356882.316406</v>
      </c>
      <c r="C98">
        <v>6668030.8945310004</v>
      </c>
      <c r="D98" t="s">
        <v>540</v>
      </c>
      <c r="E98">
        <v>100</v>
      </c>
      <c r="F98">
        <v>5</v>
      </c>
      <c r="G98">
        <v>2.386634844868735E-2</v>
      </c>
      <c r="H98">
        <f t="shared" si="3"/>
        <v>9.609</v>
      </c>
      <c r="I98">
        <f t="shared" si="2"/>
        <v>209.50000000000003</v>
      </c>
      <c r="J98">
        <f>0.022*(4.19 * 50)</f>
        <v>4.609</v>
      </c>
      <c r="K98">
        <f>0.022*(4.19 * 50)</f>
        <v>4.609</v>
      </c>
      <c r="L98">
        <f>0.021*(4.19 * 50)</f>
        <v>4.3995000000000006</v>
      </c>
      <c r="M98">
        <f>0.021*(4.19 * 50)</f>
        <v>4.3995000000000006</v>
      </c>
      <c r="N98">
        <f>0.021*(4.19 * 50)</f>
        <v>4.3995000000000006</v>
      </c>
      <c r="O98">
        <f>0.022*(4.19 * 50)</f>
        <v>4.609</v>
      </c>
      <c r="P98">
        <f>0.022*(4.19 * 50)</f>
        <v>4.609</v>
      </c>
      <c r="Q98">
        <f>0.023*(4.19 * 50)</f>
        <v>4.8185000000000002</v>
      </c>
      <c r="R98">
        <f>0.023*(4.19 * 50)</f>
        <v>4.8185000000000002</v>
      </c>
      <c r="S98">
        <f>0.022*(4.19 * 50)</f>
        <v>4.609</v>
      </c>
      <c r="T98">
        <f>0.022*(4.19 * 50)</f>
        <v>4.609</v>
      </c>
      <c r="U98">
        <f>0.021*(4.19 * 50)</f>
        <v>4.3995000000000006</v>
      </c>
      <c r="V98">
        <f>0.021*(4.19 * 50)</f>
        <v>4.3995000000000006</v>
      </c>
      <c r="W98">
        <f>0.021*(4.19 * 50)</f>
        <v>4.3995000000000006</v>
      </c>
      <c r="X98">
        <f>0.021*(4.19 * 50)</f>
        <v>4.3995000000000006</v>
      </c>
      <c r="Y98">
        <f>0.021*(4.19 * 50)</f>
        <v>4.3995000000000006</v>
      </c>
      <c r="Z98">
        <f>0.021*(4.19 * 50)</f>
        <v>4.3995000000000006</v>
      </c>
      <c r="AA98">
        <f>0.021*(4.19 * 50)</f>
        <v>4.3995000000000006</v>
      </c>
      <c r="AB98">
        <f>0.022*(4.19 * 50)</f>
        <v>4.609</v>
      </c>
      <c r="AC98">
        <f>0.022*(4.19 * 50)</f>
        <v>4.609</v>
      </c>
      <c r="AD98">
        <f>0.022*(4.19 * 50)</f>
        <v>4.609</v>
      </c>
      <c r="AE98">
        <f>0.023*(4.19 * 50)</f>
        <v>4.8185000000000002</v>
      </c>
      <c r="AF98">
        <f>0.022*(4.19 * 50)</f>
        <v>4.609</v>
      </c>
      <c r="AG98">
        <f>0.022*(4.19 * 50)</f>
        <v>4.609</v>
      </c>
    </row>
    <row r="99" spans="1:33" x14ac:dyDescent="0.3">
      <c r="A99" t="s">
        <v>142</v>
      </c>
      <c r="B99">
        <v>356857.738281</v>
      </c>
      <c r="C99">
        <v>6668062.9179689996</v>
      </c>
      <c r="D99" t="s">
        <v>540</v>
      </c>
      <c r="E99">
        <v>100</v>
      </c>
      <c r="F99">
        <v>5</v>
      </c>
      <c r="G99">
        <v>2.386634844868735E-2</v>
      </c>
      <c r="H99">
        <f t="shared" si="3"/>
        <v>9.609</v>
      </c>
      <c r="I99">
        <f t="shared" si="2"/>
        <v>209.50000000000003</v>
      </c>
      <c r="J99">
        <f>0.022*(4.19 * 50)</f>
        <v>4.609</v>
      </c>
      <c r="K99">
        <f>0.022*(4.19 * 50)</f>
        <v>4.609</v>
      </c>
      <c r="L99">
        <f>0.021*(4.19 * 50)</f>
        <v>4.3995000000000006</v>
      </c>
      <c r="M99">
        <f>0.021*(4.19 * 50)</f>
        <v>4.3995000000000006</v>
      </c>
      <c r="N99">
        <f>0.021*(4.19 * 50)</f>
        <v>4.3995000000000006</v>
      </c>
      <c r="O99">
        <f>0.022*(4.19 * 50)</f>
        <v>4.609</v>
      </c>
      <c r="P99">
        <f>0.022*(4.19 * 50)</f>
        <v>4.609</v>
      </c>
      <c r="Q99">
        <f>0.023*(4.19 * 50)</f>
        <v>4.8185000000000002</v>
      </c>
      <c r="R99">
        <f>0.023*(4.19 * 50)</f>
        <v>4.8185000000000002</v>
      </c>
      <c r="S99">
        <f>0.022*(4.19 * 50)</f>
        <v>4.609</v>
      </c>
      <c r="T99">
        <f>0.022*(4.19 * 50)</f>
        <v>4.609</v>
      </c>
      <c r="U99">
        <f>0.021*(4.19 * 50)</f>
        <v>4.3995000000000006</v>
      </c>
      <c r="V99">
        <f>0.021*(4.19 * 50)</f>
        <v>4.3995000000000006</v>
      </c>
      <c r="W99">
        <f>0.021*(4.19 * 50)</f>
        <v>4.3995000000000006</v>
      </c>
      <c r="X99">
        <f>0.021*(4.19 * 50)</f>
        <v>4.3995000000000006</v>
      </c>
      <c r="Y99">
        <f>0.021*(4.19 * 50)</f>
        <v>4.3995000000000006</v>
      </c>
      <c r="Z99">
        <f>0.021*(4.19 * 50)</f>
        <v>4.3995000000000006</v>
      </c>
      <c r="AA99">
        <f>0.021*(4.19 * 50)</f>
        <v>4.3995000000000006</v>
      </c>
      <c r="AB99">
        <f>0.022*(4.19 * 50)</f>
        <v>4.609</v>
      </c>
      <c r="AC99">
        <f>0.022*(4.19 * 50)</f>
        <v>4.609</v>
      </c>
      <c r="AD99">
        <f>0.022*(4.19 * 50)</f>
        <v>4.609</v>
      </c>
      <c r="AE99">
        <f>0.023*(4.19 * 50)</f>
        <v>4.8185000000000002</v>
      </c>
      <c r="AF99">
        <f>0.022*(4.19 * 50)</f>
        <v>4.609</v>
      </c>
      <c r="AG99">
        <f>0.022*(4.19 * 50)</f>
        <v>4.609</v>
      </c>
    </row>
    <row r="100" spans="1:33" x14ac:dyDescent="0.3">
      <c r="A100" t="s">
        <v>143</v>
      </c>
      <c r="B100">
        <v>356856.96875</v>
      </c>
      <c r="C100">
        <v>6668022.1054689996</v>
      </c>
      <c r="D100" t="s">
        <v>540</v>
      </c>
      <c r="E100">
        <v>100</v>
      </c>
      <c r="F100">
        <v>4</v>
      </c>
      <c r="G100">
        <v>1.9093078758949882E-2</v>
      </c>
      <c r="H100">
        <f t="shared" si="3"/>
        <v>7.7710000000000008</v>
      </c>
      <c r="I100">
        <f t="shared" si="2"/>
        <v>209.50000000000003</v>
      </c>
      <c r="J100">
        <f>0.017*(4.19 * 50)</f>
        <v>3.5615000000000006</v>
      </c>
      <c r="K100">
        <f>0.017*(4.19 * 50)</f>
        <v>3.5615000000000006</v>
      </c>
      <c r="L100">
        <f>0.017*(4.19 * 50)</f>
        <v>3.5615000000000006</v>
      </c>
      <c r="M100">
        <f>0.017*(4.19 * 50)</f>
        <v>3.5615000000000006</v>
      </c>
      <c r="N100">
        <f>0.017*(4.19 * 50)</f>
        <v>3.5615000000000006</v>
      </c>
      <c r="O100">
        <f>0.017*(4.19 * 50)</f>
        <v>3.5615000000000006</v>
      </c>
      <c r="P100">
        <f>0.018*(4.19 * 50)</f>
        <v>3.7710000000000004</v>
      </c>
      <c r="Q100">
        <f>0.018*(4.19 * 50)</f>
        <v>3.7710000000000004</v>
      </c>
      <c r="R100">
        <f>0.018*(4.19 * 50)</f>
        <v>3.7710000000000004</v>
      </c>
      <c r="S100">
        <f>0.018*(4.19 * 50)</f>
        <v>3.7710000000000004</v>
      </c>
      <c r="T100">
        <f>0.018*(4.19 * 50)</f>
        <v>3.7710000000000004</v>
      </c>
      <c r="U100">
        <f>0.017*(4.19 * 50)</f>
        <v>3.5615000000000006</v>
      </c>
      <c r="V100">
        <f>0.017*(4.19 * 50)</f>
        <v>3.5615000000000006</v>
      </c>
      <c r="W100">
        <f>0.017*(4.19 * 50)</f>
        <v>3.5615000000000006</v>
      </c>
      <c r="X100">
        <f>0.017*(4.19 * 50)</f>
        <v>3.5615000000000006</v>
      </c>
      <c r="Y100">
        <f>0.017*(4.19 * 50)</f>
        <v>3.5615000000000006</v>
      </c>
      <c r="Z100">
        <f>0.017*(4.19 * 50)</f>
        <v>3.5615000000000006</v>
      </c>
      <c r="AA100">
        <f>0.017*(4.19 * 50)</f>
        <v>3.5615000000000006</v>
      </c>
      <c r="AB100">
        <f>0.017*(4.19 * 50)</f>
        <v>3.5615000000000006</v>
      </c>
      <c r="AC100">
        <f>0.018*(4.19 * 50)</f>
        <v>3.7710000000000004</v>
      </c>
      <c r="AD100">
        <f>0.018*(4.19 * 50)</f>
        <v>3.7710000000000004</v>
      </c>
      <c r="AE100">
        <f>0.018*(4.19 * 50)</f>
        <v>3.7710000000000004</v>
      </c>
      <c r="AF100">
        <f>0.018*(4.19 * 50)</f>
        <v>3.7710000000000004</v>
      </c>
      <c r="AG100">
        <f>0.018*(4.19 * 50)</f>
        <v>3.7710000000000004</v>
      </c>
    </row>
    <row r="101" spans="1:33" x14ac:dyDescent="0.3">
      <c r="A101" t="s">
        <v>144</v>
      </c>
      <c r="B101">
        <v>356820.289063</v>
      </c>
      <c r="C101">
        <v>6668041.3007810004</v>
      </c>
      <c r="D101" t="s">
        <v>540</v>
      </c>
      <c r="E101">
        <v>100</v>
      </c>
      <c r="F101">
        <v>6</v>
      </c>
      <c r="G101">
        <v>2.8639618138424819E-2</v>
      </c>
      <c r="H101">
        <f t="shared" si="3"/>
        <v>11.656500000000001</v>
      </c>
      <c r="I101">
        <f t="shared" si="2"/>
        <v>209.50000000000003</v>
      </c>
      <c r="J101">
        <f>0.026*(4.19 * 50)</f>
        <v>5.4470000000000001</v>
      </c>
      <c r="K101">
        <f>0.026*(4.19 * 50)</f>
        <v>5.4470000000000001</v>
      </c>
      <c r="L101">
        <f>0.026*(4.19 * 50)</f>
        <v>5.4470000000000001</v>
      </c>
      <c r="M101">
        <f>0.026*(4.19 * 50)</f>
        <v>5.4470000000000001</v>
      </c>
      <c r="N101">
        <f>0.026*(4.19 * 50)</f>
        <v>5.4470000000000001</v>
      </c>
      <c r="O101">
        <f>0.026*(4.19 * 50)</f>
        <v>5.4470000000000001</v>
      </c>
      <c r="P101">
        <f>0.027*(4.19 * 50)</f>
        <v>5.6565000000000003</v>
      </c>
      <c r="Q101">
        <f>0.028*(4.19 * 50)</f>
        <v>5.8660000000000005</v>
      </c>
      <c r="R101">
        <f>0.027*(4.19 * 50)</f>
        <v>5.6565000000000003</v>
      </c>
      <c r="S101">
        <f>0.027*(4.19 * 50)</f>
        <v>5.6565000000000003</v>
      </c>
      <c r="T101">
        <f>0.027*(4.19 * 50)</f>
        <v>5.6565000000000003</v>
      </c>
      <c r="U101">
        <f>0.026*(4.19 * 50)</f>
        <v>5.4470000000000001</v>
      </c>
      <c r="V101">
        <f>0.025*(4.19 * 50)</f>
        <v>5.2375000000000007</v>
      </c>
      <c r="W101">
        <f>0.025*(4.19 * 50)</f>
        <v>5.2375000000000007</v>
      </c>
      <c r="X101">
        <f>0.025*(4.19 * 50)</f>
        <v>5.2375000000000007</v>
      </c>
      <c r="Y101">
        <f>0.025*(4.19 * 50)</f>
        <v>5.2375000000000007</v>
      </c>
      <c r="Z101">
        <f>0.025*(4.19 * 50)</f>
        <v>5.2375000000000007</v>
      </c>
      <c r="AA101">
        <f>0.026*(4.19 * 50)</f>
        <v>5.4470000000000001</v>
      </c>
      <c r="AB101">
        <f>0.026*(4.19 * 50)</f>
        <v>5.4470000000000001</v>
      </c>
      <c r="AC101">
        <f>0.026*(4.19 * 50)</f>
        <v>5.4470000000000001</v>
      </c>
      <c r="AD101">
        <f>0.027*(4.19 * 50)</f>
        <v>5.6565000000000003</v>
      </c>
      <c r="AE101">
        <f>0.027*(4.19 * 50)</f>
        <v>5.6565000000000003</v>
      </c>
      <c r="AF101">
        <f>0.027*(4.19 * 50)</f>
        <v>5.6565000000000003</v>
      </c>
      <c r="AG101">
        <f>0.026*(4.19 * 50)</f>
        <v>5.4470000000000001</v>
      </c>
    </row>
    <row r="102" spans="1:33" x14ac:dyDescent="0.3">
      <c r="A102" t="s">
        <v>145</v>
      </c>
      <c r="B102">
        <v>356830.671875</v>
      </c>
      <c r="C102">
        <v>6668040.1054689996</v>
      </c>
      <c r="D102" t="s">
        <v>540</v>
      </c>
      <c r="E102">
        <v>100</v>
      </c>
      <c r="F102">
        <v>5</v>
      </c>
      <c r="G102">
        <v>2.386634844868735E-2</v>
      </c>
      <c r="H102">
        <f t="shared" si="3"/>
        <v>9.609</v>
      </c>
      <c r="I102">
        <f t="shared" si="2"/>
        <v>209.50000000000003</v>
      </c>
      <c r="J102">
        <f>0.022*(4.19 * 50)</f>
        <v>4.609</v>
      </c>
      <c r="K102">
        <f>0.022*(4.19 * 50)</f>
        <v>4.609</v>
      </c>
      <c r="L102">
        <f>0.021*(4.19 * 50)</f>
        <v>4.3995000000000006</v>
      </c>
      <c r="M102">
        <f>0.021*(4.19 * 50)</f>
        <v>4.3995000000000006</v>
      </c>
      <c r="N102">
        <f>0.021*(4.19 * 50)</f>
        <v>4.3995000000000006</v>
      </c>
      <c r="O102">
        <f>0.022*(4.19 * 50)</f>
        <v>4.609</v>
      </c>
      <c r="P102">
        <f>0.022*(4.19 * 50)</f>
        <v>4.609</v>
      </c>
      <c r="Q102">
        <f>0.023*(4.19 * 50)</f>
        <v>4.8185000000000002</v>
      </c>
      <c r="R102">
        <f>0.023*(4.19 * 50)</f>
        <v>4.8185000000000002</v>
      </c>
      <c r="S102">
        <f>0.022*(4.19 * 50)</f>
        <v>4.609</v>
      </c>
      <c r="T102">
        <f>0.022*(4.19 * 50)</f>
        <v>4.609</v>
      </c>
      <c r="U102">
        <f>0.021*(4.19 * 50)</f>
        <v>4.3995000000000006</v>
      </c>
      <c r="V102">
        <f>0.021*(4.19 * 50)</f>
        <v>4.3995000000000006</v>
      </c>
      <c r="W102">
        <f>0.021*(4.19 * 50)</f>
        <v>4.3995000000000006</v>
      </c>
      <c r="X102">
        <f>0.021*(4.19 * 50)</f>
        <v>4.3995000000000006</v>
      </c>
      <c r="Y102">
        <f>0.021*(4.19 * 50)</f>
        <v>4.3995000000000006</v>
      </c>
      <c r="Z102">
        <f>0.021*(4.19 * 50)</f>
        <v>4.3995000000000006</v>
      </c>
      <c r="AA102">
        <f>0.021*(4.19 * 50)</f>
        <v>4.3995000000000006</v>
      </c>
      <c r="AB102">
        <f>0.022*(4.19 * 50)</f>
        <v>4.609</v>
      </c>
      <c r="AC102">
        <f>0.022*(4.19 * 50)</f>
        <v>4.609</v>
      </c>
      <c r="AD102">
        <f>0.022*(4.19 * 50)</f>
        <v>4.609</v>
      </c>
      <c r="AE102">
        <f>0.023*(4.19 * 50)</f>
        <v>4.8185000000000002</v>
      </c>
      <c r="AF102">
        <f>0.022*(4.19 * 50)</f>
        <v>4.609</v>
      </c>
      <c r="AG102">
        <f>0.022*(4.19 * 50)</f>
        <v>4.609</v>
      </c>
    </row>
    <row r="103" spans="1:33" x14ac:dyDescent="0.3">
      <c r="A103" t="s">
        <v>146</v>
      </c>
      <c r="B103">
        <v>356819.996094</v>
      </c>
      <c r="C103">
        <v>6668005.4023439996</v>
      </c>
      <c r="D103" t="s">
        <v>540</v>
      </c>
      <c r="E103">
        <v>100</v>
      </c>
      <c r="F103">
        <v>5</v>
      </c>
      <c r="G103">
        <v>2.386634844868735E-2</v>
      </c>
      <c r="H103">
        <f t="shared" si="3"/>
        <v>9.609</v>
      </c>
      <c r="I103">
        <f t="shared" si="2"/>
        <v>209.50000000000003</v>
      </c>
      <c r="J103">
        <f>0.022*(4.19 * 50)</f>
        <v>4.609</v>
      </c>
      <c r="K103">
        <f>0.022*(4.19 * 50)</f>
        <v>4.609</v>
      </c>
      <c r="L103">
        <f>0.021*(4.19 * 50)</f>
        <v>4.3995000000000006</v>
      </c>
      <c r="M103">
        <f>0.021*(4.19 * 50)</f>
        <v>4.3995000000000006</v>
      </c>
      <c r="N103">
        <f>0.021*(4.19 * 50)</f>
        <v>4.3995000000000006</v>
      </c>
      <c r="O103">
        <f>0.022*(4.19 * 50)</f>
        <v>4.609</v>
      </c>
      <c r="P103">
        <f>0.022*(4.19 * 50)</f>
        <v>4.609</v>
      </c>
      <c r="Q103">
        <f>0.023*(4.19 * 50)</f>
        <v>4.8185000000000002</v>
      </c>
      <c r="R103">
        <f>0.023*(4.19 * 50)</f>
        <v>4.8185000000000002</v>
      </c>
      <c r="S103">
        <f>0.022*(4.19 * 50)</f>
        <v>4.609</v>
      </c>
      <c r="T103">
        <f>0.022*(4.19 * 50)</f>
        <v>4.609</v>
      </c>
      <c r="U103">
        <f>0.021*(4.19 * 50)</f>
        <v>4.3995000000000006</v>
      </c>
      <c r="V103">
        <f>0.021*(4.19 * 50)</f>
        <v>4.3995000000000006</v>
      </c>
      <c r="W103">
        <f>0.021*(4.19 * 50)</f>
        <v>4.3995000000000006</v>
      </c>
      <c r="X103">
        <f>0.021*(4.19 * 50)</f>
        <v>4.3995000000000006</v>
      </c>
      <c r="Y103">
        <f>0.021*(4.19 * 50)</f>
        <v>4.3995000000000006</v>
      </c>
      <c r="Z103">
        <f>0.021*(4.19 * 50)</f>
        <v>4.3995000000000006</v>
      </c>
      <c r="AA103">
        <f>0.021*(4.19 * 50)</f>
        <v>4.3995000000000006</v>
      </c>
      <c r="AB103">
        <f>0.022*(4.19 * 50)</f>
        <v>4.609</v>
      </c>
      <c r="AC103">
        <f>0.022*(4.19 * 50)</f>
        <v>4.609</v>
      </c>
      <c r="AD103">
        <f>0.022*(4.19 * 50)</f>
        <v>4.609</v>
      </c>
      <c r="AE103">
        <f>0.023*(4.19 * 50)</f>
        <v>4.8185000000000002</v>
      </c>
      <c r="AF103">
        <f>0.022*(4.19 * 50)</f>
        <v>4.609</v>
      </c>
      <c r="AG103">
        <f>0.022*(4.19 * 50)</f>
        <v>4.609</v>
      </c>
    </row>
    <row r="104" spans="1:33" x14ac:dyDescent="0.3">
      <c r="A104" t="s">
        <v>147</v>
      </c>
      <c r="B104">
        <v>357628.558594</v>
      </c>
      <c r="C104">
        <v>6667623.6679689996</v>
      </c>
      <c r="D104" t="s">
        <v>542</v>
      </c>
      <c r="E104">
        <v>100</v>
      </c>
      <c r="F104">
        <v>252</v>
      </c>
      <c r="G104">
        <v>1.2028639618138419</v>
      </c>
      <c r="H104">
        <f t="shared" si="3"/>
        <v>488.52550000000002</v>
      </c>
      <c r="I104">
        <f t="shared" si="2"/>
        <v>209.50000000000003</v>
      </c>
      <c r="J104">
        <f>1.097*(4.19 * 50)</f>
        <v>229.82150000000001</v>
      </c>
      <c r="K104">
        <f>1.088*(4.19 * 50)</f>
        <v>227.93600000000004</v>
      </c>
      <c r="L104">
        <f>1.081*(4.19 * 50)</f>
        <v>226.46950000000001</v>
      </c>
      <c r="M104">
        <f>1.077*(4.19 * 50)</f>
        <v>225.63150000000002</v>
      </c>
      <c r="N104">
        <f>1.081*(4.19 * 50)</f>
        <v>226.46950000000001</v>
      </c>
      <c r="O104">
        <f>1.096*(4.19 * 50)</f>
        <v>229.61200000000005</v>
      </c>
      <c r="P104">
        <f>1.129*(4.19 * 50)</f>
        <v>236.52550000000002</v>
      </c>
      <c r="Q104">
        <f>1.158*(4.19 * 50)</f>
        <v>242.60100000000003</v>
      </c>
      <c r="R104">
        <f>1.148*(4.19 * 50)</f>
        <v>240.506</v>
      </c>
      <c r="S104">
        <f>1.124*(4.19 * 50)</f>
        <v>235.47800000000007</v>
      </c>
      <c r="T104">
        <f>1.12*(4.19 * 50)</f>
        <v>234.64000000000004</v>
      </c>
      <c r="U104">
        <f>1.073*(4.19 * 50)</f>
        <v>224.79350000000002</v>
      </c>
      <c r="V104">
        <f>1.057*(4.19 * 50)</f>
        <v>221.44150000000002</v>
      </c>
      <c r="W104">
        <f>1.043*(4.19 * 50)</f>
        <v>218.50850000000003</v>
      </c>
      <c r="X104">
        <f>1.04*(4.19 * 50)</f>
        <v>217.88000000000002</v>
      </c>
      <c r="Y104">
        <f>1.042*(4.19 * 50)</f>
        <v>218.29900000000004</v>
      </c>
      <c r="Z104">
        <f>1.053*(4.19 * 50)</f>
        <v>220.60350000000003</v>
      </c>
      <c r="AA104">
        <f>1.073*(4.19 * 50)</f>
        <v>224.79350000000002</v>
      </c>
      <c r="AB104">
        <f>1.088*(4.19 * 50)</f>
        <v>227.93600000000004</v>
      </c>
      <c r="AC104">
        <f>1.108*(4.19 * 50)</f>
        <v>232.12600000000006</v>
      </c>
      <c r="AD104">
        <f>1.126*(4.19 * 50)</f>
        <v>235.89700000000002</v>
      </c>
      <c r="AE104">
        <f>1.134*(4.19 * 50)</f>
        <v>237.57300000000001</v>
      </c>
      <c r="AF104">
        <f>1.124*(4.19 * 50)</f>
        <v>235.47800000000007</v>
      </c>
      <c r="AG104">
        <f>1.109*(4.19 * 50)</f>
        <v>232.33550000000002</v>
      </c>
    </row>
    <row r="105" spans="1:33" x14ac:dyDescent="0.3">
      <c r="A105" t="s">
        <v>148</v>
      </c>
      <c r="B105">
        <v>357698.128906</v>
      </c>
      <c r="C105">
        <v>6667825.6054689996</v>
      </c>
      <c r="D105" t="s">
        <v>550</v>
      </c>
      <c r="E105">
        <v>100</v>
      </c>
      <c r="F105">
        <v>166.66700744628901</v>
      </c>
      <c r="G105">
        <v>0.79554657492262049</v>
      </c>
      <c r="H105">
        <f t="shared" si="3"/>
        <v>322.95400744628904</v>
      </c>
      <c r="I105">
        <f t="shared" si="2"/>
        <v>209.50000000000003</v>
      </c>
      <c r="J105">
        <f>0.725*(4.19 * 50)</f>
        <v>151.88750000000002</v>
      </c>
      <c r="K105">
        <f>0.72*(4.19 * 50)</f>
        <v>150.84</v>
      </c>
      <c r="L105">
        <f>0.715*(4.19 * 50)</f>
        <v>149.79250000000002</v>
      </c>
      <c r="M105">
        <f>0.712*(4.19 * 50)</f>
        <v>149.16400000000002</v>
      </c>
      <c r="N105">
        <f>0.715*(4.19 * 50)</f>
        <v>149.79250000000002</v>
      </c>
      <c r="O105">
        <f>0.725*(4.19 * 50)</f>
        <v>151.88750000000002</v>
      </c>
      <c r="P105">
        <f>0.746*(4.19 * 50)</f>
        <v>156.28700000000003</v>
      </c>
      <c r="Q105">
        <f>0.766*(4.19 * 50)</f>
        <v>160.47700000000003</v>
      </c>
      <c r="R105">
        <f>0.759*(4.19 * 50)</f>
        <v>159.01050000000004</v>
      </c>
      <c r="S105">
        <f>0.743*(4.19 * 50)</f>
        <v>155.65850000000003</v>
      </c>
      <c r="T105">
        <f>0.741*(4.19 * 50)</f>
        <v>155.23950000000002</v>
      </c>
      <c r="U105">
        <f>0.709*(4.19 * 50)</f>
        <v>148.53550000000001</v>
      </c>
      <c r="V105">
        <f>0.699*(4.19 * 50)</f>
        <v>146.44050000000001</v>
      </c>
      <c r="W105">
        <f>0.69*(4.19 * 50)</f>
        <v>144.55500000000001</v>
      </c>
      <c r="X105">
        <f>0.688*(4.19 * 50)</f>
        <v>144.136</v>
      </c>
      <c r="Y105">
        <f>0.689*(4.19 * 50)</f>
        <v>144.34550000000002</v>
      </c>
      <c r="Z105">
        <f>0.696*(4.19 * 50)</f>
        <v>145.81200000000001</v>
      </c>
      <c r="AA105">
        <f>0.709*(4.19 * 50)</f>
        <v>148.53550000000001</v>
      </c>
      <c r="AB105">
        <f>0.72*(4.19 * 50)</f>
        <v>150.84</v>
      </c>
      <c r="AC105">
        <f>0.733*(4.19 * 50)</f>
        <v>153.5635</v>
      </c>
      <c r="AD105">
        <f>0.745*(4.19 * 50)</f>
        <v>156.07750000000001</v>
      </c>
      <c r="AE105">
        <f>0.75*(4.19 * 50)</f>
        <v>157.12500000000003</v>
      </c>
      <c r="AF105">
        <f>0.743*(4.19 * 50)</f>
        <v>155.65850000000003</v>
      </c>
      <c r="AG105">
        <f>0.733*(4.19 * 50)</f>
        <v>153.5635</v>
      </c>
    </row>
    <row r="106" spans="1:33" x14ac:dyDescent="0.3">
      <c r="A106" t="s">
        <v>149</v>
      </c>
      <c r="B106">
        <v>356967.820313</v>
      </c>
      <c r="C106">
        <v>6667994.5117189996</v>
      </c>
      <c r="D106" t="s">
        <v>541</v>
      </c>
      <c r="E106">
        <v>100</v>
      </c>
      <c r="F106">
        <v>68.666999816894503</v>
      </c>
      <c r="G106">
        <v>0.3277661089111909</v>
      </c>
      <c r="H106">
        <f t="shared" si="3"/>
        <v>133.19299981689451</v>
      </c>
      <c r="I106">
        <f t="shared" si="2"/>
        <v>209.50000000000003</v>
      </c>
      <c r="J106">
        <f>0.299*(4.19 * 50)</f>
        <v>62.640500000000003</v>
      </c>
      <c r="K106">
        <f>0.296*(4.19 * 50)</f>
        <v>62.012000000000008</v>
      </c>
      <c r="L106">
        <f>0.295*(4.19 * 50)</f>
        <v>61.802500000000002</v>
      </c>
      <c r="M106">
        <f>0.293*(4.19 * 50)</f>
        <v>61.383500000000005</v>
      </c>
      <c r="N106">
        <f>0.295*(4.19 * 50)</f>
        <v>61.802500000000002</v>
      </c>
      <c r="O106">
        <f>0.299*(4.19 * 50)</f>
        <v>62.640500000000003</v>
      </c>
      <c r="P106">
        <f>0.308*(4.19 * 50)</f>
        <v>64.52600000000001</v>
      </c>
      <c r="Q106">
        <f>0.316*(4.19 * 50)</f>
        <v>66.202000000000012</v>
      </c>
      <c r="R106">
        <f>0.313*(4.19 * 50)</f>
        <v>65.57350000000001</v>
      </c>
      <c r="S106">
        <f>0.306*(4.19 * 50)</f>
        <v>64.107000000000014</v>
      </c>
      <c r="T106">
        <f>0.305*(4.19 * 50)</f>
        <v>63.897500000000008</v>
      </c>
      <c r="U106">
        <f>0.292*(4.19 * 50)</f>
        <v>61.174000000000007</v>
      </c>
      <c r="V106">
        <f>0.288*(4.19 * 50)</f>
        <v>60.336000000000006</v>
      </c>
      <c r="W106">
        <f>0.284*(4.19 * 50)</f>
        <v>59.498000000000005</v>
      </c>
      <c r="X106">
        <f>0.283*(4.19 * 50)</f>
        <v>59.288499999999999</v>
      </c>
      <c r="Y106">
        <f>0.284*(4.19 * 50)</f>
        <v>59.498000000000005</v>
      </c>
      <c r="Z106">
        <f>0.287*(4.19 * 50)</f>
        <v>60.1265</v>
      </c>
      <c r="AA106">
        <f>0.292*(4.19 * 50)</f>
        <v>61.174000000000007</v>
      </c>
      <c r="AB106">
        <f>0.296*(4.19 * 50)</f>
        <v>62.012000000000008</v>
      </c>
      <c r="AC106">
        <f>0.302*(4.19 * 50)</f>
        <v>63.269000000000005</v>
      </c>
      <c r="AD106">
        <f>0.307*(4.19 * 50)</f>
        <v>64.316500000000005</v>
      </c>
      <c r="AE106">
        <f>0.309*(4.19 * 50)</f>
        <v>64.735500000000002</v>
      </c>
      <c r="AF106">
        <f>0.306*(4.19 * 50)</f>
        <v>64.107000000000014</v>
      </c>
      <c r="AG106">
        <f>0.302*(4.19 * 50)</f>
        <v>63.269000000000005</v>
      </c>
    </row>
    <row r="107" spans="1:33" x14ac:dyDescent="0.3">
      <c r="A107" t="s">
        <v>150</v>
      </c>
      <c r="B107">
        <v>357867.445313</v>
      </c>
      <c r="C107">
        <v>6668521.0507810004</v>
      </c>
      <c r="D107" t="s">
        <v>551</v>
      </c>
      <c r="E107">
        <v>100</v>
      </c>
      <c r="F107">
        <v>31</v>
      </c>
      <c r="G107">
        <v>0.14797136038186159</v>
      </c>
      <c r="H107">
        <f t="shared" si="3"/>
        <v>60.120500000000007</v>
      </c>
      <c r="I107">
        <f t="shared" si="2"/>
        <v>209.50000000000003</v>
      </c>
      <c r="J107">
        <f>0.135*(4.19 * 50)</f>
        <v>28.282500000000006</v>
      </c>
      <c r="K107">
        <f>0.134*(4.19 * 50)</f>
        <v>28.073000000000004</v>
      </c>
      <c r="L107">
        <f>0.133*(4.19 * 50)</f>
        <v>27.863500000000005</v>
      </c>
      <c r="M107">
        <f>0.132*(4.19 * 50)</f>
        <v>27.654000000000003</v>
      </c>
      <c r="N107">
        <f>0.133*(4.19 * 50)</f>
        <v>27.863500000000005</v>
      </c>
      <c r="O107">
        <f>0.135*(4.19 * 50)</f>
        <v>28.282500000000006</v>
      </c>
      <c r="P107">
        <f>0.139*(4.19 * 50)</f>
        <v>29.120500000000007</v>
      </c>
      <c r="Q107">
        <f>0.142*(4.19 * 50)</f>
        <v>29.749000000000002</v>
      </c>
      <c r="R107">
        <f>0.141*(4.19 * 50)</f>
        <v>29.5395</v>
      </c>
      <c r="S107">
        <f>0.138*(4.19 * 50)</f>
        <v>28.911000000000005</v>
      </c>
      <c r="T107">
        <f>0.138*(4.19 * 50)</f>
        <v>28.911000000000005</v>
      </c>
      <c r="U107">
        <f>0.132*(4.19 * 50)</f>
        <v>27.654000000000003</v>
      </c>
      <c r="V107">
        <f>0.13*(4.19 * 50)</f>
        <v>27.235000000000003</v>
      </c>
      <c r="W107">
        <f>0.128*(4.19 * 50)</f>
        <v>26.816000000000003</v>
      </c>
      <c r="X107">
        <f>0.128*(4.19 * 50)</f>
        <v>26.816000000000003</v>
      </c>
      <c r="Y107">
        <f>0.128*(4.19 * 50)</f>
        <v>26.816000000000003</v>
      </c>
      <c r="Z107">
        <f>0.13*(4.19 * 50)</f>
        <v>27.235000000000003</v>
      </c>
      <c r="AA107">
        <f>0.132*(4.19 * 50)</f>
        <v>27.654000000000003</v>
      </c>
      <c r="AB107">
        <f>0.134*(4.19 * 50)</f>
        <v>28.073000000000004</v>
      </c>
      <c r="AC107">
        <f>0.136*(4.19 * 50)</f>
        <v>28.492000000000004</v>
      </c>
      <c r="AD107">
        <f>0.139*(4.19 * 50)</f>
        <v>29.120500000000007</v>
      </c>
      <c r="AE107">
        <f>0.14*(4.19 * 50)</f>
        <v>29.330000000000005</v>
      </c>
      <c r="AF107">
        <f>0.138*(4.19 * 50)</f>
        <v>28.911000000000005</v>
      </c>
      <c r="AG107">
        <f>0.136*(4.19 * 50)</f>
        <v>28.492000000000004</v>
      </c>
    </row>
    <row r="108" spans="1:33" x14ac:dyDescent="0.3">
      <c r="A108" t="s">
        <v>151</v>
      </c>
      <c r="B108">
        <v>357082.246094</v>
      </c>
      <c r="C108">
        <v>6668412.4804689996</v>
      </c>
      <c r="D108" t="s">
        <v>540</v>
      </c>
      <c r="E108">
        <v>100</v>
      </c>
      <c r="F108">
        <v>6</v>
      </c>
      <c r="G108">
        <v>2.8639618138424819E-2</v>
      </c>
      <c r="H108">
        <f t="shared" si="3"/>
        <v>11.656500000000001</v>
      </c>
      <c r="I108">
        <f t="shared" si="2"/>
        <v>209.50000000000003</v>
      </c>
      <c r="J108">
        <f>0.026*(4.19 * 50)</f>
        <v>5.4470000000000001</v>
      </c>
      <c r="K108">
        <f>0.026*(4.19 * 50)</f>
        <v>5.4470000000000001</v>
      </c>
      <c r="L108">
        <f>0.026*(4.19 * 50)</f>
        <v>5.4470000000000001</v>
      </c>
      <c r="M108">
        <f>0.026*(4.19 * 50)</f>
        <v>5.4470000000000001</v>
      </c>
      <c r="N108">
        <f>0.026*(4.19 * 50)</f>
        <v>5.4470000000000001</v>
      </c>
      <c r="O108">
        <f>0.026*(4.19 * 50)</f>
        <v>5.4470000000000001</v>
      </c>
      <c r="P108">
        <f>0.027*(4.19 * 50)</f>
        <v>5.6565000000000003</v>
      </c>
      <c r="Q108">
        <f>0.028*(4.19 * 50)</f>
        <v>5.8660000000000005</v>
      </c>
      <c r="R108">
        <f>0.027*(4.19 * 50)</f>
        <v>5.6565000000000003</v>
      </c>
      <c r="S108">
        <f>0.027*(4.19 * 50)</f>
        <v>5.6565000000000003</v>
      </c>
      <c r="T108">
        <f>0.027*(4.19 * 50)</f>
        <v>5.6565000000000003</v>
      </c>
      <c r="U108">
        <f>0.026*(4.19 * 50)</f>
        <v>5.4470000000000001</v>
      </c>
      <c r="V108">
        <f>0.025*(4.19 * 50)</f>
        <v>5.2375000000000007</v>
      </c>
      <c r="W108">
        <f>0.025*(4.19 * 50)</f>
        <v>5.2375000000000007</v>
      </c>
      <c r="X108">
        <f>0.025*(4.19 * 50)</f>
        <v>5.2375000000000007</v>
      </c>
      <c r="Y108">
        <f>0.025*(4.19 * 50)</f>
        <v>5.2375000000000007</v>
      </c>
      <c r="Z108">
        <f>0.025*(4.19 * 50)</f>
        <v>5.2375000000000007</v>
      </c>
      <c r="AA108">
        <f>0.026*(4.19 * 50)</f>
        <v>5.4470000000000001</v>
      </c>
      <c r="AB108">
        <f>0.026*(4.19 * 50)</f>
        <v>5.4470000000000001</v>
      </c>
      <c r="AC108">
        <f>0.026*(4.19 * 50)</f>
        <v>5.4470000000000001</v>
      </c>
      <c r="AD108">
        <f>0.027*(4.19 * 50)</f>
        <v>5.6565000000000003</v>
      </c>
      <c r="AE108">
        <f>0.027*(4.19 * 50)</f>
        <v>5.6565000000000003</v>
      </c>
      <c r="AF108">
        <f>0.027*(4.19 * 50)</f>
        <v>5.6565000000000003</v>
      </c>
      <c r="AG108">
        <f>0.026*(4.19 * 50)</f>
        <v>5.4470000000000001</v>
      </c>
    </row>
    <row r="109" spans="1:33" x14ac:dyDescent="0.3">
      <c r="A109" t="s">
        <v>152</v>
      </c>
      <c r="B109">
        <v>359509.769531</v>
      </c>
      <c r="C109">
        <v>6667756.6679689996</v>
      </c>
      <c r="D109" t="s">
        <v>547</v>
      </c>
      <c r="E109">
        <v>100</v>
      </c>
      <c r="F109">
        <v>67.666999816894503</v>
      </c>
      <c r="G109">
        <v>0.32299283922145339</v>
      </c>
      <c r="H109">
        <f t="shared" si="3"/>
        <v>131.1454998168945</v>
      </c>
      <c r="I109">
        <f t="shared" si="2"/>
        <v>209.50000000000003</v>
      </c>
      <c r="J109">
        <f>0.295*(4.19 * 50)</f>
        <v>61.802500000000002</v>
      </c>
      <c r="K109">
        <f>0.292*(4.19 * 50)</f>
        <v>61.174000000000007</v>
      </c>
      <c r="L109">
        <f>0.29*(4.19 * 50)</f>
        <v>60.755000000000003</v>
      </c>
      <c r="M109">
        <f>0.289*(4.19 * 50)</f>
        <v>60.545500000000004</v>
      </c>
      <c r="N109">
        <f>0.29*(4.19 * 50)</f>
        <v>60.755000000000003</v>
      </c>
      <c r="O109">
        <f>0.294*(4.19 * 50)</f>
        <v>61.593000000000004</v>
      </c>
      <c r="P109">
        <f>0.303*(4.19 * 50)</f>
        <v>63.478500000000004</v>
      </c>
      <c r="Q109">
        <f>0.311*(4.19 * 50)</f>
        <v>65.154500000000013</v>
      </c>
      <c r="R109">
        <f>0.308*(4.19 * 50)</f>
        <v>64.52600000000001</v>
      </c>
      <c r="S109">
        <f>0.302*(4.19 * 50)</f>
        <v>63.269000000000005</v>
      </c>
      <c r="T109">
        <f>0.301*(4.19 * 50)</f>
        <v>63.059500000000007</v>
      </c>
      <c r="U109">
        <f>0.288*(4.19 * 50)</f>
        <v>60.336000000000006</v>
      </c>
      <c r="V109">
        <f>0.284*(4.19 * 50)</f>
        <v>59.498000000000005</v>
      </c>
      <c r="W109">
        <f>0.28*(4.19 * 50)</f>
        <v>58.660000000000011</v>
      </c>
      <c r="X109">
        <f>0.279*(4.19 * 50)</f>
        <v>58.450500000000012</v>
      </c>
      <c r="Y109">
        <f>0.28*(4.19 * 50)</f>
        <v>58.660000000000011</v>
      </c>
      <c r="Z109">
        <f>0.283*(4.19 * 50)</f>
        <v>59.288499999999999</v>
      </c>
      <c r="AA109">
        <f>0.288*(4.19 * 50)</f>
        <v>60.336000000000006</v>
      </c>
      <c r="AB109">
        <f>0.292*(4.19 * 50)</f>
        <v>61.174000000000007</v>
      </c>
      <c r="AC109">
        <f>0.297*(4.19 * 50)</f>
        <v>62.221500000000006</v>
      </c>
      <c r="AD109">
        <f>0.302*(4.19 * 50)</f>
        <v>63.269000000000005</v>
      </c>
      <c r="AE109">
        <f>0.305*(4.19 * 50)</f>
        <v>63.897500000000008</v>
      </c>
      <c r="AF109">
        <f>0.302*(4.19 * 50)</f>
        <v>63.269000000000005</v>
      </c>
      <c r="AG109">
        <f>0.298*(4.19 * 50)</f>
        <v>62.431000000000004</v>
      </c>
    </row>
    <row r="110" spans="1:33" x14ac:dyDescent="0.3">
      <c r="A110" t="s">
        <v>153</v>
      </c>
      <c r="B110">
        <v>357501.820313</v>
      </c>
      <c r="C110">
        <v>6668179.2109380001</v>
      </c>
      <c r="D110" t="s">
        <v>542</v>
      </c>
      <c r="E110">
        <v>100</v>
      </c>
      <c r="F110">
        <v>75.333000183105398</v>
      </c>
      <c r="G110">
        <v>0.35958472641100431</v>
      </c>
      <c r="H110">
        <f t="shared" si="3"/>
        <v>145.9345001831054</v>
      </c>
      <c r="I110">
        <f t="shared" si="2"/>
        <v>209.50000000000003</v>
      </c>
      <c r="J110">
        <f>0.328*(4.19 * 50)</f>
        <v>68.716000000000008</v>
      </c>
      <c r="K110">
        <f>0.325*(4.19 * 50)</f>
        <v>68.087500000000006</v>
      </c>
      <c r="L110">
        <f>0.323*(4.19 * 50)</f>
        <v>67.668500000000009</v>
      </c>
      <c r="M110">
        <f>0.322*(4.19 * 50)</f>
        <v>67.459000000000017</v>
      </c>
      <c r="N110">
        <f>0.323*(4.19 * 50)</f>
        <v>67.668500000000009</v>
      </c>
      <c r="O110">
        <f>0.328*(4.19 * 50)</f>
        <v>68.716000000000008</v>
      </c>
      <c r="P110">
        <f>0.337*(4.19 * 50)</f>
        <v>70.601500000000016</v>
      </c>
      <c r="Q110">
        <f>0.346*(4.19 * 50)</f>
        <v>72.487000000000009</v>
      </c>
      <c r="R110">
        <f>0.343*(4.19 * 50)</f>
        <v>71.858500000000021</v>
      </c>
      <c r="S110">
        <f>0.336*(4.19 * 50)</f>
        <v>70.39200000000001</v>
      </c>
      <c r="T110">
        <f>0.335*(4.19 * 50)</f>
        <v>70.182500000000019</v>
      </c>
      <c r="U110">
        <f>0.321*(4.19 * 50)</f>
        <v>67.249500000000012</v>
      </c>
      <c r="V110">
        <f>0.316*(4.19 * 50)</f>
        <v>66.202000000000012</v>
      </c>
      <c r="W110">
        <f>0.312*(4.19 * 50)</f>
        <v>65.364000000000004</v>
      </c>
      <c r="X110">
        <f>0.311*(4.19 * 50)</f>
        <v>65.154500000000013</v>
      </c>
      <c r="Y110">
        <f>0.312*(4.19 * 50)</f>
        <v>65.364000000000004</v>
      </c>
      <c r="Z110">
        <f>0.315*(4.19 * 50)</f>
        <v>65.992500000000007</v>
      </c>
      <c r="AA110">
        <f>0.321*(4.19 * 50)</f>
        <v>67.249500000000012</v>
      </c>
      <c r="AB110">
        <f>0.325*(4.19 * 50)</f>
        <v>68.087500000000006</v>
      </c>
      <c r="AC110">
        <f>0.331*(4.19 * 50)</f>
        <v>69.344500000000011</v>
      </c>
      <c r="AD110">
        <f>0.337*(4.19 * 50)</f>
        <v>70.601500000000016</v>
      </c>
      <c r="AE110">
        <f>0.339*(4.19 * 50)</f>
        <v>71.020500000000013</v>
      </c>
      <c r="AF110">
        <f>0.336*(4.19 * 50)</f>
        <v>70.39200000000001</v>
      </c>
      <c r="AG110">
        <f>0.331*(4.19 * 50)</f>
        <v>69.344500000000011</v>
      </c>
    </row>
    <row r="111" spans="1:33" x14ac:dyDescent="0.3">
      <c r="A111" t="s">
        <v>154</v>
      </c>
      <c r="B111">
        <v>357537.910156</v>
      </c>
      <c r="C111">
        <v>6668146.4257810004</v>
      </c>
      <c r="D111" t="s">
        <v>552</v>
      </c>
      <c r="E111">
        <v>100</v>
      </c>
      <c r="F111">
        <v>78.333000183105398</v>
      </c>
      <c r="G111">
        <v>0.37390453548021663</v>
      </c>
      <c r="H111">
        <f t="shared" si="3"/>
        <v>151.86750018310539</v>
      </c>
      <c r="I111">
        <f t="shared" si="2"/>
        <v>209.50000000000003</v>
      </c>
      <c r="J111">
        <f>0.341*(4.19 * 50)</f>
        <v>71.43950000000001</v>
      </c>
      <c r="K111">
        <f>0.338*(4.19 * 50)</f>
        <v>70.811000000000021</v>
      </c>
      <c r="L111">
        <f>0.336*(4.19 * 50)</f>
        <v>70.39200000000001</v>
      </c>
      <c r="M111">
        <f>0.335*(4.19 * 50)</f>
        <v>70.182500000000019</v>
      </c>
      <c r="N111">
        <f>0.336*(4.19 * 50)</f>
        <v>70.39200000000001</v>
      </c>
      <c r="O111">
        <f>0.341*(4.19 * 50)</f>
        <v>71.43950000000001</v>
      </c>
      <c r="P111">
        <f>0.351*(4.19 * 50)</f>
        <v>73.534500000000008</v>
      </c>
      <c r="Q111">
        <f>0.36*(4.19 * 50)</f>
        <v>75.42</v>
      </c>
      <c r="R111">
        <f>0.357*(4.19 * 50)</f>
        <v>74.791500000000013</v>
      </c>
      <c r="S111">
        <f>0.349*(4.19 * 50)</f>
        <v>73.115500000000011</v>
      </c>
      <c r="T111">
        <f>0.348*(4.19 * 50)</f>
        <v>72.906000000000006</v>
      </c>
      <c r="U111">
        <f>0.333*(4.19 * 50)</f>
        <v>69.763500000000008</v>
      </c>
      <c r="V111">
        <f>0.329*(4.19 * 50)</f>
        <v>68.925500000000014</v>
      </c>
      <c r="W111">
        <f>0.324*(4.19 * 50)</f>
        <v>67.878000000000014</v>
      </c>
      <c r="X111">
        <f>0.323*(4.19 * 50)</f>
        <v>67.668500000000009</v>
      </c>
      <c r="Y111">
        <f>0.324*(4.19 * 50)</f>
        <v>67.878000000000014</v>
      </c>
      <c r="Z111">
        <f>0.327*(4.19 * 50)</f>
        <v>68.506500000000017</v>
      </c>
      <c r="AA111">
        <f>0.333*(4.19 * 50)</f>
        <v>69.763500000000008</v>
      </c>
      <c r="AB111">
        <f>0.338*(4.19 * 50)</f>
        <v>70.811000000000021</v>
      </c>
      <c r="AC111">
        <f>0.344*(4.19 * 50)</f>
        <v>72.067999999999998</v>
      </c>
      <c r="AD111">
        <f>0.35*(4.19 * 50)</f>
        <v>73.325000000000003</v>
      </c>
      <c r="AE111">
        <f>0.353*(4.19 * 50)</f>
        <v>73.953500000000005</v>
      </c>
      <c r="AF111">
        <f>0.349*(4.19 * 50)</f>
        <v>73.115500000000011</v>
      </c>
      <c r="AG111">
        <f>0.345*(4.19 * 50)</f>
        <v>72.277500000000003</v>
      </c>
    </row>
    <row r="112" spans="1:33" x14ac:dyDescent="0.3">
      <c r="A112" t="s">
        <v>155</v>
      </c>
      <c r="B112">
        <v>357524.597656</v>
      </c>
      <c r="C112">
        <v>6668169.28125</v>
      </c>
      <c r="D112" t="s">
        <v>542</v>
      </c>
      <c r="E112">
        <v>100</v>
      </c>
      <c r="F112">
        <v>90.666999816894503</v>
      </c>
      <c r="G112">
        <v>0.4327780420854152</v>
      </c>
      <c r="H112">
        <f t="shared" si="3"/>
        <v>175.72399981689452</v>
      </c>
      <c r="I112">
        <f t="shared" si="2"/>
        <v>209.50000000000003</v>
      </c>
      <c r="J112">
        <f>0.395*(4.19 * 50)</f>
        <v>82.752500000000012</v>
      </c>
      <c r="K112">
        <f>0.391*(4.19 * 50)</f>
        <v>81.914500000000018</v>
      </c>
      <c r="L112">
        <f>0.389*(4.19 * 50)</f>
        <v>81.495500000000007</v>
      </c>
      <c r="M112">
        <f>0.388*(4.19 * 50)</f>
        <v>81.286000000000016</v>
      </c>
      <c r="N112">
        <f>0.389*(4.19 * 50)</f>
        <v>81.495500000000007</v>
      </c>
      <c r="O112">
        <f>0.394*(4.19 * 50)</f>
        <v>82.543000000000021</v>
      </c>
      <c r="P112">
        <f>0.406*(4.19 * 50)</f>
        <v>85.057000000000016</v>
      </c>
      <c r="Q112">
        <f>0.417*(4.19 * 50)</f>
        <v>87.361500000000007</v>
      </c>
      <c r="R112">
        <f>0.413*(4.19 * 50)</f>
        <v>86.523500000000013</v>
      </c>
      <c r="S112">
        <f>0.404*(4.19 * 50)</f>
        <v>84.638000000000019</v>
      </c>
      <c r="T112">
        <f>0.403*(4.19 * 50)</f>
        <v>84.428500000000014</v>
      </c>
      <c r="U112">
        <f>0.386*(4.19 * 50)</f>
        <v>80.867000000000019</v>
      </c>
      <c r="V112">
        <f>0.38*(4.19 * 50)</f>
        <v>79.610000000000014</v>
      </c>
      <c r="W112">
        <f>0.375*(4.19 * 50)</f>
        <v>78.562500000000014</v>
      </c>
      <c r="X112">
        <f>0.374*(4.19 * 50)</f>
        <v>78.353000000000009</v>
      </c>
      <c r="Y112">
        <f>0.375*(4.19 * 50)</f>
        <v>78.562500000000014</v>
      </c>
      <c r="Z112">
        <f>0.379*(4.19 * 50)</f>
        <v>79.400500000000008</v>
      </c>
      <c r="AA112">
        <f>0.386*(4.19 * 50)</f>
        <v>80.867000000000019</v>
      </c>
      <c r="AB112">
        <f>0.391*(4.19 * 50)</f>
        <v>81.914500000000018</v>
      </c>
      <c r="AC112">
        <f>0.399*(4.19 * 50)</f>
        <v>83.59050000000002</v>
      </c>
      <c r="AD112">
        <f>0.405*(4.19 * 50)</f>
        <v>84.847500000000011</v>
      </c>
      <c r="AE112">
        <f>0.408*(4.19 * 50)</f>
        <v>85.475999999999999</v>
      </c>
      <c r="AF112">
        <f>0.404*(4.19 * 50)</f>
        <v>84.638000000000019</v>
      </c>
      <c r="AG112">
        <f>0.399*(4.19 * 50)</f>
        <v>83.59050000000002</v>
      </c>
    </row>
    <row r="113" spans="1:33" x14ac:dyDescent="0.3">
      <c r="A113" t="s">
        <v>156</v>
      </c>
      <c r="B113">
        <v>357630.492188</v>
      </c>
      <c r="C113">
        <v>6667959.6132810004</v>
      </c>
      <c r="D113" t="s">
        <v>542</v>
      </c>
      <c r="E113">
        <v>100</v>
      </c>
      <c r="F113">
        <v>58</v>
      </c>
      <c r="G113">
        <v>0.27684964200477319</v>
      </c>
      <c r="H113">
        <f t="shared" si="3"/>
        <v>112.47</v>
      </c>
      <c r="I113">
        <f t="shared" si="2"/>
        <v>209.50000000000003</v>
      </c>
      <c r="J113">
        <f>0.252*(4.19 * 50)</f>
        <v>52.794000000000004</v>
      </c>
      <c r="K113">
        <f>0.25*(4.19 * 50)</f>
        <v>52.375000000000007</v>
      </c>
      <c r="L113">
        <f>0.249*(4.19 * 50)</f>
        <v>52.165500000000009</v>
      </c>
      <c r="M113">
        <f>0.248*(4.19 * 50)</f>
        <v>51.95600000000001</v>
      </c>
      <c r="N113">
        <f>0.249*(4.19 * 50)</f>
        <v>52.165500000000009</v>
      </c>
      <c r="O113">
        <f>0.252*(4.19 * 50)</f>
        <v>52.794000000000004</v>
      </c>
      <c r="P113">
        <f>0.26*(4.19 * 50)</f>
        <v>54.470000000000006</v>
      </c>
      <c r="Q113">
        <f>0.267*(4.19 * 50)</f>
        <v>55.936500000000009</v>
      </c>
      <c r="R113">
        <f>0.264*(4.19 * 50)</f>
        <v>55.308000000000007</v>
      </c>
      <c r="S113">
        <f>0.259*(4.19 * 50)</f>
        <v>54.260500000000008</v>
      </c>
      <c r="T113">
        <f>0.258*(4.19 * 50)</f>
        <v>54.051000000000009</v>
      </c>
      <c r="U113">
        <f>0.247*(4.19 * 50)</f>
        <v>51.746500000000005</v>
      </c>
      <c r="V113">
        <f>0.243*(4.19 * 50)</f>
        <v>50.908500000000004</v>
      </c>
      <c r="W113">
        <f>0.24*(4.19 * 50)</f>
        <v>50.280000000000008</v>
      </c>
      <c r="X113">
        <f>0.239*(4.19 * 50)</f>
        <v>50.070500000000003</v>
      </c>
      <c r="Y113">
        <f>0.24*(4.19 * 50)</f>
        <v>50.280000000000008</v>
      </c>
      <c r="Z113">
        <f>0.242*(4.19 * 50)</f>
        <v>50.699000000000005</v>
      </c>
      <c r="AA113">
        <f>0.247*(4.19 * 50)</f>
        <v>51.746500000000005</v>
      </c>
      <c r="AB113">
        <f>0.25*(4.19 * 50)</f>
        <v>52.375000000000007</v>
      </c>
      <c r="AC113">
        <f>0.255*(4.19 * 50)</f>
        <v>53.422500000000007</v>
      </c>
      <c r="AD113">
        <f>0.259*(4.19 * 50)</f>
        <v>54.260500000000008</v>
      </c>
      <c r="AE113">
        <f>0.261*(4.19 * 50)</f>
        <v>54.679500000000012</v>
      </c>
      <c r="AF113">
        <f>0.259*(4.19 * 50)</f>
        <v>54.260500000000008</v>
      </c>
      <c r="AG113">
        <f>0.255*(4.19 * 50)</f>
        <v>53.422500000000007</v>
      </c>
    </row>
    <row r="114" spans="1:33" x14ac:dyDescent="0.3">
      <c r="A114" t="s">
        <v>157</v>
      </c>
      <c r="B114">
        <v>357671.347656</v>
      </c>
      <c r="C114">
        <v>6667962.7382810004</v>
      </c>
      <c r="D114" t="s">
        <v>550</v>
      </c>
      <c r="E114">
        <v>100</v>
      </c>
      <c r="F114">
        <v>188.66700744628901</v>
      </c>
      <c r="G114">
        <v>0.90055850809684479</v>
      </c>
      <c r="H114">
        <f t="shared" si="3"/>
        <v>365.69450744628904</v>
      </c>
      <c r="I114">
        <f t="shared" si="2"/>
        <v>209.50000000000003</v>
      </c>
      <c r="J114">
        <f>0.821*(4.19 * 50)</f>
        <v>171.99950000000001</v>
      </c>
      <c r="K114">
        <f>0.815*(4.19 * 50)</f>
        <v>170.74250000000001</v>
      </c>
      <c r="L114">
        <f>0.81*(4.19 * 50)</f>
        <v>169.69500000000002</v>
      </c>
      <c r="M114">
        <f>0.806*(4.19 * 50)</f>
        <v>168.85700000000003</v>
      </c>
      <c r="N114">
        <f>0.81*(4.19 * 50)</f>
        <v>169.69500000000002</v>
      </c>
      <c r="O114">
        <f>0.82*(4.19 * 50)</f>
        <v>171.79000000000002</v>
      </c>
      <c r="P114">
        <f>0.845*(4.19 * 50)</f>
        <v>177.02750000000003</v>
      </c>
      <c r="Q114">
        <f>0.867*(4.19 * 50)</f>
        <v>181.63650000000001</v>
      </c>
      <c r="R114">
        <f>0.86*(4.19 * 50)</f>
        <v>180.17000000000002</v>
      </c>
      <c r="S114">
        <f>0.842*(4.19 * 50)</f>
        <v>176.39900000000003</v>
      </c>
      <c r="T114">
        <f>0.838*(4.19 * 50)</f>
        <v>175.56100000000001</v>
      </c>
      <c r="U114">
        <f>0.803*(4.19 * 50)</f>
        <v>168.22850000000003</v>
      </c>
      <c r="V114">
        <f>0.792*(4.19 * 50)</f>
        <v>165.92400000000004</v>
      </c>
      <c r="W114">
        <f>0.781*(4.19 * 50)</f>
        <v>163.61950000000002</v>
      </c>
      <c r="X114">
        <f>0.779*(4.19 * 50)</f>
        <v>163.20050000000003</v>
      </c>
      <c r="Y114">
        <f>0.78*(4.19 * 50)</f>
        <v>163.41000000000003</v>
      </c>
      <c r="Z114">
        <f>0.788*(4.19 * 50)</f>
        <v>165.08600000000004</v>
      </c>
      <c r="AA114">
        <f>0.803*(4.19 * 50)</f>
        <v>168.22850000000003</v>
      </c>
      <c r="AB114">
        <f>0.815*(4.19 * 50)</f>
        <v>170.74250000000001</v>
      </c>
      <c r="AC114">
        <f>0.829*(4.19 * 50)</f>
        <v>173.67550000000003</v>
      </c>
      <c r="AD114">
        <f>0.843*(4.19 * 50)</f>
        <v>176.60850000000002</v>
      </c>
      <c r="AE114">
        <f>0.849*(4.19 * 50)</f>
        <v>177.86550000000003</v>
      </c>
      <c r="AF114">
        <f>0.842*(4.19 * 50)</f>
        <v>176.39900000000003</v>
      </c>
      <c r="AG114">
        <f>0.83*(4.19 * 50)</f>
        <v>173.88500000000002</v>
      </c>
    </row>
    <row r="115" spans="1:33" x14ac:dyDescent="0.3">
      <c r="A115" t="s">
        <v>158</v>
      </c>
      <c r="B115">
        <v>357626.652344</v>
      </c>
      <c r="C115">
        <v>6667999.4453130001</v>
      </c>
      <c r="D115" t="s">
        <v>550</v>
      </c>
      <c r="E115">
        <v>100</v>
      </c>
      <c r="F115">
        <v>55.333000183105398</v>
      </c>
      <c r="G115">
        <v>0.26411933261625492</v>
      </c>
      <c r="H115">
        <f t="shared" si="3"/>
        <v>107.2890001831054</v>
      </c>
      <c r="I115">
        <f t="shared" si="2"/>
        <v>209.50000000000003</v>
      </c>
      <c r="J115">
        <f>0.241*(4.19 * 50)</f>
        <v>50.489500000000007</v>
      </c>
      <c r="K115">
        <f>0.239*(4.19 * 50)</f>
        <v>50.070500000000003</v>
      </c>
      <c r="L115">
        <f>0.237*(4.19 * 50)</f>
        <v>49.651500000000006</v>
      </c>
      <c r="M115">
        <f>0.237*(4.19 * 50)</f>
        <v>49.651500000000006</v>
      </c>
      <c r="N115">
        <f>0.237*(4.19 * 50)</f>
        <v>49.651500000000006</v>
      </c>
      <c r="O115">
        <f>0.241*(4.19 * 50)</f>
        <v>50.489500000000007</v>
      </c>
      <c r="P115">
        <f>0.248*(4.19 * 50)</f>
        <v>51.95600000000001</v>
      </c>
      <c r="Q115">
        <f>0.254*(4.19 * 50)</f>
        <v>53.213000000000008</v>
      </c>
      <c r="R115">
        <f>0.252*(4.19 * 50)</f>
        <v>52.794000000000004</v>
      </c>
      <c r="S115">
        <f>0.247*(4.19 * 50)</f>
        <v>51.746500000000005</v>
      </c>
      <c r="T115">
        <f>0.246*(4.19 * 50)</f>
        <v>51.537000000000006</v>
      </c>
      <c r="U115">
        <f>0.236*(4.19 * 50)</f>
        <v>49.442000000000007</v>
      </c>
      <c r="V115">
        <f>0.232*(4.19 * 50)</f>
        <v>48.604000000000006</v>
      </c>
      <c r="W115">
        <f>0.229*(4.19 * 50)</f>
        <v>47.975500000000011</v>
      </c>
      <c r="X115">
        <f>0.228*(4.19 * 50)</f>
        <v>47.766000000000005</v>
      </c>
      <c r="Y115">
        <f>0.229*(4.19 * 50)</f>
        <v>47.975500000000011</v>
      </c>
      <c r="Z115">
        <f>0.231*(4.19 * 50)</f>
        <v>48.394500000000008</v>
      </c>
      <c r="AA115">
        <f>0.236*(4.19 * 50)</f>
        <v>49.442000000000007</v>
      </c>
      <c r="AB115">
        <f>0.239*(4.19 * 50)</f>
        <v>50.070500000000003</v>
      </c>
      <c r="AC115">
        <f>0.243*(4.19 * 50)</f>
        <v>50.908500000000004</v>
      </c>
      <c r="AD115">
        <f>0.247*(4.19 * 50)</f>
        <v>51.746500000000005</v>
      </c>
      <c r="AE115">
        <f>0.249*(4.19 * 50)</f>
        <v>52.165500000000009</v>
      </c>
      <c r="AF115">
        <f>0.247*(4.19 * 50)</f>
        <v>51.746500000000005</v>
      </c>
      <c r="AG115">
        <f>0.243*(4.19 * 50)</f>
        <v>50.908500000000004</v>
      </c>
    </row>
    <row r="116" spans="1:33" x14ac:dyDescent="0.3">
      <c r="A116" t="s">
        <v>159</v>
      </c>
      <c r="B116">
        <v>357625.429688</v>
      </c>
      <c r="C116">
        <v>6668014.0429689996</v>
      </c>
      <c r="D116" t="s">
        <v>550</v>
      </c>
      <c r="E116">
        <v>100</v>
      </c>
      <c r="F116">
        <v>83.333000183105398</v>
      </c>
      <c r="G116">
        <v>0.39777088392890397</v>
      </c>
      <c r="H116">
        <f t="shared" si="3"/>
        <v>161.47650018310543</v>
      </c>
      <c r="I116">
        <f t="shared" si="2"/>
        <v>209.50000000000003</v>
      </c>
      <c r="J116">
        <f>0.363*(4.19 * 50)</f>
        <v>76.048500000000004</v>
      </c>
      <c r="K116">
        <f>0.36*(4.19 * 50)</f>
        <v>75.42</v>
      </c>
      <c r="L116">
        <f>0.358*(4.19 * 50)</f>
        <v>75.001000000000005</v>
      </c>
      <c r="M116">
        <f>0.356*(4.19 * 50)</f>
        <v>74.582000000000008</v>
      </c>
      <c r="N116">
        <f>0.358*(4.19 * 50)</f>
        <v>75.001000000000005</v>
      </c>
      <c r="O116">
        <f>0.362*(4.19 * 50)</f>
        <v>75.839000000000013</v>
      </c>
      <c r="P116">
        <f>0.373*(4.19 * 50)</f>
        <v>78.143500000000017</v>
      </c>
      <c r="Q116">
        <f>0.383*(4.19 * 50)</f>
        <v>80.238500000000016</v>
      </c>
      <c r="R116">
        <f>0.38*(4.19 * 50)</f>
        <v>79.610000000000014</v>
      </c>
      <c r="S116">
        <f>0.372*(4.19 * 50)</f>
        <v>77.934000000000012</v>
      </c>
      <c r="T116">
        <f>0.37*(4.19 * 50)</f>
        <v>77.515000000000015</v>
      </c>
      <c r="U116">
        <f>0.355*(4.19 * 50)</f>
        <v>74.372500000000002</v>
      </c>
      <c r="V116">
        <f>0.35*(4.19 * 50)</f>
        <v>73.325000000000003</v>
      </c>
      <c r="W116">
        <f>0.345*(4.19 * 50)</f>
        <v>72.277500000000003</v>
      </c>
      <c r="X116">
        <f>0.344*(4.19 * 50)</f>
        <v>72.067999999999998</v>
      </c>
      <c r="Y116">
        <f>0.345*(4.19 * 50)</f>
        <v>72.277500000000003</v>
      </c>
      <c r="Z116">
        <f>0.348*(4.19 * 50)</f>
        <v>72.906000000000006</v>
      </c>
      <c r="AA116">
        <f>0.355*(4.19 * 50)</f>
        <v>74.372500000000002</v>
      </c>
      <c r="AB116">
        <f>0.36*(4.19 * 50)</f>
        <v>75.42</v>
      </c>
      <c r="AC116">
        <f>0.366*(4.19 * 50)</f>
        <v>76.677000000000007</v>
      </c>
      <c r="AD116">
        <f>0.372*(4.19 * 50)</f>
        <v>77.934000000000012</v>
      </c>
      <c r="AE116">
        <f>0.375*(4.19 * 50)</f>
        <v>78.562500000000014</v>
      </c>
      <c r="AF116">
        <f>0.372*(4.19 * 50)</f>
        <v>77.934000000000012</v>
      </c>
      <c r="AG116">
        <f>0.367*(4.19 * 50)</f>
        <v>76.886500000000012</v>
      </c>
    </row>
    <row r="117" spans="1:33" x14ac:dyDescent="0.3">
      <c r="A117" t="s">
        <v>160</v>
      </c>
      <c r="B117">
        <v>357632.085938</v>
      </c>
      <c r="C117">
        <v>6668122.2226560004</v>
      </c>
      <c r="D117" t="s">
        <v>552</v>
      </c>
      <c r="E117">
        <v>100</v>
      </c>
      <c r="F117">
        <v>416</v>
      </c>
      <c r="G117">
        <v>1.9856801909307871</v>
      </c>
      <c r="H117">
        <f t="shared" si="3"/>
        <v>806.2985000000001</v>
      </c>
      <c r="I117">
        <f t="shared" si="2"/>
        <v>209.50000000000003</v>
      </c>
      <c r="J117">
        <f>1.811*(4.19 * 50)</f>
        <v>379.40450000000004</v>
      </c>
      <c r="K117">
        <f>1.796*(4.19 * 50)</f>
        <v>376.26200000000006</v>
      </c>
      <c r="L117">
        <f>1.785*(4.19 * 50)</f>
        <v>373.95750000000004</v>
      </c>
      <c r="M117">
        <f>1.778*(4.19 * 50)</f>
        <v>372.49100000000004</v>
      </c>
      <c r="N117">
        <f>1.785*(4.19 * 50)</f>
        <v>373.95750000000004</v>
      </c>
      <c r="O117">
        <f>1.809*(4.19 * 50)</f>
        <v>378.98550000000006</v>
      </c>
      <c r="P117">
        <f>1.863*(4.19 * 50)</f>
        <v>390.29850000000005</v>
      </c>
      <c r="Q117">
        <f>1.912*(4.19 * 50)</f>
        <v>400.56400000000002</v>
      </c>
      <c r="R117">
        <f>1.896*(4.19 * 50)</f>
        <v>397.21200000000005</v>
      </c>
      <c r="S117">
        <f>1.856*(4.19 * 50)</f>
        <v>388.83200000000005</v>
      </c>
      <c r="T117">
        <f>1.849*(4.19 * 50)</f>
        <v>387.36550000000005</v>
      </c>
      <c r="U117">
        <f>1.771*(4.19 * 50)</f>
        <v>371.02450000000005</v>
      </c>
      <c r="V117">
        <f>1.746*(4.19 * 50)</f>
        <v>365.78700000000003</v>
      </c>
      <c r="W117">
        <f>1.722*(4.19 * 50)</f>
        <v>360.75900000000007</v>
      </c>
      <c r="X117">
        <f>1.717*(4.19 * 50)</f>
        <v>359.71150000000006</v>
      </c>
      <c r="Y117">
        <f>1.72*(4.19 * 50)</f>
        <v>360.34000000000003</v>
      </c>
      <c r="Z117">
        <f>1.738*(4.19 * 50)</f>
        <v>364.11100000000005</v>
      </c>
      <c r="AA117">
        <f>1.771*(4.19 * 50)</f>
        <v>371.02450000000005</v>
      </c>
      <c r="AB117">
        <f>1.796*(4.19 * 50)</f>
        <v>376.26200000000006</v>
      </c>
      <c r="AC117">
        <f>1.829*(4.19 * 50)</f>
        <v>383.17550000000006</v>
      </c>
      <c r="AD117">
        <f>1.859*(4.19 * 50)</f>
        <v>389.46050000000002</v>
      </c>
      <c r="AE117">
        <f>1.872*(4.19 * 50)</f>
        <v>392.18400000000008</v>
      </c>
      <c r="AF117">
        <f>1.856*(4.19 * 50)</f>
        <v>388.83200000000005</v>
      </c>
      <c r="AG117">
        <f>1.83*(4.19 * 50)</f>
        <v>383.38500000000005</v>
      </c>
    </row>
    <row r="118" spans="1:33" x14ac:dyDescent="0.3">
      <c r="A118" t="s">
        <v>161</v>
      </c>
      <c r="B118">
        <v>357058.699219</v>
      </c>
      <c r="C118">
        <v>6668037.4375</v>
      </c>
      <c r="D118" t="s">
        <v>541</v>
      </c>
      <c r="E118">
        <v>100</v>
      </c>
      <c r="F118">
        <v>64.666999816894503</v>
      </c>
      <c r="G118">
        <v>0.30867303015224101</v>
      </c>
      <c r="H118">
        <f t="shared" si="3"/>
        <v>125.4219998168945</v>
      </c>
      <c r="I118">
        <f t="shared" si="2"/>
        <v>209.50000000000003</v>
      </c>
      <c r="J118">
        <f>0.281*(4.19 * 50)</f>
        <v>58.869500000000016</v>
      </c>
      <c r="K118">
        <f>0.279*(4.19 * 50)</f>
        <v>58.450500000000012</v>
      </c>
      <c r="L118">
        <f>0.278*(4.19 * 50)</f>
        <v>58.241000000000014</v>
      </c>
      <c r="M118">
        <f>0.276*(4.19 * 50)</f>
        <v>57.82200000000001</v>
      </c>
      <c r="N118">
        <f>0.278*(4.19 * 50)</f>
        <v>58.241000000000014</v>
      </c>
      <c r="O118">
        <f>0.281*(4.19 * 50)</f>
        <v>58.869500000000016</v>
      </c>
      <c r="P118">
        <f>0.29*(4.19 * 50)</f>
        <v>60.755000000000003</v>
      </c>
      <c r="Q118">
        <f>0.297*(4.19 * 50)</f>
        <v>62.221500000000006</v>
      </c>
      <c r="R118">
        <f>0.295*(4.19 * 50)</f>
        <v>61.802500000000002</v>
      </c>
      <c r="S118">
        <f>0.288*(4.19 * 50)</f>
        <v>60.336000000000006</v>
      </c>
      <c r="T118">
        <f>0.287*(4.19 * 50)</f>
        <v>60.1265</v>
      </c>
      <c r="U118">
        <f>0.275*(4.19 * 50)</f>
        <v>57.612500000000011</v>
      </c>
      <c r="V118">
        <f>0.271*(4.19 * 50)</f>
        <v>56.77450000000001</v>
      </c>
      <c r="W118">
        <f>0.268*(4.19 * 50)</f>
        <v>56.146000000000008</v>
      </c>
      <c r="X118">
        <f>0.267*(4.19 * 50)</f>
        <v>55.936500000000009</v>
      </c>
      <c r="Y118">
        <f>0.267*(4.19 * 50)</f>
        <v>55.936500000000009</v>
      </c>
      <c r="Z118">
        <f>0.27*(4.19 * 50)</f>
        <v>56.565000000000012</v>
      </c>
      <c r="AA118">
        <f>0.275*(4.19 * 50)</f>
        <v>57.612500000000011</v>
      </c>
      <c r="AB118">
        <f>0.279*(4.19 * 50)</f>
        <v>58.450500000000012</v>
      </c>
      <c r="AC118">
        <f>0.284*(4.19 * 50)</f>
        <v>59.498000000000005</v>
      </c>
      <c r="AD118">
        <f>0.289*(4.19 * 50)</f>
        <v>60.545500000000004</v>
      </c>
      <c r="AE118">
        <f>0.291*(4.19 * 50)</f>
        <v>60.964500000000001</v>
      </c>
      <c r="AF118">
        <f>0.288*(4.19 * 50)</f>
        <v>60.336000000000006</v>
      </c>
      <c r="AG118">
        <f>0.285*(4.19 * 50)</f>
        <v>59.707500000000003</v>
      </c>
    </row>
    <row r="119" spans="1:33" x14ac:dyDescent="0.3">
      <c r="A119" t="s">
        <v>162</v>
      </c>
      <c r="B119">
        <v>357529.109375</v>
      </c>
      <c r="C119">
        <v>6667936.1210939996</v>
      </c>
      <c r="D119" t="s">
        <v>542</v>
      </c>
      <c r="E119">
        <v>100</v>
      </c>
      <c r="F119">
        <v>106</v>
      </c>
      <c r="G119">
        <v>0.5059665871121718</v>
      </c>
      <c r="H119">
        <f t="shared" si="3"/>
        <v>205.51249999999999</v>
      </c>
      <c r="I119">
        <f t="shared" si="2"/>
        <v>209.50000000000003</v>
      </c>
      <c r="J119">
        <f>0.461*(4.19 * 50)</f>
        <v>96.579500000000024</v>
      </c>
      <c r="K119">
        <f>0.458*(4.19 * 50)</f>
        <v>95.951000000000022</v>
      </c>
      <c r="L119">
        <f>0.455*(4.19 * 50)</f>
        <v>95.322500000000019</v>
      </c>
      <c r="M119">
        <f>0.453*(4.19 * 50)</f>
        <v>94.903500000000022</v>
      </c>
      <c r="N119">
        <f>0.455*(4.19 * 50)</f>
        <v>95.322500000000019</v>
      </c>
      <c r="O119">
        <f>0.461*(4.19 * 50)</f>
        <v>96.579500000000024</v>
      </c>
      <c r="P119">
        <f>0.475*(4.19 * 50)</f>
        <v>99.512500000000003</v>
      </c>
      <c r="Q119">
        <f>0.487*(4.19 * 50)</f>
        <v>102.02650000000001</v>
      </c>
      <c r="R119">
        <f>0.483*(4.19 * 50)</f>
        <v>101.1885</v>
      </c>
      <c r="S119">
        <f>0.473*(4.19 * 50)</f>
        <v>99.093500000000006</v>
      </c>
      <c r="T119">
        <f>0.471*(4.19 * 50)</f>
        <v>98.674500000000009</v>
      </c>
      <c r="U119">
        <f>0.451*(4.19 * 50)</f>
        <v>94.484500000000011</v>
      </c>
      <c r="V119">
        <f>0.445*(4.19 * 50)</f>
        <v>93.22750000000002</v>
      </c>
      <c r="W119">
        <f>0.439*(4.19 * 50)</f>
        <v>91.970500000000015</v>
      </c>
      <c r="X119">
        <f>0.437*(4.19 * 50)</f>
        <v>91.551500000000019</v>
      </c>
      <c r="Y119">
        <f>0.438*(4.19 * 50)</f>
        <v>91.76100000000001</v>
      </c>
      <c r="Z119">
        <f>0.443*(4.19 * 50)</f>
        <v>92.808500000000009</v>
      </c>
      <c r="AA119">
        <f>0.451*(4.19 * 50)</f>
        <v>94.484500000000011</v>
      </c>
      <c r="AB119">
        <f>0.458*(4.19 * 50)</f>
        <v>95.951000000000022</v>
      </c>
      <c r="AC119">
        <f>0.466*(4.19 * 50)</f>
        <v>97.627000000000024</v>
      </c>
      <c r="AD119">
        <f>0.474*(4.19 * 50)</f>
        <v>99.303000000000011</v>
      </c>
      <c r="AE119">
        <f>0.477*(4.19 * 50)</f>
        <v>99.931500000000014</v>
      </c>
      <c r="AF119">
        <f>0.473*(4.19 * 50)</f>
        <v>99.093500000000006</v>
      </c>
      <c r="AG119">
        <f>0.466*(4.19 * 50)</f>
        <v>97.627000000000024</v>
      </c>
    </row>
    <row r="120" spans="1:33" x14ac:dyDescent="0.3">
      <c r="A120" t="s">
        <v>163</v>
      </c>
      <c r="B120">
        <v>357975.277344</v>
      </c>
      <c r="C120">
        <v>6668472.6054689996</v>
      </c>
      <c r="D120" t="s">
        <v>541</v>
      </c>
      <c r="E120">
        <v>100</v>
      </c>
      <c r="F120">
        <v>184</v>
      </c>
      <c r="G120">
        <v>0.87828162291169443</v>
      </c>
      <c r="H120">
        <f t="shared" si="3"/>
        <v>356.62800000000004</v>
      </c>
      <c r="I120">
        <f t="shared" si="2"/>
        <v>209.50000000000003</v>
      </c>
      <c r="J120">
        <f>0.801*(4.19 * 50)</f>
        <v>167.80950000000004</v>
      </c>
      <c r="K120">
        <f>0.794*(4.19 * 50)</f>
        <v>166.34300000000002</v>
      </c>
      <c r="L120">
        <f>0.79*(4.19 * 50)</f>
        <v>165.50500000000002</v>
      </c>
      <c r="M120">
        <f>0.786*(4.19 * 50)</f>
        <v>164.66700000000003</v>
      </c>
      <c r="N120">
        <f>0.79*(4.19 * 50)</f>
        <v>165.50500000000002</v>
      </c>
      <c r="O120">
        <f>0.8*(4.19 * 50)</f>
        <v>167.60000000000002</v>
      </c>
      <c r="P120">
        <f>0.824*(4.19 * 50)</f>
        <v>172.62800000000001</v>
      </c>
      <c r="Q120">
        <f>0.846*(4.19 * 50)</f>
        <v>177.23700000000002</v>
      </c>
      <c r="R120">
        <f>0.838*(4.19 * 50)</f>
        <v>175.56100000000001</v>
      </c>
      <c r="S120">
        <f>0.821*(4.19 * 50)</f>
        <v>171.99950000000001</v>
      </c>
      <c r="T120">
        <f>0.818*(4.19 * 50)</f>
        <v>171.37100000000001</v>
      </c>
      <c r="U120">
        <f>0.783*(4.19 * 50)</f>
        <v>164.03850000000003</v>
      </c>
      <c r="V120">
        <f>0.772*(4.19 * 50)</f>
        <v>161.73400000000004</v>
      </c>
      <c r="W120">
        <f>0.762*(4.19 * 50)</f>
        <v>159.63900000000001</v>
      </c>
      <c r="X120">
        <f>0.759*(4.19 * 50)</f>
        <v>159.01050000000004</v>
      </c>
      <c r="Y120">
        <f>0.761*(4.19 * 50)</f>
        <v>159.42950000000002</v>
      </c>
      <c r="Z120">
        <f>0.769*(4.19 * 50)</f>
        <v>161.10550000000003</v>
      </c>
      <c r="AA120">
        <f>0.783*(4.19 * 50)</f>
        <v>164.03850000000003</v>
      </c>
      <c r="AB120">
        <f>0.794*(4.19 * 50)</f>
        <v>166.34300000000002</v>
      </c>
      <c r="AC120">
        <f>0.809*(4.19 * 50)</f>
        <v>169.48550000000003</v>
      </c>
      <c r="AD120">
        <f>0.822*(4.19 * 50)</f>
        <v>172.209</v>
      </c>
      <c r="AE120">
        <f>0.828*(4.19 * 50)</f>
        <v>173.46600000000001</v>
      </c>
      <c r="AF120">
        <f>0.821*(4.19 * 50)</f>
        <v>171.99950000000001</v>
      </c>
      <c r="AG120">
        <f>0.81*(4.19 * 50)</f>
        <v>169.69500000000002</v>
      </c>
    </row>
    <row r="121" spans="1:33" x14ac:dyDescent="0.3">
      <c r="A121" t="s">
        <v>164</v>
      </c>
      <c r="B121">
        <v>357336.339844</v>
      </c>
      <c r="C121">
        <v>6668455.6914060004</v>
      </c>
      <c r="D121" t="s">
        <v>541</v>
      </c>
      <c r="E121">
        <v>100</v>
      </c>
      <c r="F121">
        <v>69.333000183105398</v>
      </c>
      <c r="G121">
        <v>0.33094510827257939</v>
      </c>
      <c r="H121">
        <f t="shared" si="3"/>
        <v>134.27800018310541</v>
      </c>
      <c r="I121">
        <f t="shared" si="2"/>
        <v>209.50000000000003</v>
      </c>
      <c r="J121">
        <f>0.302*(4.19 * 50)</f>
        <v>63.269000000000005</v>
      </c>
      <c r="K121">
        <f>0.299*(4.19 * 50)</f>
        <v>62.640500000000003</v>
      </c>
      <c r="L121">
        <f>0.298*(4.19 * 50)</f>
        <v>62.431000000000004</v>
      </c>
      <c r="M121">
        <f>0.296*(4.19 * 50)</f>
        <v>62.012000000000008</v>
      </c>
      <c r="N121">
        <f>0.298*(4.19 * 50)</f>
        <v>62.431000000000004</v>
      </c>
      <c r="O121">
        <f>0.301*(4.19 * 50)</f>
        <v>63.059500000000007</v>
      </c>
      <c r="P121">
        <f>0.31*(4.19 * 50)</f>
        <v>64.945000000000007</v>
      </c>
      <c r="Q121">
        <f>0.319*(4.19 * 50)</f>
        <v>66.830500000000015</v>
      </c>
      <c r="R121">
        <f>0.316*(4.19 * 50)</f>
        <v>66.202000000000012</v>
      </c>
      <c r="S121">
        <f>0.309*(4.19 * 50)</f>
        <v>64.735500000000002</v>
      </c>
      <c r="T121">
        <f>0.308*(4.19 * 50)</f>
        <v>64.52600000000001</v>
      </c>
      <c r="U121">
        <f>0.295*(4.19 * 50)</f>
        <v>61.802500000000002</v>
      </c>
      <c r="V121">
        <f>0.291*(4.19 * 50)</f>
        <v>60.964500000000001</v>
      </c>
      <c r="W121">
        <f>0.287*(4.19 * 50)</f>
        <v>60.1265</v>
      </c>
      <c r="X121">
        <f>0.286*(4.19 * 50)</f>
        <v>59.917000000000002</v>
      </c>
      <c r="Y121">
        <f>0.287*(4.19 * 50)</f>
        <v>60.1265</v>
      </c>
      <c r="Z121">
        <f>0.29*(4.19 * 50)</f>
        <v>60.755000000000003</v>
      </c>
      <c r="AA121">
        <f>0.295*(4.19 * 50)</f>
        <v>61.802500000000002</v>
      </c>
      <c r="AB121">
        <f>0.299*(4.19 * 50)</f>
        <v>62.640500000000003</v>
      </c>
      <c r="AC121">
        <f>0.305*(4.19 * 50)</f>
        <v>63.897500000000008</v>
      </c>
      <c r="AD121">
        <f>0.31*(4.19 * 50)</f>
        <v>64.945000000000007</v>
      </c>
      <c r="AE121">
        <f>0.312*(4.19 * 50)</f>
        <v>65.364000000000004</v>
      </c>
      <c r="AF121">
        <f>0.309*(4.19 * 50)</f>
        <v>64.735500000000002</v>
      </c>
      <c r="AG121">
        <f>0.305*(4.19 * 50)</f>
        <v>63.897500000000008</v>
      </c>
    </row>
    <row r="122" spans="1:33" x14ac:dyDescent="0.3">
      <c r="A122" t="s">
        <v>165</v>
      </c>
      <c r="B122">
        <v>357844.835938</v>
      </c>
      <c r="C122">
        <v>6668972.2226560004</v>
      </c>
      <c r="D122" t="s">
        <v>545</v>
      </c>
      <c r="E122">
        <v>100</v>
      </c>
      <c r="F122">
        <v>353.3330078125</v>
      </c>
      <c r="G122">
        <v>1.686553736575179</v>
      </c>
      <c r="H122">
        <f t="shared" si="3"/>
        <v>684.76200781250009</v>
      </c>
      <c r="I122">
        <f t="shared" si="2"/>
        <v>209.50000000000003</v>
      </c>
      <c r="J122">
        <f>1.538*(4.19 * 50)</f>
        <v>322.21100000000007</v>
      </c>
      <c r="K122">
        <f>1.526*(4.19 * 50)</f>
        <v>319.69700000000006</v>
      </c>
      <c r="L122">
        <f>1.516*(4.19 * 50)</f>
        <v>317.60200000000003</v>
      </c>
      <c r="M122">
        <f>1.51*(4.19 * 50)</f>
        <v>316.34500000000003</v>
      </c>
      <c r="N122">
        <f>1.516*(4.19 * 50)</f>
        <v>317.60200000000003</v>
      </c>
      <c r="O122">
        <f>1.536*(4.19 * 50)</f>
        <v>321.79200000000003</v>
      </c>
      <c r="P122">
        <f>1.582*(4.19 * 50)</f>
        <v>331.42900000000009</v>
      </c>
      <c r="Q122">
        <f>1.624*(4.19 * 50)</f>
        <v>340.22800000000007</v>
      </c>
      <c r="R122">
        <f>1.61*(4.19 * 50)</f>
        <v>337.29500000000007</v>
      </c>
      <c r="S122">
        <f>1.576*(4.19 * 50)</f>
        <v>330.17200000000008</v>
      </c>
      <c r="T122">
        <f>1.57*(4.19 * 50)</f>
        <v>328.91500000000008</v>
      </c>
      <c r="U122">
        <f>1.504*(4.19 * 50)</f>
        <v>315.08800000000002</v>
      </c>
      <c r="V122">
        <f>1.483*(4.19 * 50)</f>
        <v>310.68850000000009</v>
      </c>
      <c r="W122">
        <f>1.463*(4.19 * 50)</f>
        <v>306.49850000000004</v>
      </c>
      <c r="X122">
        <f>1.458*(4.19 * 50)</f>
        <v>305.45100000000002</v>
      </c>
      <c r="Y122">
        <f>1.461*(4.19 * 50)</f>
        <v>306.07950000000005</v>
      </c>
      <c r="Z122">
        <f>1.476*(4.19 * 50)</f>
        <v>309.22200000000004</v>
      </c>
      <c r="AA122">
        <f>1.504*(4.19 * 50)</f>
        <v>315.08800000000002</v>
      </c>
      <c r="AB122">
        <f>1.526*(4.19 * 50)</f>
        <v>319.69700000000006</v>
      </c>
      <c r="AC122">
        <f>1.553*(4.19 * 50)</f>
        <v>325.35350000000005</v>
      </c>
      <c r="AD122">
        <f>1.579*(4.19 * 50)</f>
        <v>330.80050000000006</v>
      </c>
      <c r="AE122">
        <f>1.59*(4.19 * 50)</f>
        <v>333.10500000000008</v>
      </c>
      <c r="AF122">
        <f>1.576*(4.19 * 50)</f>
        <v>330.17200000000008</v>
      </c>
      <c r="AG122">
        <f>1.555*(4.19 * 50)</f>
        <v>325.77250000000004</v>
      </c>
    </row>
    <row r="123" spans="1:33" x14ac:dyDescent="0.3">
      <c r="A123" t="s">
        <v>166</v>
      </c>
      <c r="B123">
        <v>357003.054688</v>
      </c>
      <c r="C123">
        <v>6668426.0664060004</v>
      </c>
      <c r="D123" t="s">
        <v>540</v>
      </c>
      <c r="E123">
        <v>100</v>
      </c>
      <c r="F123">
        <v>11</v>
      </c>
      <c r="G123">
        <v>5.2505966587112173E-2</v>
      </c>
      <c r="H123">
        <f t="shared" si="3"/>
        <v>21.265500000000003</v>
      </c>
      <c r="I123">
        <f t="shared" si="2"/>
        <v>209.50000000000003</v>
      </c>
      <c r="J123">
        <f>0.048*(4.19 * 50)</f>
        <v>10.056000000000001</v>
      </c>
      <c r="K123">
        <f>0.047*(4.19 * 50)</f>
        <v>9.8465000000000007</v>
      </c>
      <c r="L123">
        <f>0.047*(4.19 * 50)</f>
        <v>9.8465000000000007</v>
      </c>
      <c r="M123">
        <f>0.047*(4.19 * 50)</f>
        <v>9.8465000000000007</v>
      </c>
      <c r="N123">
        <f>0.047*(4.19 * 50)</f>
        <v>9.8465000000000007</v>
      </c>
      <c r="O123">
        <f>0.048*(4.19 * 50)</f>
        <v>10.056000000000001</v>
      </c>
      <c r="P123">
        <f>0.049*(4.19 * 50)</f>
        <v>10.265500000000001</v>
      </c>
      <c r="Q123">
        <f>0.051*(4.19 * 50)</f>
        <v>10.6845</v>
      </c>
      <c r="R123">
        <f>0.05*(4.19 * 50)</f>
        <v>10.475000000000001</v>
      </c>
      <c r="S123">
        <f>0.049*(4.19 * 50)</f>
        <v>10.265500000000001</v>
      </c>
      <c r="T123">
        <f>0.049*(4.19 * 50)</f>
        <v>10.265500000000001</v>
      </c>
      <c r="U123">
        <f>0.047*(4.19 * 50)</f>
        <v>9.8465000000000007</v>
      </c>
      <c r="V123">
        <f>0.046*(4.19 * 50)</f>
        <v>9.6370000000000005</v>
      </c>
      <c r="W123">
        <f>0.046*(4.19 * 50)</f>
        <v>9.6370000000000005</v>
      </c>
      <c r="X123">
        <f>0.045*(4.19 * 50)</f>
        <v>9.4275000000000002</v>
      </c>
      <c r="Y123">
        <f>0.045*(4.19 * 50)</f>
        <v>9.4275000000000002</v>
      </c>
      <c r="Z123">
        <f>0.046*(4.19 * 50)</f>
        <v>9.6370000000000005</v>
      </c>
      <c r="AA123">
        <f>0.047*(4.19 * 50)</f>
        <v>9.8465000000000007</v>
      </c>
      <c r="AB123">
        <f>0.047*(4.19 * 50)</f>
        <v>9.8465000000000007</v>
      </c>
      <c r="AC123">
        <f>0.048*(4.19 * 50)</f>
        <v>10.056000000000001</v>
      </c>
      <c r="AD123">
        <f>0.049*(4.19 * 50)</f>
        <v>10.265500000000001</v>
      </c>
      <c r="AE123">
        <f>0.05*(4.19 * 50)</f>
        <v>10.475000000000001</v>
      </c>
      <c r="AF123">
        <f>0.049*(4.19 * 50)</f>
        <v>10.265500000000001</v>
      </c>
      <c r="AG123">
        <f>0.048*(4.19 * 50)</f>
        <v>10.056000000000001</v>
      </c>
    </row>
    <row r="124" spans="1:33" x14ac:dyDescent="0.3">
      <c r="A124" t="s">
        <v>167</v>
      </c>
      <c r="B124">
        <v>356971.007813</v>
      </c>
      <c r="C124">
        <v>6668441.09375</v>
      </c>
      <c r="D124" t="s">
        <v>540</v>
      </c>
      <c r="E124">
        <v>100</v>
      </c>
      <c r="F124">
        <v>7</v>
      </c>
      <c r="G124">
        <v>3.3412887828162277E-2</v>
      </c>
      <c r="H124">
        <f t="shared" si="3"/>
        <v>13.494500000000002</v>
      </c>
      <c r="I124">
        <f t="shared" si="2"/>
        <v>209.50000000000003</v>
      </c>
      <c r="J124">
        <f>0.03*(4.19 * 50)</f>
        <v>6.285000000000001</v>
      </c>
      <c r="K124">
        <f>0.03*(4.19 * 50)</f>
        <v>6.285000000000001</v>
      </c>
      <c r="L124">
        <f>0.03*(4.19 * 50)</f>
        <v>6.285000000000001</v>
      </c>
      <c r="M124">
        <f>0.03*(4.19 * 50)</f>
        <v>6.285000000000001</v>
      </c>
      <c r="N124">
        <f>0.03*(4.19 * 50)</f>
        <v>6.285000000000001</v>
      </c>
      <c r="O124">
        <f>0.03*(4.19 * 50)</f>
        <v>6.285000000000001</v>
      </c>
      <c r="P124">
        <f>0.031*(4.19 * 50)</f>
        <v>6.4945000000000013</v>
      </c>
      <c r="Q124">
        <f>0.032*(4.19 * 50)</f>
        <v>6.7040000000000006</v>
      </c>
      <c r="R124">
        <f>0.032*(4.19 * 50)</f>
        <v>6.7040000000000006</v>
      </c>
      <c r="S124">
        <f>0.031*(4.19 * 50)</f>
        <v>6.4945000000000013</v>
      </c>
      <c r="T124">
        <f>0.031*(4.19 * 50)</f>
        <v>6.4945000000000013</v>
      </c>
      <c r="U124">
        <f>0.03*(4.19 * 50)</f>
        <v>6.285000000000001</v>
      </c>
      <c r="V124">
        <f>0.029*(4.19 * 50)</f>
        <v>6.0755000000000008</v>
      </c>
      <c r="W124">
        <f>0.029*(4.19 * 50)</f>
        <v>6.0755000000000008</v>
      </c>
      <c r="X124">
        <f>0.029*(4.19 * 50)</f>
        <v>6.0755000000000008</v>
      </c>
      <c r="Y124">
        <f>0.029*(4.19 * 50)</f>
        <v>6.0755000000000008</v>
      </c>
      <c r="Z124">
        <f>0.029*(4.19 * 50)</f>
        <v>6.0755000000000008</v>
      </c>
      <c r="AA124">
        <f>0.03*(4.19 * 50)</f>
        <v>6.285000000000001</v>
      </c>
      <c r="AB124">
        <f>0.03*(4.19 * 50)</f>
        <v>6.285000000000001</v>
      </c>
      <c r="AC124">
        <f>0.031*(4.19 * 50)</f>
        <v>6.4945000000000013</v>
      </c>
      <c r="AD124">
        <f>0.031*(4.19 * 50)</f>
        <v>6.4945000000000013</v>
      </c>
      <c r="AE124">
        <f>0.032*(4.19 * 50)</f>
        <v>6.7040000000000006</v>
      </c>
      <c r="AF124">
        <f>0.031*(4.19 * 50)</f>
        <v>6.4945000000000013</v>
      </c>
      <c r="AG124">
        <f>0.031*(4.19 * 50)</f>
        <v>6.4945000000000013</v>
      </c>
    </row>
    <row r="125" spans="1:33" x14ac:dyDescent="0.3">
      <c r="A125" t="s">
        <v>168</v>
      </c>
      <c r="B125">
        <v>356966.710938</v>
      </c>
      <c r="C125">
        <v>6668471.2578130001</v>
      </c>
      <c r="D125" t="s">
        <v>540</v>
      </c>
      <c r="E125">
        <v>100</v>
      </c>
      <c r="F125">
        <v>8</v>
      </c>
      <c r="G125">
        <v>3.8186157517899763E-2</v>
      </c>
      <c r="H125">
        <f t="shared" si="3"/>
        <v>15.542000000000002</v>
      </c>
      <c r="I125">
        <f t="shared" si="2"/>
        <v>209.50000000000003</v>
      </c>
      <c r="J125">
        <f>0.035*(4.19 * 50)</f>
        <v>7.3325000000000014</v>
      </c>
      <c r="K125">
        <f>0.035*(4.19 * 50)</f>
        <v>7.3325000000000014</v>
      </c>
      <c r="L125">
        <f>0.034*(4.19 * 50)</f>
        <v>7.1230000000000011</v>
      </c>
      <c r="M125">
        <f>0.034*(4.19 * 50)</f>
        <v>7.1230000000000011</v>
      </c>
      <c r="N125">
        <f>0.034*(4.19 * 50)</f>
        <v>7.1230000000000011</v>
      </c>
      <c r="O125">
        <f>0.035*(4.19 * 50)</f>
        <v>7.3325000000000014</v>
      </c>
      <c r="P125">
        <f>0.036*(4.19 * 50)</f>
        <v>7.5420000000000007</v>
      </c>
      <c r="Q125">
        <f>0.037*(4.19 * 50)</f>
        <v>7.7515000000000009</v>
      </c>
      <c r="R125">
        <f>0.036*(4.19 * 50)</f>
        <v>7.5420000000000007</v>
      </c>
      <c r="S125">
        <f>0.036*(4.19 * 50)</f>
        <v>7.5420000000000007</v>
      </c>
      <c r="T125">
        <f>0.036*(4.19 * 50)</f>
        <v>7.5420000000000007</v>
      </c>
      <c r="U125">
        <f>0.034*(4.19 * 50)</f>
        <v>7.1230000000000011</v>
      </c>
      <c r="V125">
        <f>0.034*(4.19 * 50)</f>
        <v>7.1230000000000011</v>
      </c>
      <c r="W125">
        <f>0.033*(4.19 * 50)</f>
        <v>6.9135000000000009</v>
      </c>
      <c r="X125">
        <f>0.033*(4.19 * 50)</f>
        <v>6.9135000000000009</v>
      </c>
      <c r="Y125">
        <f>0.033*(4.19 * 50)</f>
        <v>6.9135000000000009</v>
      </c>
      <c r="Z125">
        <f>0.033*(4.19 * 50)</f>
        <v>6.9135000000000009</v>
      </c>
      <c r="AA125">
        <f>0.034*(4.19 * 50)</f>
        <v>7.1230000000000011</v>
      </c>
      <c r="AB125">
        <f>0.035*(4.19 * 50)</f>
        <v>7.3325000000000014</v>
      </c>
      <c r="AC125">
        <f>0.035*(4.19 * 50)</f>
        <v>7.3325000000000014</v>
      </c>
      <c r="AD125">
        <f>0.036*(4.19 * 50)</f>
        <v>7.5420000000000007</v>
      </c>
      <c r="AE125">
        <f>0.036*(4.19 * 50)</f>
        <v>7.5420000000000007</v>
      </c>
      <c r="AF125">
        <f>0.036*(4.19 * 50)</f>
        <v>7.5420000000000007</v>
      </c>
      <c r="AG125">
        <f>0.035*(4.19 * 50)</f>
        <v>7.3325000000000014</v>
      </c>
    </row>
    <row r="126" spans="1:33" x14ac:dyDescent="0.3">
      <c r="A126" t="s">
        <v>169</v>
      </c>
      <c r="B126">
        <v>363056.617188</v>
      </c>
      <c r="C126">
        <v>6671513.9726560004</v>
      </c>
      <c r="D126" t="s">
        <v>541</v>
      </c>
      <c r="E126">
        <v>100</v>
      </c>
      <c r="F126">
        <v>83.666999816894503</v>
      </c>
      <c r="G126">
        <v>0.39936515425725289</v>
      </c>
      <c r="H126">
        <f t="shared" si="3"/>
        <v>162.22949981689453</v>
      </c>
      <c r="I126">
        <f t="shared" si="2"/>
        <v>209.50000000000003</v>
      </c>
      <c r="J126">
        <f>0.364*(4.19 * 50)</f>
        <v>76.25800000000001</v>
      </c>
      <c r="K126">
        <f>0.361*(4.19 * 50)</f>
        <v>75.629500000000007</v>
      </c>
      <c r="L126">
        <f>0.359*(4.19 * 50)</f>
        <v>75.21050000000001</v>
      </c>
      <c r="M126">
        <f>0.358*(4.19 * 50)</f>
        <v>75.001000000000005</v>
      </c>
      <c r="N126">
        <f>0.359*(4.19 * 50)</f>
        <v>75.21050000000001</v>
      </c>
      <c r="O126">
        <f>0.364*(4.19 * 50)</f>
        <v>76.25800000000001</v>
      </c>
      <c r="P126">
        <f>0.375*(4.19 * 50)</f>
        <v>78.562500000000014</v>
      </c>
      <c r="Q126">
        <f>0.385*(4.19 * 50)</f>
        <v>80.657500000000013</v>
      </c>
      <c r="R126">
        <f>0.381*(4.19 * 50)</f>
        <v>79.819500000000005</v>
      </c>
      <c r="S126">
        <f>0.373*(4.19 * 50)</f>
        <v>78.143500000000017</v>
      </c>
      <c r="T126">
        <f>0.372*(4.19 * 50)</f>
        <v>77.934000000000012</v>
      </c>
      <c r="U126">
        <f>0.356*(4.19 * 50)</f>
        <v>74.582000000000008</v>
      </c>
      <c r="V126">
        <f>0.351*(4.19 * 50)</f>
        <v>73.534500000000008</v>
      </c>
      <c r="W126">
        <f>0.346*(4.19 * 50)</f>
        <v>72.487000000000009</v>
      </c>
      <c r="X126">
        <f>0.345*(4.19 * 50)</f>
        <v>72.277500000000003</v>
      </c>
      <c r="Y126">
        <f>0.346*(4.19 * 50)</f>
        <v>72.487000000000009</v>
      </c>
      <c r="Z126">
        <f>0.35*(4.19 * 50)</f>
        <v>73.325000000000003</v>
      </c>
      <c r="AA126">
        <f>0.356*(4.19 * 50)</f>
        <v>74.582000000000008</v>
      </c>
      <c r="AB126">
        <f>0.361*(4.19 * 50)</f>
        <v>75.629500000000007</v>
      </c>
      <c r="AC126">
        <f>0.368*(4.19 * 50)</f>
        <v>77.096000000000004</v>
      </c>
      <c r="AD126">
        <f>0.374*(4.19 * 50)</f>
        <v>78.353000000000009</v>
      </c>
      <c r="AE126">
        <f>0.377*(4.19 * 50)</f>
        <v>78.981500000000011</v>
      </c>
      <c r="AF126">
        <f>0.373*(4.19 * 50)</f>
        <v>78.143500000000017</v>
      </c>
      <c r="AG126">
        <f>0.368*(4.19 * 50)</f>
        <v>77.096000000000004</v>
      </c>
    </row>
    <row r="127" spans="1:33" x14ac:dyDescent="0.3">
      <c r="A127" t="s">
        <v>170</v>
      </c>
      <c r="B127">
        <v>358299.621094</v>
      </c>
      <c r="C127">
        <v>6667761.375</v>
      </c>
      <c r="D127" t="s">
        <v>541</v>
      </c>
      <c r="E127">
        <v>100</v>
      </c>
      <c r="F127">
        <v>80.333000183105398</v>
      </c>
      <c r="G127">
        <v>0.3834510748596916</v>
      </c>
      <c r="H127">
        <f t="shared" si="3"/>
        <v>155.7530001831054</v>
      </c>
      <c r="I127">
        <f t="shared" si="2"/>
        <v>209.50000000000003</v>
      </c>
      <c r="J127">
        <f>0.35*(4.19 * 50)</f>
        <v>73.325000000000003</v>
      </c>
      <c r="K127">
        <f>0.347*(4.19 * 50)</f>
        <v>72.6965</v>
      </c>
      <c r="L127">
        <f>0.345*(4.19 * 50)</f>
        <v>72.277500000000003</v>
      </c>
      <c r="M127">
        <f>0.343*(4.19 * 50)</f>
        <v>71.858500000000021</v>
      </c>
      <c r="N127">
        <f>0.345*(4.19 * 50)</f>
        <v>72.277500000000003</v>
      </c>
      <c r="O127">
        <f>0.349*(4.19 * 50)</f>
        <v>73.115500000000011</v>
      </c>
      <c r="P127">
        <f>0.36*(4.19 * 50)</f>
        <v>75.42</v>
      </c>
      <c r="Q127">
        <f>0.369*(4.19 * 50)</f>
        <v>77.305500000000009</v>
      </c>
      <c r="R127">
        <f>0.366*(4.19 * 50)</f>
        <v>76.677000000000007</v>
      </c>
      <c r="S127">
        <f>0.358*(4.19 * 50)</f>
        <v>75.001000000000005</v>
      </c>
      <c r="T127">
        <f>0.357*(4.19 * 50)</f>
        <v>74.791500000000013</v>
      </c>
      <c r="U127">
        <f>0.342*(4.19 * 50)</f>
        <v>71.649000000000015</v>
      </c>
      <c r="V127">
        <f>0.337*(4.19 * 50)</f>
        <v>70.601500000000016</v>
      </c>
      <c r="W127">
        <f>0.333*(4.19 * 50)</f>
        <v>69.763500000000008</v>
      </c>
      <c r="X127">
        <f>0.331*(4.19 * 50)</f>
        <v>69.344500000000011</v>
      </c>
      <c r="Y127">
        <f>0.332*(4.19 * 50)</f>
        <v>69.554000000000016</v>
      </c>
      <c r="Z127">
        <f>0.336*(4.19 * 50)</f>
        <v>70.39200000000001</v>
      </c>
      <c r="AA127">
        <f>0.342*(4.19 * 50)</f>
        <v>71.649000000000015</v>
      </c>
      <c r="AB127">
        <f>0.347*(4.19 * 50)</f>
        <v>72.6965</v>
      </c>
      <c r="AC127">
        <f>0.353*(4.19 * 50)</f>
        <v>73.953500000000005</v>
      </c>
      <c r="AD127">
        <f>0.359*(4.19 * 50)</f>
        <v>75.21050000000001</v>
      </c>
      <c r="AE127">
        <f>0.362*(4.19 * 50)</f>
        <v>75.839000000000013</v>
      </c>
      <c r="AF127">
        <f>0.358*(4.19 * 50)</f>
        <v>75.001000000000005</v>
      </c>
      <c r="AG127">
        <f>0.353*(4.19 * 50)</f>
        <v>73.953500000000005</v>
      </c>
    </row>
    <row r="128" spans="1:33" x14ac:dyDescent="0.3">
      <c r="A128" t="s">
        <v>171</v>
      </c>
      <c r="B128">
        <v>363232.898438</v>
      </c>
      <c r="C128">
        <v>6671499.1132810004</v>
      </c>
      <c r="D128" t="s">
        <v>553</v>
      </c>
      <c r="E128">
        <v>100</v>
      </c>
      <c r="F128">
        <v>456.6669921875</v>
      </c>
      <c r="G128">
        <v>2.1797947121121721</v>
      </c>
      <c r="H128">
        <f t="shared" si="3"/>
        <v>885.09449218750001</v>
      </c>
      <c r="I128">
        <f t="shared" si="2"/>
        <v>209.50000000000003</v>
      </c>
      <c r="J128">
        <f>1.988*(4.19 * 50)</f>
        <v>416.48600000000005</v>
      </c>
      <c r="K128">
        <f>1.972*(4.19 * 50)</f>
        <v>413.13400000000007</v>
      </c>
      <c r="L128">
        <f>1.96*(4.19 * 50)</f>
        <v>410.62000000000006</v>
      </c>
      <c r="M128">
        <f>1.952*(4.19 * 50)</f>
        <v>408.94400000000007</v>
      </c>
      <c r="N128">
        <f>1.96*(4.19 * 50)</f>
        <v>410.62000000000006</v>
      </c>
      <c r="O128">
        <f>1.986*(4.19 * 50)</f>
        <v>416.06700000000006</v>
      </c>
      <c r="P128">
        <f>2.045*(4.19 * 50)</f>
        <v>428.42750000000007</v>
      </c>
      <c r="Q128">
        <f>2.099*(4.19 * 50)</f>
        <v>439.74050000000011</v>
      </c>
      <c r="R128">
        <f>2.081*(4.19 * 50)</f>
        <v>435.96950000000004</v>
      </c>
      <c r="S128">
        <f>2.037*(4.19 * 50)</f>
        <v>426.75150000000002</v>
      </c>
      <c r="T128">
        <f>2.029*(4.19 * 50)</f>
        <v>425.07550000000003</v>
      </c>
      <c r="U128">
        <f>1.944*(4.19 * 50)</f>
        <v>407.26800000000003</v>
      </c>
      <c r="V128">
        <f>1.916*(4.19 * 50)</f>
        <v>401.40200000000004</v>
      </c>
      <c r="W128">
        <f>1.89*(4.19 * 50)</f>
        <v>395.95500000000004</v>
      </c>
      <c r="X128">
        <f>1.884*(4.19 * 50)</f>
        <v>394.69800000000004</v>
      </c>
      <c r="Y128">
        <f>1.888*(4.19 * 50)</f>
        <v>395.53600000000006</v>
      </c>
      <c r="Z128">
        <f>1.908*(4.19 * 50)</f>
        <v>399.72600000000006</v>
      </c>
      <c r="AA128">
        <f>1.944*(4.19 * 50)</f>
        <v>407.26800000000003</v>
      </c>
      <c r="AB128">
        <f>1.972*(4.19 * 50)</f>
        <v>413.13400000000007</v>
      </c>
      <c r="AC128">
        <f>2.007*(4.19 * 50)</f>
        <v>420.46650000000005</v>
      </c>
      <c r="AD128">
        <f>2.041*(4.19 * 50)</f>
        <v>427.58950000000004</v>
      </c>
      <c r="AE128">
        <f>2.055*(4.19 * 50)</f>
        <v>430.52250000000009</v>
      </c>
      <c r="AF128">
        <f>2.037*(4.19 * 50)</f>
        <v>426.75150000000002</v>
      </c>
      <c r="AG128">
        <f>2.009*(4.19 * 50)</f>
        <v>420.88550000000004</v>
      </c>
    </row>
    <row r="129" spans="1:33" x14ac:dyDescent="0.3">
      <c r="A129" t="s">
        <v>172</v>
      </c>
      <c r="B129">
        <v>363258.675781</v>
      </c>
      <c r="C129">
        <v>6671553.2421880001</v>
      </c>
      <c r="D129" t="s">
        <v>542</v>
      </c>
      <c r="E129">
        <v>100</v>
      </c>
      <c r="F129">
        <v>107.333000183105</v>
      </c>
      <c r="G129">
        <v>0.51232935648260136</v>
      </c>
      <c r="H129">
        <f t="shared" si="3"/>
        <v>208.10250018310501</v>
      </c>
      <c r="I129">
        <f t="shared" si="2"/>
        <v>209.50000000000003</v>
      </c>
      <c r="J129">
        <f>0.467*(4.19 * 50)</f>
        <v>97.836500000000015</v>
      </c>
      <c r="K129">
        <f>0.463*(4.19 * 50)</f>
        <v>96.998500000000021</v>
      </c>
      <c r="L129">
        <f>0.461*(4.19 * 50)</f>
        <v>96.579500000000024</v>
      </c>
      <c r="M129">
        <f>0.459*(4.19 * 50)</f>
        <v>96.160500000000013</v>
      </c>
      <c r="N129">
        <f>0.461*(4.19 * 50)</f>
        <v>96.579500000000024</v>
      </c>
      <c r="O129">
        <f>0.467*(4.19 * 50)</f>
        <v>97.836500000000015</v>
      </c>
      <c r="P129">
        <f>0.481*(4.19 * 50)</f>
        <v>100.76950000000001</v>
      </c>
      <c r="Q129">
        <f>0.493*(4.19 * 50)</f>
        <v>103.28350000000002</v>
      </c>
      <c r="R129">
        <f>0.489*(4.19 * 50)</f>
        <v>102.44550000000001</v>
      </c>
      <c r="S129">
        <f>0.479*(4.19 * 50)</f>
        <v>100.35050000000001</v>
      </c>
      <c r="T129">
        <f>0.477*(4.19 * 50)</f>
        <v>99.931500000000014</v>
      </c>
      <c r="U129">
        <f>0.457*(4.19 * 50)</f>
        <v>95.741500000000016</v>
      </c>
      <c r="V129">
        <f>0.45*(4.19 * 50)</f>
        <v>94.27500000000002</v>
      </c>
      <c r="W129">
        <f>0.444*(4.19 * 50)</f>
        <v>93.018000000000015</v>
      </c>
      <c r="X129">
        <f>0.443*(4.19 * 50)</f>
        <v>92.808500000000009</v>
      </c>
      <c r="Y129">
        <f>0.444*(4.19 * 50)</f>
        <v>93.018000000000015</v>
      </c>
      <c r="Z129">
        <f>0.449*(4.19 * 50)</f>
        <v>94.065500000000014</v>
      </c>
      <c r="AA129">
        <f>0.457*(4.19 * 50)</f>
        <v>95.741500000000016</v>
      </c>
      <c r="AB129">
        <f>0.463*(4.19 * 50)</f>
        <v>96.998500000000021</v>
      </c>
      <c r="AC129">
        <f>0.472*(4.19 * 50)</f>
        <v>98.884000000000015</v>
      </c>
      <c r="AD129">
        <f>0.48*(4.19 * 50)</f>
        <v>100.56000000000002</v>
      </c>
      <c r="AE129">
        <f>0.483*(4.19 * 50)</f>
        <v>101.1885</v>
      </c>
      <c r="AF129">
        <f>0.479*(4.19 * 50)</f>
        <v>100.35050000000001</v>
      </c>
      <c r="AG129">
        <f>0.472*(4.19 * 50)</f>
        <v>98.884000000000015</v>
      </c>
    </row>
    <row r="130" spans="1:33" x14ac:dyDescent="0.3">
      <c r="A130" t="s">
        <v>173</v>
      </c>
      <c r="B130">
        <v>362678.9375</v>
      </c>
      <c r="C130">
        <v>6671124.875</v>
      </c>
      <c r="D130" t="s">
        <v>541</v>
      </c>
      <c r="E130">
        <v>100</v>
      </c>
      <c r="F130">
        <v>143.33299255371</v>
      </c>
      <c r="G130">
        <v>0.68416702889599035</v>
      </c>
      <c r="H130">
        <f t="shared" si="3"/>
        <v>277.83199255371005</v>
      </c>
      <c r="I130">
        <f t="shared" si="2"/>
        <v>209.50000000000003</v>
      </c>
      <c r="J130">
        <f>0.624*(4.19 * 50)</f>
        <v>130.72800000000001</v>
      </c>
      <c r="K130">
        <f>0.619*(4.19 * 50)</f>
        <v>129.68050000000002</v>
      </c>
      <c r="L130">
        <f>0.615*(4.19 * 50)</f>
        <v>128.84250000000003</v>
      </c>
      <c r="M130">
        <f>0.613*(4.19 * 50)</f>
        <v>128.42350000000002</v>
      </c>
      <c r="N130">
        <f>0.615*(4.19 * 50)</f>
        <v>128.84250000000003</v>
      </c>
      <c r="O130">
        <f>0.623*(4.19 * 50)</f>
        <v>130.51850000000002</v>
      </c>
      <c r="P130">
        <f>0.642*(4.19 * 50)</f>
        <v>134.49900000000002</v>
      </c>
      <c r="Q130">
        <f>0.659*(4.19 * 50)</f>
        <v>138.06050000000002</v>
      </c>
      <c r="R130">
        <f>0.653*(4.19 * 50)</f>
        <v>136.80350000000001</v>
      </c>
      <c r="S130">
        <f>0.639*(4.19 * 50)</f>
        <v>133.87050000000002</v>
      </c>
      <c r="T130">
        <f>0.637*(4.19 * 50)</f>
        <v>133.45150000000001</v>
      </c>
      <c r="U130">
        <f>0.61*(4.19 * 50)</f>
        <v>127.79500000000002</v>
      </c>
      <c r="V130">
        <f>0.601*(4.19 * 50)</f>
        <v>125.90950000000001</v>
      </c>
      <c r="W130">
        <f>0.593*(4.19 * 50)</f>
        <v>124.23350000000001</v>
      </c>
      <c r="X130">
        <f>0.591*(4.19 * 50)</f>
        <v>123.81450000000001</v>
      </c>
      <c r="Y130">
        <f>0.593*(4.19 * 50)</f>
        <v>124.23350000000001</v>
      </c>
      <c r="Z130">
        <f>0.599*(4.19 * 50)</f>
        <v>125.49050000000001</v>
      </c>
      <c r="AA130">
        <f>0.61*(4.19 * 50)</f>
        <v>127.79500000000002</v>
      </c>
      <c r="AB130">
        <f>0.619*(4.19 * 50)</f>
        <v>129.68050000000002</v>
      </c>
      <c r="AC130">
        <f>0.63*(4.19 * 50)</f>
        <v>131.98500000000001</v>
      </c>
      <c r="AD130">
        <f>0.641*(4.19 * 50)</f>
        <v>134.28950000000003</v>
      </c>
      <c r="AE130">
        <f>0.645*(4.19 * 50)</f>
        <v>135.12750000000003</v>
      </c>
      <c r="AF130">
        <f>0.639*(4.19 * 50)</f>
        <v>133.87050000000002</v>
      </c>
      <c r="AG130">
        <f>0.631*(4.19 * 50)</f>
        <v>132.19450000000001</v>
      </c>
    </row>
    <row r="131" spans="1:33" x14ac:dyDescent="0.3">
      <c r="A131" t="s">
        <v>174</v>
      </c>
      <c r="B131">
        <v>363248.175781</v>
      </c>
      <c r="C131">
        <v>6672176.9140630001</v>
      </c>
      <c r="D131" t="s">
        <v>547</v>
      </c>
      <c r="E131">
        <v>100</v>
      </c>
      <c r="F131">
        <v>27.333000183105401</v>
      </c>
      <c r="G131">
        <v>0.1304677813036057</v>
      </c>
      <c r="H131">
        <f t="shared" si="3"/>
        <v>52.892000183105409</v>
      </c>
      <c r="I131">
        <f t="shared" ref="I131:I194" si="4">4.19 * 50</f>
        <v>209.50000000000003</v>
      </c>
      <c r="J131">
        <f>0.119*(4.19 * 50)</f>
        <v>24.930500000000002</v>
      </c>
      <c r="K131">
        <f>0.118*(4.19 * 50)</f>
        <v>24.721000000000004</v>
      </c>
      <c r="L131">
        <f>0.117*(4.19 * 50)</f>
        <v>24.511500000000005</v>
      </c>
      <c r="M131">
        <f>0.117*(4.19 * 50)</f>
        <v>24.511500000000005</v>
      </c>
      <c r="N131">
        <f>0.117*(4.19 * 50)</f>
        <v>24.511500000000005</v>
      </c>
      <c r="O131">
        <f>0.119*(4.19 * 50)</f>
        <v>24.930500000000002</v>
      </c>
      <c r="P131">
        <f>0.122*(4.19 * 50)</f>
        <v>25.559000000000005</v>
      </c>
      <c r="Q131">
        <f>0.126*(4.19 * 50)</f>
        <v>26.397000000000002</v>
      </c>
      <c r="R131">
        <f>0.125*(4.19 * 50)</f>
        <v>26.187500000000004</v>
      </c>
      <c r="S131">
        <f>0.122*(4.19 * 50)</f>
        <v>25.559000000000005</v>
      </c>
      <c r="T131">
        <f>0.121*(4.19 * 50)</f>
        <v>25.349500000000003</v>
      </c>
      <c r="U131">
        <f>0.116*(4.19 * 50)</f>
        <v>24.302000000000003</v>
      </c>
      <c r="V131">
        <f>0.115*(4.19 * 50)</f>
        <v>24.092500000000005</v>
      </c>
      <c r="W131">
        <f>0.113*(4.19 * 50)</f>
        <v>23.673500000000004</v>
      </c>
      <c r="X131">
        <f>0.113*(4.19 * 50)</f>
        <v>23.673500000000004</v>
      </c>
      <c r="Y131">
        <f>0.113*(4.19 * 50)</f>
        <v>23.673500000000004</v>
      </c>
      <c r="Z131">
        <f>0.114*(4.19 * 50)</f>
        <v>23.883000000000003</v>
      </c>
      <c r="AA131">
        <f>0.116*(4.19 * 50)</f>
        <v>24.302000000000003</v>
      </c>
      <c r="AB131">
        <f>0.118*(4.19 * 50)</f>
        <v>24.721000000000004</v>
      </c>
      <c r="AC131">
        <f>0.12*(4.19 * 50)</f>
        <v>25.140000000000004</v>
      </c>
      <c r="AD131">
        <f>0.122*(4.19 * 50)</f>
        <v>25.559000000000005</v>
      </c>
      <c r="AE131">
        <f>0.123*(4.19 * 50)</f>
        <v>25.768500000000003</v>
      </c>
      <c r="AF131">
        <f>0.122*(4.19 * 50)</f>
        <v>25.559000000000005</v>
      </c>
      <c r="AG131">
        <f>0.12*(4.19 * 50)</f>
        <v>25.140000000000004</v>
      </c>
    </row>
    <row r="132" spans="1:33" x14ac:dyDescent="0.3">
      <c r="A132" t="s">
        <v>175</v>
      </c>
      <c r="B132">
        <v>363408.03125</v>
      </c>
      <c r="C132">
        <v>6671868.3125</v>
      </c>
      <c r="D132" t="s">
        <v>542</v>
      </c>
      <c r="E132">
        <v>100</v>
      </c>
      <c r="F132">
        <v>115.333000183105</v>
      </c>
      <c r="G132">
        <v>0.55051551400050114</v>
      </c>
      <c r="H132">
        <f t="shared" ref="H132:H195" si="5">F132+P132</f>
        <v>223.43500018310502</v>
      </c>
      <c r="I132">
        <f t="shared" si="4"/>
        <v>209.50000000000003</v>
      </c>
      <c r="J132">
        <f>0.502*(4.19 * 50)</f>
        <v>105.16900000000001</v>
      </c>
      <c r="K132">
        <f>0.498*(4.19 * 50)</f>
        <v>104.33100000000002</v>
      </c>
      <c r="L132">
        <f>0.495*(4.19 * 50)</f>
        <v>103.70250000000001</v>
      </c>
      <c r="M132">
        <f>0.493*(4.19 * 50)</f>
        <v>103.28350000000002</v>
      </c>
      <c r="N132">
        <f>0.495*(4.19 * 50)</f>
        <v>103.70250000000001</v>
      </c>
      <c r="O132">
        <f>0.501*(4.19 * 50)</f>
        <v>104.95950000000002</v>
      </c>
      <c r="P132">
        <f>0.516*(4.19 * 50)</f>
        <v>108.10200000000002</v>
      </c>
      <c r="Q132">
        <f>0.53*(4.19 * 50)</f>
        <v>111.03500000000003</v>
      </c>
      <c r="R132">
        <f>0.526*(4.19 * 50)</f>
        <v>110.19700000000002</v>
      </c>
      <c r="S132">
        <f>0.514*(4.19 * 50)</f>
        <v>107.68300000000002</v>
      </c>
      <c r="T132">
        <f>0.512*(4.19 * 50)</f>
        <v>107.26400000000001</v>
      </c>
      <c r="U132">
        <f>0.491*(4.19 * 50)</f>
        <v>102.86450000000001</v>
      </c>
      <c r="V132">
        <f>0.484*(4.19 * 50)</f>
        <v>101.39800000000001</v>
      </c>
      <c r="W132">
        <f>0.477*(4.19 * 50)</f>
        <v>99.931500000000014</v>
      </c>
      <c r="X132">
        <f>0.476*(4.19 * 50)</f>
        <v>99.722000000000008</v>
      </c>
      <c r="Y132">
        <f>0.477*(4.19 * 50)</f>
        <v>99.931500000000014</v>
      </c>
      <c r="Z132">
        <f>0.482*(4.19 * 50)</f>
        <v>100.97900000000001</v>
      </c>
      <c r="AA132">
        <f>0.491*(4.19 * 50)</f>
        <v>102.86450000000001</v>
      </c>
      <c r="AB132">
        <f>0.498*(4.19 * 50)</f>
        <v>104.33100000000002</v>
      </c>
      <c r="AC132">
        <f>0.507*(4.19 * 50)</f>
        <v>106.21650000000001</v>
      </c>
      <c r="AD132">
        <f>0.515*(4.19 * 50)</f>
        <v>107.89250000000001</v>
      </c>
      <c r="AE132">
        <f>0.519*(4.19 * 50)</f>
        <v>108.73050000000002</v>
      </c>
      <c r="AF132">
        <f>0.514*(4.19 * 50)</f>
        <v>107.68300000000002</v>
      </c>
      <c r="AG132">
        <f>0.507*(4.19 * 50)</f>
        <v>106.21650000000001</v>
      </c>
    </row>
    <row r="133" spans="1:33" x14ac:dyDescent="0.3">
      <c r="A133" t="s">
        <v>176</v>
      </c>
      <c r="B133">
        <v>362401.796875</v>
      </c>
      <c r="C133">
        <v>6671594.4882810004</v>
      </c>
      <c r="D133" t="s">
        <v>541</v>
      </c>
      <c r="E133">
        <v>100</v>
      </c>
      <c r="F133">
        <v>101</v>
      </c>
      <c r="G133">
        <v>0.48210023866348439</v>
      </c>
      <c r="H133">
        <f t="shared" si="5"/>
        <v>195.69400000000002</v>
      </c>
      <c r="I133">
        <f t="shared" si="4"/>
        <v>209.50000000000003</v>
      </c>
      <c r="J133">
        <f>0.44*(4.19 * 50)</f>
        <v>92.18</v>
      </c>
      <c r="K133">
        <f>0.436*(4.19 * 50)</f>
        <v>91.342000000000013</v>
      </c>
      <c r="L133">
        <f>0.433*(4.19 * 50)</f>
        <v>90.71350000000001</v>
      </c>
      <c r="M133">
        <f>0.432*(4.19 * 50)</f>
        <v>90.504000000000005</v>
      </c>
      <c r="N133">
        <f>0.433*(4.19 * 50)</f>
        <v>90.71350000000001</v>
      </c>
      <c r="O133">
        <f>0.439*(4.19 * 50)</f>
        <v>91.970500000000015</v>
      </c>
      <c r="P133">
        <f>0.452*(4.19 * 50)</f>
        <v>94.694000000000017</v>
      </c>
      <c r="Q133">
        <f>0.464*(4.19 * 50)</f>
        <v>97.208000000000013</v>
      </c>
      <c r="R133">
        <f>0.46*(4.19 * 50)</f>
        <v>96.370000000000019</v>
      </c>
      <c r="S133">
        <f>0.451*(4.19 * 50)</f>
        <v>94.484500000000011</v>
      </c>
      <c r="T133">
        <f>0.449*(4.19 * 50)</f>
        <v>94.065500000000014</v>
      </c>
      <c r="U133">
        <f>0.43*(4.19 * 50)</f>
        <v>90.085000000000008</v>
      </c>
      <c r="V133">
        <f>0.424*(4.19 * 50)</f>
        <v>88.828000000000003</v>
      </c>
      <c r="W133">
        <f>0.418*(4.19 * 50)</f>
        <v>87.571000000000012</v>
      </c>
      <c r="X133">
        <f>0.417*(4.19 * 50)</f>
        <v>87.361500000000007</v>
      </c>
      <c r="Y133">
        <f>0.418*(4.19 * 50)</f>
        <v>87.571000000000012</v>
      </c>
      <c r="Z133">
        <f>0.422*(4.19 * 50)</f>
        <v>88.409000000000006</v>
      </c>
      <c r="AA133">
        <f>0.43*(4.19 * 50)</f>
        <v>90.085000000000008</v>
      </c>
      <c r="AB133">
        <f>0.436*(4.19 * 50)</f>
        <v>91.342000000000013</v>
      </c>
      <c r="AC133">
        <f>0.444*(4.19 * 50)</f>
        <v>93.018000000000015</v>
      </c>
      <c r="AD133">
        <f>0.451*(4.19 * 50)</f>
        <v>94.484500000000011</v>
      </c>
      <c r="AE133">
        <f>0.455*(4.19 * 50)</f>
        <v>95.322500000000019</v>
      </c>
      <c r="AF133">
        <f>0.451*(4.19 * 50)</f>
        <v>94.484500000000011</v>
      </c>
      <c r="AG133">
        <f>0.444*(4.19 * 50)</f>
        <v>93.018000000000015</v>
      </c>
    </row>
    <row r="134" spans="1:33" x14ac:dyDescent="0.3">
      <c r="A134" t="s">
        <v>177</v>
      </c>
      <c r="B134">
        <v>362631.746094</v>
      </c>
      <c r="C134">
        <v>6670798.2460939996</v>
      </c>
      <c r="D134" t="s">
        <v>541</v>
      </c>
      <c r="E134">
        <v>100</v>
      </c>
      <c r="F134">
        <v>133.33299255371</v>
      </c>
      <c r="G134">
        <v>0.63643433199861565</v>
      </c>
      <c r="H134">
        <f t="shared" si="5"/>
        <v>258.40449255371004</v>
      </c>
      <c r="I134">
        <f t="shared" si="4"/>
        <v>209.50000000000003</v>
      </c>
      <c r="J134">
        <f>0.58*(4.19 * 50)</f>
        <v>121.51</v>
      </c>
      <c r="K134">
        <f>0.576*(4.19 * 50)</f>
        <v>120.67200000000001</v>
      </c>
      <c r="L134">
        <f>0.572*(4.19 * 50)</f>
        <v>119.834</v>
      </c>
      <c r="M134">
        <f>0.57*(4.19 * 50)</f>
        <v>119.41500000000001</v>
      </c>
      <c r="N134">
        <f>0.572*(4.19 * 50)</f>
        <v>119.834</v>
      </c>
      <c r="O134">
        <f>0.58*(4.19 * 50)</f>
        <v>121.51</v>
      </c>
      <c r="P134">
        <f>0.597*(4.19 * 50)</f>
        <v>125.07150000000001</v>
      </c>
      <c r="Q134">
        <f>0.613*(4.19 * 50)</f>
        <v>128.42350000000002</v>
      </c>
      <c r="R134">
        <f>0.608*(4.19 * 50)</f>
        <v>127.37600000000002</v>
      </c>
      <c r="S134">
        <f>0.595*(4.19 * 50)</f>
        <v>124.65250000000002</v>
      </c>
      <c r="T134">
        <f>0.592*(4.19 * 50)</f>
        <v>124.02400000000002</v>
      </c>
      <c r="U134">
        <f>0.568*(4.19 * 50)</f>
        <v>118.99600000000001</v>
      </c>
      <c r="V134">
        <f>0.559*(4.19 * 50)</f>
        <v>117.11050000000003</v>
      </c>
      <c r="W134">
        <f>0.552*(4.19 * 50)</f>
        <v>115.64400000000002</v>
      </c>
      <c r="X134">
        <f>0.55*(4.19 * 50)</f>
        <v>115.22500000000002</v>
      </c>
      <c r="Y134">
        <f>0.551*(4.19 * 50)</f>
        <v>115.43450000000003</v>
      </c>
      <c r="Z134">
        <f>0.557*(4.19 * 50)</f>
        <v>116.69150000000003</v>
      </c>
      <c r="AA134">
        <f>0.568*(4.19 * 50)</f>
        <v>118.99600000000001</v>
      </c>
      <c r="AB134">
        <f>0.576*(4.19 * 50)</f>
        <v>120.67200000000001</v>
      </c>
      <c r="AC134">
        <f>0.586*(4.19 * 50)</f>
        <v>122.76700000000001</v>
      </c>
      <c r="AD134">
        <f>0.596*(4.19 * 50)</f>
        <v>124.86200000000001</v>
      </c>
      <c r="AE134">
        <f>0.6*(4.19 * 50)</f>
        <v>125.70000000000002</v>
      </c>
      <c r="AF134">
        <f>0.595*(4.19 * 50)</f>
        <v>124.65250000000002</v>
      </c>
      <c r="AG134">
        <f>0.587*(4.19 * 50)</f>
        <v>122.97650000000002</v>
      </c>
    </row>
    <row r="135" spans="1:33" x14ac:dyDescent="0.3">
      <c r="A135" t="s">
        <v>178</v>
      </c>
      <c r="B135">
        <v>362640.941406</v>
      </c>
      <c r="C135">
        <v>6670847.96875</v>
      </c>
      <c r="D135" t="s">
        <v>541</v>
      </c>
      <c r="E135">
        <v>100</v>
      </c>
      <c r="F135">
        <v>108</v>
      </c>
      <c r="G135">
        <v>0.51551312649164671</v>
      </c>
      <c r="H135">
        <f t="shared" si="5"/>
        <v>209.39800000000002</v>
      </c>
      <c r="I135">
        <f t="shared" si="4"/>
        <v>209.50000000000003</v>
      </c>
      <c r="J135">
        <f>0.47*(4.19 * 50)</f>
        <v>98.465000000000003</v>
      </c>
      <c r="K135">
        <f>0.466*(4.19 * 50)</f>
        <v>97.627000000000024</v>
      </c>
      <c r="L135">
        <f>0.463*(4.19 * 50)</f>
        <v>96.998500000000021</v>
      </c>
      <c r="M135">
        <f>0.462*(4.19 * 50)</f>
        <v>96.789000000000016</v>
      </c>
      <c r="N135">
        <f>0.463*(4.19 * 50)</f>
        <v>96.998500000000021</v>
      </c>
      <c r="O135">
        <f>0.47*(4.19 * 50)</f>
        <v>98.465000000000003</v>
      </c>
      <c r="P135">
        <f>0.484*(4.19 * 50)</f>
        <v>101.39800000000001</v>
      </c>
      <c r="Q135">
        <f>0.496*(4.19 * 50)</f>
        <v>103.91200000000002</v>
      </c>
      <c r="R135">
        <f>0.492*(4.19 * 50)</f>
        <v>103.07400000000001</v>
      </c>
      <c r="S135">
        <f>0.482*(4.19 * 50)</f>
        <v>100.97900000000001</v>
      </c>
      <c r="T135">
        <f>0.48*(4.19 * 50)</f>
        <v>100.56000000000002</v>
      </c>
      <c r="U135">
        <f>0.46*(4.19 * 50)</f>
        <v>96.370000000000019</v>
      </c>
      <c r="V135">
        <f>0.453*(4.19 * 50)</f>
        <v>94.903500000000022</v>
      </c>
      <c r="W135">
        <f>0.447*(4.19 * 50)</f>
        <v>93.646500000000017</v>
      </c>
      <c r="X135">
        <f>0.446*(4.19 * 50)</f>
        <v>93.437000000000012</v>
      </c>
      <c r="Y135">
        <f>0.447*(4.19 * 50)</f>
        <v>93.646500000000017</v>
      </c>
      <c r="Z135">
        <f>0.451*(4.19 * 50)</f>
        <v>94.484500000000011</v>
      </c>
      <c r="AA135">
        <f>0.46*(4.19 * 50)</f>
        <v>96.370000000000019</v>
      </c>
      <c r="AB135">
        <f>0.466*(4.19 * 50)</f>
        <v>97.627000000000024</v>
      </c>
      <c r="AC135">
        <f>0.475*(4.19 * 50)</f>
        <v>99.512500000000003</v>
      </c>
      <c r="AD135">
        <f>0.483*(4.19 * 50)</f>
        <v>101.1885</v>
      </c>
      <c r="AE135">
        <f>0.486*(4.19 * 50)</f>
        <v>101.81700000000001</v>
      </c>
      <c r="AF135">
        <f>0.482*(4.19 * 50)</f>
        <v>100.97900000000001</v>
      </c>
      <c r="AG135">
        <f>0.475*(4.19 * 50)</f>
        <v>99.512500000000003</v>
      </c>
    </row>
    <row r="136" spans="1:33" x14ac:dyDescent="0.3">
      <c r="A136" t="s">
        <v>179</v>
      </c>
      <c r="B136">
        <v>362647.472656</v>
      </c>
      <c r="C136">
        <v>6670858.4179689996</v>
      </c>
      <c r="D136" t="s">
        <v>541</v>
      </c>
      <c r="E136">
        <v>100</v>
      </c>
      <c r="F136">
        <v>96.666999816894503</v>
      </c>
      <c r="G136">
        <v>0.46141766022384012</v>
      </c>
      <c r="H136">
        <f t="shared" si="5"/>
        <v>187.38049981689451</v>
      </c>
      <c r="I136">
        <f t="shared" si="4"/>
        <v>209.50000000000003</v>
      </c>
      <c r="J136">
        <f>0.421*(4.19 * 50)</f>
        <v>88.199500000000015</v>
      </c>
      <c r="K136">
        <f>0.417*(4.19 * 50)</f>
        <v>87.361500000000007</v>
      </c>
      <c r="L136">
        <f>0.415*(4.19 * 50)</f>
        <v>86.94250000000001</v>
      </c>
      <c r="M136">
        <f>0.413*(4.19 * 50)</f>
        <v>86.523500000000013</v>
      </c>
      <c r="N136">
        <f>0.415*(4.19 * 50)</f>
        <v>86.94250000000001</v>
      </c>
      <c r="O136">
        <f>0.42*(4.19 * 50)</f>
        <v>87.990000000000009</v>
      </c>
      <c r="P136">
        <f>0.433*(4.19 * 50)</f>
        <v>90.71350000000001</v>
      </c>
      <c r="Q136">
        <f>0.444*(4.19 * 50)</f>
        <v>93.018000000000015</v>
      </c>
      <c r="R136">
        <f>0.44*(4.19 * 50)</f>
        <v>92.18</v>
      </c>
      <c r="S136">
        <f>0.431*(4.19 * 50)</f>
        <v>90.294500000000014</v>
      </c>
      <c r="T136">
        <f>0.43*(4.19 * 50)</f>
        <v>90.085000000000008</v>
      </c>
      <c r="U136">
        <f>0.411*(4.19 * 50)</f>
        <v>86.104500000000002</v>
      </c>
      <c r="V136">
        <f>0.406*(4.19 * 50)</f>
        <v>85.057000000000016</v>
      </c>
      <c r="W136">
        <f>0.4*(4.19 * 50)</f>
        <v>83.800000000000011</v>
      </c>
      <c r="X136">
        <f>0.399*(4.19 * 50)</f>
        <v>83.59050000000002</v>
      </c>
      <c r="Y136">
        <f>0.4*(4.19 * 50)</f>
        <v>83.800000000000011</v>
      </c>
      <c r="Z136">
        <f>0.404*(4.19 * 50)</f>
        <v>84.638000000000019</v>
      </c>
      <c r="AA136">
        <f>0.411*(4.19 * 50)</f>
        <v>86.104500000000002</v>
      </c>
      <c r="AB136">
        <f>0.417*(4.19 * 50)</f>
        <v>87.361500000000007</v>
      </c>
      <c r="AC136">
        <f>0.425*(4.19 * 50)</f>
        <v>89.037500000000009</v>
      </c>
      <c r="AD136">
        <f>0.432*(4.19 * 50)</f>
        <v>90.504000000000005</v>
      </c>
      <c r="AE136">
        <f>0.435*(4.19 * 50)</f>
        <v>91.132500000000007</v>
      </c>
      <c r="AF136">
        <f>0.431*(4.19 * 50)</f>
        <v>90.294500000000014</v>
      </c>
      <c r="AG136">
        <f>0.425*(4.19 * 50)</f>
        <v>89.037500000000009</v>
      </c>
    </row>
    <row r="137" spans="1:33" x14ac:dyDescent="0.3">
      <c r="A137" t="s">
        <v>180</v>
      </c>
      <c r="B137">
        <v>362966.738281</v>
      </c>
      <c r="C137">
        <v>6671456.640625</v>
      </c>
      <c r="D137" t="s">
        <v>541</v>
      </c>
      <c r="E137">
        <v>100</v>
      </c>
      <c r="F137">
        <v>77.5</v>
      </c>
      <c r="G137">
        <v>0.3699284009546539</v>
      </c>
      <c r="H137">
        <f t="shared" si="5"/>
        <v>150.19650000000001</v>
      </c>
      <c r="I137">
        <f t="shared" si="4"/>
        <v>209.50000000000003</v>
      </c>
      <c r="J137">
        <f>0.337*(4.19 * 50)</f>
        <v>70.601500000000016</v>
      </c>
      <c r="K137">
        <f>0.335*(4.19 * 50)</f>
        <v>70.182500000000019</v>
      </c>
      <c r="L137">
        <f>0.333*(4.19 * 50)</f>
        <v>69.763500000000008</v>
      </c>
      <c r="M137">
        <f>0.331*(4.19 * 50)</f>
        <v>69.344500000000011</v>
      </c>
      <c r="N137">
        <f>0.333*(4.19 * 50)</f>
        <v>69.763500000000008</v>
      </c>
      <c r="O137">
        <f>0.337*(4.19 * 50)</f>
        <v>70.601500000000016</v>
      </c>
      <c r="P137">
        <f>0.347*(4.19 * 50)</f>
        <v>72.6965</v>
      </c>
      <c r="Q137">
        <f>0.356*(4.19 * 50)</f>
        <v>74.582000000000008</v>
      </c>
      <c r="R137">
        <f>0.353*(4.19 * 50)</f>
        <v>73.953500000000005</v>
      </c>
      <c r="S137">
        <f>0.346*(4.19 * 50)</f>
        <v>72.487000000000009</v>
      </c>
      <c r="T137">
        <f>0.344*(4.19 * 50)</f>
        <v>72.067999999999998</v>
      </c>
      <c r="U137">
        <f>0.33*(4.19 * 50)</f>
        <v>69.135000000000019</v>
      </c>
      <c r="V137">
        <f>0.325*(4.19 * 50)</f>
        <v>68.087500000000006</v>
      </c>
      <c r="W137">
        <f>0.321*(4.19 * 50)</f>
        <v>67.249500000000012</v>
      </c>
      <c r="X137">
        <f>0.32*(4.19 * 50)</f>
        <v>67.040000000000006</v>
      </c>
      <c r="Y137">
        <f>0.32*(4.19 * 50)</f>
        <v>67.040000000000006</v>
      </c>
      <c r="Z137">
        <f>0.324*(4.19 * 50)</f>
        <v>67.878000000000014</v>
      </c>
      <c r="AA137">
        <f>0.33*(4.19 * 50)</f>
        <v>69.135000000000019</v>
      </c>
      <c r="AB137">
        <f>0.335*(4.19 * 50)</f>
        <v>70.182500000000019</v>
      </c>
      <c r="AC137">
        <f>0.341*(4.19 * 50)</f>
        <v>71.43950000000001</v>
      </c>
      <c r="AD137">
        <f>0.346*(4.19 * 50)</f>
        <v>72.487000000000009</v>
      </c>
      <c r="AE137">
        <f>0.349*(4.19 * 50)</f>
        <v>73.115500000000011</v>
      </c>
      <c r="AF137">
        <f>0.346*(4.19 * 50)</f>
        <v>72.487000000000009</v>
      </c>
      <c r="AG137">
        <f>0.341*(4.19 * 50)</f>
        <v>71.43950000000001</v>
      </c>
    </row>
    <row r="138" spans="1:33" x14ac:dyDescent="0.3">
      <c r="A138" t="s">
        <v>181</v>
      </c>
      <c r="B138">
        <v>362382.007813</v>
      </c>
      <c r="C138">
        <v>6671375.046875</v>
      </c>
      <c r="D138" t="s">
        <v>541</v>
      </c>
      <c r="E138">
        <v>100</v>
      </c>
      <c r="F138">
        <v>96.666999816894503</v>
      </c>
      <c r="G138">
        <v>0.46141766022384012</v>
      </c>
      <c r="H138">
        <f t="shared" si="5"/>
        <v>187.38049981689451</v>
      </c>
      <c r="I138">
        <f t="shared" si="4"/>
        <v>209.50000000000003</v>
      </c>
      <c r="J138">
        <f>0.421*(4.19 * 50)</f>
        <v>88.199500000000015</v>
      </c>
      <c r="K138">
        <f>0.417*(4.19 * 50)</f>
        <v>87.361500000000007</v>
      </c>
      <c r="L138">
        <f>0.415*(4.19 * 50)</f>
        <v>86.94250000000001</v>
      </c>
      <c r="M138">
        <f>0.413*(4.19 * 50)</f>
        <v>86.523500000000013</v>
      </c>
      <c r="N138">
        <f>0.415*(4.19 * 50)</f>
        <v>86.94250000000001</v>
      </c>
      <c r="O138">
        <f>0.42*(4.19 * 50)</f>
        <v>87.990000000000009</v>
      </c>
      <c r="P138">
        <f>0.433*(4.19 * 50)</f>
        <v>90.71350000000001</v>
      </c>
      <c r="Q138">
        <f>0.444*(4.19 * 50)</f>
        <v>93.018000000000015</v>
      </c>
      <c r="R138">
        <f>0.44*(4.19 * 50)</f>
        <v>92.18</v>
      </c>
      <c r="S138">
        <f>0.431*(4.19 * 50)</f>
        <v>90.294500000000014</v>
      </c>
      <c r="T138">
        <f>0.43*(4.19 * 50)</f>
        <v>90.085000000000008</v>
      </c>
      <c r="U138">
        <f>0.411*(4.19 * 50)</f>
        <v>86.104500000000002</v>
      </c>
      <c r="V138">
        <f>0.406*(4.19 * 50)</f>
        <v>85.057000000000016</v>
      </c>
      <c r="W138">
        <f>0.4*(4.19 * 50)</f>
        <v>83.800000000000011</v>
      </c>
      <c r="X138">
        <f>0.399*(4.19 * 50)</f>
        <v>83.59050000000002</v>
      </c>
      <c r="Y138">
        <f>0.4*(4.19 * 50)</f>
        <v>83.800000000000011</v>
      </c>
      <c r="Z138">
        <f>0.404*(4.19 * 50)</f>
        <v>84.638000000000019</v>
      </c>
      <c r="AA138">
        <f>0.411*(4.19 * 50)</f>
        <v>86.104500000000002</v>
      </c>
      <c r="AB138">
        <f>0.417*(4.19 * 50)</f>
        <v>87.361500000000007</v>
      </c>
      <c r="AC138">
        <f>0.425*(4.19 * 50)</f>
        <v>89.037500000000009</v>
      </c>
      <c r="AD138">
        <f>0.432*(4.19 * 50)</f>
        <v>90.504000000000005</v>
      </c>
      <c r="AE138">
        <f>0.435*(4.19 * 50)</f>
        <v>91.132500000000007</v>
      </c>
      <c r="AF138">
        <f>0.431*(4.19 * 50)</f>
        <v>90.294500000000014</v>
      </c>
      <c r="AG138">
        <f>0.425*(4.19 * 50)</f>
        <v>89.037500000000009</v>
      </c>
    </row>
    <row r="139" spans="1:33" x14ac:dyDescent="0.3">
      <c r="A139" t="s">
        <v>182</v>
      </c>
      <c r="B139">
        <v>362460.285156</v>
      </c>
      <c r="C139">
        <v>6671350.1601560004</v>
      </c>
      <c r="D139" t="s">
        <v>541</v>
      </c>
      <c r="E139">
        <v>100</v>
      </c>
      <c r="F139">
        <v>96.333000183105398</v>
      </c>
      <c r="G139">
        <v>0.4598233898954911</v>
      </c>
      <c r="H139">
        <f t="shared" si="5"/>
        <v>186.62750018310541</v>
      </c>
      <c r="I139">
        <f t="shared" si="4"/>
        <v>209.50000000000003</v>
      </c>
      <c r="J139">
        <f>0.419*(4.19 * 50)</f>
        <v>87.780500000000004</v>
      </c>
      <c r="K139">
        <f>0.416*(4.19 * 50)</f>
        <v>87.152000000000001</v>
      </c>
      <c r="L139">
        <f>0.413*(4.19 * 50)</f>
        <v>86.523500000000013</v>
      </c>
      <c r="M139">
        <f>0.412*(4.19 * 50)</f>
        <v>86.314000000000007</v>
      </c>
      <c r="N139">
        <f>0.413*(4.19 * 50)</f>
        <v>86.523500000000013</v>
      </c>
      <c r="O139">
        <f>0.419*(4.19 * 50)</f>
        <v>87.780500000000004</v>
      </c>
      <c r="P139">
        <f>0.431*(4.19 * 50)</f>
        <v>90.294500000000014</v>
      </c>
      <c r="Q139">
        <f>0.443*(4.19 * 50)</f>
        <v>92.808500000000009</v>
      </c>
      <c r="R139">
        <f>0.439*(4.19 * 50)</f>
        <v>91.970500000000015</v>
      </c>
      <c r="S139">
        <f>0.43*(4.19 * 50)</f>
        <v>90.085000000000008</v>
      </c>
      <c r="T139">
        <f>0.428*(4.19 * 50)</f>
        <v>89.666000000000011</v>
      </c>
      <c r="U139">
        <f>0.41*(4.19 * 50)</f>
        <v>85.89500000000001</v>
      </c>
      <c r="V139">
        <f>0.404*(4.19 * 50)</f>
        <v>84.638000000000019</v>
      </c>
      <c r="W139">
        <f>0.399*(4.19 * 50)</f>
        <v>83.59050000000002</v>
      </c>
      <c r="X139">
        <f>0.398*(4.19 * 50)</f>
        <v>83.381000000000014</v>
      </c>
      <c r="Y139">
        <f>0.398*(4.19 * 50)</f>
        <v>83.381000000000014</v>
      </c>
      <c r="Z139">
        <f>0.403*(4.19 * 50)</f>
        <v>84.428500000000014</v>
      </c>
      <c r="AA139">
        <f>0.41*(4.19 * 50)</f>
        <v>85.89500000000001</v>
      </c>
      <c r="AB139">
        <f>0.416*(4.19 * 50)</f>
        <v>87.152000000000001</v>
      </c>
      <c r="AC139">
        <f>0.423*(4.19 * 50)</f>
        <v>88.618500000000012</v>
      </c>
      <c r="AD139">
        <f>0.431*(4.19 * 50)</f>
        <v>90.294500000000014</v>
      </c>
      <c r="AE139">
        <f>0.434*(4.19 * 50)</f>
        <v>90.923000000000016</v>
      </c>
      <c r="AF139">
        <f>0.43*(4.19 * 50)</f>
        <v>90.085000000000008</v>
      </c>
      <c r="AG139">
        <f>0.424*(4.19 * 50)</f>
        <v>88.828000000000003</v>
      </c>
    </row>
    <row r="140" spans="1:33" x14ac:dyDescent="0.3">
      <c r="A140" t="s">
        <v>183</v>
      </c>
      <c r="B140">
        <v>363085.914063</v>
      </c>
      <c r="C140">
        <v>6672453.0664060004</v>
      </c>
      <c r="D140" t="s">
        <v>542</v>
      </c>
      <c r="E140">
        <v>100</v>
      </c>
      <c r="F140">
        <v>73.333000183105398</v>
      </c>
      <c r="G140">
        <v>0.35003818703152928</v>
      </c>
      <c r="H140">
        <f t="shared" si="5"/>
        <v>142.04900018310542</v>
      </c>
      <c r="I140">
        <f t="shared" si="4"/>
        <v>209.50000000000003</v>
      </c>
      <c r="J140">
        <f>0.319*(4.19 * 50)</f>
        <v>66.830500000000015</v>
      </c>
      <c r="K140">
        <f>0.317*(4.19 * 50)</f>
        <v>66.411500000000004</v>
      </c>
      <c r="L140">
        <f>0.315*(4.19 * 50)</f>
        <v>65.992500000000007</v>
      </c>
      <c r="M140">
        <f>0.313*(4.19 * 50)</f>
        <v>65.57350000000001</v>
      </c>
      <c r="N140">
        <f>0.315*(4.19 * 50)</f>
        <v>65.992500000000007</v>
      </c>
      <c r="O140">
        <f>0.319*(4.19 * 50)</f>
        <v>66.830500000000015</v>
      </c>
      <c r="P140">
        <f>0.328*(4.19 * 50)</f>
        <v>68.716000000000008</v>
      </c>
      <c r="Q140">
        <f>0.337*(4.19 * 50)</f>
        <v>70.601500000000016</v>
      </c>
      <c r="R140">
        <f>0.334*(4.19 * 50)</f>
        <v>69.973000000000013</v>
      </c>
      <c r="S140">
        <f>0.327*(4.19 * 50)</f>
        <v>68.506500000000017</v>
      </c>
      <c r="T140">
        <f>0.326*(4.19 * 50)</f>
        <v>68.297000000000011</v>
      </c>
      <c r="U140">
        <f>0.312*(4.19 * 50)</f>
        <v>65.364000000000004</v>
      </c>
      <c r="V140">
        <f>0.308*(4.19 * 50)</f>
        <v>64.52600000000001</v>
      </c>
      <c r="W140">
        <f>0.304*(4.19 * 50)</f>
        <v>63.688000000000009</v>
      </c>
      <c r="X140">
        <f>0.303*(4.19 * 50)</f>
        <v>63.478500000000004</v>
      </c>
      <c r="Y140">
        <f>0.303*(4.19 * 50)</f>
        <v>63.478500000000004</v>
      </c>
      <c r="Z140">
        <f>0.306*(4.19 * 50)</f>
        <v>64.107000000000014</v>
      </c>
      <c r="AA140">
        <f>0.312*(4.19 * 50)</f>
        <v>65.364000000000004</v>
      </c>
      <c r="AB140">
        <f>0.317*(4.19 * 50)</f>
        <v>66.411500000000004</v>
      </c>
      <c r="AC140">
        <f>0.322*(4.19 * 50)</f>
        <v>67.459000000000017</v>
      </c>
      <c r="AD140">
        <f>0.328*(4.19 * 50)</f>
        <v>68.716000000000008</v>
      </c>
      <c r="AE140">
        <f>0.33*(4.19 * 50)</f>
        <v>69.135000000000019</v>
      </c>
      <c r="AF140">
        <f>0.327*(4.19 * 50)</f>
        <v>68.506500000000017</v>
      </c>
      <c r="AG140">
        <f>0.323*(4.19 * 50)</f>
        <v>67.668500000000009</v>
      </c>
    </row>
    <row r="141" spans="1:33" x14ac:dyDescent="0.3">
      <c r="A141" t="s">
        <v>184</v>
      </c>
      <c r="B141">
        <v>363081.546875</v>
      </c>
      <c r="C141">
        <v>6671627.2070310004</v>
      </c>
      <c r="D141" t="s">
        <v>550</v>
      </c>
      <c r="E141">
        <v>100</v>
      </c>
      <c r="F141">
        <v>105</v>
      </c>
      <c r="G141">
        <v>0.50119331742243434</v>
      </c>
      <c r="H141">
        <f t="shared" si="5"/>
        <v>203.465</v>
      </c>
      <c r="I141">
        <f t="shared" si="4"/>
        <v>209.50000000000003</v>
      </c>
      <c r="J141">
        <f>0.457*(4.19 * 50)</f>
        <v>95.741500000000016</v>
      </c>
      <c r="K141">
        <f>0.453*(4.19 * 50)</f>
        <v>94.903500000000022</v>
      </c>
      <c r="L141">
        <f>0.451*(4.19 * 50)</f>
        <v>94.484500000000011</v>
      </c>
      <c r="M141">
        <f>0.449*(4.19 * 50)</f>
        <v>94.065500000000014</v>
      </c>
      <c r="N141">
        <f>0.451*(4.19 * 50)</f>
        <v>94.484500000000011</v>
      </c>
      <c r="O141">
        <f>0.457*(4.19 * 50)</f>
        <v>95.741500000000016</v>
      </c>
      <c r="P141">
        <f>0.47*(4.19 * 50)</f>
        <v>98.465000000000003</v>
      </c>
      <c r="Q141">
        <f>0.483*(4.19 * 50)</f>
        <v>101.1885</v>
      </c>
      <c r="R141">
        <f>0.478*(4.19 * 50)</f>
        <v>100.14100000000001</v>
      </c>
      <c r="S141">
        <f>0.468*(4.19 * 50)</f>
        <v>98.046000000000021</v>
      </c>
      <c r="T141">
        <f>0.467*(4.19 * 50)</f>
        <v>97.836500000000015</v>
      </c>
      <c r="U141">
        <f>0.447*(4.19 * 50)</f>
        <v>93.646500000000017</v>
      </c>
      <c r="V141">
        <f>0.441*(4.19 * 50)</f>
        <v>92.389500000000012</v>
      </c>
      <c r="W141">
        <f>0.435*(4.19 * 50)</f>
        <v>91.132500000000007</v>
      </c>
      <c r="X141">
        <f>0.433*(4.19 * 50)</f>
        <v>90.71350000000001</v>
      </c>
      <c r="Y141">
        <f>0.434*(4.19 * 50)</f>
        <v>90.923000000000016</v>
      </c>
      <c r="Z141">
        <f>0.439*(4.19 * 50)</f>
        <v>91.970500000000015</v>
      </c>
      <c r="AA141">
        <f>0.447*(4.19 * 50)</f>
        <v>93.646500000000017</v>
      </c>
      <c r="AB141">
        <f>0.453*(4.19 * 50)</f>
        <v>94.903500000000022</v>
      </c>
      <c r="AC141">
        <f>0.462*(4.19 * 50)</f>
        <v>96.789000000000016</v>
      </c>
      <c r="AD141">
        <f>0.469*(4.19 * 50)</f>
        <v>98.255500000000012</v>
      </c>
      <c r="AE141">
        <f>0.473*(4.19 * 50)</f>
        <v>99.093500000000006</v>
      </c>
      <c r="AF141">
        <f>0.468*(4.19 * 50)</f>
        <v>98.046000000000021</v>
      </c>
      <c r="AG141">
        <f>0.462*(4.19 * 50)</f>
        <v>96.789000000000016</v>
      </c>
    </row>
    <row r="142" spans="1:33" x14ac:dyDescent="0.3">
      <c r="A142" t="s">
        <v>185</v>
      </c>
      <c r="B142">
        <v>357121.753906</v>
      </c>
      <c r="C142">
        <v>6668035.8710939996</v>
      </c>
      <c r="D142" t="s">
        <v>540</v>
      </c>
      <c r="E142">
        <v>100</v>
      </c>
      <c r="F142">
        <v>11</v>
      </c>
      <c r="G142">
        <v>5.2505966587112173E-2</v>
      </c>
      <c r="H142">
        <f t="shared" si="5"/>
        <v>21.265500000000003</v>
      </c>
      <c r="I142">
        <f t="shared" si="4"/>
        <v>209.50000000000003</v>
      </c>
      <c r="J142">
        <f>0.048*(4.19 * 50)</f>
        <v>10.056000000000001</v>
      </c>
      <c r="K142">
        <f>0.047*(4.19 * 50)</f>
        <v>9.8465000000000007</v>
      </c>
      <c r="L142">
        <f>0.047*(4.19 * 50)</f>
        <v>9.8465000000000007</v>
      </c>
      <c r="M142">
        <f>0.047*(4.19 * 50)</f>
        <v>9.8465000000000007</v>
      </c>
      <c r="N142">
        <f>0.047*(4.19 * 50)</f>
        <v>9.8465000000000007</v>
      </c>
      <c r="O142">
        <f>0.048*(4.19 * 50)</f>
        <v>10.056000000000001</v>
      </c>
      <c r="P142">
        <f>0.049*(4.19 * 50)</f>
        <v>10.265500000000001</v>
      </c>
      <c r="Q142">
        <f>0.051*(4.19 * 50)</f>
        <v>10.6845</v>
      </c>
      <c r="R142">
        <f>0.05*(4.19 * 50)</f>
        <v>10.475000000000001</v>
      </c>
      <c r="S142">
        <f>0.049*(4.19 * 50)</f>
        <v>10.265500000000001</v>
      </c>
      <c r="T142">
        <f>0.049*(4.19 * 50)</f>
        <v>10.265500000000001</v>
      </c>
      <c r="U142">
        <f>0.047*(4.19 * 50)</f>
        <v>9.8465000000000007</v>
      </c>
      <c r="V142">
        <f>0.046*(4.19 * 50)</f>
        <v>9.6370000000000005</v>
      </c>
      <c r="W142">
        <f>0.046*(4.19 * 50)</f>
        <v>9.6370000000000005</v>
      </c>
      <c r="X142">
        <f>0.045*(4.19 * 50)</f>
        <v>9.4275000000000002</v>
      </c>
      <c r="Y142">
        <f>0.045*(4.19 * 50)</f>
        <v>9.4275000000000002</v>
      </c>
      <c r="Z142">
        <f>0.046*(4.19 * 50)</f>
        <v>9.6370000000000005</v>
      </c>
      <c r="AA142">
        <f>0.047*(4.19 * 50)</f>
        <v>9.8465000000000007</v>
      </c>
      <c r="AB142">
        <f>0.047*(4.19 * 50)</f>
        <v>9.8465000000000007</v>
      </c>
      <c r="AC142">
        <f>0.048*(4.19 * 50)</f>
        <v>10.056000000000001</v>
      </c>
      <c r="AD142">
        <f>0.049*(4.19 * 50)</f>
        <v>10.265500000000001</v>
      </c>
      <c r="AE142">
        <f>0.05*(4.19 * 50)</f>
        <v>10.475000000000001</v>
      </c>
      <c r="AF142">
        <f>0.049*(4.19 * 50)</f>
        <v>10.265500000000001</v>
      </c>
      <c r="AG142">
        <f>0.048*(4.19 * 50)</f>
        <v>10.056000000000001</v>
      </c>
    </row>
    <row r="143" spans="1:33" x14ac:dyDescent="0.3">
      <c r="A143" t="s">
        <v>186</v>
      </c>
      <c r="B143">
        <v>357013.972656</v>
      </c>
      <c r="C143">
        <v>6668296.3242189996</v>
      </c>
      <c r="D143" t="s">
        <v>540</v>
      </c>
      <c r="E143">
        <v>100</v>
      </c>
      <c r="F143">
        <v>16</v>
      </c>
      <c r="G143">
        <v>7.6372315035799512E-2</v>
      </c>
      <c r="H143">
        <f t="shared" si="5"/>
        <v>31.084000000000003</v>
      </c>
      <c r="I143">
        <f t="shared" si="4"/>
        <v>209.50000000000003</v>
      </c>
      <c r="J143">
        <f>0.07*(4.19 * 50)</f>
        <v>14.665000000000003</v>
      </c>
      <c r="K143">
        <f>0.069*(4.19 * 50)</f>
        <v>14.455500000000002</v>
      </c>
      <c r="L143">
        <f>0.069*(4.19 * 50)</f>
        <v>14.455500000000002</v>
      </c>
      <c r="M143">
        <f>0.068*(4.19 * 50)</f>
        <v>14.246000000000002</v>
      </c>
      <c r="N143">
        <f>0.069*(4.19 * 50)</f>
        <v>14.455500000000002</v>
      </c>
      <c r="O143">
        <f>0.07*(4.19 * 50)</f>
        <v>14.665000000000003</v>
      </c>
      <c r="P143">
        <f>0.072*(4.19 * 50)</f>
        <v>15.084000000000001</v>
      </c>
      <c r="Q143">
        <f>0.074*(4.19 * 50)</f>
        <v>15.503000000000002</v>
      </c>
      <c r="R143">
        <f>0.073*(4.19 * 50)</f>
        <v>15.293500000000002</v>
      </c>
      <c r="S143">
        <f>0.071*(4.19 * 50)</f>
        <v>14.874500000000001</v>
      </c>
      <c r="T143">
        <f>0.071*(4.19 * 50)</f>
        <v>14.874500000000001</v>
      </c>
      <c r="U143">
        <f>0.068*(4.19 * 50)</f>
        <v>14.246000000000002</v>
      </c>
      <c r="V143">
        <f>0.067*(4.19 * 50)</f>
        <v>14.036500000000002</v>
      </c>
      <c r="W143">
        <f>0.066*(4.19 * 50)</f>
        <v>13.827000000000002</v>
      </c>
      <c r="X143">
        <f>0.066*(4.19 * 50)</f>
        <v>13.827000000000002</v>
      </c>
      <c r="Y143">
        <f>0.066*(4.19 * 50)</f>
        <v>13.827000000000002</v>
      </c>
      <c r="Z143">
        <f>0.067*(4.19 * 50)</f>
        <v>14.036500000000002</v>
      </c>
      <c r="AA143">
        <f>0.068*(4.19 * 50)</f>
        <v>14.246000000000002</v>
      </c>
      <c r="AB143">
        <f>0.069*(4.19 * 50)</f>
        <v>14.455500000000002</v>
      </c>
      <c r="AC143">
        <f>0.07*(4.19 * 50)</f>
        <v>14.665000000000003</v>
      </c>
      <c r="AD143">
        <f>0.072*(4.19 * 50)</f>
        <v>15.084000000000001</v>
      </c>
      <c r="AE143">
        <f>0.072*(4.19 * 50)</f>
        <v>15.084000000000001</v>
      </c>
      <c r="AF143">
        <f>0.071*(4.19 * 50)</f>
        <v>14.874500000000001</v>
      </c>
      <c r="AG143">
        <f>0.07*(4.19 * 50)</f>
        <v>14.665000000000003</v>
      </c>
    </row>
    <row r="144" spans="1:33" x14ac:dyDescent="0.3">
      <c r="A144" t="s">
        <v>187</v>
      </c>
      <c r="B144">
        <v>362919.410156</v>
      </c>
      <c r="C144">
        <v>6671425.6640630001</v>
      </c>
      <c r="D144" t="s">
        <v>545</v>
      </c>
      <c r="E144">
        <v>100</v>
      </c>
      <c r="F144">
        <v>401</v>
      </c>
      <c r="G144">
        <v>1.9140811455847251</v>
      </c>
      <c r="H144">
        <f t="shared" si="5"/>
        <v>777.26200000000006</v>
      </c>
      <c r="I144">
        <f t="shared" si="4"/>
        <v>209.50000000000003</v>
      </c>
      <c r="J144">
        <f>1.745*(4.19 * 50)</f>
        <v>365.5775000000001</v>
      </c>
      <c r="K144">
        <f>1.731*(4.19 * 50)</f>
        <v>362.64450000000005</v>
      </c>
      <c r="L144">
        <f>1.721*(4.19 * 50)</f>
        <v>360.54950000000008</v>
      </c>
      <c r="M144">
        <f>1.714*(4.19 * 50)</f>
        <v>359.08300000000003</v>
      </c>
      <c r="N144">
        <f>1.721*(4.19 * 50)</f>
        <v>360.54950000000008</v>
      </c>
      <c r="O144">
        <f>1.744*(4.19 * 50)</f>
        <v>365.36800000000005</v>
      </c>
      <c r="P144">
        <f>1.796*(4.19 * 50)</f>
        <v>376.26200000000006</v>
      </c>
      <c r="Q144">
        <f>1.843*(4.19 * 50)</f>
        <v>386.10850000000005</v>
      </c>
      <c r="R144">
        <f>1.827*(4.19 * 50)</f>
        <v>382.75650000000002</v>
      </c>
      <c r="S144">
        <f>1.789*(4.19 * 50)</f>
        <v>374.79550000000006</v>
      </c>
      <c r="T144">
        <f>1.782*(4.19 * 50)</f>
        <v>373.32900000000006</v>
      </c>
      <c r="U144">
        <f>1.707*(4.19 * 50)</f>
        <v>357.61650000000009</v>
      </c>
      <c r="V144">
        <f>1.683*(4.19 * 50)</f>
        <v>352.58850000000007</v>
      </c>
      <c r="W144">
        <f>1.66*(4.19 * 50)</f>
        <v>347.77000000000004</v>
      </c>
      <c r="X144">
        <f>1.655*(4.19 * 50)</f>
        <v>346.72250000000003</v>
      </c>
      <c r="Y144">
        <f>1.658*(4.19 * 50)</f>
        <v>347.35100000000006</v>
      </c>
      <c r="Z144">
        <f>1.676*(4.19 * 50)</f>
        <v>351.12200000000001</v>
      </c>
      <c r="AA144">
        <f>1.707*(4.19 * 50)</f>
        <v>357.61650000000009</v>
      </c>
      <c r="AB144">
        <f>1.731*(4.19 * 50)</f>
        <v>362.64450000000005</v>
      </c>
      <c r="AC144">
        <f>1.763*(4.19 * 50)</f>
        <v>369.3485</v>
      </c>
      <c r="AD144">
        <f>1.792*(4.19 * 50)</f>
        <v>375.42400000000004</v>
      </c>
      <c r="AE144">
        <f>1.805*(4.19 * 50)</f>
        <v>378.14750000000004</v>
      </c>
      <c r="AF144">
        <f>1.789*(4.19 * 50)</f>
        <v>374.79550000000006</v>
      </c>
      <c r="AG144">
        <f>1.764*(4.19 * 50)</f>
        <v>369.55800000000005</v>
      </c>
    </row>
    <row r="145" spans="1:33" x14ac:dyDescent="0.3">
      <c r="A145" t="s">
        <v>188</v>
      </c>
      <c r="B145">
        <v>363677.515625</v>
      </c>
      <c r="C145">
        <v>6672206.3125</v>
      </c>
      <c r="D145" t="s">
        <v>553</v>
      </c>
      <c r="E145">
        <v>100</v>
      </c>
      <c r="F145">
        <v>114</v>
      </c>
      <c r="G145">
        <v>0.54415274463007157</v>
      </c>
      <c r="H145">
        <f t="shared" si="5"/>
        <v>221.05450000000002</v>
      </c>
      <c r="I145">
        <f t="shared" si="4"/>
        <v>209.50000000000003</v>
      </c>
      <c r="J145">
        <f>0.496*(4.19 * 50)</f>
        <v>103.91200000000002</v>
      </c>
      <c r="K145">
        <f>0.492*(4.19 * 50)</f>
        <v>103.07400000000001</v>
      </c>
      <c r="L145">
        <f>0.489*(4.19 * 50)</f>
        <v>102.44550000000001</v>
      </c>
      <c r="M145">
        <f>0.487*(4.19 * 50)</f>
        <v>102.02650000000001</v>
      </c>
      <c r="N145">
        <f>0.489*(4.19 * 50)</f>
        <v>102.44550000000001</v>
      </c>
      <c r="O145">
        <f>0.496*(4.19 * 50)</f>
        <v>103.91200000000002</v>
      </c>
      <c r="P145">
        <f>0.511*(4.19 * 50)</f>
        <v>107.05450000000002</v>
      </c>
      <c r="Q145">
        <f>0.524*(4.19 * 50)</f>
        <v>109.77800000000002</v>
      </c>
      <c r="R145">
        <f>0.519*(4.19 * 50)</f>
        <v>108.73050000000002</v>
      </c>
      <c r="S145">
        <f>0.509*(4.19 * 50)</f>
        <v>106.63550000000002</v>
      </c>
      <c r="T145">
        <f>0.507*(4.19 * 50)</f>
        <v>106.21650000000001</v>
      </c>
      <c r="U145">
        <f>0.485*(4.19 * 50)</f>
        <v>101.60750000000002</v>
      </c>
      <c r="V145">
        <f>0.478*(4.19 * 50)</f>
        <v>100.14100000000001</v>
      </c>
      <c r="W145">
        <f>0.472*(4.19 * 50)</f>
        <v>98.884000000000015</v>
      </c>
      <c r="X145">
        <f>0.47*(4.19 * 50)</f>
        <v>98.465000000000003</v>
      </c>
      <c r="Y145">
        <f>0.471*(4.19 * 50)</f>
        <v>98.674500000000009</v>
      </c>
      <c r="Z145">
        <f>0.476*(4.19 * 50)</f>
        <v>99.722000000000008</v>
      </c>
      <c r="AA145">
        <f>0.485*(4.19 * 50)</f>
        <v>101.60750000000002</v>
      </c>
      <c r="AB145">
        <f>0.492*(4.19 * 50)</f>
        <v>103.07400000000001</v>
      </c>
      <c r="AC145">
        <f>0.501*(4.19 * 50)</f>
        <v>104.95950000000002</v>
      </c>
      <c r="AD145">
        <f>0.51*(4.19 * 50)</f>
        <v>106.84500000000001</v>
      </c>
      <c r="AE145">
        <f>0.513*(4.19 * 50)</f>
        <v>107.47350000000002</v>
      </c>
      <c r="AF145">
        <f>0.509*(4.19 * 50)</f>
        <v>106.63550000000002</v>
      </c>
      <c r="AG145">
        <f>0.502*(4.19 * 50)</f>
        <v>105.16900000000001</v>
      </c>
    </row>
    <row r="146" spans="1:33" x14ac:dyDescent="0.3">
      <c r="A146" t="s">
        <v>189</v>
      </c>
      <c r="B146">
        <v>363832.671875</v>
      </c>
      <c r="C146">
        <v>6671882.1289060004</v>
      </c>
      <c r="D146" t="s">
        <v>554</v>
      </c>
      <c r="E146">
        <v>100</v>
      </c>
      <c r="F146">
        <v>237</v>
      </c>
      <c r="G146">
        <v>1.1312649164677799</v>
      </c>
      <c r="H146">
        <f t="shared" si="5"/>
        <v>459.27949999999998</v>
      </c>
      <c r="I146">
        <f t="shared" si="4"/>
        <v>209.50000000000003</v>
      </c>
      <c r="J146">
        <f>1.032*(4.19 * 50)</f>
        <v>216.20400000000004</v>
      </c>
      <c r="K146">
        <f>1.023*(4.19 * 50)</f>
        <v>214.3185</v>
      </c>
      <c r="L146">
        <f>1.017*(4.19 * 50)</f>
        <v>213.0615</v>
      </c>
      <c r="M146">
        <f>1.013*(4.19 * 50)</f>
        <v>212.2235</v>
      </c>
      <c r="N146">
        <f>1.017*(4.19 * 50)</f>
        <v>213.0615</v>
      </c>
      <c r="O146">
        <f>1.03*(4.19 * 50)</f>
        <v>215.78500000000003</v>
      </c>
      <c r="P146">
        <f>1.061*(4.19 * 50)</f>
        <v>222.27950000000001</v>
      </c>
      <c r="Q146">
        <f>1.089*(4.19 * 50)</f>
        <v>228.14550000000003</v>
      </c>
      <c r="R146">
        <f>1.08*(4.19 * 50)</f>
        <v>226.26000000000005</v>
      </c>
      <c r="S146">
        <f>1.057*(4.19 * 50)</f>
        <v>221.44150000000002</v>
      </c>
      <c r="T146">
        <f>1.053*(4.19 * 50)</f>
        <v>220.60350000000003</v>
      </c>
      <c r="U146">
        <f>1.009*(4.19 * 50)</f>
        <v>211.38550000000001</v>
      </c>
      <c r="V146">
        <f>0.994*(4.19 * 50)</f>
        <v>208.24300000000002</v>
      </c>
      <c r="W146">
        <f>0.981*(4.19 * 50)</f>
        <v>205.51950000000002</v>
      </c>
      <c r="X146">
        <f>0.978*(4.19 * 50)</f>
        <v>204.89100000000002</v>
      </c>
      <c r="Y146">
        <f>0.98*(4.19 * 50)</f>
        <v>205.31000000000003</v>
      </c>
      <c r="Z146">
        <f>0.99*(4.19 * 50)</f>
        <v>207.40500000000003</v>
      </c>
      <c r="AA146">
        <f>1.009*(4.19 * 50)</f>
        <v>211.38550000000001</v>
      </c>
      <c r="AB146">
        <f>1.023*(4.19 * 50)</f>
        <v>214.3185</v>
      </c>
      <c r="AC146">
        <f>1.042*(4.19 * 50)</f>
        <v>218.29900000000004</v>
      </c>
      <c r="AD146">
        <f>1.059*(4.19 * 50)</f>
        <v>221.86050000000003</v>
      </c>
      <c r="AE146">
        <f>1.067*(4.19 * 50)</f>
        <v>223.53650000000002</v>
      </c>
      <c r="AF146">
        <f>1.057*(4.19 * 50)</f>
        <v>221.44150000000002</v>
      </c>
      <c r="AG146">
        <f>1.043*(4.19 * 50)</f>
        <v>218.50850000000003</v>
      </c>
    </row>
    <row r="147" spans="1:33" x14ac:dyDescent="0.3">
      <c r="A147" t="s">
        <v>190</v>
      </c>
      <c r="B147">
        <v>363409.835938</v>
      </c>
      <c r="C147">
        <v>6671915.234375</v>
      </c>
      <c r="D147" t="s">
        <v>541</v>
      </c>
      <c r="E147">
        <v>100</v>
      </c>
      <c r="F147">
        <v>48.333000183105398</v>
      </c>
      <c r="G147">
        <v>0.23070644478809249</v>
      </c>
      <c r="H147">
        <f t="shared" si="5"/>
        <v>93.585000183105393</v>
      </c>
      <c r="I147">
        <f t="shared" si="4"/>
        <v>209.50000000000003</v>
      </c>
      <c r="J147">
        <f>0.21*(4.19 * 50)</f>
        <v>43.995000000000005</v>
      </c>
      <c r="K147">
        <f>0.209*(4.19 * 50)</f>
        <v>43.785500000000006</v>
      </c>
      <c r="L147">
        <f>0.207*(4.19 * 50)</f>
        <v>43.366500000000002</v>
      </c>
      <c r="M147">
        <f>0.207*(4.19 * 50)</f>
        <v>43.366500000000002</v>
      </c>
      <c r="N147">
        <f>0.207*(4.19 * 50)</f>
        <v>43.366500000000002</v>
      </c>
      <c r="O147">
        <f>0.21*(4.19 * 50)</f>
        <v>43.995000000000005</v>
      </c>
      <c r="P147">
        <f>0.216*(4.19 * 50)</f>
        <v>45.252000000000002</v>
      </c>
      <c r="Q147">
        <f>0.222*(4.19 * 50)</f>
        <v>46.509000000000007</v>
      </c>
      <c r="R147">
        <f>0.22*(4.19 * 50)</f>
        <v>46.09</v>
      </c>
      <c r="S147">
        <f>0.216*(4.19 * 50)</f>
        <v>45.252000000000002</v>
      </c>
      <c r="T147">
        <f>0.215*(4.19 * 50)</f>
        <v>45.042500000000004</v>
      </c>
      <c r="U147">
        <f>0.206*(4.19 * 50)</f>
        <v>43.157000000000004</v>
      </c>
      <c r="V147">
        <f>0.203*(4.19 * 50)</f>
        <v>42.528500000000008</v>
      </c>
      <c r="W147">
        <f>0.2*(4.19 * 50)</f>
        <v>41.900000000000006</v>
      </c>
      <c r="X147">
        <f>0.199*(4.19 * 50)</f>
        <v>41.690500000000007</v>
      </c>
      <c r="Y147">
        <f>0.2*(4.19 * 50)</f>
        <v>41.900000000000006</v>
      </c>
      <c r="Z147">
        <f>0.202*(4.19 * 50)</f>
        <v>42.31900000000001</v>
      </c>
      <c r="AA147">
        <f>0.206*(4.19 * 50)</f>
        <v>43.157000000000004</v>
      </c>
      <c r="AB147">
        <f>0.209*(4.19 * 50)</f>
        <v>43.785500000000006</v>
      </c>
      <c r="AC147">
        <f>0.212*(4.19 * 50)</f>
        <v>44.414000000000001</v>
      </c>
      <c r="AD147">
        <f>0.216*(4.19 * 50)</f>
        <v>45.252000000000002</v>
      </c>
      <c r="AE147">
        <f>0.218*(4.19 * 50)</f>
        <v>45.671000000000006</v>
      </c>
      <c r="AF147">
        <f>0.216*(4.19 * 50)</f>
        <v>45.252000000000002</v>
      </c>
      <c r="AG147">
        <f>0.213*(4.19 * 50)</f>
        <v>44.623500000000007</v>
      </c>
    </row>
    <row r="148" spans="1:33" x14ac:dyDescent="0.3">
      <c r="A148" t="s">
        <v>191</v>
      </c>
      <c r="B148">
        <v>363492.046875</v>
      </c>
      <c r="C148">
        <v>6672146.3671880001</v>
      </c>
      <c r="D148" t="s">
        <v>555</v>
      </c>
      <c r="E148">
        <v>100</v>
      </c>
      <c r="F148">
        <v>206.33299255371</v>
      </c>
      <c r="G148">
        <v>0.98488301934945088</v>
      </c>
      <c r="H148">
        <f t="shared" si="5"/>
        <v>399.91099255371</v>
      </c>
      <c r="I148">
        <f t="shared" si="4"/>
        <v>209.50000000000003</v>
      </c>
      <c r="J148">
        <f>0.898*(4.19 * 50)</f>
        <v>188.13100000000003</v>
      </c>
      <c r="K148">
        <f>0.891*(4.19 * 50)</f>
        <v>186.66450000000003</v>
      </c>
      <c r="L148">
        <f>0.885*(4.19 * 50)</f>
        <v>185.40750000000003</v>
      </c>
      <c r="M148">
        <f>0.882*(4.19 * 50)</f>
        <v>184.77900000000002</v>
      </c>
      <c r="N148">
        <f>0.885*(4.19 * 50)</f>
        <v>185.40750000000003</v>
      </c>
      <c r="O148">
        <f>0.897*(4.19 * 50)</f>
        <v>187.92150000000004</v>
      </c>
      <c r="P148">
        <f>0.924*(4.19 * 50)</f>
        <v>193.57800000000003</v>
      </c>
      <c r="Q148">
        <f>0.948*(4.19 * 50)</f>
        <v>198.60600000000002</v>
      </c>
      <c r="R148">
        <f>0.94*(4.19 * 50)</f>
        <v>196.93</v>
      </c>
      <c r="S148">
        <f>0.92*(4.19 * 50)</f>
        <v>192.74000000000004</v>
      </c>
      <c r="T148">
        <f>0.917*(4.19 * 50)</f>
        <v>192.11150000000004</v>
      </c>
      <c r="U148">
        <f>0.878*(4.19 * 50)</f>
        <v>183.94100000000003</v>
      </c>
      <c r="V148">
        <f>0.866*(4.19 * 50)</f>
        <v>181.42700000000002</v>
      </c>
      <c r="W148">
        <f>0.854*(4.19 * 50)</f>
        <v>178.91300000000001</v>
      </c>
      <c r="X148">
        <f>0.851*(4.19 * 50)</f>
        <v>178.28450000000001</v>
      </c>
      <c r="Y148">
        <f>0.853*(4.19 * 50)</f>
        <v>178.70350000000002</v>
      </c>
      <c r="Z148">
        <f>0.862*(4.19 * 50)</f>
        <v>180.58900000000003</v>
      </c>
      <c r="AA148">
        <f>0.878*(4.19 * 50)</f>
        <v>183.94100000000003</v>
      </c>
      <c r="AB148">
        <f>0.891*(4.19 * 50)</f>
        <v>186.66450000000003</v>
      </c>
      <c r="AC148">
        <f>0.907*(4.19 * 50)</f>
        <v>190.01650000000004</v>
      </c>
      <c r="AD148">
        <f>0.922*(4.19 * 50)</f>
        <v>193.15900000000005</v>
      </c>
      <c r="AE148">
        <f>0.929*(4.19 * 50)</f>
        <v>194.62550000000005</v>
      </c>
      <c r="AF148">
        <f>0.92*(4.19 * 50)</f>
        <v>192.74000000000004</v>
      </c>
      <c r="AG148">
        <f>0.908*(4.19 * 50)</f>
        <v>190.22600000000003</v>
      </c>
    </row>
    <row r="149" spans="1:33" x14ac:dyDescent="0.3">
      <c r="A149" t="s">
        <v>192</v>
      </c>
      <c r="B149">
        <v>363502.992188</v>
      </c>
      <c r="C149">
        <v>6672187.4335939996</v>
      </c>
      <c r="D149" t="s">
        <v>550</v>
      </c>
      <c r="E149">
        <v>100</v>
      </c>
      <c r="F149">
        <v>185</v>
      </c>
      <c r="G149">
        <v>0.88305489260143188</v>
      </c>
      <c r="H149">
        <f t="shared" si="5"/>
        <v>358.46600000000001</v>
      </c>
      <c r="I149">
        <f t="shared" si="4"/>
        <v>209.50000000000003</v>
      </c>
      <c r="J149">
        <f>0.805*(4.19 * 50)</f>
        <v>168.64750000000004</v>
      </c>
      <c r="K149">
        <f>0.799*(4.19 * 50)</f>
        <v>167.39050000000003</v>
      </c>
      <c r="L149">
        <f>0.794*(4.19 * 50)</f>
        <v>166.34300000000002</v>
      </c>
      <c r="M149">
        <f>0.791*(4.19 * 50)</f>
        <v>165.71450000000004</v>
      </c>
      <c r="N149">
        <f>0.794*(4.19 * 50)</f>
        <v>166.34300000000002</v>
      </c>
      <c r="O149">
        <f>0.804*(4.19 * 50)</f>
        <v>168.43800000000005</v>
      </c>
      <c r="P149">
        <f>0.828*(4.19 * 50)</f>
        <v>173.46600000000001</v>
      </c>
      <c r="Q149">
        <f>0.85*(4.19 * 50)</f>
        <v>178.07500000000002</v>
      </c>
      <c r="R149">
        <f>0.843*(4.19 * 50)</f>
        <v>176.60850000000002</v>
      </c>
      <c r="S149">
        <f>0.825*(4.19 * 50)</f>
        <v>172.83750000000001</v>
      </c>
      <c r="T149">
        <f>0.822*(4.19 * 50)</f>
        <v>172.209</v>
      </c>
      <c r="U149">
        <f>0.788*(4.19 * 50)</f>
        <v>165.08600000000004</v>
      </c>
      <c r="V149">
        <f>0.776*(4.19 * 50)</f>
        <v>162.57200000000003</v>
      </c>
      <c r="W149">
        <f>0.766*(4.19 * 50)</f>
        <v>160.47700000000003</v>
      </c>
      <c r="X149">
        <f>0.763*(4.19 * 50)</f>
        <v>159.84850000000003</v>
      </c>
      <c r="Y149">
        <f>0.765*(4.19 * 50)</f>
        <v>160.26750000000001</v>
      </c>
      <c r="Z149">
        <f>0.773*(4.19 * 50)</f>
        <v>161.94350000000003</v>
      </c>
      <c r="AA149">
        <f>0.788*(4.19 * 50)</f>
        <v>165.08600000000004</v>
      </c>
      <c r="AB149">
        <f>0.799*(4.19 * 50)</f>
        <v>167.39050000000003</v>
      </c>
      <c r="AC149">
        <f>0.813*(4.19 * 50)</f>
        <v>170.32350000000002</v>
      </c>
      <c r="AD149">
        <f>0.827*(4.19 * 50)</f>
        <v>173.25650000000002</v>
      </c>
      <c r="AE149">
        <f>0.833*(4.19 * 50)</f>
        <v>174.51350000000002</v>
      </c>
      <c r="AF149">
        <f>0.825*(4.19 * 50)</f>
        <v>172.83750000000001</v>
      </c>
      <c r="AG149">
        <f>0.814*(4.19 * 50)</f>
        <v>170.53300000000002</v>
      </c>
    </row>
    <row r="150" spans="1:33" x14ac:dyDescent="0.3">
      <c r="A150" t="s">
        <v>193</v>
      </c>
      <c r="B150">
        <v>363218.542969</v>
      </c>
      <c r="C150">
        <v>6670962.3476560004</v>
      </c>
      <c r="D150" t="s">
        <v>553</v>
      </c>
      <c r="E150">
        <v>100</v>
      </c>
      <c r="F150">
        <v>350</v>
      </c>
      <c r="G150">
        <v>1.6706443914081139</v>
      </c>
      <c r="H150">
        <f t="shared" si="5"/>
        <v>678.28650000000005</v>
      </c>
      <c r="I150">
        <f t="shared" si="4"/>
        <v>209.50000000000003</v>
      </c>
      <c r="J150">
        <f>1.523*(4.19 * 50)</f>
        <v>319.06850000000003</v>
      </c>
      <c r="K150">
        <f>1.511*(4.19 * 50)</f>
        <v>316.55450000000002</v>
      </c>
      <c r="L150">
        <f>1.502*(4.19 * 50)</f>
        <v>314.66900000000004</v>
      </c>
      <c r="M150">
        <f>1.496*(4.19 * 50)</f>
        <v>313.41200000000003</v>
      </c>
      <c r="N150">
        <f>1.502*(4.19 * 50)</f>
        <v>314.66900000000004</v>
      </c>
      <c r="O150">
        <f>1.522*(4.19 * 50)</f>
        <v>318.85900000000004</v>
      </c>
      <c r="P150">
        <f>1.567*(4.19 * 50)</f>
        <v>328.28650000000005</v>
      </c>
      <c r="Q150">
        <f>1.608*(4.19 * 50)</f>
        <v>336.87600000000009</v>
      </c>
      <c r="R150">
        <f>1.595*(4.19 * 50)</f>
        <v>334.15250000000003</v>
      </c>
      <c r="S150">
        <f>1.561*(4.19 * 50)</f>
        <v>327.02950000000004</v>
      </c>
      <c r="T150">
        <f>1.555*(4.19 * 50)</f>
        <v>325.77250000000004</v>
      </c>
      <c r="U150">
        <f>1.49*(4.19 * 50)</f>
        <v>312.15500000000003</v>
      </c>
      <c r="V150">
        <f>1.469*(4.19 * 50)</f>
        <v>307.75550000000004</v>
      </c>
      <c r="W150">
        <f>1.449*(4.19 * 50)</f>
        <v>303.56550000000004</v>
      </c>
      <c r="X150">
        <f>1.444*(4.19 * 50)</f>
        <v>302.51800000000003</v>
      </c>
      <c r="Y150">
        <f>1.447*(4.19 * 50)</f>
        <v>303.14650000000006</v>
      </c>
      <c r="Z150">
        <f>1.463*(4.19 * 50)</f>
        <v>306.49850000000004</v>
      </c>
      <c r="AA150">
        <f>1.49*(4.19 * 50)</f>
        <v>312.15500000000003</v>
      </c>
      <c r="AB150">
        <f>1.511*(4.19 * 50)</f>
        <v>316.55450000000002</v>
      </c>
      <c r="AC150">
        <f>1.539*(4.19 * 50)</f>
        <v>322.4205</v>
      </c>
      <c r="AD150">
        <f>1.564*(4.19 * 50)</f>
        <v>327.65800000000007</v>
      </c>
      <c r="AE150">
        <f>1.575*(4.19 * 50)</f>
        <v>329.96250000000003</v>
      </c>
      <c r="AF150">
        <f>1.561*(4.19 * 50)</f>
        <v>327.02950000000004</v>
      </c>
      <c r="AG150">
        <f>1.54*(4.19 * 50)</f>
        <v>322.63000000000005</v>
      </c>
    </row>
    <row r="151" spans="1:33" x14ac:dyDescent="0.3">
      <c r="A151" t="s">
        <v>194</v>
      </c>
      <c r="B151">
        <v>357645.425781</v>
      </c>
      <c r="C151">
        <v>6668134.5976560004</v>
      </c>
      <c r="D151" t="s">
        <v>556</v>
      </c>
      <c r="E151">
        <v>100</v>
      </c>
      <c r="F151">
        <v>198.66700744628901</v>
      </c>
      <c r="G151">
        <v>0.94829120499421948</v>
      </c>
      <c r="H151">
        <f t="shared" si="5"/>
        <v>385.12200744628905</v>
      </c>
      <c r="I151">
        <f t="shared" si="4"/>
        <v>209.50000000000003</v>
      </c>
      <c r="J151">
        <f>0.865*(4.19 * 50)</f>
        <v>181.21750000000003</v>
      </c>
      <c r="K151">
        <f>0.858*(4.19 * 50)</f>
        <v>179.75100000000003</v>
      </c>
      <c r="L151">
        <f>0.853*(4.19 * 50)</f>
        <v>178.70350000000002</v>
      </c>
      <c r="M151">
        <f>0.849*(4.19 * 50)</f>
        <v>177.86550000000003</v>
      </c>
      <c r="N151">
        <f>0.853*(4.19 * 50)</f>
        <v>178.70350000000002</v>
      </c>
      <c r="O151">
        <f>0.864*(4.19 * 50)</f>
        <v>181.00800000000001</v>
      </c>
      <c r="P151">
        <f>0.89*(4.19 * 50)</f>
        <v>186.45500000000004</v>
      </c>
      <c r="Q151">
        <f>0.913*(4.19 * 50)</f>
        <v>191.27350000000004</v>
      </c>
      <c r="R151">
        <f>0.905*(4.19 * 50)</f>
        <v>189.59750000000003</v>
      </c>
      <c r="S151">
        <f>0.886*(4.19 * 50)</f>
        <v>185.61700000000002</v>
      </c>
      <c r="T151">
        <f>0.883*(4.19 * 50)</f>
        <v>184.98850000000002</v>
      </c>
      <c r="U151">
        <f>0.846*(4.19 * 50)</f>
        <v>177.23700000000002</v>
      </c>
      <c r="V151">
        <f>0.834*(4.19 * 50)</f>
        <v>174.72300000000001</v>
      </c>
      <c r="W151">
        <f>0.822*(4.19 * 50)</f>
        <v>172.209</v>
      </c>
      <c r="X151">
        <f>0.82*(4.19 * 50)</f>
        <v>171.79000000000002</v>
      </c>
      <c r="Y151">
        <f>0.822*(4.19 * 50)</f>
        <v>172.209</v>
      </c>
      <c r="Z151">
        <f>0.83*(4.19 * 50)</f>
        <v>173.88500000000002</v>
      </c>
      <c r="AA151">
        <f>0.846*(4.19 * 50)</f>
        <v>177.23700000000002</v>
      </c>
      <c r="AB151">
        <f>0.858*(4.19 * 50)</f>
        <v>179.75100000000003</v>
      </c>
      <c r="AC151">
        <f>0.873*(4.19 * 50)</f>
        <v>182.89350000000002</v>
      </c>
      <c r="AD151">
        <f>0.888*(4.19 * 50)</f>
        <v>186.03600000000003</v>
      </c>
      <c r="AE151">
        <f>0.894*(4.19 * 50)</f>
        <v>187.29300000000003</v>
      </c>
      <c r="AF151">
        <f>0.886*(4.19 * 50)</f>
        <v>185.61700000000002</v>
      </c>
      <c r="AG151">
        <f>0.874*(4.19 * 50)</f>
        <v>183.10300000000004</v>
      </c>
    </row>
    <row r="152" spans="1:33" x14ac:dyDescent="0.3">
      <c r="A152" t="s">
        <v>195</v>
      </c>
      <c r="B152">
        <v>362491.109375</v>
      </c>
      <c r="C152">
        <v>6670886.8046880001</v>
      </c>
      <c r="D152" t="s">
        <v>541</v>
      </c>
      <c r="E152">
        <v>100</v>
      </c>
      <c r="F152">
        <v>74.333000183105398</v>
      </c>
      <c r="G152">
        <v>0.35481145672126679</v>
      </c>
      <c r="H152">
        <f t="shared" si="5"/>
        <v>144.09650018310541</v>
      </c>
      <c r="I152">
        <f t="shared" si="4"/>
        <v>209.50000000000003</v>
      </c>
      <c r="J152">
        <f>0.324*(4.19 * 50)</f>
        <v>67.878000000000014</v>
      </c>
      <c r="K152">
        <f>0.321*(4.19 * 50)</f>
        <v>67.249500000000012</v>
      </c>
      <c r="L152">
        <f>0.319*(4.19 * 50)</f>
        <v>66.830500000000015</v>
      </c>
      <c r="M152">
        <f>0.318*(4.19 * 50)</f>
        <v>66.621000000000009</v>
      </c>
      <c r="N152">
        <f>0.319*(4.19 * 50)</f>
        <v>66.830500000000015</v>
      </c>
      <c r="O152">
        <f>0.323*(4.19 * 50)</f>
        <v>67.668500000000009</v>
      </c>
      <c r="P152">
        <f>0.333*(4.19 * 50)</f>
        <v>69.763500000000008</v>
      </c>
      <c r="Q152">
        <f>0.342*(4.19 * 50)</f>
        <v>71.649000000000015</v>
      </c>
      <c r="R152">
        <f>0.339*(4.19 * 50)</f>
        <v>71.020500000000013</v>
      </c>
      <c r="S152">
        <f>0.332*(4.19 * 50)</f>
        <v>69.554000000000016</v>
      </c>
      <c r="T152">
        <f>0.33*(4.19 * 50)</f>
        <v>69.135000000000019</v>
      </c>
      <c r="U152">
        <f>0.316*(4.19 * 50)</f>
        <v>66.202000000000012</v>
      </c>
      <c r="V152">
        <f>0.312*(4.19 * 50)</f>
        <v>65.364000000000004</v>
      </c>
      <c r="W152">
        <f>0.308*(4.19 * 50)</f>
        <v>64.52600000000001</v>
      </c>
      <c r="X152">
        <f>0.307*(4.19 * 50)</f>
        <v>64.316500000000005</v>
      </c>
      <c r="Y152">
        <f>0.307*(4.19 * 50)</f>
        <v>64.316500000000005</v>
      </c>
      <c r="Z152">
        <f>0.311*(4.19 * 50)</f>
        <v>65.154500000000013</v>
      </c>
      <c r="AA152">
        <f>0.316*(4.19 * 50)</f>
        <v>66.202000000000012</v>
      </c>
      <c r="AB152">
        <f>0.321*(4.19 * 50)</f>
        <v>67.249500000000012</v>
      </c>
      <c r="AC152">
        <f>0.327*(4.19 * 50)</f>
        <v>68.506500000000017</v>
      </c>
      <c r="AD152">
        <f>0.332*(4.19 * 50)</f>
        <v>69.554000000000016</v>
      </c>
      <c r="AE152">
        <f>0.335*(4.19 * 50)</f>
        <v>70.182500000000019</v>
      </c>
      <c r="AF152">
        <f>0.332*(4.19 * 50)</f>
        <v>69.554000000000016</v>
      </c>
      <c r="AG152">
        <f>0.327*(4.19 * 50)</f>
        <v>68.506500000000017</v>
      </c>
    </row>
    <row r="153" spans="1:33" x14ac:dyDescent="0.3">
      <c r="A153" t="s">
        <v>196</v>
      </c>
      <c r="B153">
        <v>362433.058594</v>
      </c>
      <c r="C153">
        <v>6671451.2109380001</v>
      </c>
      <c r="D153" t="s">
        <v>541</v>
      </c>
      <c r="E153">
        <v>100</v>
      </c>
      <c r="F153">
        <v>114.333000183105</v>
      </c>
      <c r="G153">
        <v>0.54574224431076368</v>
      </c>
      <c r="H153">
        <f t="shared" si="5"/>
        <v>221.59700018310502</v>
      </c>
      <c r="I153">
        <f t="shared" si="4"/>
        <v>209.50000000000003</v>
      </c>
      <c r="J153">
        <f>0.498*(4.19 * 50)</f>
        <v>104.33100000000002</v>
      </c>
      <c r="K153">
        <f>0.494*(4.19 * 50)</f>
        <v>103.49300000000001</v>
      </c>
      <c r="L153">
        <f>0.491*(4.19 * 50)</f>
        <v>102.86450000000001</v>
      </c>
      <c r="M153">
        <f>0.489*(4.19 * 50)</f>
        <v>102.44550000000001</v>
      </c>
      <c r="N153">
        <f>0.491*(4.19 * 50)</f>
        <v>102.86450000000001</v>
      </c>
      <c r="O153">
        <f>0.497*(4.19 * 50)</f>
        <v>104.12150000000001</v>
      </c>
      <c r="P153">
        <f>0.512*(4.19 * 50)</f>
        <v>107.26400000000001</v>
      </c>
      <c r="Q153">
        <f>0.525*(4.19 * 50)</f>
        <v>109.98750000000003</v>
      </c>
      <c r="R153">
        <f>0.521*(4.19 * 50)</f>
        <v>109.14950000000002</v>
      </c>
      <c r="S153">
        <f>0.51*(4.19 * 50)</f>
        <v>106.84500000000001</v>
      </c>
      <c r="T153">
        <f>0.508*(4.19 * 50)</f>
        <v>106.42600000000002</v>
      </c>
      <c r="U153">
        <f>0.487*(4.19 * 50)</f>
        <v>102.02650000000001</v>
      </c>
      <c r="V153">
        <f>0.48*(4.19 * 50)</f>
        <v>100.56000000000002</v>
      </c>
      <c r="W153">
        <f>0.473*(4.19 * 50)</f>
        <v>99.093500000000006</v>
      </c>
      <c r="X153">
        <f>0.472*(4.19 * 50)</f>
        <v>98.884000000000015</v>
      </c>
      <c r="Y153">
        <f>0.473*(4.19 * 50)</f>
        <v>99.093500000000006</v>
      </c>
      <c r="Z153">
        <f>0.478*(4.19 * 50)</f>
        <v>100.14100000000001</v>
      </c>
      <c r="AA153">
        <f>0.487*(4.19 * 50)</f>
        <v>102.02650000000001</v>
      </c>
      <c r="AB153">
        <f>0.494*(4.19 * 50)</f>
        <v>103.49300000000001</v>
      </c>
      <c r="AC153">
        <f>0.503*(4.19 * 50)</f>
        <v>105.37850000000002</v>
      </c>
      <c r="AD153">
        <f>0.511*(4.19 * 50)</f>
        <v>107.05450000000002</v>
      </c>
      <c r="AE153">
        <f>0.515*(4.19 * 50)</f>
        <v>107.89250000000001</v>
      </c>
      <c r="AF153">
        <f>0.51*(4.19 * 50)</f>
        <v>106.84500000000001</v>
      </c>
      <c r="AG153">
        <f>0.503*(4.19 * 50)</f>
        <v>105.37850000000002</v>
      </c>
    </row>
    <row r="154" spans="1:33" x14ac:dyDescent="0.3">
      <c r="A154" t="s">
        <v>197</v>
      </c>
      <c r="B154">
        <v>362411.71875</v>
      </c>
      <c r="C154">
        <v>6671445.2890630001</v>
      </c>
      <c r="D154" t="s">
        <v>541</v>
      </c>
      <c r="E154">
        <v>100</v>
      </c>
      <c r="F154">
        <v>78.666999816894503</v>
      </c>
      <c r="G154">
        <v>0.37549880580856559</v>
      </c>
      <c r="H154">
        <f t="shared" si="5"/>
        <v>152.4109998168945</v>
      </c>
      <c r="I154">
        <f t="shared" si="4"/>
        <v>209.50000000000003</v>
      </c>
      <c r="J154">
        <f>0.342*(4.19 * 50)</f>
        <v>71.649000000000015</v>
      </c>
      <c r="K154">
        <f>0.34*(4.19 * 50)</f>
        <v>71.230000000000018</v>
      </c>
      <c r="L154">
        <f>0.338*(4.19 * 50)</f>
        <v>70.811000000000021</v>
      </c>
      <c r="M154">
        <f>0.336*(4.19 * 50)</f>
        <v>70.39200000000001</v>
      </c>
      <c r="N154">
        <f>0.338*(4.19 * 50)</f>
        <v>70.811000000000021</v>
      </c>
      <c r="O154">
        <f>0.342*(4.19 * 50)</f>
        <v>71.649000000000015</v>
      </c>
      <c r="P154">
        <f>0.352*(4.19 * 50)</f>
        <v>73.744</v>
      </c>
      <c r="Q154">
        <f>0.362*(4.19 * 50)</f>
        <v>75.839000000000013</v>
      </c>
      <c r="R154">
        <f>0.358*(4.19 * 50)</f>
        <v>75.001000000000005</v>
      </c>
      <c r="S154">
        <f>0.351*(4.19 * 50)</f>
        <v>73.534500000000008</v>
      </c>
      <c r="T154">
        <f>0.35*(4.19 * 50)</f>
        <v>73.325000000000003</v>
      </c>
      <c r="U154">
        <f>0.335*(4.19 * 50)</f>
        <v>70.182500000000019</v>
      </c>
      <c r="V154">
        <f>0.33*(4.19 * 50)</f>
        <v>69.135000000000019</v>
      </c>
      <c r="W154">
        <f>0.326*(4.19 * 50)</f>
        <v>68.297000000000011</v>
      </c>
      <c r="X154">
        <f>0.325*(4.19 * 50)</f>
        <v>68.087500000000006</v>
      </c>
      <c r="Y154">
        <f>0.325*(4.19 * 50)</f>
        <v>68.087500000000006</v>
      </c>
      <c r="Z154">
        <f>0.329*(4.19 * 50)</f>
        <v>68.925500000000014</v>
      </c>
      <c r="AA154">
        <f>0.335*(4.19 * 50)</f>
        <v>70.182500000000019</v>
      </c>
      <c r="AB154">
        <f>0.34*(4.19 * 50)</f>
        <v>71.230000000000018</v>
      </c>
      <c r="AC154">
        <f>0.346*(4.19 * 50)</f>
        <v>72.487000000000009</v>
      </c>
      <c r="AD154">
        <f>0.352*(4.19 * 50)</f>
        <v>73.744</v>
      </c>
      <c r="AE154">
        <f>0.354*(4.19 * 50)</f>
        <v>74.163000000000011</v>
      </c>
      <c r="AF154">
        <f>0.351*(4.19 * 50)</f>
        <v>73.534500000000008</v>
      </c>
      <c r="AG154">
        <f>0.346*(4.19 * 50)</f>
        <v>72.487000000000009</v>
      </c>
    </row>
    <row r="155" spans="1:33" x14ac:dyDescent="0.3">
      <c r="A155" t="s">
        <v>198</v>
      </c>
      <c r="B155">
        <v>362208.832031</v>
      </c>
      <c r="C155">
        <v>6671667.7617189996</v>
      </c>
      <c r="D155" t="s">
        <v>541</v>
      </c>
      <c r="E155">
        <v>100</v>
      </c>
      <c r="F155">
        <v>125.333000183105</v>
      </c>
      <c r="G155">
        <v>0.59824821089787583</v>
      </c>
      <c r="H155">
        <f t="shared" si="5"/>
        <v>242.86250018310503</v>
      </c>
      <c r="I155">
        <f t="shared" si="4"/>
        <v>209.50000000000003</v>
      </c>
      <c r="J155">
        <f>0.545*(4.19 * 50)</f>
        <v>114.17750000000002</v>
      </c>
      <c r="K155">
        <f>0.541*(4.19 * 50)</f>
        <v>113.33950000000003</v>
      </c>
      <c r="L155">
        <f>0.538*(4.19 * 50)</f>
        <v>112.71100000000003</v>
      </c>
      <c r="M155">
        <f>0.536*(4.19 * 50)</f>
        <v>112.29200000000002</v>
      </c>
      <c r="N155">
        <f>0.538*(4.19 * 50)</f>
        <v>112.71100000000003</v>
      </c>
      <c r="O155">
        <f>0.545*(4.19 * 50)</f>
        <v>114.17750000000002</v>
      </c>
      <c r="P155">
        <f>0.561*(4.19 * 50)</f>
        <v>117.52950000000003</v>
      </c>
      <c r="Q155">
        <f>0.576*(4.19 * 50)</f>
        <v>120.67200000000001</v>
      </c>
      <c r="R155">
        <f>0.571*(4.19 * 50)</f>
        <v>119.62450000000001</v>
      </c>
      <c r="S155">
        <f>0.559*(4.19 * 50)</f>
        <v>117.11050000000003</v>
      </c>
      <c r="T155">
        <f>0.557*(4.19 * 50)</f>
        <v>116.69150000000003</v>
      </c>
      <c r="U155">
        <f>0.534*(4.19 * 50)</f>
        <v>111.87300000000002</v>
      </c>
      <c r="V155">
        <f>0.526*(4.19 * 50)</f>
        <v>110.19700000000002</v>
      </c>
      <c r="W155">
        <f>0.519*(4.19 * 50)</f>
        <v>108.73050000000002</v>
      </c>
      <c r="X155">
        <f>0.517*(4.19 * 50)</f>
        <v>108.31150000000002</v>
      </c>
      <c r="Y155">
        <f>0.518*(4.19 * 50)</f>
        <v>108.52100000000002</v>
      </c>
      <c r="Z155">
        <f>0.524*(4.19 * 50)</f>
        <v>109.77800000000002</v>
      </c>
      <c r="AA155">
        <f>0.534*(4.19 * 50)</f>
        <v>111.87300000000002</v>
      </c>
      <c r="AB155">
        <f>0.541*(4.19 * 50)</f>
        <v>113.33950000000003</v>
      </c>
      <c r="AC155">
        <f>0.551*(4.19 * 50)</f>
        <v>115.43450000000003</v>
      </c>
      <c r="AD155">
        <f>0.56*(4.19 * 50)</f>
        <v>117.32000000000002</v>
      </c>
      <c r="AE155">
        <f>0.564*(4.19 * 50)</f>
        <v>118.158</v>
      </c>
      <c r="AF155">
        <f>0.559*(4.19 * 50)</f>
        <v>117.11050000000003</v>
      </c>
      <c r="AG155">
        <f>0.551*(4.19 * 50)</f>
        <v>115.43450000000003</v>
      </c>
    </row>
    <row r="156" spans="1:33" x14ac:dyDescent="0.3">
      <c r="A156" t="s">
        <v>199</v>
      </c>
      <c r="B156">
        <v>357712.3125</v>
      </c>
      <c r="C156">
        <v>6668400.6601560004</v>
      </c>
      <c r="D156" t="s">
        <v>557</v>
      </c>
      <c r="E156">
        <v>100</v>
      </c>
      <c r="F156">
        <v>150</v>
      </c>
      <c r="G156">
        <v>0.7159904534606204</v>
      </c>
      <c r="H156">
        <f t="shared" si="5"/>
        <v>290.78399999999999</v>
      </c>
      <c r="I156">
        <f t="shared" si="4"/>
        <v>209.50000000000003</v>
      </c>
      <c r="J156">
        <f>0.653*(4.19 * 50)</f>
        <v>136.80350000000001</v>
      </c>
      <c r="K156">
        <f>0.648*(4.19 * 50)</f>
        <v>135.75600000000003</v>
      </c>
      <c r="L156">
        <f>0.644*(4.19 * 50)</f>
        <v>134.91800000000003</v>
      </c>
      <c r="M156">
        <f>0.641*(4.19 * 50)</f>
        <v>134.28950000000003</v>
      </c>
      <c r="N156">
        <f>0.644*(4.19 * 50)</f>
        <v>134.91800000000003</v>
      </c>
      <c r="O156">
        <f>0.652*(4.19 * 50)</f>
        <v>136.59400000000002</v>
      </c>
      <c r="P156">
        <f>0.672*(4.19 * 50)</f>
        <v>140.78400000000002</v>
      </c>
      <c r="Q156">
        <f>0.689*(4.19 * 50)</f>
        <v>144.34550000000002</v>
      </c>
      <c r="R156">
        <f>0.683*(4.19 * 50)</f>
        <v>143.08850000000004</v>
      </c>
      <c r="S156">
        <f>0.669*(4.19 * 50)</f>
        <v>140.15550000000002</v>
      </c>
      <c r="T156">
        <f>0.667*(4.19 * 50)</f>
        <v>139.73650000000004</v>
      </c>
      <c r="U156">
        <f>0.639*(4.19 * 50)</f>
        <v>133.87050000000002</v>
      </c>
      <c r="V156">
        <f>0.629*(4.19 * 50)</f>
        <v>131.77550000000002</v>
      </c>
      <c r="W156">
        <f>0.621*(4.19 * 50)</f>
        <v>130.09950000000001</v>
      </c>
      <c r="X156">
        <f>0.619*(4.19 * 50)</f>
        <v>129.68050000000002</v>
      </c>
      <c r="Y156">
        <f>0.62*(4.19 * 50)</f>
        <v>129.89000000000001</v>
      </c>
      <c r="Z156">
        <f>0.627*(4.19 * 50)</f>
        <v>131.35650000000001</v>
      </c>
      <c r="AA156">
        <f>0.639*(4.19 * 50)</f>
        <v>133.87050000000002</v>
      </c>
      <c r="AB156">
        <f>0.648*(4.19 * 50)</f>
        <v>135.75600000000003</v>
      </c>
      <c r="AC156">
        <f>0.659*(4.19 * 50)</f>
        <v>138.06050000000002</v>
      </c>
      <c r="AD156">
        <f>0.67*(4.19 * 50)</f>
        <v>140.36500000000004</v>
      </c>
      <c r="AE156">
        <f>0.675*(4.19 * 50)</f>
        <v>141.41250000000002</v>
      </c>
      <c r="AF156">
        <f>0.669*(4.19 * 50)</f>
        <v>140.15550000000002</v>
      </c>
      <c r="AG156">
        <f>0.66*(4.19 * 50)</f>
        <v>138.27000000000004</v>
      </c>
    </row>
    <row r="157" spans="1:33" x14ac:dyDescent="0.3">
      <c r="A157" t="s">
        <v>200</v>
      </c>
      <c r="B157">
        <v>363262.484375</v>
      </c>
      <c r="C157">
        <v>6672396.3632810004</v>
      </c>
      <c r="D157" t="s">
        <v>541</v>
      </c>
      <c r="E157">
        <v>100</v>
      </c>
      <c r="F157">
        <v>24</v>
      </c>
      <c r="G157">
        <v>0.1145584725536993</v>
      </c>
      <c r="H157">
        <f t="shared" si="5"/>
        <v>46.416499999999999</v>
      </c>
      <c r="I157">
        <f t="shared" si="4"/>
        <v>209.50000000000003</v>
      </c>
      <c r="J157">
        <f>0.104*(4.19 * 50)</f>
        <v>21.788</v>
      </c>
      <c r="K157">
        <f>0.104*(4.19 * 50)</f>
        <v>21.788</v>
      </c>
      <c r="L157">
        <f>0.103*(4.19 * 50)</f>
        <v>21.578500000000002</v>
      </c>
      <c r="M157">
        <f>0.103*(4.19 * 50)</f>
        <v>21.578500000000002</v>
      </c>
      <c r="N157">
        <f>0.103*(4.19 * 50)</f>
        <v>21.578500000000002</v>
      </c>
      <c r="O157">
        <f>0.104*(4.19 * 50)</f>
        <v>21.788</v>
      </c>
      <c r="P157">
        <f>0.107*(4.19 * 50)</f>
        <v>22.416500000000003</v>
      </c>
      <c r="Q157">
        <f>0.11*(4.19 * 50)</f>
        <v>23.045000000000002</v>
      </c>
      <c r="R157">
        <f>0.109*(4.19 * 50)</f>
        <v>22.835500000000003</v>
      </c>
      <c r="S157">
        <f>0.107*(4.19 * 50)</f>
        <v>22.416500000000003</v>
      </c>
      <c r="T157">
        <f>0.107*(4.19 * 50)</f>
        <v>22.416500000000003</v>
      </c>
      <c r="U157">
        <f>0.102*(4.19 * 50)</f>
        <v>21.369</v>
      </c>
      <c r="V157">
        <f>0.101*(4.19 * 50)</f>
        <v>21.159500000000005</v>
      </c>
      <c r="W157">
        <f>0.099*(4.19 * 50)</f>
        <v>20.740500000000004</v>
      </c>
      <c r="X157">
        <f>0.099*(4.19 * 50)</f>
        <v>20.740500000000004</v>
      </c>
      <c r="Y157">
        <f>0.099*(4.19 * 50)</f>
        <v>20.740500000000004</v>
      </c>
      <c r="Z157">
        <f>0.1*(4.19 * 50)</f>
        <v>20.950000000000003</v>
      </c>
      <c r="AA157">
        <f>0.102*(4.19 * 50)</f>
        <v>21.369</v>
      </c>
      <c r="AB157">
        <f>0.104*(4.19 * 50)</f>
        <v>21.788</v>
      </c>
      <c r="AC157">
        <f>0.105*(4.19 * 50)</f>
        <v>21.997500000000002</v>
      </c>
      <c r="AD157">
        <f>0.107*(4.19 * 50)</f>
        <v>22.416500000000003</v>
      </c>
      <c r="AE157">
        <f>0.108*(4.19 * 50)</f>
        <v>22.626000000000001</v>
      </c>
      <c r="AF157">
        <f>0.107*(4.19 * 50)</f>
        <v>22.416500000000003</v>
      </c>
      <c r="AG157">
        <f>0.106*(4.19 * 50)</f>
        <v>22.207000000000001</v>
      </c>
    </row>
    <row r="158" spans="1:33" x14ac:dyDescent="0.3">
      <c r="A158" t="s">
        <v>201</v>
      </c>
      <c r="B158">
        <v>362707.210938</v>
      </c>
      <c r="C158">
        <v>6671578.0976560004</v>
      </c>
      <c r="D158" t="s">
        <v>541</v>
      </c>
      <c r="E158">
        <v>100</v>
      </c>
      <c r="F158">
        <v>94</v>
      </c>
      <c r="G158">
        <v>0.44868735083532207</v>
      </c>
      <c r="H158">
        <f t="shared" si="5"/>
        <v>182.1995</v>
      </c>
      <c r="I158">
        <f t="shared" si="4"/>
        <v>209.50000000000003</v>
      </c>
      <c r="J158">
        <f>0.409*(4.19 * 50)</f>
        <v>85.685500000000005</v>
      </c>
      <c r="K158">
        <f>0.406*(4.19 * 50)</f>
        <v>85.057000000000016</v>
      </c>
      <c r="L158">
        <f>0.403*(4.19 * 50)</f>
        <v>84.428500000000014</v>
      </c>
      <c r="M158">
        <f>0.402*(4.19 * 50)</f>
        <v>84.219000000000023</v>
      </c>
      <c r="N158">
        <f>0.403*(4.19 * 50)</f>
        <v>84.428500000000014</v>
      </c>
      <c r="O158">
        <f>0.409*(4.19 * 50)</f>
        <v>85.685500000000005</v>
      </c>
      <c r="P158">
        <f>0.421*(4.19 * 50)</f>
        <v>88.199500000000015</v>
      </c>
      <c r="Q158">
        <f>0.432*(4.19 * 50)</f>
        <v>90.504000000000005</v>
      </c>
      <c r="R158">
        <f>0.428*(4.19 * 50)</f>
        <v>89.666000000000011</v>
      </c>
      <c r="S158">
        <f>0.419*(4.19 * 50)</f>
        <v>87.780500000000004</v>
      </c>
      <c r="T158">
        <f>0.418*(4.19 * 50)</f>
        <v>87.571000000000012</v>
      </c>
      <c r="U158">
        <f>0.4*(4.19 * 50)</f>
        <v>83.800000000000011</v>
      </c>
      <c r="V158">
        <f>0.394*(4.19 * 50)</f>
        <v>82.543000000000021</v>
      </c>
      <c r="W158">
        <f>0.389*(4.19 * 50)</f>
        <v>81.495500000000007</v>
      </c>
      <c r="X158">
        <f>0.388*(4.19 * 50)</f>
        <v>81.286000000000016</v>
      </c>
      <c r="Y158">
        <f>0.389*(4.19 * 50)</f>
        <v>81.495500000000007</v>
      </c>
      <c r="Z158">
        <f>0.393*(4.19 * 50)</f>
        <v>82.333500000000015</v>
      </c>
      <c r="AA158">
        <f>0.4*(4.19 * 50)</f>
        <v>83.800000000000011</v>
      </c>
      <c r="AB158">
        <f>0.406*(4.19 * 50)</f>
        <v>85.057000000000016</v>
      </c>
      <c r="AC158">
        <f>0.413*(4.19 * 50)</f>
        <v>86.523500000000013</v>
      </c>
      <c r="AD158">
        <f>0.42*(4.19 * 50)</f>
        <v>87.990000000000009</v>
      </c>
      <c r="AE158">
        <f>0.423*(4.19 * 50)</f>
        <v>88.618500000000012</v>
      </c>
      <c r="AF158">
        <f>0.419*(4.19 * 50)</f>
        <v>87.780500000000004</v>
      </c>
      <c r="AG158">
        <f>0.414*(4.19 * 50)</f>
        <v>86.733000000000004</v>
      </c>
    </row>
    <row r="159" spans="1:33" x14ac:dyDescent="0.3">
      <c r="A159" t="s">
        <v>202</v>
      </c>
      <c r="B159">
        <v>357925.03125</v>
      </c>
      <c r="C159">
        <v>6669006.9609380001</v>
      </c>
      <c r="D159" t="s">
        <v>558</v>
      </c>
      <c r="E159">
        <v>100</v>
      </c>
      <c r="F159">
        <v>33.666999816894503</v>
      </c>
      <c r="G159">
        <v>0.1607016697703795</v>
      </c>
      <c r="H159">
        <f t="shared" si="5"/>
        <v>65.301499816894506</v>
      </c>
      <c r="I159">
        <f t="shared" si="4"/>
        <v>209.50000000000003</v>
      </c>
      <c r="J159">
        <f>0.147*(4.19 * 50)</f>
        <v>30.796500000000002</v>
      </c>
      <c r="K159">
        <f>0.145*(4.19 * 50)</f>
        <v>30.377500000000001</v>
      </c>
      <c r="L159">
        <f>0.144*(4.19 * 50)</f>
        <v>30.168000000000003</v>
      </c>
      <c r="M159">
        <f>0.144*(4.19 * 50)</f>
        <v>30.168000000000003</v>
      </c>
      <c r="N159">
        <f>0.144*(4.19 * 50)</f>
        <v>30.168000000000003</v>
      </c>
      <c r="O159">
        <f>0.146*(4.19 * 50)</f>
        <v>30.587000000000003</v>
      </c>
      <c r="P159">
        <f>0.151*(4.19 * 50)</f>
        <v>31.634500000000003</v>
      </c>
      <c r="Q159">
        <f>0.155*(4.19 * 50)</f>
        <v>32.472500000000004</v>
      </c>
      <c r="R159">
        <f>0.153*(4.19 * 50)</f>
        <v>32.053500000000007</v>
      </c>
      <c r="S159">
        <f>0.15*(4.19 * 50)</f>
        <v>31.425000000000004</v>
      </c>
      <c r="T159">
        <f>0.15*(4.19 * 50)</f>
        <v>31.425000000000004</v>
      </c>
      <c r="U159">
        <f>0.143*(4.19 * 50)</f>
        <v>29.958500000000001</v>
      </c>
      <c r="V159">
        <f>0.141*(4.19 * 50)</f>
        <v>29.5395</v>
      </c>
      <c r="W159">
        <f>0.139*(4.19 * 50)</f>
        <v>29.120500000000007</v>
      </c>
      <c r="X159">
        <f>0.139*(4.19 * 50)</f>
        <v>29.120500000000007</v>
      </c>
      <c r="Y159">
        <f>0.139*(4.19 * 50)</f>
        <v>29.120500000000007</v>
      </c>
      <c r="Z159">
        <f>0.141*(4.19 * 50)</f>
        <v>29.5395</v>
      </c>
      <c r="AA159">
        <f>0.143*(4.19 * 50)</f>
        <v>29.958500000000001</v>
      </c>
      <c r="AB159">
        <f>0.145*(4.19 * 50)</f>
        <v>30.377500000000001</v>
      </c>
      <c r="AC159">
        <f>0.148*(4.19 * 50)</f>
        <v>31.006000000000004</v>
      </c>
      <c r="AD159">
        <f>0.15*(4.19 * 50)</f>
        <v>31.425000000000004</v>
      </c>
      <c r="AE159">
        <f>0.152*(4.19 * 50)</f>
        <v>31.844000000000005</v>
      </c>
      <c r="AF159">
        <f>0.15*(4.19 * 50)</f>
        <v>31.425000000000004</v>
      </c>
      <c r="AG159">
        <f>0.148*(4.19 * 50)</f>
        <v>31.006000000000004</v>
      </c>
    </row>
    <row r="160" spans="1:33" x14ac:dyDescent="0.3">
      <c r="A160" t="s">
        <v>203</v>
      </c>
      <c r="B160">
        <v>362209.707031</v>
      </c>
      <c r="C160">
        <v>6671727.7773439996</v>
      </c>
      <c r="D160" t="s">
        <v>541</v>
      </c>
      <c r="E160">
        <v>100</v>
      </c>
      <c r="F160">
        <v>88.666999816894503</v>
      </c>
      <c r="G160">
        <v>0.42323150270594029</v>
      </c>
      <c r="H160">
        <f t="shared" si="5"/>
        <v>171.83849981689451</v>
      </c>
      <c r="I160">
        <f t="shared" si="4"/>
        <v>209.50000000000003</v>
      </c>
      <c r="J160">
        <f>0.386*(4.19 * 50)</f>
        <v>80.867000000000019</v>
      </c>
      <c r="K160">
        <f>0.383*(4.19 * 50)</f>
        <v>80.238500000000016</v>
      </c>
      <c r="L160">
        <f>0.381*(4.19 * 50)</f>
        <v>79.819500000000005</v>
      </c>
      <c r="M160">
        <f>0.379*(4.19 * 50)</f>
        <v>79.400500000000008</v>
      </c>
      <c r="N160">
        <f>0.381*(4.19 * 50)</f>
        <v>79.819500000000005</v>
      </c>
      <c r="O160">
        <f>0.386*(4.19 * 50)</f>
        <v>80.867000000000019</v>
      </c>
      <c r="P160">
        <f>0.397*(4.19 * 50)</f>
        <v>83.171500000000009</v>
      </c>
      <c r="Q160">
        <f>0.407*(4.19 * 50)</f>
        <v>85.266500000000008</v>
      </c>
      <c r="R160">
        <f>0.404*(4.19 * 50)</f>
        <v>84.638000000000019</v>
      </c>
      <c r="S160">
        <f>0.396*(4.19 * 50)</f>
        <v>82.962000000000018</v>
      </c>
      <c r="T160">
        <f>0.394*(4.19 * 50)</f>
        <v>82.543000000000021</v>
      </c>
      <c r="U160">
        <f>0.377*(4.19 * 50)</f>
        <v>78.981500000000011</v>
      </c>
      <c r="V160">
        <f>0.372*(4.19 * 50)</f>
        <v>77.934000000000012</v>
      </c>
      <c r="W160">
        <f>0.367*(4.19 * 50)</f>
        <v>76.886500000000012</v>
      </c>
      <c r="X160">
        <f>0.366*(4.19 * 50)</f>
        <v>76.677000000000007</v>
      </c>
      <c r="Y160">
        <f>0.367*(4.19 * 50)</f>
        <v>76.886500000000012</v>
      </c>
      <c r="Z160">
        <f>0.371*(4.19 * 50)</f>
        <v>77.724500000000006</v>
      </c>
      <c r="AA160">
        <f>0.377*(4.19 * 50)</f>
        <v>78.981500000000011</v>
      </c>
      <c r="AB160">
        <f>0.383*(4.19 * 50)</f>
        <v>80.238500000000016</v>
      </c>
      <c r="AC160">
        <f>0.39*(4.19 * 50)</f>
        <v>81.705000000000013</v>
      </c>
      <c r="AD160">
        <f>0.396*(4.19 * 50)</f>
        <v>82.962000000000018</v>
      </c>
      <c r="AE160">
        <f>0.399*(4.19 * 50)</f>
        <v>83.59050000000002</v>
      </c>
      <c r="AF160">
        <f>0.396*(4.19 * 50)</f>
        <v>82.962000000000018</v>
      </c>
      <c r="AG160">
        <f>0.39*(4.19 * 50)</f>
        <v>81.705000000000013</v>
      </c>
    </row>
    <row r="161" spans="1:33" x14ac:dyDescent="0.3">
      <c r="A161" t="s">
        <v>204</v>
      </c>
      <c r="B161">
        <v>362402.910156</v>
      </c>
      <c r="C161">
        <v>6671477.5390630001</v>
      </c>
      <c r="D161" t="s">
        <v>541</v>
      </c>
      <c r="E161">
        <v>100</v>
      </c>
      <c r="F161">
        <v>85.666999816894503</v>
      </c>
      <c r="G161">
        <v>0.40891169363672791</v>
      </c>
      <c r="H161">
        <f t="shared" si="5"/>
        <v>166.11499981689451</v>
      </c>
      <c r="I161">
        <f t="shared" si="4"/>
        <v>209.50000000000003</v>
      </c>
      <c r="J161">
        <f>0.373*(4.19 * 50)</f>
        <v>78.143500000000017</v>
      </c>
      <c r="K161">
        <f>0.37*(4.19 * 50)</f>
        <v>77.515000000000015</v>
      </c>
      <c r="L161">
        <f>0.368*(4.19 * 50)</f>
        <v>77.096000000000004</v>
      </c>
      <c r="M161">
        <f>0.366*(4.19 * 50)</f>
        <v>76.677000000000007</v>
      </c>
      <c r="N161">
        <f>0.368*(4.19 * 50)</f>
        <v>77.096000000000004</v>
      </c>
      <c r="O161">
        <f>0.372*(4.19 * 50)</f>
        <v>77.934000000000012</v>
      </c>
      <c r="P161">
        <f>0.384*(4.19 * 50)</f>
        <v>80.448000000000008</v>
      </c>
      <c r="Q161">
        <f>0.394*(4.19 * 50)</f>
        <v>82.543000000000021</v>
      </c>
      <c r="R161">
        <f>0.39*(4.19 * 50)</f>
        <v>81.705000000000013</v>
      </c>
      <c r="S161">
        <f>0.382*(4.19 * 50)</f>
        <v>80.029000000000011</v>
      </c>
      <c r="T161">
        <f>0.381*(4.19 * 50)</f>
        <v>79.819500000000005</v>
      </c>
      <c r="U161">
        <f>0.365*(4.19 * 50)</f>
        <v>76.467500000000015</v>
      </c>
      <c r="V161">
        <f>0.359*(4.19 * 50)</f>
        <v>75.21050000000001</v>
      </c>
      <c r="W161">
        <f>0.355*(4.19 * 50)</f>
        <v>74.372500000000002</v>
      </c>
      <c r="X161">
        <f>0.354*(4.19 * 50)</f>
        <v>74.163000000000011</v>
      </c>
      <c r="Y161">
        <f>0.354*(4.19 * 50)</f>
        <v>74.163000000000011</v>
      </c>
      <c r="Z161">
        <f>0.358*(4.19 * 50)</f>
        <v>75.001000000000005</v>
      </c>
      <c r="AA161">
        <f>0.365*(4.19 * 50)</f>
        <v>76.467500000000015</v>
      </c>
      <c r="AB161">
        <f>0.37*(4.19 * 50)</f>
        <v>77.515000000000015</v>
      </c>
      <c r="AC161">
        <f>0.377*(4.19 * 50)</f>
        <v>78.981500000000011</v>
      </c>
      <c r="AD161">
        <f>0.383*(4.19 * 50)</f>
        <v>80.238500000000016</v>
      </c>
      <c r="AE161">
        <f>0.386*(4.19 * 50)</f>
        <v>80.867000000000019</v>
      </c>
      <c r="AF161">
        <f>0.382*(4.19 * 50)</f>
        <v>80.029000000000011</v>
      </c>
      <c r="AG161">
        <f>0.377*(4.19 * 50)</f>
        <v>78.981500000000011</v>
      </c>
    </row>
    <row r="162" spans="1:33" x14ac:dyDescent="0.3">
      <c r="A162" t="s">
        <v>205</v>
      </c>
      <c r="B162">
        <v>362149.804688</v>
      </c>
      <c r="C162">
        <v>6671741.7734380001</v>
      </c>
      <c r="D162" t="s">
        <v>541</v>
      </c>
      <c r="E162">
        <v>100</v>
      </c>
      <c r="F162">
        <v>54.333000183105398</v>
      </c>
      <c r="G162">
        <v>0.25934606292651741</v>
      </c>
      <c r="H162">
        <f t="shared" si="5"/>
        <v>105.2415001831054</v>
      </c>
      <c r="I162">
        <f t="shared" si="4"/>
        <v>209.50000000000003</v>
      </c>
      <c r="J162">
        <f>0.236*(4.19 * 50)</f>
        <v>49.442000000000007</v>
      </c>
      <c r="K162">
        <f>0.235*(4.19 * 50)</f>
        <v>49.232500000000002</v>
      </c>
      <c r="L162">
        <f>0.233*(4.19 * 50)</f>
        <v>48.813500000000012</v>
      </c>
      <c r="M162">
        <f>0.232*(4.19 * 50)</f>
        <v>48.604000000000006</v>
      </c>
      <c r="N162">
        <f>0.233*(4.19 * 50)</f>
        <v>48.813500000000012</v>
      </c>
      <c r="O162">
        <f>0.236*(4.19 * 50)</f>
        <v>49.442000000000007</v>
      </c>
      <c r="P162">
        <f>0.243*(4.19 * 50)</f>
        <v>50.908500000000004</v>
      </c>
      <c r="Q162">
        <f>0.25*(4.19 * 50)</f>
        <v>52.375000000000007</v>
      </c>
      <c r="R162">
        <f>0.248*(4.19 * 50)</f>
        <v>51.95600000000001</v>
      </c>
      <c r="S162">
        <f>0.242*(4.19 * 50)</f>
        <v>50.699000000000005</v>
      </c>
      <c r="T162">
        <f>0.241*(4.19 * 50)</f>
        <v>50.489500000000007</v>
      </c>
      <c r="U162">
        <f>0.231*(4.19 * 50)</f>
        <v>48.394500000000008</v>
      </c>
      <c r="V162">
        <f>0.228*(4.19 * 50)</f>
        <v>47.766000000000005</v>
      </c>
      <c r="W162">
        <f>0.225*(4.19 * 50)</f>
        <v>47.13750000000001</v>
      </c>
      <c r="X162">
        <f>0.224*(4.19 * 50)</f>
        <v>46.928000000000004</v>
      </c>
      <c r="Y162">
        <f>0.225*(4.19 * 50)</f>
        <v>47.13750000000001</v>
      </c>
      <c r="Z162">
        <f>0.227*(4.19 * 50)</f>
        <v>47.556500000000007</v>
      </c>
      <c r="AA162">
        <f>0.231*(4.19 * 50)</f>
        <v>48.394500000000008</v>
      </c>
      <c r="AB162">
        <f>0.235*(4.19 * 50)</f>
        <v>49.232500000000002</v>
      </c>
      <c r="AC162">
        <f>0.239*(4.19 * 50)</f>
        <v>50.070500000000003</v>
      </c>
      <c r="AD162">
        <f>0.243*(4.19 * 50)</f>
        <v>50.908500000000004</v>
      </c>
      <c r="AE162">
        <f>0.245*(4.19 * 50)</f>
        <v>51.327500000000008</v>
      </c>
      <c r="AF162">
        <f>0.242*(4.19 * 50)</f>
        <v>50.699000000000005</v>
      </c>
      <c r="AG162">
        <f>0.239*(4.19 * 50)</f>
        <v>50.070500000000003</v>
      </c>
    </row>
    <row r="163" spans="1:33" x14ac:dyDescent="0.3">
      <c r="A163" t="s">
        <v>206</v>
      </c>
      <c r="B163">
        <v>362624.832031</v>
      </c>
      <c r="C163">
        <v>6671591.6132810004</v>
      </c>
      <c r="D163" t="s">
        <v>541</v>
      </c>
      <c r="E163">
        <v>100</v>
      </c>
      <c r="F163">
        <v>92.666999816894503</v>
      </c>
      <c r="G163">
        <v>0.44232458146489018</v>
      </c>
      <c r="H163">
        <f t="shared" si="5"/>
        <v>179.60949981689453</v>
      </c>
      <c r="I163">
        <f t="shared" si="4"/>
        <v>209.50000000000003</v>
      </c>
      <c r="J163">
        <f>0.403*(4.19 * 50)</f>
        <v>84.428500000000014</v>
      </c>
      <c r="K163">
        <f>0.4*(4.19 * 50)</f>
        <v>83.800000000000011</v>
      </c>
      <c r="L163">
        <f>0.398*(4.19 * 50)</f>
        <v>83.381000000000014</v>
      </c>
      <c r="M163">
        <f>0.396*(4.19 * 50)</f>
        <v>82.962000000000018</v>
      </c>
      <c r="N163">
        <f>0.398*(4.19 * 50)</f>
        <v>83.381000000000014</v>
      </c>
      <c r="O163">
        <f>0.403*(4.19 * 50)</f>
        <v>84.428500000000014</v>
      </c>
      <c r="P163">
        <f>0.415*(4.19 * 50)</f>
        <v>86.94250000000001</v>
      </c>
      <c r="Q163">
        <f>0.426*(4.19 * 50)</f>
        <v>89.247000000000014</v>
      </c>
      <c r="R163">
        <f>0.422*(4.19 * 50)</f>
        <v>88.409000000000006</v>
      </c>
      <c r="S163">
        <f>0.413*(4.19 * 50)</f>
        <v>86.523500000000013</v>
      </c>
      <c r="T163">
        <f>0.412*(4.19 * 50)</f>
        <v>86.314000000000007</v>
      </c>
      <c r="U163">
        <f>0.394*(4.19 * 50)</f>
        <v>82.543000000000021</v>
      </c>
      <c r="V163">
        <f>0.389*(4.19 * 50)</f>
        <v>81.495500000000007</v>
      </c>
      <c r="W163">
        <f>0.384*(4.19 * 50)</f>
        <v>80.448000000000008</v>
      </c>
      <c r="X163">
        <f>0.382*(4.19 * 50)</f>
        <v>80.029000000000011</v>
      </c>
      <c r="Y163">
        <f>0.383*(4.19 * 50)</f>
        <v>80.238500000000016</v>
      </c>
      <c r="Z163">
        <f>0.387*(4.19 * 50)</f>
        <v>81.07650000000001</v>
      </c>
      <c r="AA163">
        <f>0.394*(4.19 * 50)</f>
        <v>82.543000000000021</v>
      </c>
      <c r="AB163">
        <f>0.4*(4.19 * 50)</f>
        <v>83.800000000000011</v>
      </c>
      <c r="AC163">
        <f>0.407*(4.19 * 50)</f>
        <v>85.266500000000008</v>
      </c>
      <c r="AD163">
        <f>0.414*(4.19 * 50)</f>
        <v>86.733000000000004</v>
      </c>
      <c r="AE163">
        <f>0.417*(4.19 * 50)</f>
        <v>87.361500000000007</v>
      </c>
      <c r="AF163">
        <f>0.413*(4.19 * 50)</f>
        <v>86.523500000000013</v>
      </c>
      <c r="AG163">
        <f>0.408*(4.19 * 50)</f>
        <v>85.475999999999999</v>
      </c>
    </row>
    <row r="164" spans="1:33" x14ac:dyDescent="0.3">
      <c r="A164" t="s">
        <v>207</v>
      </c>
      <c r="B164">
        <v>357258.808594</v>
      </c>
      <c r="C164">
        <v>6667888.8125</v>
      </c>
      <c r="D164" t="s">
        <v>559</v>
      </c>
      <c r="E164">
        <v>100</v>
      </c>
      <c r="F164">
        <v>17.666999816894499</v>
      </c>
      <c r="G164">
        <v>8.4329354734579934E-2</v>
      </c>
      <c r="H164">
        <f t="shared" si="5"/>
        <v>34.217499816894502</v>
      </c>
      <c r="I164">
        <f t="shared" si="4"/>
        <v>209.50000000000003</v>
      </c>
      <c r="J164">
        <f>0.077*(4.19 * 50)</f>
        <v>16.131500000000003</v>
      </c>
      <c r="K164">
        <f>0.076*(4.19 * 50)</f>
        <v>15.922000000000002</v>
      </c>
      <c r="L164">
        <f>0.076*(4.19 * 50)</f>
        <v>15.922000000000002</v>
      </c>
      <c r="M164">
        <f>0.076*(4.19 * 50)</f>
        <v>15.922000000000002</v>
      </c>
      <c r="N164">
        <f>0.076*(4.19 * 50)</f>
        <v>15.922000000000002</v>
      </c>
      <c r="O164">
        <f>0.077*(4.19 * 50)</f>
        <v>16.131500000000003</v>
      </c>
      <c r="P164">
        <f>0.079*(4.19 * 50)</f>
        <v>16.550500000000003</v>
      </c>
      <c r="Q164">
        <f>0.081*(4.19 * 50)</f>
        <v>16.969500000000004</v>
      </c>
      <c r="R164">
        <f>0.08*(4.19 * 50)</f>
        <v>16.760000000000002</v>
      </c>
      <c r="S164">
        <f>0.079*(4.19 * 50)</f>
        <v>16.550500000000003</v>
      </c>
      <c r="T164">
        <f>0.079*(4.19 * 50)</f>
        <v>16.550500000000003</v>
      </c>
      <c r="U164">
        <f>0.075*(4.19 * 50)</f>
        <v>15.712500000000002</v>
      </c>
      <c r="V164">
        <f>0.074*(4.19 * 50)</f>
        <v>15.503000000000002</v>
      </c>
      <c r="W164">
        <f>0.073*(4.19 * 50)</f>
        <v>15.293500000000002</v>
      </c>
      <c r="X164">
        <f>0.073*(4.19 * 50)</f>
        <v>15.293500000000002</v>
      </c>
      <c r="Y164">
        <f>0.073*(4.19 * 50)</f>
        <v>15.293500000000002</v>
      </c>
      <c r="Z164">
        <f>0.074*(4.19 * 50)</f>
        <v>15.503000000000002</v>
      </c>
      <c r="AA164">
        <f>0.075*(4.19 * 50)</f>
        <v>15.712500000000002</v>
      </c>
      <c r="AB164">
        <f>0.076*(4.19 * 50)</f>
        <v>15.922000000000002</v>
      </c>
      <c r="AC164">
        <f>0.078*(4.19 * 50)</f>
        <v>16.341000000000001</v>
      </c>
      <c r="AD164">
        <f>0.079*(4.19 * 50)</f>
        <v>16.550500000000003</v>
      </c>
      <c r="AE164">
        <f>0.08*(4.19 * 50)</f>
        <v>16.760000000000002</v>
      </c>
      <c r="AF164">
        <f>0.079*(4.19 * 50)</f>
        <v>16.550500000000003</v>
      </c>
      <c r="AG164">
        <f>0.078*(4.19 * 50)</f>
        <v>16.341000000000001</v>
      </c>
    </row>
    <row r="165" spans="1:33" x14ac:dyDescent="0.3">
      <c r="A165" t="s">
        <v>208</v>
      </c>
      <c r="B165">
        <v>362521.660156</v>
      </c>
      <c r="C165">
        <v>6670914.9023439996</v>
      </c>
      <c r="D165" t="s">
        <v>541</v>
      </c>
      <c r="E165">
        <v>100</v>
      </c>
      <c r="F165">
        <v>146.66700744628901</v>
      </c>
      <c r="G165">
        <v>0.7000811811278711</v>
      </c>
      <c r="H165">
        <f t="shared" si="5"/>
        <v>284.30850744628901</v>
      </c>
      <c r="I165">
        <f t="shared" si="4"/>
        <v>209.50000000000003</v>
      </c>
      <c r="J165">
        <f>0.638*(4.19 * 50)</f>
        <v>133.66100000000003</v>
      </c>
      <c r="K165">
        <f>0.633*(4.19 * 50)</f>
        <v>132.61350000000002</v>
      </c>
      <c r="L165">
        <f>0.629*(4.19 * 50)</f>
        <v>131.77550000000002</v>
      </c>
      <c r="M165">
        <f>0.627*(4.19 * 50)</f>
        <v>131.35650000000001</v>
      </c>
      <c r="N165">
        <f>0.629*(4.19 * 50)</f>
        <v>131.77550000000002</v>
      </c>
      <c r="O165">
        <f>0.638*(4.19 * 50)</f>
        <v>133.66100000000003</v>
      </c>
      <c r="P165">
        <f>0.657*(4.19 * 50)</f>
        <v>137.64150000000004</v>
      </c>
      <c r="Q165">
        <f>0.674*(4.19 * 50)</f>
        <v>141.20300000000003</v>
      </c>
      <c r="R165">
        <f>0.668*(4.19 * 50)</f>
        <v>139.94600000000003</v>
      </c>
      <c r="S165">
        <f>0.654*(4.19 * 50)</f>
        <v>137.01300000000003</v>
      </c>
      <c r="T165">
        <f>0.652*(4.19 * 50)</f>
        <v>136.59400000000002</v>
      </c>
      <c r="U165">
        <f>0.624*(4.19 * 50)</f>
        <v>130.72800000000001</v>
      </c>
      <c r="V165">
        <f>0.615*(4.19 * 50)</f>
        <v>128.84250000000003</v>
      </c>
      <c r="W165">
        <f>0.607*(4.19 * 50)</f>
        <v>127.16650000000001</v>
      </c>
      <c r="X165">
        <f>0.605*(4.19 * 50)</f>
        <v>126.74750000000002</v>
      </c>
      <c r="Y165">
        <f>0.606*(4.19 * 50)</f>
        <v>126.95700000000001</v>
      </c>
      <c r="Z165">
        <f>0.613*(4.19 * 50)</f>
        <v>128.42350000000002</v>
      </c>
      <c r="AA165">
        <f>0.624*(4.19 * 50)</f>
        <v>130.72800000000001</v>
      </c>
      <c r="AB165">
        <f>0.633*(4.19 * 50)</f>
        <v>132.61350000000002</v>
      </c>
      <c r="AC165">
        <f>0.645*(4.19 * 50)</f>
        <v>135.12750000000003</v>
      </c>
      <c r="AD165">
        <f>0.656*(4.19 * 50)</f>
        <v>137.43200000000002</v>
      </c>
      <c r="AE165">
        <f>0.66*(4.19 * 50)</f>
        <v>138.27000000000004</v>
      </c>
      <c r="AF165">
        <f>0.654*(4.19 * 50)</f>
        <v>137.01300000000003</v>
      </c>
      <c r="AG165">
        <f>0.645*(4.19 * 50)</f>
        <v>135.12750000000003</v>
      </c>
    </row>
    <row r="166" spans="1:33" x14ac:dyDescent="0.3">
      <c r="A166" t="s">
        <v>209</v>
      </c>
      <c r="B166">
        <v>363452.535156</v>
      </c>
      <c r="C166">
        <v>6672045.4492189996</v>
      </c>
      <c r="D166" t="s">
        <v>550</v>
      </c>
      <c r="E166">
        <v>100</v>
      </c>
      <c r="F166">
        <v>179.66700744628901</v>
      </c>
      <c r="G166">
        <v>0.85759908088920755</v>
      </c>
      <c r="H166">
        <f t="shared" si="5"/>
        <v>348.31450744628904</v>
      </c>
      <c r="I166">
        <f t="shared" si="4"/>
        <v>209.50000000000003</v>
      </c>
      <c r="J166">
        <f>0.782*(4.19 * 50)</f>
        <v>163.82900000000004</v>
      </c>
      <c r="K166">
        <f>0.776*(4.19 * 50)</f>
        <v>162.57200000000003</v>
      </c>
      <c r="L166">
        <f>0.771*(4.19 * 50)</f>
        <v>161.52450000000002</v>
      </c>
      <c r="M166">
        <f>0.768*(4.19 * 50)</f>
        <v>160.89600000000002</v>
      </c>
      <c r="N166">
        <f>0.771*(4.19 * 50)</f>
        <v>161.52450000000002</v>
      </c>
      <c r="O166">
        <f>0.781*(4.19 * 50)</f>
        <v>163.61950000000002</v>
      </c>
      <c r="P166">
        <f>0.805*(4.19 * 50)</f>
        <v>168.64750000000004</v>
      </c>
      <c r="Q166">
        <f>0.826*(4.19 * 50)</f>
        <v>173.04700000000003</v>
      </c>
      <c r="R166">
        <f>0.819*(4.19 * 50)</f>
        <v>171.5805</v>
      </c>
      <c r="S166">
        <f>0.801*(4.19 * 50)</f>
        <v>167.80950000000004</v>
      </c>
      <c r="T166">
        <f>0.798*(4.19 * 50)</f>
        <v>167.18100000000004</v>
      </c>
      <c r="U166">
        <f>0.765*(4.19 * 50)</f>
        <v>160.26750000000001</v>
      </c>
      <c r="V166">
        <f>0.754*(4.19 * 50)</f>
        <v>157.96300000000002</v>
      </c>
      <c r="W166">
        <f>0.744*(4.19 * 50)</f>
        <v>155.86800000000002</v>
      </c>
      <c r="X166">
        <f>0.741*(4.19 * 50)</f>
        <v>155.23950000000002</v>
      </c>
      <c r="Y166">
        <f>0.743*(4.19 * 50)</f>
        <v>155.65850000000003</v>
      </c>
      <c r="Z166">
        <f>0.751*(4.19 * 50)</f>
        <v>157.33450000000002</v>
      </c>
      <c r="AA166">
        <f>0.765*(4.19 * 50)</f>
        <v>160.26750000000001</v>
      </c>
      <c r="AB166">
        <f>0.776*(4.19 * 50)</f>
        <v>162.57200000000003</v>
      </c>
      <c r="AC166">
        <f>0.79*(4.19 * 50)</f>
        <v>165.50500000000002</v>
      </c>
      <c r="AD166">
        <f>0.803*(4.19 * 50)</f>
        <v>168.22850000000003</v>
      </c>
      <c r="AE166">
        <f>0.809*(4.19 * 50)</f>
        <v>169.48550000000003</v>
      </c>
      <c r="AF166">
        <f>0.801*(4.19 * 50)</f>
        <v>167.80950000000004</v>
      </c>
      <c r="AG166">
        <f>0.791*(4.19 * 50)</f>
        <v>165.71450000000004</v>
      </c>
    </row>
    <row r="167" spans="1:33" x14ac:dyDescent="0.3">
      <c r="A167" t="s">
        <v>210</v>
      </c>
      <c r="B167">
        <v>357977.050781</v>
      </c>
      <c r="C167">
        <v>6669012.234375</v>
      </c>
      <c r="D167" t="s">
        <v>558</v>
      </c>
      <c r="E167">
        <v>100</v>
      </c>
      <c r="F167">
        <v>34</v>
      </c>
      <c r="G167">
        <v>0.162291169451074</v>
      </c>
      <c r="H167">
        <f t="shared" si="5"/>
        <v>65.844000000000008</v>
      </c>
      <c r="I167">
        <f t="shared" si="4"/>
        <v>209.50000000000003</v>
      </c>
      <c r="J167">
        <f>0.148*(4.19 * 50)</f>
        <v>31.006000000000004</v>
      </c>
      <c r="K167">
        <f>0.147*(4.19 * 50)</f>
        <v>30.796500000000002</v>
      </c>
      <c r="L167">
        <f>0.146*(4.19 * 50)</f>
        <v>30.587000000000003</v>
      </c>
      <c r="M167">
        <f>0.145*(4.19 * 50)</f>
        <v>30.377500000000001</v>
      </c>
      <c r="N167">
        <f>0.146*(4.19 * 50)</f>
        <v>30.587000000000003</v>
      </c>
      <c r="O167">
        <f>0.148*(4.19 * 50)</f>
        <v>31.006000000000004</v>
      </c>
      <c r="P167">
        <f>0.152*(4.19 * 50)</f>
        <v>31.844000000000005</v>
      </c>
      <c r="Q167">
        <f>0.156*(4.19 * 50)</f>
        <v>32.682000000000002</v>
      </c>
      <c r="R167">
        <f>0.155*(4.19 * 50)</f>
        <v>32.472500000000004</v>
      </c>
      <c r="S167">
        <f>0.152*(4.19 * 50)</f>
        <v>31.844000000000005</v>
      </c>
      <c r="T167">
        <f>0.151*(4.19 * 50)</f>
        <v>31.634500000000003</v>
      </c>
      <c r="U167">
        <f>0.145*(4.19 * 50)</f>
        <v>30.377500000000001</v>
      </c>
      <c r="V167">
        <f>0.143*(4.19 * 50)</f>
        <v>29.958500000000001</v>
      </c>
      <c r="W167">
        <f>0.141*(4.19 * 50)</f>
        <v>29.5395</v>
      </c>
      <c r="X167">
        <f>0.14*(4.19 * 50)</f>
        <v>29.330000000000005</v>
      </c>
      <c r="Y167">
        <f>0.141*(4.19 * 50)</f>
        <v>29.5395</v>
      </c>
      <c r="Z167">
        <f>0.142*(4.19 * 50)</f>
        <v>29.749000000000002</v>
      </c>
      <c r="AA167">
        <f>0.145*(4.19 * 50)</f>
        <v>30.377500000000001</v>
      </c>
      <c r="AB167">
        <f>0.147*(4.19 * 50)</f>
        <v>30.796500000000002</v>
      </c>
      <c r="AC167">
        <f>0.149*(4.19 * 50)</f>
        <v>31.215500000000002</v>
      </c>
      <c r="AD167">
        <f>0.152*(4.19 * 50)</f>
        <v>31.844000000000005</v>
      </c>
      <c r="AE167">
        <f>0.153*(4.19 * 50)</f>
        <v>32.053500000000007</v>
      </c>
      <c r="AF167">
        <f>0.152*(4.19 * 50)</f>
        <v>31.844000000000005</v>
      </c>
      <c r="AG167">
        <f>0.15*(4.19 * 50)</f>
        <v>31.425000000000004</v>
      </c>
    </row>
    <row r="168" spans="1:33" x14ac:dyDescent="0.3">
      <c r="A168" t="s">
        <v>211</v>
      </c>
      <c r="B168">
        <v>362712.367188</v>
      </c>
      <c r="C168">
        <v>6671647.984375</v>
      </c>
      <c r="D168" t="s">
        <v>541</v>
      </c>
      <c r="E168">
        <v>100</v>
      </c>
      <c r="F168">
        <v>103.333000183105</v>
      </c>
      <c r="G168">
        <v>0.49323627772365147</v>
      </c>
      <c r="H168">
        <f t="shared" si="5"/>
        <v>200.33150018310502</v>
      </c>
      <c r="I168">
        <f t="shared" si="4"/>
        <v>209.50000000000003</v>
      </c>
      <c r="J168">
        <f>0.45*(4.19 * 50)</f>
        <v>94.27500000000002</v>
      </c>
      <c r="K168">
        <f>0.446*(4.19 * 50)</f>
        <v>93.437000000000012</v>
      </c>
      <c r="L168">
        <f>0.443*(4.19 * 50)</f>
        <v>92.808500000000009</v>
      </c>
      <c r="M168">
        <f>0.442*(4.19 * 50)</f>
        <v>92.599000000000018</v>
      </c>
      <c r="N168">
        <f>0.443*(4.19 * 50)</f>
        <v>92.808500000000009</v>
      </c>
      <c r="O168">
        <f>0.449*(4.19 * 50)</f>
        <v>94.065500000000014</v>
      </c>
      <c r="P168">
        <f>0.463*(4.19 * 50)</f>
        <v>96.998500000000021</v>
      </c>
      <c r="Q168">
        <f>0.475*(4.19 * 50)</f>
        <v>99.512500000000003</v>
      </c>
      <c r="R168">
        <f>0.471*(4.19 * 50)</f>
        <v>98.674500000000009</v>
      </c>
      <c r="S168">
        <f>0.461*(4.19 * 50)</f>
        <v>96.579500000000024</v>
      </c>
      <c r="T168">
        <f>0.459*(4.19 * 50)</f>
        <v>96.160500000000013</v>
      </c>
      <c r="U168">
        <f>0.44*(4.19 * 50)</f>
        <v>92.18</v>
      </c>
      <c r="V168">
        <f>0.434*(4.19 * 50)</f>
        <v>90.923000000000016</v>
      </c>
      <c r="W168">
        <f>0.428*(4.19 * 50)</f>
        <v>89.666000000000011</v>
      </c>
      <c r="X168">
        <f>0.426*(4.19 * 50)</f>
        <v>89.247000000000014</v>
      </c>
      <c r="Y168">
        <f>0.427*(4.19 * 50)</f>
        <v>89.456500000000005</v>
      </c>
      <c r="Z168">
        <f>0.432*(4.19 * 50)</f>
        <v>90.504000000000005</v>
      </c>
      <c r="AA168">
        <f>0.44*(4.19 * 50)</f>
        <v>92.18</v>
      </c>
      <c r="AB168">
        <f>0.446*(4.19 * 50)</f>
        <v>93.437000000000012</v>
      </c>
      <c r="AC168">
        <f>0.454*(4.19 * 50)</f>
        <v>95.113000000000014</v>
      </c>
      <c r="AD168">
        <f>0.462*(4.19 * 50)</f>
        <v>96.789000000000016</v>
      </c>
      <c r="AE168">
        <f>0.465*(4.19 * 50)</f>
        <v>97.417500000000018</v>
      </c>
      <c r="AF168">
        <f>0.461*(4.19 * 50)</f>
        <v>96.579500000000024</v>
      </c>
      <c r="AG168">
        <f>0.455*(4.19 * 50)</f>
        <v>95.322500000000019</v>
      </c>
    </row>
    <row r="169" spans="1:33" x14ac:dyDescent="0.3">
      <c r="A169" t="s">
        <v>212</v>
      </c>
      <c r="B169">
        <v>363188.464844</v>
      </c>
      <c r="C169">
        <v>6671720.3203130001</v>
      </c>
      <c r="D169" t="s">
        <v>542</v>
      </c>
      <c r="E169">
        <v>100</v>
      </c>
      <c r="F169">
        <v>110</v>
      </c>
      <c r="G169">
        <v>0.52505966587112163</v>
      </c>
      <c r="H169">
        <f t="shared" si="5"/>
        <v>213.2835</v>
      </c>
      <c r="I169">
        <f t="shared" si="4"/>
        <v>209.50000000000003</v>
      </c>
      <c r="J169">
        <f>0.479*(4.19 * 50)</f>
        <v>100.35050000000001</v>
      </c>
      <c r="K169">
        <f>0.475*(4.19 * 50)</f>
        <v>99.512500000000003</v>
      </c>
      <c r="L169">
        <f>0.472*(4.19 * 50)</f>
        <v>98.884000000000015</v>
      </c>
      <c r="M169">
        <f>0.47*(4.19 * 50)</f>
        <v>98.465000000000003</v>
      </c>
      <c r="N169">
        <f>0.472*(4.19 * 50)</f>
        <v>98.884000000000015</v>
      </c>
      <c r="O169">
        <f>0.478*(4.19 * 50)</f>
        <v>100.14100000000001</v>
      </c>
      <c r="P169">
        <f>0.493*(4.19 * 50)</f>
        <v>103.28350000000002</v>
      </c>
      <c r="Q169">
        <f>0.506*(4.19 * 50)</f>
        <v>106.00700000000002</v>
      </c>
      <c r="R169">
        <f>0.501*(4.19 * 50)</f>
        <v>104.95950000000002</v>
      </c>
      <c r="S169">
        <f>0.491*(4.19 * 50)</f>
        <v>102.86450000000001</v>
      </c>
      <c r="T169">
        <f>0.489*(4.19 * 50)</f>
        <v>102.44550000000001</v>
      </c>
      <c r="U169">
        <f>0.468*(4.19 * 50)</f>
        <v>98.046000000000021</v>
      </c>
      <c r="V169">
        <f>0.462*(4.19 * 50)</f>
        <v>96.789000000000016</v>
      </c>
      <c r="W169">
        <f>0.455*(4.19 * 50)</f>
        <v>95.322500000000019</v>
      </c>
      <c r="X169">
        <f>0.454*(4.19 * 50)</f>
        <v>95.113000000000014</v>
      </c>
      <c r="Y169">
        <f>0.455*(4.19 * 50)</f>
        <v>95.322500000000019</v>
      </c>
      <c r="Z169">
        <f>0.46*(4.19 * 50)</f>
        <v>96.370000000000019</v>
      </c>
      <c r="AA169">
        <f>0.468*(4.19 * 50)</f>
        <v>98.046000000000021</v>
      </c>
      <c r="AB169">
        <f>0.475*(4.19 * 50)</f>
        <v>99.512500000000003</v>
      </c>
      <c r="AC169">
        <f>0.484*(4.19 * 50)</f>
        <v>101.39800000000001</v>
      </c>
      <c r="AD169">
        <f>0.492*(4.19 * 50)</f>
        <v>103.07400000000001</v>
      </c>
      <c r="AE169">
        <f>0.495*(4.19 * 50)</f>
        <v>103.70250000000001</v>
      </c>
      <c r="AF169">
        <f>0.491*(4.19 * 50)</f>
        <v>102.86450000000001</v>
      </c>
      <c r="AG169">
        <f>0.484*(4.19 * 50)</f>
        <v>101.39800000000001</v>
      </c>
    </row>
    <row r="170" spans="1:33" x14ac:dyDescent="0.3">
      <c r="A170" t="s">
        <v>213</v>
      </c>
      <c r="B170">
        <v>357261.476563</v>
      </c>
      <c r="C170">
        <v>6669293.9296880001</v>
      </c>
      <c r="D170" t="s">
        <v>540</v>
      </c>
      <c r="E170">
        <v>100</v>
      </c>
      <c r="F170">
        <v>14</v>
      </c>
      <c r="G170">
        <v>6.6825775656324568E-2</v>
      </c>
      <c r="H170">
        <f t="shared" si="5"/>
        <v>27.198500000000003</v>
      </c>
      <c r="I170">
        <f t="shared" si="4"/>
        <v>209.50000000000003</v>
      </c>
      <c r="J170">
        <f>0.061*(4.19 * 50)</f>
        <v>12.779500000000002</v>
      </c>
      <c r="K170">
        <f>0.06*(4.19 * 50)</f>
        <v>12.570000000000002</v>
      </c>
      <c r="L170">
        <f>0.06*(4.19 * 50)</f>
        <v>12.570000000000002</v>
      </c>
      <c r="M170">
        <f>0.06*(4.19 * 50)</f>
        <v>12.570000000000002</v>
      </c>
      <c r="N170">
        <f>0.06*(4.19 * 50)</f>
        <v>12.570000000000002</v>
      </c>
      <c r="O170">
        <f>0.061*(4.19 * 50)</f>
        <v>12.779500000000002</v>
      </c>
      <c r="P170">
        <f>0.063*(4.19 * 50)</f>
        <v>13.198500000000001</v>
      </c>
      <c r="Q170">
        <f>0.064*(4.19 * 50)</f>
        <v>13.408000000000001</v>
      </c>
      <c r="R170">
        <f>0.064*(4.19 * 50)</f>
        <v>13.408000000000001</v>
      </c>
      <c r="S170">
        <f>0.062*(4.19 * 50)</f>
        <v>12.989000000000003</v>
      </c>
      <c r="T170">
        <f>0.062*(4.19 * 50)</f>
        <v>12.989000000000003</v>
      </c>
      <c r="U170">
        <f>0.06*(4.19 * 50)</f>
        <v>12.570000000000002</v>
      </c>
      <c r="V170">
        <f>0.059*(4.19 * 50)</f>
        <v>12.360500000000002</v>
      </c>
      <c r="W170">
        <f>0.058*(4.19 * 50)</f>
        <v>12.151000000000002</v>
      </c>
      <c r="X170">
        <f>0.058*(4.19 * 50)</f>
        <v>12.151000000000002</v>
      </c>
      <c r="Y170">
        <f>0.058*(4.19 * 50)</f>
        <v>12.151000000000002</v>
      </c>
      <c r="Z170">
        <f>0.059*(4.19 * 50)</f>
        <v>12.360500000000002</v>
      </c>
      <c r="AA170">
        <f>0.06*(4.19 * 50)</f>
        <v>12.570000000000002</v>
      </c>
      <c r="AB170">
        <f>0.06*(4.19 * 50)</f>
        <v>12.570000000000002</v>
      </c>
      <c r="AC170">
        <f>0.062*(4.19 * 50)</f>
        <v>12.989000000000003</v>
      </c>
      <c r="AD170">
        <f>0.063*(4.19 * 50)</f>
        <v>13.198500000000001</v>
      </c>
      <c r="AE170">
        <f>0.063*(4.19 * 50)</f>
        <v>13.198500000000001</v>
      </c>
      <c r="AF170">
        <f>0.062*(4.19 * 50)</f>
        <v>12.989000000000003</v>
      </c>
      <c r="AG170">
        <f>0.062*(4.19 * 50)</f>
        <v>12.989000000000003</v>
      </c>
    </row>
    <row r="171" spans="1:33" x14ac:dyDescent="0.3">
      <c r="A171" t="s">
        <v>214</v>
      </c>
      <c r="B171">
        <v>364561.816406</v>
      </c>
      <c r="C171">
        <v>6671548.2070310004</v>
      </c>
      <c r="D171" t="s">
        <v>541</v>
      </c>
      <c r="E171">
        <v>100</v>
      </c>
      <c r="F171">
        <v>133.33299255371</v>
      </c>
      <c r="G171">
        <v>0.63643433199861565</v>
      </c>
      <c r="H171">
        <f t="shared" si="5"/>
        <v>258.40449255371004</v>
      </c>
      <c r="I171">
        <f t="shared" si="4"/>
        <v>209.50000000000003</v>
      </c>
      <c r="J171">
        <f>0.58*(4.19 * 50)</f>
        <v>121.51</v>
      </c>
      <c r="K171">
        <f>0.576*(4.19 * 50)</f>
        <v>120.67200000000001</v>
      </c>
      <c r="L171">
        <f>0.572*(4.19 * 50)</f>
        <v>119.834</v>
      </c>
      <c r="M171">
        <f>0.57*(4.19 * 50)</f>
        <v>119.41500000000001</v>
      </c>
      <c r="N171">
        <f>0.572*(4.19 * 50)</f>
        <v>119.834</v>
      </c>
      <c r="O171">
        <f>0.58*(4.19 * 50)</f>
        <v>121.51</v>
      </c>
      <c r="P171">
        <f>0.597*(4.19 * 50)</f>
        <v>125.07150000000001</v>
      </c>
      <c r="Q171">
        <f>0.613*(4.19 * 50)</f>
        <v>128.42350000000002</v>
      </c>
      <c r="R171">
        <f>0.608*(4.19 * 50)</f>
        <v>127.37600000000002</v>
      </c>
      <c r="S171">
        <f>0.595*(4.19 * 50)</f>
        <v>124.65250000000002</v>
      </c>
      <c r="T171">
        <f>0.592*(4.19 * 50)</f>
        <v>124.02400000000002</v>
      </c>
      <c r="U171">
        <f>0.568*(4.19 * 50)</f>
        <v>118.99600000000001</v>
      </c>
      <c r="V171">
        <f>0.559*(4.19 * 50)</f>
        <v>117.11050000000003</v>
      </c>
      <c r="W171">
        <f>0.552*(4.19 * 50)</f>
        <v>115.64400000000002</v>
      </c>
      <c r="X171">
        <f>0.55*(4.19 * 50)</f>
        <v>115.22500000000002</v>
      </c>
      <c r="Y171">
        <f>0.551*(4.19 * 50)</f>
        <v>115.43450000000003</v>
      </c>
      <c r="Z171">
        <f>0.557*(4.19 * 50)</f>
        <v>116.69150000000003</v>
      </c>
      <c r="AA171">
        <f>0.568*(4.19 * 50)</f>
        <v>118.99600000000001</v>
      </c>
      <c r="AB171">
        <f>0.576*(4.19 * 50)</f>
        <v>120.67200000000001</v>
      </c>
      <c r="AC171">
        <f>0.586*(4.19 * 50)</f>
        <v>122.76700000000001</v>
      </c>
      <c r="AD171">
        <f>0.596*(4.19 * 50)</f>
        <v>124.86200000000001</v>
      </c>
      <c r="AE171">
        <f>0.6*(4.19 * 50)</f>
        <v>125.70000000000002</v>
      </c>
      <c r="AF171">
        <f>0.595*(4.19 * 50)</f>
        <v>124.65250000000002</v>
      </c>
      <c r="AG171">
        <f>0.587*(4.19 * 50)</f>
        <v>122.97650000000002</v>
      </c>
    </row>
    <row r="172" spans="1:33" x14ac:dyDescent="0.3">
      <c r="A172" t="s">
        <v>215</v>
      </c>
      <c r="B172">
        <v>366585.773438</v>
      </c>
      <c r="C172">
        <v>6670632.1640630001</v>
      </c>
      <c r="D172" t="s">
        <v>541</v>
      </c>
      <c r="E172">
        <v>100</v>
      </c>
      <c r="F172">
        <v>73.333000183105398</v>
      </c>
      <c r="G172">
        <v>0.35003818703152928</v>
      </c>
      <c r="H172">
        <f t="shared" si="5"/>
        <v>142.04900018310542</v>
      </c>
      <c r="I172">
        <f t="shared" si="4"/>
        <v>209.50000000000003</v>
      </c>
      <c r="J172">
        <f>0.319*(4.19 * 50)</f>
        <v>66.830500000000015</v>
      </c>
      <c r="K172">
        <f>0.317*(4.19 * 50)</f>
        <v>66.411500000000004</v>
      </c>
      <c r="L172">
        <f>0.315*(4.19 * 50)</f>
        <v>65.992500000000007</v>
      </c>
      <c r="M172">
        <f>0.313*(4.19 * 50)</f>
        <v>65.57350000000001</v>
      </c>
      <c r="N172">
        <f>0.315*(4.19 * 50)</f>
        <v>65.992500000000007</v>
      </c>
      <c r="O172">
        <f>0.319*(4.19 * 50)</f>
        <v>66.830500000000015</v>
      </c>
      <c r="P172">
        <f>0.328*(4.19 * 50)</f>
        <v>68.716000000000008</v>
      </c>
      <c r="Q172">
        <f>0.337*(4.19 * 50)</f>
        <v>70.601500000000016</v>
      </c>
      <c r="R172">
        <f>0.334*(4.19 * 50)</f>
        <v>69.973000000000013</v>
      </c>
      <c r="S172">
        <f>0.327*(4.19 * 50)</f>
        <v>68.506500000000017</v>
      </c>
      <c r="T172">
        <f>0.326*(4.19 * 50)</f>
        <v>68.297000000000011</v>
      </c>
      <c r="U172">
        <f>0.312*(4.19 * 50)</f>
        <v>65.364000000000004</v>
      </c>
      <c r="V172">
        <f>0.308*(4.19 * 50)</f>
        <v>64.52600000000001</v>
      </c>
      <c r="W172">
        <f>0.304*(4.19 * 50)</f>
        <v>63.688000000000009</v>
      </c>
      <c r="X172">
        <f>0.303*(4.19 * 50)</f>
        <v>63.478500000000004</v>
      </c>
      <c r="Y172">
        <f>0.303*(4.19 * 50)</f>
        <v>63.478500000000004</v>
      </c>
      <c r="Z172">
        <f>0.306*(4.19 * 50)</f>
        <v>64.107000000000014</v>
      </c>
      <c r="AA172">
        <f>0.312*(4.19 * 50)</f>
        <v>65.364000000000004</v>
      </c>
      <c r="AB172">
        <f>0.317*(4.19 * 50)</f>
        <v>66.411500000000004</v>
      </c>
      <c r="AC172">
        <f>0.322*(4.19 * 50)</f>
        <v>67.459000000000017</v>
      </c>
      <c r="AD172">
        <f>0.328*(4.19 * 50)</f>
        <v>68.716000000000008</v>
      </c>
      <c r="AE172">
        <f>0.33*(4.19 * 50)</f>
        <v>69.135000000000019</v>
      </c>
      <c r="AF172">
        <f>0.327*(4.19 * 50)</f>
        <v>68.506500000000017</v>
      </c>
      <c r="AG172">
        <f>0.323*(4.19 * 50)</f>
        <v>67.668500000000009</v>
      </c>
    </row>
    <row r="173" spans="1:33" x14ac:dyDescent="0.3">
      <c r="A173" t="s">
        <v>216</v>
      </c>
      <c r="B173">
        <v>359872.992188</v>
      </c>
      <c r="C173">
        <v>6667779.1757810004</v>
      </c>
      <c r="D173" t="s">
        <v>541</v>
      </c>
      <c r="E173">
        <v>100</v>
      </c>
      <c r="F173">
        <v>106.333000183105</v>
      </c>
      <c r="G173">
        <v>0.5075560867928639</v>
      </c>
      <c r="H173">
        <f t="shared" si="5"/>
        <v>206.05500018310499</v>
      </c>
      <c r="I173">
        <f t="shared" si="4"/>
        <v>209.50000000000003</v>
      </c>
      <c r="J173">
        <f>0.463*(4.19 * 50)</f>
        <v>96.998500000000021</v>
      </c>
      <c r="K173">
        <f>0.459*(4.19 * 50)</f>
        <v>96.160500000000013</v>
      </c>
      <c r="L173">
        <f>0.456*(4.19 * 50)</f>
        <v>95.532000000000011</v>
      </c>
      <c r="M173">
        <f>0.454*(4.19 * 50)</f>
        <v>95.113000000000014</v>
      </c>
      <c r="N173">
        <f>0.456*(4.19 * 50)</f>
        <v>95.532000000000011</v>
      </c>
      <c r="O173">
        <f>0.462*(4.19 * 50)</f>
        <v>96.789000000000016</v>
      </c>
      <c r="P173">
        <f>0.476*(4.19 * 50)</f>
        <v>99.722000000000008</v>
      </c>
      <c r="Q173">
        <f>0.489*(4.19 * 50)</f>
        <v>102.44550000000001</v>
      </c>
      <c r="R173">
        <f>0.485*(4.19 * 50)</f>
        <v>101.60750000000002</v>
      </c>
      <c r="S173">
        <f>0.474*(4.19 * 50)</f>
        <v>99.303000000000011</v>
      </c>
      <c r="T173">
        <f>0.472*(4.19 * 50)</f>
        <v>98.884000000000015</v>
      </c>
      <c r="U173">
        <f>0.453*(4.19 * 50)</f>
        <v>94.903500000000022</v>
      </c>
      <c r="V173">
        <f>0.446*(4.19 * 50)</f>
        <v>93.437000000000012</v>
      </c>
      <c r="W173">
        <f>0.44*(4.19 * 50)</f>
        <v>92.18</v>
      </c>
      <c r="X173">
        <f>0.439*(4.19 * 50)</f>
        <v>91.970500000000015</v>
      </c>
      <c r="Y173">
        <f>0.44*(4.19 * 50)</f>
        <v>92.18</v>
      </c>
      <c r="Z173">
        <f>0.444*(4.19 * 50)</f>
        <v>93.018000000000015</v>
      </c>
      <c r="AA173">
        <f>0.453*(4.19 * 50)</f>
        <v>94.903500000000022</v>
      </c>
      <c r="AB173">
        <f>0.459*(4.19 * 50)</f>
        <v>96.160500000000013</v>
      </c>
      <c r="AC173">
        <f>0.467*(4.19 * 50)</f>
        <v>97.836500000000015</v>
      </c>
      <c r="AD173">
        <f>0.475*(4.19 * 50)</f>
        <v>99.512500000000003</v>
      </c>
      <c r="AE173">
        <f>0.479*(4.19 * 50)</f>
        <v>100.35050000000001</v>
      </c>
      <c r="AF173">
        <f>0.474*(4.19 * 50)</f>
        <v>99.303000000000011</v>
      </c>
      <c r="AG173">
        <f>0.468*(4.19 * 50)</f>
        <v>98.046000000000021</v>
      </c>
    </row>
    <row r="174" spans="1:33" x14ac:dyDescent="0.3">
      <c r="A174" t="s">
        <v>217</v>
      </c>
      <c r="B174">
        <v>357574.117188</v>
      </c>
      <c r="C174">
        <v>6667902.921875</v>
      </c>
      <c r="D174" t="s">
        <v>541</v>
      </c>
      <c r="E174">
        <v>100</v>
      </c>
      <c r="F174">
        <v>165.33299255371</v>
      </c>
      <c r="G174">
        <v>0.78917896207021465</v>
      </c>
      <c r="H174">
        <f t="shared" si="5"/>
        <v>320.36299255371</v>
      </c>
      <c r="I174">
        <f t="shared" si="4"/>
        <v>209.50000000000003</v>
      </c>
      <c r="J174">
        <f>0.72*(4.19 * 50)</f>
        <v>150.84</v>
      </c>
      <c r="K174">
        <f>0.714*(4.19 * 50)</f>
        <v>149.58300000000003</v>
      </c>
      <c r="L174">
        <f>0.71*(4.19 * 50)</f>
        <v>148.745</v>
      </c>
      <c r="M174">
        <f>0.707*(4.19 * 50)</f>
        <v>148.1165</v>
      </c>
      <c r="N174">
        <f>0.71*(4.19 * 50)</f>
        <v>148.745</v>
      </c>
      <c r="O174">
        <f>0.719*(4.19 * 50)</f>
        <v>150.63050000000001</v>
      </c>
      <c r="P174">
        <f>0.74*(4.19 * 50)</f>
        <v>155.03000000000003</v>
      </c>
      <c r="Q174">
        <f>0.76*(4.19 * 50)</f>
        <v>159.22000000000003</v>
      </c>
      <c r="R174">
        <f>0.753*(4.19 * 50)</f>
        <v>157.75350000000003</v>
      </c>
      <c r="S174">
        <f>0.738*(4.19 * 50)</f>
        <v>154.61100000000002</v>
      </c>
      <c r="T174">
        <f>0.735*(4.19 * 50)</f>
        <v>153.98250000000002</v>
      </c>
      <c r="U174">
        <f>0.704*(4.19 * 50)</f>
        <v>147.488</v>
      </c>
      <c r="V174">
        <f>0.694*(4.19 * 50)</f>
        <v>145.393</v>
      </c>
      <c r="W174">
        <f>0.684*(4.19 * 50)</f>
        <v>143.29800000000003</v>
      </c>
      <c r="X174">
        <f>0.682*(4.19 * 50)</f>
        <v>142.87900000000002</v>
      </c>
      <c r="Y174">
        <f>0.684*(4.19 * 50)</f>
        <v>143.29800000000003</v>
      </c>
      <c r="Z174">
        <f>0.691*(4.19 * 50)</f>
        <v>144.7645</v>
      </c>
      <c r="AA174">
        <f>0.704*(4.19 * 50)</f>
        <v>147.488</v>
      </c>
      <c r="AB174">
        <f>0.714*(4.19 * 50)</f>
        <v>149.58300000000003</v>
      </c>
      <c r="AC174">
        <f>0.727*(4.19 * 50)</f>
        <v>152.30650000000003</v>
      </c>
      <c r="AD174">
        <f>0.739*(4.19 * 50)</f>
        <v>154.82050000000001</v>
      </c>
      <c r="AE174">
        <f>0.744*(4.19 * 50)</f>
        <v>155.86800000000002</v>
      </c>
      <c r="AF174">
        <f>0.738*(4.19 * 50)</f>
        <v>154.61100000000002</v>
      </c>
      <c r="AG174">
        <f>0.727*(4.19 * 50)</f>
        <v>152.30650000000003</v>
      </c>
    </row>
    <row r="175" spans="1:33" x14ac:dyDescent="0.3">
      <c r="A175" t="s">
        <v>218</v>
      </c>
      <c r="B175">
        <v>360567.527344</v>
      </c>
      <c r="C175">
        <v>6668536.921875</v>
      </c>
      <c r="D175" t="s">
        <v>560</v>
      </c>
      <c r="E175">
        <v>100</v>
      </c>
      <c r="F175">
        <v>41</v>
      </c>
      <c r="G175">
        <v>0.19570405727923629</v>
      </c>
      <c r="H175">
        <f t="shared" si="5"/>
        <v>79.548000000000002</v>
      </c>
      <c r="I175">
        <f t="shared" si="4"/>
        <v>209.50000000000003</v>
      </c>
      <c r="J175">
        <f>0.178*(4.19 * 50)</f>
        <v>37.291000000000004</v>
      </c>
      <c r="K175">
        <f>0.177*(4.19 * 50)</f>
        <v>37.081500000000005</v>
      </c>
      <c r="L175">
        <f>0.176*(4.19 * 50)</f>
        <v>36.872</v>
      </c>
      <c r="M175">
        <f>0.175*(4.19 * 50)</f>
        <v>36.662500000000001</v>
      </c>
      <c r="N175">
        <f>0.176*(4.19 * 50)</f>
        <v>36.872</v>
      </c>
      <c r="O175">
        <f>0.178*(4.19 * 50)</f>
        <v>37.291000000000004</v>
      </c>
      <c r="P175">
        <f>0.184*(4.19 * 50)</f>
        <v>38.548000000000002</v>
      </c>
      <c r="Q175">
        <f>0.188*(4.19 * 50)</f>
        <v>39.386000000000003</v>
      </c>
      <c r="R175">
        <f>0.187*(4.19 * 50)</f>
        <v>39.176500000000004</v>
      </c>
      <c r="S175">
        <f>0.183*(4.19 * 50)</f>
        <v>38.338500000000003</v>
      </c>
      <c r="T175">
        <f>0.182*(4.19 * 50)</f>
        <v>38.129000000000005</v>
      </c>
      <c r="U175">
        <f>0.175*(4.19 * 50)</f>
        <v>36.662500000000001</v>
      </c>
      <c r="V175">
        <f>0.172*(4.19 * 50)</f>
        <v>36.033999999999999</v>
      </c>
      <c r="W175">
        <f>0.17*(4.19 * 50)</f>
        <v>35.615000000000009</v>
      </c>
      <c r="X175">
        <f>0.169*(4.19 * 50)</f>
        <v>35.405500000000011</v>
      </c>
      <c r="Y175">
        <f>0.17*(4.19 * 50)</f>
        <v>35.615000000000009</v>
      </c>
      <c r="Z175">
        <f>0.171*(4.19 * 50)</f>
        <v>35.824500000000008</v>
      </c>
      <c r="AA175">
        <f>0.175*(4.19 * 50)</f>
        <v>36.662500000000001</v>
      </c>
      <c r="AB175">
        <f>0.177*(4.19 * 50)</f>
        <v>37.081500000000005</v>
      </c>
      <c r="AC175">
        <f>0.18*(4.19 * 50)</f>
        <v>37.71</v>
      </c>
      <c r="AD175">
        <f>0.183*(4.19 * 50)</f>
        <v>38.338500000000003</v>
      </c>
      <c r="AE175">
        <f>0.185*(4.19 * 50)</f>
        <v>38.757500000000007</v>
      </c>
      <c r="AF175">
        <f>0.183*(4.19 * 50)</f>
        <v>38.338500000000003</v>
      </c>
      <c r="AG175">
        <f>0.18*(4.19 * 50)</f>
        <v>37.71</v>
      </c>
    </row>
    <row r="176" spans="1:33" x14ac:dyDescent="0.3">
      <c r="A176" t="s">
        <v>219</v>
      </c>
      <c r="B176">
        <v>359872.105469</v>
      </c>
      <c r="C176">
        <v>6667776.8320310004</v>
      </c>
      <c r="D176" t="s">
        <v>541</v>
      </c>
      <c r="E176">
        <v>100</v>
      </c>
      <c r="F176">
        <v>107.333000183105</v>
      </c>
      <c r="G176">
        <v>0.51232935648260136</v>
      </c>
      <c r="H176">
        <f t="shared" si="5"/>
        <v>208.10250018310501</v>
      </c>
      <c r="I176">
        <f t="shared" si="4"/>
        <v>209.50000000000003</v>
      </c>
      <c r="J176">
        <f>0.467*(4.19 * 50)</f>
        <v>97.836500000000015</v>
      </c>
      <c r="K176">
        <f>0.463*(4.19 * 50)</f>
        <v>96.998500000000021</v>
      </c>
      <c r="L176">
        <f>0.461*(4.19 * 50)</f>
        <v>96.579500000000024</v>
      </c>
      <c r="M176">
        <f>0.459*(4.19 * 50)</f>
        <v>96.160500000000013</v>
      </c>
      <c r="N176">
        <f>0.461*(4.19 * 50)</f>
        <v>96.579500000000024</v>
      </c>
      <c r="O176">
        <f>0.467*(4.19 * 50)</f>
        <v>97.836500000000015</v>
      </c>
      <c r="P176">
        <f>0.481*(4.19 * 50)</f>
        <v>100.76950000000001</v>
      </c>
      <c r="Q176">
        <f>0.493*(4.19 * 50)</f>
        <v>103.28350000000002</v>
      </c>
      <c r="R176">
        <f>0.489*(4.19 * 50)</f>
        <v>102.44550000000001</v>
      </c>
      <c r="S176">
        <f>0.479*(4.19 * 50)</f>
        <v>100.35050000000001</v>
      </c>
      <c r="T176">
        <f>0.477*(4.19 * 50)</f>
        <v>99.931500000000014</v>
      </c>
      <c r="U176">
        <f>0.457*(4.19 * 50)</f>
        <v>95.741500000000016</v>
      </c>
      <c r="V176">
        <f>0.45*(4.19 * 50)</f>
        <v>94.27500000000002</v>
      </c>
      <c r="W176">
        <f>0.444*(4.19 * 50)</f>
        <v>93.018000000000015</v>
      </c>
      <c r="X176">
        <f>0.443*(4.19 * 50)</f>
        <v>92.808500000000009</v>
      </c>
      <c r="Y176">
        <f>0.444*(4.19 * 50)</f>
        <v>93.018000000000015</v>
      </c>
      <c r="Z176">
        <f>0.449*(4.19 * 50)</f>
        <v>94.065500000000014</v>
      </c>
      <c r="AA176">
        <f>0.457*(4.19 * 50)</f>
        <v>95.741500000000016</v>
      </c>
      <c r="AB176">
        <f>0.463*(4.19 * 50)</f>
        <v>96.998500000000021</v>
      </c>
      <c r="AC176">
        <f>0.472*(4.19 * 50)</f>
        <v>98.884000000000015</v>
      </c>
      <c r="AD176">
        <f>0.48*(4.19 * 50)</f>
        <v>100.56000000000002</v>
      </c>
      <c r="AE176">
        <f>0.483*(4.19 * 50)</f>
        <v>101.1885</v>
      </c>
      <c r="AF176">
        <f>0.479*(4.19 * 50)</f>
        <v>100.35050000000001</v>
      </c>
      <c r="AG176">
        <f>0.472*(4.19 * 50)</f>
        <v>98.884000000000015</v>
      </c>
    </row>
    <row r="177" spans="1:33" x14ac:dyDescent="0.3">
      <c r="A177" t="s">
        <v>220</v>
      </c>
      <c r="B177">
        <v>362977.507813</v>
      </c>
      <c r="C177">
        <v>6672714.6289060004</v>
      </c>
      <c r="D177" t="s">
        <v>561</v>
      </c>
      <c r="E177">
        <v>100</v>
      </c>
      <c r="F177">
        <v>80.333000183105398</v>
      </c>
      <c r="G177">
        <v>0.3834510748596916</v>
      </c>
      <c r="H177">
        <f t="shared" si="5"/>
        <v>155.7530001831054</v>
      </c>
      <c r="I177">
        <f t="shared" si="4"/>
        <v>209.50000000000003</v>
      </c>
      <c r="J177">
        <f>0.35*(4.19 * 50)</f>
        <v>73.325000000000003</v>
      </c>
      <c r="K177">
        <f>0.347*(4.19 * 50)</f>
        <v>72.6965</v>
      </c>
      <c r="L177">
        <f>0.345*(4.19 * 50)</f>
        <v>72.277500000000003</v>
      </c>
      <c r="M177">
        <f>0.343*(4.19 * 50)</f>
        <v>71.858500000000021</v>
      </c>
      <c r="N177">
        <f>0.345*(4.19 * 50)</f>
        <v>72.277500000000003</v>
      </c>
      <c r="O177">
        <f>0.349*(4.19 * 50)</f>
        <v>73.115500000000011</v>
      </c>
      <c r="P177">
        <f>0.36*(4.19 * 50)</f>
        <v>75.42</v>
      </c>
      <c r="Q177">
        <f>0.369*(4.19 * 50)</f>
        <v>77.305500000000009</v>
      </c>
      <c r="R177">
        <f>0.366*(4.19 * 50)</f>
        <v>76.677000000000007</v>
      </c>
      <c r="S177">
        <f>0.358*(4.19 * 50)</f>
        <v>75.001000000000005</v>
      </c>
      <c r="T177">
        <f>0.357*(4.19 * 50)</f>
        <v>74.791500000000013</v>
      </c>
      <c r="U177">
        <f>0.342*(4.19 * 50)</f>
        <v>71.649000000000015</v>
      </c>
      <c r="V177">
        <f>0.337*(4.19 * 50)</f>
        <v>70.601500000000016</v>
      </c>
      <c r="W177">
        <f>0.333*(4.19 * 50)</f>
        <v>69.763500000000008</v>
      </c>
      <c r="X177">
        <f>0.331*(4.19 * 50)</f>
        <v>69.344500000000011</v>
      </c>
      <c r="Y177">
        <f>0.332*(4.19 * 50)</f>
        <v>69.554000000000016</v>
      </c>
      <c r="Z177">
        <f>0.336*(4.19 * 50)</f>
        <v>70.39200000000001</v>
      </c>
      <c r="AA177">
        <f>0.342*(4.19 * 50)</f>
        <v>71.649000000000015</v>
      </c>
      <c r="AB177">
        <f>0.347*(4.19 * 50)</f>
        <v>72.6965</v>
      </c>
      <c r="AC177">
        <f>0.353*(4.19 * 50)</f>
        <v>73.953500000000005</v>
      </c>
      <c r="AD177">
        <f>0.359*(4.19 * 50)</f>
        <v>75.21050000000001</v>
      </c>
      <c r="AE177">
        <f>0.362*(4.19 * 50)</f>
        <v>75.839000000000013</v>
      </c>
      <c r="AF177">
        <f>0.358*(4.19 * 50)</f>
        <v>75.001000000000005</v>
      </c>
      <c r="AG177">
        <f>0.353*(4.19 * 50)</f>
        <v>73.953500000000005</v>
      </c>
    </row>
    <row r="178" spans="1:33" x14ac:dyDescent="0.3">
      <c r="A178" t="s">
        <v>221</v>
      </c>
      <c r="B178">
        <v>357418.507813</v>
      </c>
      <c r="C178">
        <v>6668641.9023439996</v>
      </c>
      <c r="D178" t="s">
        <v>560</v>
      </c>
      <c r="E178">
        <v>100</v>
      </c>
      <c r="F178">
        <v>213.66700744628901</v>
      </c>
      <c r="G178">
        <v>1.019890250340282</v>
      </c>
      <c r="H178">
        <f t="shared" si="5"/>
        <v>414.15850744628904</v>
      </c>
      <c r="I178">
        <f t="shared" si="4"/>
        <v>209.50000000000003</v>
      </c>
      <c r="J178">
        <f>0.93*(4.19 * 50)</f>
        <v>194.83500000000004</v>
      </c>
      <c r="K178">
        <f>0.923*(4.19 * 50)</f>
        <v>193.36850000000004</v>
      </c>
      <c r="L178">
        <f>0.917*(4.19 * 50)</f>
        <v>192.11150000000004</v>
      </c>
      <c r="M178">
        <f>0.913*(4.19 * 50)</f>
        <v>191.27350000000004</v>
      </c>
      <c r="N178">
        <f>0.917*(4.19 * 50)</f>
        <v>192.11150000000004</v>
      </c>
      <c r="O178">
        <f>0.929*(4.19 * 50)</f>
        <v>194.62550000000005</v>
      </c>
      <c r="P178">
        <f>0.957*(4.19 * 50)</f>
        <v>200.49150000000003</v>
      </c>
      <c r="Q178">
        <f>0.982*(4.19 * 50)</f>
        <v>205.72900000000001</v>
      </c>
      <c r="R178">
        <f>0.974*(4.19 * 50)</f>
        <v>204.05300000000003</v>
      </c>
      <c r="S178">
        <f>0.953*(4.19 * 50)</f>
        <v>199.65350000000001</v>
      </c>
      <c r="T178">
        <f>0.949*(4.19 * 50)</f>
        <v>198.81550000000001</v>
      </c>
      <c r="U178">
        <f>0.91*(4.19 * 50)</f>
        <v>190.64500000000004</v>
      </c>
      <c r="V178">
        <f>0.897*(4.19 * 50)</f>
        <v>187.92150000000004</v>
      </c>
      <c r="W178">
        <f>0.884*(4.19 * 50)</f>
        <v>185.19800000000004</v>
      </c>
      <c r="X178">
        <f>0.882*(4.19 * 50)</f>
        <v>184.77900000000002</v>
      </c>
      <c r="Y178">
        <f>0.884*(4.19 * 50)</f>
        <v>185.19800000000004</v>
      </c>
      <c r="Z178">
        <f>0.893*(4.19 * 50)</f>
        <v>187.08350000000002</v>
      </c>
      <c r="AA178">
        <f>0.91*(4.19 * 50)</f>
        <v>190.64500000000004</v>
      </c>
      <c r="AB178">
        <f>0.923*(4.19 * 50)</f>
        <v>193.36850000000004</v>
      </c>
      <c r="AC178">
        <f>0.939*(4.19 * 50)</f>
        <v>196.72050000000002</v>
      </c>
      <c r="AD178">
        <f>0.955*(4.19 * 50)</f>
        <v>200.07250000000002</v>
      </c>
      <c r="AE178">
        <f>0.962*(4.19 * 50)</f>
        <v>201.53900000000002</v>
      </c>
      <c r="AF178">
        <f>0.953*(4.19 * 50)</f>
        <v>199.65350000000001</v>
      </c>
      <c r="AG178">
        <f>0.94*(4.19 * 50)</f>
        <v>196.93</v>
      </c>
    </row>
    <row r="179" spans="1:33" x14ac:dyDescent="0.3">
      <c r="A179" t="s">
        <v>222</v>
      </c>
      <c r="B179">
        <v>357974.707031</v>
      </c>
      <c r="C179">
        <v>6667398.1132810004</v>
      </c>
      <c r="D179" t="s">
        <v>562</v>
      </c>
      <c r="E179">
        <v>100</v>
      </c>
      <c r="F179">
        <v>133.33299255371</v>
      </c>
      <c r="G179">
        <v>0.63643433199861565</v>
      </c>
      <c r="H179">
        <f t="shared" si="5"/>
        <v>258.40449255371004</v>
      </c>
      <c r="I179">
        <f t="shared" si="4"/>
        <v>209.50000000000003</v>
      </c>
      <c r="J179">
        <f>0.58*(4.19 * 50)</f>
        <v>121.51</v>
      </c>
      <c r="K179">
        <f>0.576*(4.19 * 50)</f>
        <v>120.67200000000001</v>
      </c>
      <c r="L179">
        <f>0.572*(4.19 * 50)</f>
        <v>119.834</v>
      </c>
      <c r="M179">
        <f>0.57*(4.19 * 50)</f>
        <v>119.41500000000001</v>
      </c>
      <c r="N179">
        <f>0.572*(4.19 * 50)</f>
        <v>119.834</v>
      </c>
      <c r="O179">
        <f>0.58*(4.19 * 50)</f>
        <v>121.51</v>
      </c>
      <c r="P179">
        <f>0.597*(4.19 * 50)</f>
        <v>125.07150000000001</v>
      </c>
      <c r="Q179">
        <f>0.613*(4.19 * 50)</f>
        <v>128.42350000000002</v>
      </c>
      <c r="R179">
        <f>0.608*(4.19 * 50)</f>
        <v>127.37600000000002</v>
      </c>
      <c r="S179">
        <f>0.595*(4.19 * 50)</f>
        <v>124.65250000000002</v>
      </c>
      <c r="T179">
        <f>0.592*(4.19 * 50)</f>
        <v>124.02400000000002</v>
      </c>
      <c r="U179">
        <f>0.568*(4.19 * 50)</f>
        <v>118.99600000000001</v>
      </c>
      <c r="V179">
        <f>0.559*(4.19 * 50)</f>
        <v>117.11050000000003</v>
      </c>
      <c r="W179">
        <f>0.552*(4.19 * 50)</f>
        <v>115.64400000000002</v>
      </c>
      <c r="X179">
        <f>0.55*(4.19 * 50)</f>
        <v>115.22500000000002</v>
      </c>
      <c r="Y179">
        <f>0.551*(4.19 * 50)</f>
        <v>115.43450000000003</v>
      </c>
      <c r="Z179">
        <f>0.557*(4.19 * 50)</f>
        <v>116.69150000000003</v>
      </c>
      <c r="AA179">
        <f>0.568*(4.19 * 50)</f>
        <v>118.99600000000001</v>
      </c>
      <c r="AB179">
        <f>0.576*(4.19 * 50)</f>
        <v>120.67200000000001</v>
      </c>
      <c r="AC179">
        <f>0.586*(4.19 * 50)</f>
        <v>122.76700000000001</v>
      </c>
      <c r="AD179">
        <f>0.596*(4.19 * 50)</f>
        <v>124.86200000000001</v>
      </c>
      <c r="AE179">
        <f>0.6*(4.19 * 50)</f>
        <v>125.70000000000002</v>
      </c>
      <c r="AF179">
        <f>0.595*(4.19 * 50)</f>
        <v>124.65250000000002</v>
      </c>
      <c r="AG179">
        <f>0.587*(4.19 * 50)</f>
        <v>122.97650000000002</v>
      </c>
    </row>
    <row r="180" spans="1:33" x14ac:dyDescent="0.3">
      <c r="A180" t="s">
        <v>223</v>
      </c>
      <c r="B180">
        <v>357586.070313</v>
      </c>
      <c r="C180">
        <v>6667735.5625</v>
      </c>
      <c r="D180" t="s">
        <v>545</v>
      </c>
      <c r="E180">
        <v>100</v>
      </c>
      <c r="F180">
        <v>115</v>
      </c>
      <c r="G180">
        <v>0.54892601431980903</v>
      </c>
      <c r="H180">
        <f t="shared" si="5"/>
        <v>222.89250000000001</v>
      </c>
      <c r="I180">
        <f t="shared" si="4"/>
        <v>209.50000000000003</v>
      </c>
      <c r="J180">
        <f>0.501*(4.19 * 50)</f>
        <v>104.95950000000002</v>
      </c>
      <c r="K180">
        <f>0.497*(4.19 * 50)</f>
        <v>104.12150000000001</v>
      </c>
      <c r="L180">
        <f>0.494*(4.19 * 50)</f>
        <v>103.49300000000001</v>
      </c>
      <c r="M180">
        <f>0.492*(4.19 * 50)</f>
        <v>103.07400000000001</v>
      </c>
      <c r="N180">
        <f>0.494*(4.19 * 50)</f>
        <v>103.49300000000001</v>
      </c>
      <c r="O180">
        <f>0.5*(4.19 * 50)</f>
        <v>104.75000000000001</v>
      </c>
      <c r="P180">
        <f>0.515*(4.19 * 50)</f>
        <v>107.89250000000001</v>
      </c>
      <c r="Q180">
        <f>0.528*(4.19 * 50)</f>
        <v>110.61600000000001</v>
      </c>
      <c r="R180">
        <f>0.524*(4.19 * 50)</f>
        <v>109.77800000000002</v>
      </c>
      <c r="S180">
        <f>0.513*(4.19 * 50)</f>
        <v>107.47350000000002</v>
      </c>
      <c r="T180">
        <f>0.511*(4.19 * 50)</f>
        <v>107.05450000000002</v>
      </c>
      <c r="U180">
        <f>0.49*(4.19 * 50)</f>
        <v>102.65500000000002</v>
      </c>
      <c r="V180">
        <f>0.483*(4.19 * 50)</f>
        <v>101.1885</v>
      </c>
      <c r="W180">
        <f>0.476*(4.19 * 50)</f>
        <v>99.722000000000008</v>
      </c>
      <c r="X180">
        <f>0.475*(4.19 * 50)</f>
        <v>99.512500000000003</v>
      </c>
      <c r="Y180">
        <f>0.476*(4.19 * 50)</f>
        <v>99.722000000000008</v>
      </c>
      <c r="Z180">
        <f>0.481*(4.19 * 50)</f>
        <v>100.76950000000001</v>
      </c>
      <c r="AA180">
        <f>0.49*(4.19 * 50)</f>
        <v>102.65500000000002</v>
      </c>
      <c r="AB180">
        <f>0.497*(4.19 * 50)</f>
        <v>104.12150000000001</v>
      </c>
      <c r="AC180">
        <f>0.506*(4.19 * 50)</f>
        <v>106.00700000000002</v>
      </c>
      <c r="AD180">
        <f>0.514*(4.19 * 50)</f>
        <v>107.68300000000002</v>
      </c>
      <c r="AE180">
        <f>0.518*(4.19 * 50)</f>
        <v>108.52100000000002</v>
      </c>
      <c r="AF180">
        <f>0.513*(4.19 * 50)</f>
        <v>107.47350000000002</v>
      </c>
      <c r="AG180">
        <f>0.506*(4.19 * 50)</f>
        <v>106.00700000000002</v>
      </c>
    </row>
    <row r="181" spans="1:33" x14ac:dyDescent="0.3">
      <c r="A181" t="s">
        <v>224</v>
      </c>
      <c r="B181">
        <v>357753.539063</v>
      </c>
      <c r="C181">
        <v>6667643.5390630001</v>
      </c>
      <c r="D181" t="s">
        <v>563</v>
      </c>
      <c r="E181">
        <v>100</v>
      </c>
      <c r="F181">
        <v>445</v>
      </c>
      <c r="G181">
        <v>2.1241050119331741</v>
      </c>
      <c r="H181">
        <f t="shared" si="5"/>
        <v>862.5335</v>
      </c>
      <c r="I181">
        <f t="shared" si="4"/>
        <v>209.50000000000003</v>
      </c>
      <c r="J181">
        <f>1.937*(4.19 * 50)</f>
        <v>405.80150000000009</v>
      </c>
      <c r="K181">
        <f>1.921*(4.19 * 50)</f>
        <v>402.44950000000006</v>
      </c>
      <c r="L181">
        <f>1.91*(4.19 * 50)</f>
        <v>400.14500000000004</v>
      </c>
      <c r="M181">
        <f>1.902*(4.19 * 50)</f>
        <v>398.46900000000005</v>
      </c>
      <c r="N181">
        <f>1.91*(4.19 * 50)</f>
        <v>400.14500000000004</v>
      </c>
      <c r="O181">
        <f>1.935*(4.19 * 50)</f>
        <v>405.38250000000005</v>
      </c>
      <c r="P181">
        <f>1.993*(4.19 * 50)</f>
        <v>417.53350000000006</v>
      </c>
      <c r="Q181">
        <f>2.045*(4.19 * 50)</f>
        <v>428.42750000000007</v>
      </c>
      <c r="R181">
        <f>2.028*(4.19 * 50)</f>
        <v>424.86600000000004</v>
      </c>
      <c r="S181">
        <f>1.985*(4.19 * 50)</f>
        <v>415.85750000000007</v>
      </c>
      <c r="T181">
        <f>1.977*(4.19 * 50)</f>
        <v>414.18150000000009</v>
      </c>
      <c r="U181">
        <f>1.894*(4.19 * 50)</f>
        <v>396.79300000000001</v>
      </c>
      <c r="V181">
        <f>1.867*(4.19 * 50)</f>
        <v>391.13650000000007</v>
      </c>
      <c r="W181">
        <f>1.842*(4.19 * 50)</f>
        <v>385.89900000000006</v>
      </c>
      <c r="X181">
        <f>1.836*(4.19 * 50)</f>
        <v>384.64200000000005</v>
      </c>
      <c r="Y181">
        <f>1.84*(4.19 * 50)</f>
        <v>385.48000000000008</v>
      </c>
      <c r="Z181">
        <f>1.859*(4.19 * 50)</f>
        <v>389.46050000000002</v>
      </c>
      <c r="AA181">
        <f>1.894*(4.19 * 50)</f>
        <v>396.79300000000001</v>
      </c>
      <c r="AB181">
        <f>1.921*(4.19 * 50)</f>
        <v>402.44950000000006</v>
      </c>
      <c r="AC181">
        <f>1.956*(4.19 * 50)</f>
        <v>409.78200000000004</v>
      </c>
      <c r="AD181">
        <f>1.989*(4.19 * 50)</f>
        <v>416.6955000000001</v>
      </c>
      <c r="AE181">
        <f>2.003*(4.19 * 50)</f>
        <v>419.62850000000009</v>
      </c>
      <c r="AF181">
        <f>1.985*(4.19 * 50)</f>
        <v>415.85750000000007</v>
      </c>
      <c r="AG181">
        <f>1.958*(4.19 * 50)</f>
        <v>410.20100000000002</v>
      </c>
    </row>
    <row r="182" spans="1:33" x14ac:dyDescent="0.3">
      <c r="A182" t="s">
        <v>225</v>
      </c>
      <c r="B182">
        <v>357760.75</v>
      </c>
      <c r="C182">
        <v>6667631.0039060004</v>
      </c>
      <c r="D182" t="s">
        <v>550</v>
      </c>
      <c r="E182">
        <v>100</v>
      </c>
      <c r="F182">
        <v>173</v>
      </c>
      <c r="G182">
        <v>0.82577565632458227</v>
      </c>
      <c r="H182">
        <f t="shared" si="5"/>
        <v>335.36250000000007</v>
      </c>
      <c r="I182">
        <f t="shared" si="4"/>
        <v>209.50000000000003</v>
      </c>
      <c r="J182">
        <f>0.753*(4.19 * 50)</f>
        <v>157.75350000000003</v>
      </c>
      <c r="K182">
        <f>0.747*(4.19 * 50)</f>
        <v>156.49650000000003</v>
      </c>
      <c r="L182">
        <f>0.742*(4.19 * 50)</f>
        <v>155.44900000000001</v>
      </c>
      <c r="M182">
        <f>0.739*(4.19 * 50)</f>
        <v>154.82050000000001</v>
      </c>
      <c r="N182">
        <f>0.742*(4.19 * 50)</f>
        <v>155.44900000000001</v>
      </c>
      <c r="O182">
        <f>0.752*(4.19 * 50)</f>
        <v>157.54400000000001</v>
      </c>
      <c r="P182">
        <f>0.775*(4.19 * 50)</f>
        <v>162.36250000000004</v>
      </c>
      <c r="Q182">
        <f>0.795*(4.19 * 50)</f>
        <v>166.55250000000004</v>
      </c>
      <c r="R182">
        <f>0.788*(4.19 * 50)</f>
        <v>165.08600000000004</v>
      </c>
      <c r="S182">
        <f>0.772*(4.19 * 50)</f>
        <v>161.73400000000004</v>
      </c>
      <c r="T182">
        <f>0.769*(4.19 * 50)</f>
        <v>161.10550000000003</v>
      </c>
      <c r="U182">
        <f>0.736*(4.19 * 50)</f>
        <v>154.19200000000001</v>
      </c>
      <c r="V182">
        <f>0.726*(4.19 * 50)</f>
        <v>152.09700000000001</v>
      </c>
      <c r="W182">
        <f>0.716*(4.19 * 50)</f>
        <v>150.00200000000001</v>
      </c>
      <c r="X182">
        <f>0.714*(4.19 * 50)</f>
        <v>149.58300000000003</v>
      </c>
      <c r="Y182">
        <f>0.715*(4.19 * 50)</f>
        <v>149.79250000000002</v>
      </c>
      <c r="Z182">
        <f>0.723*(4.19 * 50)</f>
        <v>151.46850000000001</v>
      </c>
      <c r="AA182">
        <f>0.736*(4.19 * 50)</f>
        <v>154.19200000000001</v>
      </c>
      <c r="AB182">
        <f>0.747*(4.19 * 50)</f>
        <v>156.49650000000003</v>
      </c>
      <c r="AC182">
        <f>0.76*(4.19 * 50)</f>
        <v>159.22000000000003</v>
      </c>
      <c r="AD182">
        <f>0.773*(4.19 * 50)</f>
        <v>161.94350000000003</v>
      </c>
      <c r="AE182">
        <f>0.779*(4.19 * 50)</f>
        <v>163.20050000000003</v>
      </c>
      <c r="AF182">
        <f>0.772*(4.19 * 50)</f>
        <v>161.73400000000004</v>
      </c>
      <c r="AG182">
        <f>0.761*(4.19 * 50)</f>
        <v>159.42950000000002</v>
      </c>
    </row>
    <row r="183" spans="1:33" x14ac:dyDescent="0.3">
      <c r="A183" t="s">
        <v>226</v>
      </c>
      <c r="B183">
        <v>363103.164063</v>
      </c>
      <c r="C183">
        <v>6672216.5078130001</v>
      </c>
      <c r="D183" t="s">
        <v>541</v>
      </c>
      <c r="E183">
        <v>100</v>
      </c>
      <c r="F183">
        <v>100</v>
      </c>
      <c r="G183">
        <v>0.47732696897374688</v>
      </c>
      <c r="H183">
        <f t="shared" si="5"/>
        <v>193.85599999999999</v>
      </c>
      <c r="I183">
        <f t="shared" si="4"/>
        <v>209.50000000000003</v>
      </c>
      <c r="J183">
        <f>0.435*(4.19 * 50)</f>
        <v>91.132500000000007</v>
      </c>
      <c r="K183">
        <f>0.432*(4.19 * 50)</f>
        <v>90.504000000000005</v>
      </c>
      <c r="L183">
        <f>0.429*(4.19 * 50)</f>
        <v>89.875500000000017</v>
      </c>
      <c r="M183">
        <f>0.427*(4.19 * 50)</f>
        <v>89.456500000000005</v>
      </c>
      <c r="N183">
        <f>0.429*(4.19 * 50)</f>
        <v>89.875500000000017</v>
      </c>
      <c r="O183">
        <f>0.435*(4.19 * 50)</f>
        <v>91.132500000000007</v>
      </c>
      <c r="P183">
        <f>0.448*(4.19 * 50)</f>
        <v>93.856000000000009</v>
      </c>
      <c r="Q183">
        <f>0.46*(4.19 * 50)</f>
        <v>96.370000000000019</v>
      </c>
      <c r="R183">
        <f>0.456*(4.19 * 50)</f>
        <v>95.532000000000011</v>
      </c>
      <c r="S183">
        <f>0.446*(4.19 * 50)</f>
        <v>93.437000000000012</v>
      </c>
      <c r="T183">
        <f>0.444*(4.19 * 50)</f>
        <v>93.018000000000015</v>
      </c>
      <c r="U183">
        <f>0.426*(4.19 * 50)</f>
        <v>89.247000000000014</v>
      </c>
      <c r="V183">
        <f>0.42*(4.19 * 50)</f>
        <v>87.990000000000009</v>
      </c>
      <c r="W183">
        <f>0.414*(4.19 * 50)</f>
        <v>86.733000000000004</v>
      </c>
      <c r="X183">
        <f>0.413*(4.19 * 50)</f>
        <v>86.523500000000013</v>
      </c>
      <c r="Y183">
        <f>0.414*(4.19 * 50)</f>
        <v>86.733000000000004</v>
      </c>
      <c r="Z183">
        <f>0.418*(4.19 * 50)</f>
        <v>87.571000000000012</v>
      </c>
      <c r="AA183">
        <f>0.426*(4.19 * 50)</f>
        <v>89.247000000000014</v>
      </c>
      <c r="AB183">
        <f>0.432*(4.19 * 50)</f>
        <v>90.504000000000005</v>
      </c>
      <c r="AC183">
        <f>0.44*(4.19 * 50)</f>
        <v>92.18</v>
      </c>
      <c r="AD183">
        <f>0.447*(4.19 * 50)</f>
        <v>93.646500000000017</v>
      </c>
      <c r="AE183">
        <f>0.45*(4.19 * 50)</f>
        <v>94.27500000000002</v>
      </c>
      <c r="AF183">
        <f>0.446*(4.19 * 50)</f>
        <v>93.437000000000012</v>
      </c>
      <c r="AG183">
        <f>0.44*(4.19 * 50)</f>
        <v>92.18</v>
      </c>
    </row>
    <row r="184" spans="1:33" x14ac:dyDescent="0.3">
      <c r="A184" t="s">
        <v>227</v>
      </c>
      <c r="B184">
        <v>359528.648438</v>
      </c>
      <c r="C184">
        <v>6667407.4804689996</v>
      </c>
      <c r="D184" t="s">
        <v>542</v>
      </c>
      <c r="E184">
        <v>100</v>
      </c>
      <c r="F184">
        <v>73</v>
      </c>
      <c r="G184">
        <v>0.34844868735083528</v>
      </c>
      <c r="H184">
        <f t="shared" si="5"/>
        <v>141.50650000000002</v>
      </c>
      <c r="I184">
        <f t="shared" si="4"/>
        <v>209.50000000000003</v>
      </c>
      <c r="J184">
        <f>0.318*(4.19 * 50)</f>
        <v>66.621000000000009</v>
      </c>
      <c r="K184">
        <f>0.315*(4.19 * 50)</f>
        <v>65.992500000000007</v>
      </c>
      <c r="L184">
        <f>0.313*(4.19 * 50)</f>
        <v>65.57350000000001</v>
      </c>
      <c r="M184">
        <f>0.312*(4.19 * 50)</f>
        <v>65.364000000000004</v>
      </c>
      <c r="N184">
        <f>0.313*(4.19 * 50)</f>
        <v>65.57350000000001</v>
      </c>
      <c r="O184">
        <f>0.317*(4.19 * 50)</f>
        <v>66.411500000000004</v>
      </c>
      <c r="P184">
        <f>0.327*(4.19 * 50)</f>
        <v>68.506500000000017</v>
      </c>
      <c r="Q184">
        <f>0.335*(4.19 * 50)</f>
        <v>70.182500000000019</v>
      </c>
      <c r="R184">
        <f>0.333*(4.19 * 50)</f>
        <v>69.763500000000008</v>
      </c>
      <c r="S184">
        <f>0.326*(4.19 * 50)</f>
        <v>68.297000000000011</v>
      </c>
      <c r="T184">
        <f>0.324*(4.19 * 50)</f>
        <v>67.878000000000014</v>
      </c>
      <c r="U184">
        <f>0.311*(4.19 * 50)</f>
        <v>65.154500000000013</v>
      </c>
      <c r="V184">
        <f>0.306*(4.19 * 50)</f>
        <v>64.107000000000014</v>
      </c>
      <c r="W184">
        <f>0.302*(4.19 * 50)</f>
        <v>63.269000000000005</v>
      </c>
      <c r="X184">
        <f>0.301*(4.19 * 50)</f>
        <v>63.059500000000007</v>
      </c>
      <c r="Y184">
        <f>0.302*(4.19 * 50)</f>
        <v>63.269000000000005</v>
      </c>
      <c r="Z184">
        <f>0.305*(4.19 * 50)</f>
        <v>63.897500000000008</v>
      </c>
      <c r="AA184">
        <f>0.311*(4.19 * 50)</f>
        <v>65.154500000000013</v>
      </c>
      <c r="AB184">
        <f>0.315*(4.19 * 50)</f>
        <v>65.992500000000007</v>
      </c>
      <c r="AC184">
        <f>0.321*(4.19 * 50)</f>
        <v>67.249500000000012</v>
      </c>
      <c r="AD184">
        <f>0.326*(4.19 * 50)</f>
        <v>68.297000000000011</v>
      </c>
      <c r="AE184">
        <f>0.329*(4.19 * 50)</f>
        <v>68.925500000000014</v>
      </c>
      <c r="AF184">
        <f>0.326*(4.19 * 50)</f>
        <v>68.297000000000011</v>
      </c>
      <c r="AG184">
        <f>0.321*(4.19 * 50)</f>
        <v>67.249500000000012</v>
      </c>
    </row>
    <row r="185" spans="1:33" x14ac:dyDescent="0.3">
      <c r="A185" t="s">
        <v>228</v>
      </c>
      <c r="B185">
        <v>363055.265625</v>
      </c>
      <c r="C185">
        <v>6672370.6367189996</v>
      </c>
      <c r="D185" t="s">
        <v>541</v>
      </c>
      <c r="E185">
        <v>100</v>
      </c>
      <c r="F185">
        <v>133</v>
      </c>
      <c r="G185">
        <v>0.6348448687350835</v>
      </c>
      <c r="H185">
        <f t="shared" si="5"/>
        <v>257.86200000000002</v>
      </c>
      <c r="I185">
        <f t="shared" si="4"/>
        <v>209.50000000000003</v>
      </c>
      <c r="J185">
        <f>0.579*(4.19 * 50)</f>
        <v>121.30050000000001</v>
      </c>
      <c r="K185">
        <f>0.574*(4.19 * 50)</f>
        <v>120.253</v>
      </c>
      <c r="L185">
        <f>0.571*(4.19 * 50)</f>
        <v>119.62450000000001</v>
      </c>
      <c r="M185">
        <f>0.568*(4.19 * 50)</f>
        <v>118.99600000000001</v>
      </c>
      <c r="N185">
        <f>0.571*(4.19 * 50)</f>
        <v>119.62450000000001</v>
      </c>
      <c r="O185">
        <f>0.578*(4.19 * 50)</f>
        <v>121.09100000000001</v>
      </c>
      <c r="P185">
        <f>0.596*(4.19 * 50)</f>
        <v>124.86200000000001</v>
      </c>
      <c r="Q185">
        <f>0.611*(4.19 * 50)</f>
        <v>128.00450000000001</v>
      </c>
      <c r="R185">
        <f>0.606*(4.19 * 50)</f>
        <v>126.95700000000001</v>
      </c>
      <c r="S185">
        <f>0.593*(4.19 * 50)</f>
        <v>124.23350000000001</v>
      </c>
      <c r="T185">
        <f>0.591*(4.19 * 50)</f>
        <v>123.81450000000001</v>
      </c>
      <c r="U185">
        <f>0.566*(4.19 * 50)</f>
        <v>118.577</v>
      </c>
      <c r="V185">
        <f>0.558*(4.19 * 50)</f>
        <v>116.90100000000002</v>
      </c>
      <c r="W185">
        <f>0.551*(4.19 * 50)</f>
        <v>115.43450000000003</v>
      </c>
      <c r="X185">
        <f>0.549*(4.19 * 50)</f>
        <v>115.01550000000003</v>
      </c>
      <c r="Y185">
        <f>0.55*(4.19 * 50)</f>
        <v>115.22500000000002</v>
      </c>
      <c r="Z185">
        <f>0.556*(4.19 * 50)</f>
        <v>116.48200000000003</v>
      </c>
      <c r="AA185">
        <f>0.566*(4.19 * 50)</f>
        <v>118.577</v>
      </c>
      <c r="AB185">
        <f>0.574*(4.19 * 50)</f>
        <v>120.253</v>
      </c>
      <c r="AC185">
        <f>0.585*(4.19 * 50)</f>
        <v>122.5575</v>
      </c>
      <c r="AD185">
        <f>0.594*(4.19 * 50)</f>
        <v>124.44300000000001</v>
      </c>
      <c r="AE185">
        <f>0.599*(4.19 * 50)</f>
        <v>125.49050000000001</v>
      </c>
      <c r="AF185">
        <f>0.593*(4.19 * 50)</f>
        <v>124.23350000000001</v>
      </c>
      <c r="AG185">
        <f>0.585*(4.19 * 50)</f>
        <v>122.5575</v>
      </c>
    </row>
    <row r="186" spans="1:33" x14ac:dyDescent="0.3">
      <c r="A186" t="s">
        <v>229</v>
      </c>
      <c r="B186">
        <v>359989.085938</v>
      </c>
      <c r="C186">
        <v>6667854.359375</v>
      </c>
      <c r="D186" t="s">
        <v>541</v>
      </c>
      <c r="E186">
        <v>100</v>
      </c>
      <c r="F186">
        <v>119</v>
      </c>
      <c r="G186">
        <v>0.56801909307875886</v>
      </c>
      <c r="H186">
        <f t="shared" si="5"/>
        <v>230.66350000000003</v>
      </c>
      <c r="I186">
        <f t="shared" si="4"/>
        <v>209.50000000000003</v>
      </c>
      <c r="J186">
        <f>0.518*(4.19 * 50)</f>
        <v>108.52100000000002</v>
      </c>
      <c r="K186">
        <f>0.514*(4.19 * 50)</f>
        <v>107.68300000000002</v>
      </c>
      <c r="L186">
        <f>0.511*(4.19 * 50)</f>
        <v>107.05450000000002</v>
      </c>
      <c r="M186">
        <f>0.509*(4.19 * 50)</f>
        <v>106.63550000000002</v>
      </c>
      <c r="N186">
        <f>0.511*(4.19 * 50)</f>
        <v>107.05450000000002</v>
      </c>
      <c r="O186">
        <f>0.517*(4.19 * 50)</f>
        <v>108.31150000000002</v>
      </c>
      <c r="P186">
        <f>0.533*(4.19 * 50)</f>
        <v>111.66350000000003</v>
      </c>
      <c r="Q186">
        <f>0.547*(4.19 * 50)</f>
        <v>114.59650000000002</v>
      </c>
      <c r="R186">
        <f>0.542*(4.19 * 50)</f>
        <v>113.54900000000002</v>
      </c>
      <c r="S186">
        <f>0.531*(4.19 * 50)</f>
        <v>111.24450000000002</v>
      </c>
      <c r="T186">
        <f>0.529*(4.19 * 50)</f>
        <v>110.82550000000002</v>
      </c>
      <c r="U186">
        <f>0.507*(4.19 * 50)</f>
        <v>106.21650000000001</v>
      </c>
      <c r="V186">
        <f>0.499*(4.19 * 50)</f>
        <v>104.54050000000001</v>
      </c>
      <c r="W186">
        <f>0.493*(4.19 * 50)</f>
        <v>103.28350000000002</v>
      </c>
      <c r="X186">
        <f>0.491*(4.19 * 50)</f>
        <v>102.86450000000001</v>
      </c>
      <c r="Y186">
        <f>0.492*(4.19 * 50)</f>
        <v>103.07400000000001</v>
      </c>
      <c r="Z186">
        <f>0.497*(4.19 * 50)</f>
        <v>104.12150000000001</v>
      </c>
      <c r="AA186">
        <f>0.507*(4.19 * 50)</f>
        <v>106.21650000000001</v>
      </c>
      <c r="AB186">
        <f>0.514*(4.19 * 50)</f>
        <v>107.68300000000002</v>
      </c>
      <c r="AC186">
        <f>0.523*(4.19 * 50)</f>
        <v>109.56850000000001</v>
      </c>
      <c r="AD186">
        <f>0.532*(4.19 * 50)</f>
        <v>111.45400000000002</v>
      </c>
      <c r="AE186">
        <f>0.536*(4.19 * 50)</f>
        <v>112.29200000000002</v>
      </c>
      <c r="AF186">
        <f>0.531*(4.19 * 50)</f>
        <v>111.24450000000002</v>
      </c>
      <c r="AG186">
        <f>0.524*(4.19 * 50)</f>
        <v>109.77800000000002</v>
      </c>
    </row>
    <row r="187" spans="1:33" x14ac:dyDescent="0.3">
      <c r="A187" t="s">
        <v>230</v>
      </c>
      <c r="B187">
        <v>359915.980469</v>
      </c>
      <c r="C187">
        <v>6667866.1757810004</v>
      </c>
      <c r="D187" t="s">
        <v>541</v>
      </c>
      <c r="E187">
        <v>100</v>
      </c>
      <c r="F187">
        <v>108.66699981689401</v>
      </c>
      <c r="G187">
        <v>0.51869689650068729</v>
      </c>
      <c r="H187">
        <f t="shared" si="5"/>
        <v>210.69349981689402</v>
      </c>
      <c r="I187">
        <f t="shared" si="4"/>
        <v>209.50000000000003</v>
      </c>
      <c r="J187">
        <f>0.473*(4.19 * 50)</f>
        <v>99.093500000000006</v>
      </c>
      <c r="K187">
        <f>0.469*(4.19 * 50)</f>
        <v>98.255500000000012</v>
      </c>
      <c r="L187">
        <f>0.466*(4.19 * 50)</f>
        <v>97.627000000000024</v>
      </c>
      <c r="M187">
        <f>0.464*(4.19 * 50)</f>
        <v>97.208000000000013</v>
      </c>
      <c r="N187">
        <f>0.466*(4.19 * 50)</f>
        <v>97.627000000000024</v>
      </c>
      <c r="O187">
        <f>0.472*(4.19 * 50)</f>
        <v>98.884000000000015</v>
      </c>
      <c r="P187">
        <f>0.487*(4.19 * 50)</f>
        <v>102.02650000000001</v>
      </c>
      <c r="Q187">
        <f>0.499*(4.19 * 50)</f>
        <v>104.54050000000001</v>
      </c>
      <c r="R187">
        <f>0.495*(4.19 * 50)</f>
        <v>103.70250000000001</v>
      </c>
      <c r="S187">
        <f>0.485*(4.19 * 50)</f>
        <v>101.60750000000002</v>
      </c>
      <c r="T187">
        <f>0.483*(4.19 * 50)</f>
        <v>101.1885</v>
      </c>
      <c r="U187">
        <f>0.463*(4.19 * 50)</f>
        <v>96.998500000000021</v>
      </c>
      <c r="V187">
        <f>0.456*(4.19 * 50)</f>
        <v>95.532000000000011</v>
      </c>
      <c r="W187">
        <f>0.45*(4.19 * 50)</f>
        <v>94.27500000000002</v>
      </c>
      <c r="X187">
        <f>0.448*(4.19 * 50)</f>
        <v>93.856000000000009</v>
      </c>
      <c r="Y187">
        <f>0.449*(4.19 * 50)</f>
        <v>94.065500000000014</v>
      </c>
      <c r="Z187">
        <f>0.454*(4.19 * 50)</f>
        <v>95.113000000000014</v>
      </c>
      <c r="AA187">
        <f>0.463*(4.19 * 50)</f>
        <v>96.998500000000021</v>
      </c>
      <c r="AB187">
        <f>0.469*(4.19 * 50)</f>
        <v>98.255500000000012</v>
      </c>
      <c r="AC187">
        <f>0.478*(4.19 * 50)</f>
        <v>100.14100000000001</v>
      </c>
      <c r="AD187">
        <f>0.486*(4.19 * 50)</f>
        <v>101.81700000000001</v>
      </c>
      <c r="AE187">
        <f>0.489*(4.19 * 50)</f>
        <v>102.44550000000001</v>
      </c>
      <c r="AF187">
        <f>0.485*(4.19 * 50)</f>
        <v>101.60750000000002</v>
      </c>
      <c r="AG187">
        <f>0.478*(4.19 * 50)</f>
        <v>100.14100000000001</v>
      </c>
    </row>
    <row r="188" spans="1:33" x14ac:dyDescent="0.3">
      <c r="A188" t="s">
        <v>231</v>
      </c>
      <c r="B188">
        <v>359557.851563</v>
      </c>
      <c r="C188">
        <v>6667438.0117189996</v>
      </c>
      <c r="D188" t="s">
        <v>542</v>
      </c>
      <c r="E188">
        <v>100</v>
      </c>
      <c r="F188">
        <v>58.333000183105398</v>
      </c>
      <c r="G188">
        <v>0.27843914168546718</v>
      </c>
      <c r="H188">
        <f t="shared" si="5"/>
        <v>113.0125001831054</v>
      </c>
      <c r="I188">
        <f t="shared" si="4"/>
        <v>209.50000000000003</v>
      </c>
      <c r="J188">
        <f>0.254*(4.19 * 50)</f>
        <v>53.213000000000008</v>
      </c>
      <c r="K188">
        <f>0.252*(4.19 * 50)</f>
        <v>52.794000000000004</v>
      </c>
      <c r="L188">
        <f>0.25*(4.19 * 50)</f>
        <v>52.375000000000007</v>
      </c>
      <c r="M188">
        <f>0.249*(4.19 * 50)</f>
        <v>52.165500000000009</v>
      </c>
      <c r="N188">
        <f>0.25*(4.19 * 50)</f>
        <v>52.375000000000007</v>
      </c>
      <c r="O188">
        <f>0.254*(4.19 * 50)</f>
        <v>53.213000000000008</v>
      </c>
      <c r="P188">
        <f>0.261*(4.19 * 50)</f>
        <v>54.679500000000012</v>
      </c>
      <c r="Q188">
        <f>0.268*(4.19 * 50)</f>
        <v>56.146000000000008</v>
      </c>
      <c r="R188">
        <f>0.266*(4.19 * 50)</f>
        <v>55.727000000000011</v>
      </c>
      <c r="S188">
        <f>0.26*(4.19 * 50)</f>
        <v>54.470000000000006</v>
      </c>
      <c r="T188">
        <f>0.259*(4.19 * 50)</f>
        <v>54.260500000000008</v>
      </c>
      <c r="U188">
        <f>0.248*(4.19 * 50)</f>
        <v>51.95600000000001</v>
      </c>
      <c r="V188">
        <f>0.245*(4.19 * 50)</f>
        <v>51.327500000000008</v>
      </c>
      <c r="W188">
        <f>0.241*(4.19 * 50)</f>
        <v>50.489500000000007</v>
      </c>
      <c r="X188">
        <f>0.241*(4.19 * 50)</f>
        <v>50.489500000000007</v>
      </c>
      <c r="Y188">
        <f>0.241*(4.19 * 50)</f>
        <v>50.489500000000007</v>
      </c>
      <c r="Z188">
        <f>0.244*(4.19 * 50)</f>
        <v>51.118000000000009</v>
      </c>
      <c r="AA188">
        <f>0.248*(4.19 * 50)</f>
        <v>51.95600000000001</v>
      </c>
      <c r="AB188">
        <f>0.252*(4.19 * 50)</f>
        <v>52.794000000000004</v>
      </c>
      <c r="AC188">
        <f>0.256*(4.19 * 50)</f>
        <v>53.632000000000005</v>
      </c>
      <c r="AD188">
        <f>0.261*(4.19 * 50)</f>
        <v>54.679500000000012</v>
      </c>
      <c r="AE188">
        <f>0.263*(4.19 * 50)</f>
        <v>55.098500000000008</v>
      </c>
      <c r="AF188">
        <f>0.26*(4.19 * 50)</f>
        <v>54.470000000000006</v>
      </c>
      <c r="AG188">
        <f>0.257*(4.19 * 50)</f>
        <v>53.841500000000011</v>
      </c>
    </row>
    <row r="189" spans="1:33" x14ac:dyDescent="0.3">
      <c r="A189" t="s">
        <v>232</v>
      </c>
      <c r="B189">
        <v>357090.886719</v>
      </c>
      <c r="C189">
        <v>6669394.4335939996</v>
      </c>
      <c r="D189" t="s">
        <v>540</v>
      </c>
      <c r="E189">
        <v>100</v>
      </c>
      <c r="F189">
        <v>11</v>
      </c>
      <c r="G189">
        <v>5.2505966587112173E-2</v>
      </c>
      <c r="H189">
        <f t="shared" si="5"/>
        <v>21.265500000000003</v>
      </c>
      <c r="I189">
        <f t="shared" si="4"/>
        <v>209.50000000000003</v>
      </c>
      <c r="J189">
        <f>0.048*(4.19 * 50)</f>
        <v>10.056000000000001</v>
      </c>
      <c r="K189">
        <f>0.047*(4.19 * 50)</f>
        <v>9.8465000000000007</v>
      </c>
      <c r="L189">
        <f>0.047*(4.19 * 50)</f>
        <v>9.8465000000000007</v>
      </c>
      <c r="M189">
        <f>0.047*(4.19 * 50)</f>
        <v>9.8465000000000007</v>
      </c>
      <c r="N189">
        <f>0.047*(4.19 * 50)</f>
        <v>9.8465000000000007</v>
      </c>
      <c r="O189">
        <f>0.048*(4.19 * 50)</f>
        <v>10.056000000000001</v>
      </c>
      <c r="P189">
        <f>0.049*(4.19 * 50)</f>
        <v>10.265500000000001</v>
      </c>
      <c r="Q189">
        <f>0.051*(4.19 * 50)</f>
        <v>10.6845</v>
      </c>
      <c r="R189">
        <f>0.05*(4.19 * 50)</f>
        <v>10.475000000000001</v>
      </c>
      <c r="S189">
        <f>0.049*(4.19 * 50)</f>
        <v>10.265500000000001</v>
      </c>
      <c r="T189">
        <f>0.049*(4.19 * 50)</f>
        <v>10.265500000000001</v>
      </c>
      <c r="U189">
        <f>0.047*(4.19 * 50)</f>
        <v>9.8465000000000007</v>
      </c>
      <c r="V189">
        <f>0.046*(4.19 * 50)</f>
        <v>9.6370000000000005</v>
      </c>
      <c r="W189">
        <f>0.046*(4.19 * 50)</f>
        <v>9.6370000000000005</v>
      </c>
      <c r="X189">
        <f>0.045*(4.19 * 50)</f>
        <v>9.4275000000000002</v>
      </c>
      <c r="Y189">
        <f>0.045*(4.19 * 50)</f>
        <v>9.4275000000000002</v>
      </c>
      <c r="Z189">
        <f>0.046*(4.19 * 50)</f>
        <v>9.6370000000000005</v>
      </c>
      <c r="AA189">
        <f>0.047*(4.19 * 50)</f>
        <v>9.8465000000000007</v>
      </c>
      <c r="AB189">
        <f>0.047*(4.19 * 50)</f>
        <v>9.8465000000000007</v>
      </c>
      <c r="AC189">
        <f>0.048*(4.19 * 50)</f>
        <v>10.056000000000001</v>
      </c>
      <c r="AD189">
        <f>0.049*(4.19 * 50)</f>
        <v>10.265500000000001</v>
      </c>
      <c r="AE189">
        <f>0.05*(4.19 * 50)</f>
        <v>10.475000000000001</v>
      </c>
      <c r="AF189">
        <f>0.049*(4.19 * 50)</f>
        <v>10.265500000000001</v>
      </c>
      <c r="AG189">
        <f>0.048*(4.19 * 50)</f>
        <v>10.056000000000001</v>
      </c>
    </row>
    <row r="190" spans="1:33" x14ac:dyDescent="0.3">
      <c r="A190" t="s">
        <v>233</v>
      </c>
      <c r="B190">
        <v>357227.503906</v>
      </c>
      <c r="C190">
        <v>6669449.9257810004</v>
      </c>
      <c r="D190" t="s">
        <v>561</v>
      </c>
      <c r="E190">
        <v>100</v>
      </c>
      <c r="F190">
        <v>6</v>
      </c>
      <c r="G190">
        <v>2.8639618138424819E-2</v>
      </c>
      <c r="H190">
        <f t="shared" si="5"/>
        <v>11.656500000000001</v>
      </c>
      <c r="I190">
        <f t="shared" si="4"/>
        <v>209.50000000000003</v>
      </c>
      <c r="J190">
        <f>0.026*(4.19 * 50)</f>
        <v>5.4470000000000001</v>
      </c>
      <c r="K190">
        <f>0.026*(4.19 * 50)</f>
        <v>5.4470000000000001</v>
      </c>
      <c r="L190">
        <f>0.026*(4.19 * 50)</f>
        <v>5.4470000000000001</v>
      </c>
      <c r="M190">
        <f>0.026*(4.19 * 50)</f>
        <v>5.4470000000000001</v>
      </c>
      <c r="N190">
        <f>0.026*(4.19 * 50)</f>
        <v>5.4470000000000001</v>
      </c>
      <c r="O190">
        <f>0.026*(4.19 * 50)</f>
        <v>5.4470000000000001</v>
      </c>
      <c r="P190">
        <f>0.027*(4.19 * 50)</f>
        <v>5.6565000000000003</v>
      </c>
      <c r="Q190">
        <f>0.028*(4.19 * 50)</f>
        <v>5.8660000000000005</v>
      </c>
      <c r="R190">
        <f>0.027*(4.19 * 50)</f>
        <v>5.6565000000000003</v>
      </c>
      <c r="S190">
        <f>0.027*(4.19 * 50)</f>
        <v>5.6565000000000003</v>
      </c>
      <c r="T190">
        <f>0.027*(4.19 * 50)</f>
        <v>5.6565000000000003</v>
      </c>
      <c r="U190">
        <f>0.026*(4.19 * 50)</f>
        <v>5.4470000000000001</v>
      </c>
      <c r="V190">
        <f>0.025*(4.19 * 50)</f>
        <v>5.2375000000000007</v>
      </c>
      <c r="W190">
        <f>0.025*(4.19 * 50)</f>
        <v>5.2375000000000007</v>
      </c>
      <c r="X190">
        <f>0.025*(4.19 * 50)</f>
        <v>5.2375000000000007</v>
      </c>
      <c r="Y190">
        <f>0.025*(4.19 * 50)</f>
        <v>5.2375000000000007</v>
      </c>
      <c r="Z190">
        <f>0.025*(4.19 * 50)</f>
        <v>5.2375000000000007</v>
      </c>
      <c r="AA190">
        <f>0.026*(4.19 * 50)</f>
        <v>5.4470000000000001</v>
      </c>
      <c r="AB190">
        <f>0.026*(4.19 * 50)</f>
        <v>5.4470000000000001</v>
      </c>
      <c r="AC190">
        <f>0.026*(4.19 * 50)</f>
        <v>5.4470000000000001</v>
      </c>
      <c r="AD190">
        <f>0.027*(4.19 * 50)</f>
        <v>5.6565000000000003</v>
      </c>
      <c r="AE190">
        <f>0.027*(4.19 * 50)</f>
        <v>5.6565000000000003</v>
      </c>
      <c r="AF190">
        <f>0.027*(4.19 * 50)</f>
        <v>5.6565000000000003</v>
      </c>
      <c r="AG190">
        <f>0.026*(4.19 * 50)</f>
        <v>5.4470000000000001</v>
      </c>
    </row>
    <row r="191" spans="1:33" x14ac:dyDescent="0.3">
      <c r="A191" t="s">
        <v>234</v>
      </c>
      <c r="B191">
        <v>357224.386719</v>
      </c>
      <c r="C191">
        <v>6669449.8320310004</v>
      </c>
      <c r="D191" t="s">
        <v>561</v>
      </c>
      <c r="E191">
        <v>100</v>
      </c>
      <c r="F191">
        <v>10</v>
      </c>
      <c r="G191">
        <v>4.7732696897374693E-2</v>
      </c>
      <c r="H191">
        <f t="shared" si="5"/>
        <v>19.427500000000002</v>
      </c>
      <c r="I191">
        <f t="shared" si="4"/>
        <v>209.50000000000003</v>
      </c>
      <c r="J191">
        <f>0.044*(4.19 * 50)</f>
        <v>9.218</v>
      </c>
      <c r="K191">
        <f>0.043*(4.19 * 50)</f>
        <v>9.0084999999999997</v>
      </c>
      <c r="L191">
        <f>0.043*(4.19 * 50)</f>
        <v>9.0084999999999997</v>
      </c>
      <c r="M191">
        <f>0.043*(4.19 * 50)</f>
        <v>9.0084999999999997</v>
      </c>
      <c r="N191">
        <f>0.043*(4.19 * 50)</f>
        <v>9.0084999999999997</v>
      </c>
      <c r="O191">
        <f>0.043*(4.19 * 50)</f>
        <v>9.0084999999999997</v>
      </c>
      <c r="P191">
        <f>0.045*(4.19 * 50)</f>
        <v>9.4275000000000002</v>
      </c>
      <c r="Q191">
        <f>0.046*(4.19 * 50)</f>
        <v>9.6370000000000005</v>
      </c>
      <c r="R191">
        <f>0.046*(4.19 * 50)</f>
        <v>9.6370000000000005</v>
      </c>
      <c r="S191">
        <f>0.045*(4.19 * 50)</f>
        <v>9.4275000000000002</v>
      </c>
      <c r="T191">
        <f>0.044*(4.19 * 50)</f>
        <v>9.218</v>
      </c>
      <c r="U191">
        <f>0.043*(4.19 * 50)</f>
        <v>9.0084999999999997</v>
      </c>
      <c r="V191">
        <f>0.042*(4.19 * 50)</f>
        <v>8.7990000000000013</v>
      </c>
      <c r="W191">
        <f>0.041*(4.19 * 50)</f>
        <v>8.589500000000001</v>
      </c>
      <c r="X191">
        <f>0.041*(4.19 * 50)</f>
        <v>8.589500000000001</v>
      </c>
      <c r="Y191">
        <f>0.041*(4.19 * 50)</f>
        <v>8.589500000000001</v>
      </c>
      <c r="Z191">
        <f>0.042*(4.19 * 50)</f>
        <v>8.7990000000000013</v>
      </c>
      <c r="AA191">
        <f>0.043*(4.19 * 50)</f>
        <v>9.0084999999999997</v>
      </c>
      <c r="AB191">
        <f>0.043*(4.19 * 50)</f>
        <v>9.0084999999999997</v>
      </c>
      <c r="AC191">
        <f>0.044*(4.19 * 50)</f>
        <v>9.218</v>
      </c>
      <c r="AD191">
        <f>0.045*(4.19 * 50)</f>
        <v>9.4275000000000002</v>
      </c>
      <c r="AE191">
        <f>0.045*(4.19 * 50)</f>
        <v>9.4275000000000002</v>
      </c>
      <c r="AF191">
        <f>0.045*(4.19 * 50)</f>
        <v>9.4275000000000002</v>
      </c>
      <c r="AG191">
        <f>0.044*(4.19 * 50)</f>
        <v>9.218</v>
      </c>
    </row>
    <row r="192" spans="1:33" x14ac:dyDescent="0.3">
      <c r="A192" t="s">
        <v>235</v>
      </c>
      <c r="B192">
        <v>363057.488281</v>
      </c>
      <c r="C192">
        <v>6672532.6640630001</v>
      </c>
      <c r="D192" t="s">
        <v>541</v>
      </c>
      <c r="E192">
        <v>100</v>
      </c>
      <c r="F192">
        <v>72.333000183105398</v>
      </c>
      <c r="G192">
        <v>0.34526491734179182</v>
      </c>
      <c r="H192">
        <f t="shared" si="5"/>
        <v>140.2110001831054</v>
      </c>
      <c r="I192">
        <f t="shared" si="4"/>
        <v>209.50000000000003</v>
      </c>
      <c r="J192">
        <f>0.315*(4.19 * 50)</f>
        <v>65.992500000000007</v>
      </c>
      <c r="K192">
        <f>0.312*(4.19 * 50)</f>
        <v>65.364000000000004</v>
      </c>
      <c r="L192">
        <f>0.31*(4.19 * 50)</f>
        <v>64.945000000000007</v>
      </c>
      <c r="M192">
        <f>0.309*(4.19 * 50)</f>
        <v>64.735500000000002</v>
      </c>
      <c r="N192">
        <f>0.31*(4.19 * 50)</f>
        <v>64.945000000000007</v>
      </c>
      <c r="O192">
        <f>0.315*(4.19 * 50)</f>
        <v>65.992500000000007</v>
      </c>
      <c r="P192">
        <f>0.324*(4.19 * 50)</f>
        <v>67.878000000000014</v>
      </c>
      <c r="Q192">
        <f>0.332*(4.19 * 50)</f>
        <v>69.554000000000016</v>
      </c>
      <c r="R192">
        <f>0.33*(4.19 * 50)</f>
        <v>69.135000000000019</v>
      </c>
      <c r="S192">
        <f>0.323*(4.19 * 50)</f>
        <v>67.668500000000009</v>
      </c>
      <c r="T192">
        <f>0.321*(4.19 * 50)</f>
        <v>67.249500000000012</v>
      </c>
      <c r="U192">
        <f>0.308*(4.19 * 50)</f>
        <v>64.52600000000001</v>
      </c>
      <c r="V192">
        <f>0.304*(4.19 * 50)</f>
        <v>63.688000000000009</v>
      </c>
      <c r="W192">
        <f>0.299*(4.19 * 50)</f>
        <v>62.640500000000003</v>
      </c>
      <c r="X192">
        <f>0.298*(4.19 * 50)</f>
        <v>62.431000000000004</v>
      </c>
      <c r="Y192">
        <f>0.299*(4.19 * 50)</f>
        <v>62.640500000000003</v>
      </c>
      <c r="Z192">
        <f>0.302*(4.19 * 50)</f>
        <v>63.269000000000005</v>
      </c>
      <c r="AA192">
        <f>0.308*(4.19 * 50)</f>
        <v>64.52600000000001</v>
      </c>
      <c r="AB192">
        <f>0.312*(4.19 * 50)</f>
        <v>65.364000000000004</v>
      </c>
      <c r="AC192">
        <f>0.318*(4.19 * 50)</f>
        <v>66.621000000000009</v>
      </c>
      <c r="AD192">
        <f>0.323*(4.19 * 50)</f>
        <v>67.668500000000009</v>
      </c>
      <c r="AE192">
        <f>0.326*(4.19 * 50)</f>
        <v>68.297000000000011</v>
      </c>
      <c r="AF192">
        <f>0.323*(4.19 * 50)</f>
        <v>67.668500000000009</v>
      </c>
      <c r="AG192">
        <f>0.318*(4.19 * 50)</f>
        <v>66.621000000000009</v>
      </c>
    </row>
    <row r="193" spans="1:33" x14ac:dyDescent="0.3">
      <c r="A193" t="s">
        <v>236</v>
      </c>
      <c r="B193">
        <v>359867.773438</v>
      </c>
      <c r="C193">
        <v>6667677.609375</v>
      </c>
      <c r="D193" t="s">
        <v>542</v>
      </c>
      <c r="E193">
        <v>100</v>
      </c>
      <c r="F193">
        <v>122.333000183105</v>
      </c>
      <c r="G193">
        <v>0.58392840182866346</v>
      </c>
      <c r="H193">
        <f t="shared" si="5"/>
        <v>237.13900018310503</v>
      </c>
      <c r="I193">
        <f t="shared" si="4"/>
        <v>209.50000000000003</v>
      </c>
      <c r="J193">
        <f>0.532*(4.19 * 50)</f>
        <v>111.45400000000002</v>
      </c>
      <c r="K193">
        <f>0.528*(4.19 * 50)</f>
        <v>110.61600000000001</v>
      </c>
      <c r="L193">
        <f>0.525*(4.19 * 50)</f>
        <v>109.98750000000003</v>
      </c>
      <c r="M193">
        <f>0.523*(4.19 * 50)</f>
        <v>109.56850000000001</v>
      </c>
      <c r="N193">
        <f>0.525*(4.19 * 50)</f>
        <v>109.98750000000003</v>
      </c>
      <c r="O193">
        <f>0.532*(4.19 * 50)</f>
        <v>111.45400000000002</v>
      </c>
      <c r="P193">
        <f>0.548*(4.19 * 50)</f>
        <v>114.80600000000003</v>
      </c>
      <c r="Q193">
        <f>0.562*(4.19 * 50)</f>
        <v>117.73900000000003</v>
      </c>
      <c r="R193">
        <f>0.557*(4.19 * 50)</f>
        <v>116.69150000000003</v>
      </c>
      <c r="S193">
        <f>0.546*(4.19 * 50)</f>
        <v>114.38700000000003</v>
      </c>
      <c r="T193">
        <f>0.544*(4.19 * 50)</f>
        <v>113.96800000000002</v>
      </c>
      <c r="U193">
        <f>0.521*(4.19 * 50)</f>
        <v>109.14950000000002</v>
      </c>
      <c r="V193">
        <f>0.513*(4.19 * 50)</f>
        <v>107.47350000000002</v>
      </c>
      <c r="W193">
        <f>0.506*(4.19 * 50)</f>
        <v>106.00700000000002</v>
      </c>
      <c r="X193">
        <f>0.505*(4.19 * 50)</f>
        <v>105.79750000000001</v>
      </c>
      <c r="Y193">
        <f>0.506*(4.19 * 50)</f>
        <v>106.00700000000002</v>
      </c>
      <c r="Z193">
        <f>0.511*(4.19 * 50)</f>
        <v>107.05450000000002</v>
      </c>
      <c r="AA193">
        <f>0.521*(4.19 * 50)</f>
        <v>109.14950000000002</v>
      </c>
      <c r="AB193">
        <f>0.528*(4.19 * 50)</f>
        <v>110.61600000000001</v>
      </c>
      <c r="AC193">
        <f>0.538*(4.19 * 50)</f>
        <v>112.71100000000003</v>
      </c>
      <c r="AD193">
        <f>0.547*(4.19 * 50)</f>
        <v>114.59650000000002</v>
      </c>
      <c r="AE193">
        <f>0.551*(4.19 * 50)</f>
        <v>115.43450000000003</v>
      </c>
      <c r="AF193">
        <f>0.546*(4.19 * 50)</f>
        <v>114.38700000000003</v>
      </c>
      <c r="AG193">
        <f>0.538*(4.19 * 50)</f>
        <v>112.71100000000003</v>
      </c>
    </row>
    <row r="194" spans="1:33" x14ac:dyDescent="0.3">
      <c r="A194" t="s">
        <v>237</v>
      </c>
      <c r="B194">
        <v>356791.722656</v>
      </c>
      <c r="C194">
        <v>6668132.7539060004</v>
      </c>
      <c r="D194" t="s">
        <v>540</v>
      </c>
      <c r="E194">
        <v>100</v>
      </c>
      <c r="F194">
        <v>6</v>
      </c>
      <c r="G194">
        <v>2.8639618138424819E-2</v>
      </c>
      <c r="H194">
        <f t="shared" si="5"/>
        <v>11.656500000000001</v>
      </c>
      <c r="I194">
        <f t="shared" si="4"/>
        <v>209.50000000000003</v>
      </c>
      <c r="J194">
        <f>0.026*(4.19 * 50)</f>
        <v>5.4470000000000001</v>
      </c>
      <c r="K194">
        <f>0.026*(4.19 * 50)</f>
        <v>5.4470000000000001</v>
      </c>
      <c r="L194">
        <f>0.026*(4.19 * 50)</f>
        <v>5.4470000000000001</v>
      </c>
      <c r="M194">
        <f>0.026*(4.19 * 50)</f>
        <v>5.4470000000000001</v>
      </c>
      <c r="N194">
        <f>0.026*(4.19 * 50)</f>
        <v>5.4470000000000001</v>
      </c>
      <c r="O194">
        <f>0.026*(4.19 * 50)</f>
        <v>5.4470000000000001</v>
      </c>
      <c r="P194">
        <f>0.027*(4.19 * 50)</f>
        <v>5.6565000000000003</v>
      </c>
      <c r="Q194">
        <f>0.028*(4.19 * 50)</f>
        <v>5.8660000000000005</v>
      </c>
      <c r="R194">
        <f>0.027*(4.19 * 50)</f>
        <v>5.6565000000000003</v>
      </c>
      <c r="S194">
        <f>0.027*(4.19 * 50)</f>
        <v>5.6565000000000003</v>
      </c>
      <c r="T194">
        <f>0.027*(4.19 * 50)</f>
        <v>5.6565000000000003</v>
      </c>
      <c r="U194">
        <f>0.026*(4.19 * 50)</f>
        <v>5.4470000000000001</v>
      </c>
      <c r="V194">
        <f>0.025*(4.19 * 50)</f>
        <v>5.2375000000000007</v>
      </c>
      <c r="W194">
        <f>0.025*(4.19 * 50)</f>
        <v>5.2375000000000007</v>
      </c>
      <c r="X194">
        <f>0.025*(4.19 * 50)</f>
        <v>5.2375000000000007</v>
      </c>
      <c r="Y194">
        <f>0.025*(4.19 * 50)</f>
        <v>5.2375000000000007</v>
      </c>
      <c r="Z194">
        <f>0.025*(4.19 * 50)</f>
        <v>5.2375000000000007</v>
      </c>
      <c r="AA194">
        <f>0.026*(4.19 * 50)</f>
        <v>5.4470000000000001</v>
      </c>
      <c r="AB194">
        <f>0.026*(4.19 * 50)</f>
        <v>5.4470000000000001</v>
      </c>
      <c r="AC194">
        <f>0.026*(4.19 * 50)</f>
        <v>5.4470000000000001</v>
      </c>
      <c r="AD194">
        <f>0.027*(4.19 * 50)</f>
        <v>5.6565000000000003</v>
      </c>
      <c r="AE194">
        <f>0.027*(4.19 * 50)</f>
        <v>5.6565000000000003</v>
      </c>
      <c r="AF194">
        <f>0.027*(4.19 * 50)</f>
        <v>5.6565000000000003</v>
      </c>
      <c r="AG194">
        <f>0.026*(4.19 * 50)</f>
        <v>5.4470000000000001</v>
      </c>
    </row>
    <row r="195" spans="1:33" x14ac:dyDescent="0.3">
      <c r="A195" t="s">
        <v>238</v>
      </c>
      <c r="B195">
        <v>357407.386719</v>
      </c>
      <c r="C195">
        <v>6669495.828125</v>
      </c>
      <c r="D195" t="s">
        <v>540</v>
      </c>
      <c r="E195">
        <v>100</v>
      </c>
      <c r="F195">
        <v>15</v>
      </c>
      <c r="G195">
        <v>7.159904534606204E-2</v>
      </c>
      <c r="H195">
        <f t="shared" si="5"/>
        <v>29.036500000000004</v>
      </c>
      <c r="I195">
        <f t="shared" ref="I195:I258" si="6">4.19 * 50</f>
        <v>209.50000000000003</v>
      </c>
      <c r="J195">
        <f>0.065*(4.19 * 50)</f>
        <v>13.617500000000001</v>
      </c>
      <c r="K195">
        <f>0.065*(4.19 * 50)</f>
        <v>13.617500000000001</v>
      </c>
      <c r="L195">
        <f>0.064*(4.19 * 50)</f>
        <v>13.408000000000001</v>
      </c>
      <c r="M195">
        <f>0.064*(4.19 * 50)</f>
        <v>13.408000000000001</v>
      </c>
      <c r="N195">
        <f>0.064*(4.19 * 50)</f>
        <v>13.408000000000001</v>
      </c>
      <c r="O195">
        <f>0.065*(4.19 * 50)</f>
        <v>13.617500000000001</v>
      </c>
      <c r="P195">
        <f>0.067*(4.19 * 50)</f>
        <v>14.036500000000002</v>
      </c>
      <c r="Q195">
        <f>0.069*(4.19 * 50)</f>
        <v>14.455500000000002</v>
      </c>
      <c r="R195">
        <f>0.068*(4.19 * 50)</f>
        <v>14.246000000000002</v>
      </c>
      <c r="S195">
        <f>0.067*(4.19 * 50)</f>
        <v>14.036500000000002</v>
      </c>
      <c r="T195">
        <f>0.067*(4.19 * 50)</f>
        <v>14.036500000000002</v>
      </c>
      <c r="U195">
        <f>0.064*(4.19 * 50)</f>
        <v>13.408000000000001</v>
      </c>
      <c r="V195">
        <f>0.063*(4.19 * 50)</f>
        <v>13.198500000000001</v>
      </c>
      <c r="W195">
        <f>0.062*(4.19 * 50)</f>
        <v>12.989000000000003</v>
      </c>
      <c r="X195">
        <f>0.062*(4.19 * 50)</f>
        <v>12.989000000000003</v>
      </c>
      <c r="Y195">
        <f>0.062*(4.19 * 50)</f>
        <v>12.989000000000003</v>
      </c>
      <c r="Z195">
        <f>0.063*(4.19 * 50)</f>
        <v>13.198500000000001</v>
      </c>
      <c r="AA195">
        <f>0.064*(4.19 * 50)</f>
        <v>13.408000000000001</v>
      </c>
      <c r="AB195">
        <f>0.065*(4.19 * 50)</f>
        <v>13.617500000000001</v>
      </c>
      <c r="AC195">
        <f>0.066*(4.19 * 50)</f>
        <v>13.827000000000002</v>
      </c>
      <c r="AD195">
        <f>0.067*(4.19 * 50)</f>
        <v>14.036500000000002</v>
      </c>
      <c r="AE195">
        <f>0.068*(4.19 * 50)</f>
        <v>14.246000000000002</v>
      </c>
      <c r="AF195">
        <f>0.067*(4.19 * 50)</f>
        <v>14.036500000000002</v>
      </c>
      <c r="AG195">
        <f>0.066*(4.19 * 50)</f>
        <v>13.827000000000002</v>
      </c>
    </row>
    <row r="196" spans="1:33" x14ac:dyDescent="0.3">
      <c r="A196" t="s">
        <v>239</v>
      </c>
      <c r="B196">
        <v>355175.492188</v>
      </c>
      <c r="C196">
        <v>6664602.5664060004</v>
      </c>
      <c r="D196" t="s">
        <v>547</v>
      </c>
      <c r="E196">
        <v>100</v>
      </c>
      <c r="F196">
        <v>96.666999816894503</v>
      </c>
      <c r="G196">
        <v>0.46141766022384012</v>
      </c>
      <c r="H196">
        <f t="shared" ref="H196:H259" si="7">F196+P196</f>
        <v>187.38049981689451</v>
      </c>
      <c r="I196">
        <f t="shared" si="6"/>
        <v>209.50000000000003</v>
      </c>
      <c r="J196">
        <f>0.421*(4.19 * 50)</f>
        <v>88.199500000000015</v>
      </c>
      <c r="K196">
        <f>0.417*(4.19 * 50)</f>
        <v>87.361500000000007</v>
      </c>
      <c r="L196">
        <f>0.415*(4.19 * 50)</f>
        <v>86.94250000000001</v>
      </c>
      <c r="M196">
        <f>0.413*(4.19 * 50)</f>
        <v>86.523500000000013</v>
      </c>
      <c r="N196">
        <f>0.415*(4.19 * 50)</f>
        <v>86.94250000000001</v>
      </c>
      <c r="O196">
        <f>0.42*(4.19 * 50)</f>
        <v>87.990000000000009</v>
      </c>
      <c r="P196">
        <f>0.433*(4.19 * 50)</f>
        <v>90.71350000000001</v>
      </c>
      <c r="Q196">
        <f>0.444*(4.19 * 50)</f>
        <v>93.018000000000015</v>
      </c>
      <c r="R196">
        <f>0.44*(4.19 * 50)</f>
        <v>92.18</v>
      </c>
      <c r="S196">
        <f>0.431*(4.19 * 50)</f>
        <v>90.294500000000014</v>
      </c>
      <c r="T196">
        <f>0.43*(4.19 * 50)</f>
        <v>90.085000000000008</v>
      </c>
      <c r="U196">
        <f>0.411*(4.19 * 50)</f>
        <v>86.104500000000002</v>
      </c>
      <c r="V196">
        <f>0.406*(4.19 * 50)</f>
        <v>85.057000000000016</v>
      </c>
      <c r="W196">
        <f>0.4*(4.19 * 50)</f>
        <v>83.800000000000011</v>
      </c>
      <c r="X196">
        <f>0.399*(4.19 * 50)</f>
        <v>83.59050000000002</v>
      </c>
      <c r="Y196">
        <f>0.4*(4.19 * 50)</f>
        <v>83.800000000000011</v>
      </c>
      <c r="Z196">
        <f>0.404*(4.19 * 50)</f>
        <v>84.638000000000019</v>
      </c>
      <c r="AA196">
        <f>0.411*(4.19 * 50)</f>
        <v>86.104500000000002</v>
      </c>
      <c r="AB196">
        <f>0.417*(4.19 * 50)</f>
        <v>87.361500000000007</v>
      </c>
      <c r="AC196">
        <f>0.425*(4.19 * 50)</f>
        <v>89.037500000000009</v>
      </c>
      <c r="AD196">
        <f>0.432*(4.19 * 50)</f>
        <v>90.504000000000005</v>
      </c>
      <c r="AE196">
        <f>0.435*(4.19 * 50)</f>
        <v>91.132500000000007</v>
      </c>
      <c r="AF196">
        <f>0.431*(4.19 * 50)</f>
        <v>90.294500000000014</v>
      </c>
      <c r="AG196">
        <f>0.425*(4.19 * 50)</f>
        <v>89.037500000000009</v>
      </c>
    </row>
    <row r="197" spans="1:33" x14ac:dyDescent="0.3">
      <c r="A197" t="s">
        <v>240</v>
      </c>
      <c r="B197">
        <v>357170.167969</v>
      </c>
      <c r="C197">
        <v>6669469.703125</v>
      </c>
      <c r="D197" t="s">
        <v>540</v>
      </c>
      <c r="E197">
        <v>100</v>
      </c>
      <c r="F197">
        <v>11</v>
      </c>
      <c r="G197">
        <v>5.2505966587112173E-2</v>
      </c>
      <c r="H197">
        <f t="shared" si="7"/>
        <v>21.265500000000003</v>
      </c>
      <c r="I197">
        <f t="shared" si="6"/>
        <v>209.50000000000003</v>
      </c>
      <c r="J197">
        <f>0.048*(4.19 * 50)</f>
        <v>10.056000000000001</v>
      </c>
      <c r="K197">
        <f>0.047*(4.19 * 50)</f>
        <v>9.8465000000000007</v>
      </c>
      <c r="L197">
        <f>0.047*(4.19 * 50)</f>
        <v>9.8465000000000007</v>
      </c>
      <c r="M197">
        <f>0.047*(4.19 * 50)</f>
        <v>9.8465000000000007</v>
      </c>
      <c r="N197">
        <f>0.047*(4.19 * 50)</f>
        <v>9.8465000000000007</v>
      </c>
      <c r="O197">
        <f>0.048*(4.19 * 50)</f>
        <v>10.056000000000001</v>
      </c>
      <c r="P197">
        <f>0.049*(4.19 * 50)</f>
        <v>10.265500000000001</v>
      </c>
      <c r="Q197">
        <f>0.051*(4.19 * 50)</f>
        <v>10.6845</v>
      </c>
      <c r="R197">
        <f>0.05*(4.19 * 50)</f>
        <v>10.475000000000001</v>
      </c>
      <c r="S197">
        <f>0.049*(4.19 * 50)</f>
        <v>10.265500000000001</v>
      </c>
      <c r="T197">
        <f>0.049*(4.19 * 50)</f>
        <v>10.265500000000001</v>
      </c>
      <c r="U197">
        <f>0.047*(4.19 * 50)</f>
        <v>9.8465000000000007</v>
      </c>
      <c r="V197">
        <f>0.046*(4.19 * 50)</f>
        <v>9.6370000000000005</v>
      </c>
      <c r="W197">
        <f>0.046*(4.19 * 50)</f>
        <v>9.6370000000000005</v>
      </c>
      <c r="X197">
        <f>0.045*(4.19 * 50)</f>
        <v>9.4275000000000002</v>
      </c>
      <c r="Y197">
        <f>0.045*(4.19 * 50)</f>
        <v>9.4275000000000002</v>
      </c>
      <c r="Z197">
        <f>0.046*(4.19 * 50)</f>
        <v>9.6370000000000005</v>
      </c>
      <c r="AA197">
        <f>0.047*(4.19 * 50)</f>
        <v>9.8465000000000007</v>
      </c>
      <c r="AB197">
        <f>0.047*(4.19 * 50)</f>
        <v>9.8465000000000007</v>
      </c>
      <c r="AC197">
        <f>0.048*(4.19 * 50)</f>
        <v>10.056000000000001</v>
      </c>
      <c r="AD197">
        <f>0.049*(4.19 * 50)</f>
        <v>10.265500000000001</v>
      </c>
      <c r="AE197">
        <f>0.05*(4.19 * 50)</f>
        <v>10.475000000000001</v>
      </c>
      <c r="AF197">
        <f>0.049*(4.19 * 50)</f>
        <v>10.265500000000001</v>
      </c>
      <c r="AG197">
        <f>0.048*(4.19 * 50)</f>
        <v>10.056000000000001</v>
      </c>
    </row>
    <row r="198" spans="1:33" x14ac:dyDescent="0.3">
      <c r="A198" t="s">
        <v>241</v>
      </c>
      <c r="B198">
        <v>359575.039063</v>
      </c>
      <c r="C198">
        <v>6667788.1640630001</v>
      </c>
      <c r="D198" t="s">
        <v>540</v>
      </c>
      <c r="E198">
        <v>100</v>
      </c>
      <c r="F198">
        <v>10</v>
      </c>
      <c r="G198">
        <v>4.7732696897374693E-2</v>
      </c>
      <c r="H198">
        <f t="shared" si="7"/>
        <v>19.427500000000002</v>
      </c>
      <c r="I198">
        <f t="shared" si="6"/>
        <v>209.50000000000003</v>
      </c>
      <c r="J198">
        <f>0.044*(4.19 * 50)</f>
        <v>9.218</v>
      </c>
      <c r="K198">
        <f>0.043*(4.19 * 50)</f>
        <v>9.0084999999999997</v>
      </c>
      <c r="L198">
        <f>0.043*(4.19 * 50)</f>
        <v>9.0084999999999997</v>
      </c>
      <c r="M198">
        <f>0.043*(4.19 * 50)</f>
        <v>9.0084999999999997</v>
      </c>
      <c r="N198">
        <f>0.043*(4.19 * 50)</f>
        <v>9.0084999999999997</v>
      </c>
      <c r="O198">
        <f>0.043*(4.19 * 50)</f>
        <v>9.0084999999999997</v>
      </c>
      <c r="P198">
        <f>0.045*(4.19 * 50)</f>
        <v>9.4275000000000002</v>
      </c>
      <c r="Q198">
        <f>0.046*(4.19 * 50)</f>
        <v>9.6370000000000005</v>
      </c>
      <c r="R198">
        <f>0.046*(4.19 * 50)</f>
        <v>9.6370000000000005</v>
      </c>
      <c r="S198">
        <f>0.045*(4.19 * 50)</f>
        <v>9.4275000000000002</v>
      </c>
      <c r="T198">
        <f>0.044*(4.19 * 50)</f>
        <v>9.218</v>
      </c>
      <c r="U198">
        <f>0.043*(4.19 * 50)</f>
        <v>9.0084999999999997</v>
      </c>
      <c r="V198">
        <f>0.042*(4.19 * 50)</f>
        <v>8.7990000000000013</v>
      </c>
      <c r="W198">
        <f>0.041*(4.19 * 50)</f>
        <v>8.589500000000001</v>
      </c>
      <c r="X198">
        <f>0.041*(4.19 * 50)</f>
        <v>8.589500000000001</v>
      </c>
      <c r="Y198">
        <f>0.041*(4.19 * 50)</f>
        <v>8.589500000000001</v>
      </c>
      <c r="Z198">
        <f>0.042*(4.19 * 50)</f>
        <v>8.7990000000000013</v>
      </c>
      <c r="AA198">
        <f>0.043*(4.19 * 50)</f>
        <v>9.0084999999999997</v>
      </c>
      <c r="AB198">
        <f>0.043*(4.19 * 50)</f>
        <v>9.0084999999999997</v>
      </c>
      <c r="AC198">
        <f>0.044*(4.19 * 50)</f>
        <v>9.218</v>
      </c>
      <c r="AD198">
        <f>0.045*(4.19 * 50)</f>
        <v>9.4275000000000002</v>
      </c>
      <c r="AE198">
        <f>0.045*(4.19 * 50)</f>
        <v>9.4275000000000002</v>
      </c>
      <c r="AF198">
        <f>0.045*(4.19 * 50)</f>
        <v>9.4275000000000002</v>
      </c>
      <c r="AG198">
        <f>0.044*(4.19 * 50)</f>
        <v>9.218</v>
      </c>
    </row>
    <row r="199" spans="1:33" x14ac:dyDescent="0.3">
      <c r="A199" t="s">
        <v>242</v>
      </c>
      <c r="B199">
        <v>363035.890625</v>
      </c>
      <c r="C199">
        <v>6671230.8125</v>
      </c>
      <c r="D199" t="s">
        <v>542</v>
      </c>
      <c r="E199">
        <v>100</v>
      </c>
      <c r="F199">
        <v>46</v>
      </c>
      <c r="G199">
        <v>0.21957040572792361</v>
      </c>
      <c r="H199">
        <f t="shared" si="7"/>
        <v>89.157000000000011</v>
      </c>
      <c r="I199">
        <f t="shared" si="6"/>
        <v>209.50000000000003</v>
      </c>
      <c r="J199">
        <f>0.2*(4.19 * 50)</f>
        <v>41.900000000000006</v>
      </c>
      <c r="K199">
        <f>0.199*(4.19 * 50)</f>
        <v>41.690500000000007</v>
      </c>
      <c r="L199">
        <f>0.197*(4.19 * 50)</f>
        <v>41.27150000000001</v>
      </c>
      <c r="M199">
        <f>0.197*(4.19 * 50)</f>
        <v>41.27150000000001</v>
      </c>
      <c r="N199">
        <f>0.197*(4.19 * 50)</f>
        <v>41.27150000000001</v>
      </c>
      <c r="O199">
        <f>0.2*(4.19 * 50)</f>
        <v>41.900000000000006</v>
      </c>
      <c r="P199">
        <f>0.206*(4.19 * 50)</f>
        <v>43.157000000000004</v>
      </c>
      <c r="Q199">
        <f>0.211*(4.19 * 50)</f>
        <v>44.204500000000003</v>
      </c>
      <c r="R199">
        <f>0.21*(4.19 * 50)</f>
        <v>43.995000000000005</v>
      </c>
      <c r="S199">
        <f>0.205*(4.19 * 50)</f>
        <v>42.947500000000005</v>
      </c>
      <c r="T199">
        <f>0.204*(4.19 * 50)</f>
        <v>42.738</v>
      </c>
      <c r="U199">
        <f>0.196*(4.19 * 50)</f>
        <v>41.062000000000005</v>
      </c>
      <c r="V199">
        <f>0.193*(4.19 * 50)</f>
        <v>40.433500000000009</v>
      </c>
      <c r="W199">
        <f>0.19*(4.19 * 50)</f>
        <v>39.805000000000007</v>
      </c>
      <c r="X199">
        <f>0.19*(4.19 * 50)</f>
        <v>39.805000000000007</v>
      </c>
      <c r="Y199">
        <f>0.19*(4.19 * 50)</f>
        <v>39.805000000000007</v>
      </c>
      <c r="Z199">
        <f>0.192*(4.19 * 50)</f>
        <v>40.224000000000004</v>
      </c>
      <c r="AA199">
        <f>0.196*(4.19 * 50)</f>
        <v>41.062000000000005</v>
      </c>
      <c r="AB199">
        <f>0.199*(4.19 * 50)</f>
        <v>41.690500000000007</v>
      </c>
      <c r="AC199">
        <f>0.202*(4.19 * 50)</f>
        <v>42.31900000000001</v>
      </c>
      <c r="AD199">
        <f>0.206*(4.19 * 50)</f>
        <v>43.157000000000004</v>
      </c>
      <c r="AE199">
        <f>0.207*(4.19 * 50)</f>
        <v>43.366500000000002</v>
      </c>
      <c r="AF199">
        <f>0.205*(4.19 * 50)</f>
        <v>42.947500000000005</v>
      </c>
      <c r="AG199">
        <f>0.202*(4.19 * 50)</f>
        <v>42.31900000000001</v>
      </c>
    </row>
    <row r="200" spans="1:33" x14ac:dyDescent="0.3">
      <c r="A200" t="s">
        <v>243</v>
      </c>
      <c r="B200">
        <v>358766.574219</v>
      </c>
      <c r="C200">
        <v>6667769.703125</v>
      </c>
      <c r="D200" t="s">
        <v>542</v>
      </c>
      <c r="E200">
        <v>100</v>
      </c>
      <c r="F200">
        <v>51</v>
      </c>
      <c r="G200">
        <v>0.24343675417661101</v>
      </c>
      <c r="H200">
        <f t="shared" si="7"/>
        <v>98.766000000000005</v>
      </c>
      <c r="I200">
        <f t="shared" si="6"/>
        <v>209.50000000000003</v>
      </c>
      <c r="J200">
        <f>0.222*(4.19 * 50)</f>
        <v>46.509000000000007</v>
      </c>
      <c r="K200">
        <f>0.22*(4.19 * 50)</f>
        <v>46.09</v>
      </c>
      <c r="L200">
        <f>0.219*(4.19 * 50)</f>
        <v>45.880500000000005</v>
      </c>
      <c r="M200">
        <f>0.218*(4.19 * 50)</f>
        <v>45.671000000000006</v>
      </c>
      <c r="N200">
        <f>0.219*(4.19 * 50)</f>
        <v>45.880500000000005</v>
      </c>
      <c r="O200">
        <f>0.222*(4.19 * 50)</f>
        <v>46.509000000000007</v>
      </c>
      <c r="P200">
        <f>0.228*(4.19 * 50)</f>
        <v>47.766000000000005</v>
      </c>
      <c r="Q200">
        <f>0.234*(4.19 * 50)</f>
        <v>49.02300000000001</v>
      </c>
      <c r="R200">
        <f>0.232*(4.19 * 50)</f>
        <v>48.604000000000006</v>
      </c>
      <c r="S200">
        <f>0.228*(4.19 * 50)</f>
        <v>47.766000000000005</v>
      </c>
      <c r="T200">
        <f>0.227*(4.19 * 50)</f>
        <v>47.556500000000007</v>
      </c>
      <c r="U200">
        <f>0.217*(4.19 * 50)</f>
        <v>45.461500000000008</v>
      </c>
      <c r="V200">
        <f>0.214*(4.19 * 50)</f>
        <v>44.833000000000006</v>
      </c>
      <c r="W200">
        <f>0.211*(4.19 * 50)</f>
        <v>44.204500000000003</v>
      </c>
      <c r="X200">
        <f>0.21*(4.19 * 50)</f>
        <v>43.995000000000005</v>
      </c>
      <c r="Y200">
        <f>0.211*(4.19 * 50)</f>
        <v>44.204500000000003</v>
      </c>
      <c r="Z200">
        <f>0.213*(4.19 * 50)</f>
        <v>44.623500000000007</v>
      </c>
      <c r="AA200">
        <f>0.217*(4.19 * 50)</f>
        <v>45.461500000000008</v>
      </c>
      <c r="AB200">
        <f>0.22*(4.19 * 50)</f>
        <v>46.09</v>
      </c>
      <c r="AC200">
        <f>0.224*(4.19 * 50)</f>
        <v>46.928000000000004</v>
      </c>
      <c r="AD200">
        <f>0.228*(4.19 * 50)</f>
        <v>47.766000000000005</v>
      </c>
      <c r="AE200">
        <f>0.23*(4.19 * 50)</f>
        <v>48.185000000000009</v>
      </c>
      <c r="AF200">
        <f>0.228*(4.19 * 50)</f>
        <v>47.766000000000005</v>
      </c>
      <c r="AG200">
        <f>0.224*(4.19 * 50)</f>
        <v>46.928000000000004</v>
      </c>
    </row>
    <row r="201" spans="1:33" x14ac:dyDescent="0.3">
      <c r="A201" t="s">
        <v>244</v>
      </c>
      <c r="B201">
        <v>357350.238281</v>
      </c>
      <c r="C201">
        <v>6669525.09375</v>
      </c>
      <c r="D201" t="s">
        <v>540</v>
      </c>
      <c r="E201">
        <v>100</v>
      </c>
      <c r="F201">
        <v>18</v>
      </c>
      <c r="G201">
        <v>8.5918854415274457E-2</v>
      </c>
      <c r="H201">
        <f t="shared" si="7"/>
        <v>34.969500000000004</v>
      </c>
      <c r="I201">
        <f t="shared" si="6"/>
        <v>209.50000000000003</v>
      </c>
      <c r="J201">
        <f>0.078*(4.19 * 50)</f>
        <v>16.341000000000001</v>
      </c>
      <c r="K201">
        <f>0.078*(4.19 * 50)</f>
        <v>16.341000000000001</v>
      </c>
      <c r="L201">
        <f>0.077*(4.19 * 50)</f>
        <v>16.131500000000003</v>
      </c>
      <c r="M201">
        <f>0.077*(4.19 * 50)</f>
        <v>16.131500000000003</v>
      </c>
      <c r="N201">
        <f>0.077*(4.19 * 50)</f>
        <v>16.131500000000003</v>
      </c>
      <c r="O201">
        <f>0.078*(4.19 * 50)</f>
        <v>16.341000000000001</v>
      </c>
      <c r="P201">
        <f>0.081*(4.19 * 50)</f>
        <v>16.969500000000004</v>
      </c>
      <c r="Q201">
        <f>0.083*(4.19 * 50)</f>
        <v>17.388500000000004</v>
      </c>
      <c r="R201">
        <f>0.082*(4.19 * 50)</f>
        <v>17.179000000000002</v>
      </c>
      <c r="S201">
        <f>0.08*(4.19 * 50)</f>
        <v>16.760000000000002</v>
      </c>
      <c r="T201">
        <f>0.08*(4.19 * 50)</f>
        <v>16.760000000000002</v>
      </c>
      <c r="U201">
        <f>0.077*(4.19 * 50)</f>
        <v>16.131500000000003</v>
      </c>
      <c r="V201">
        <f>0.076*(4.19 * 50)</f>
        <v>15.922000000000002</v>
      </c>
      <c r="W201">
        <f>0.075*(4.19 * 50)</f>
        <v>15.712500000000002</v>
      </c>
      <c r="X201">
        <f>0.074*(4.19 * 50)</f>
        <v>15.503000000000002</v>
      </c>
      <c r="Y201">
        <f>0.074*(4.19 * 50)</f>
        <v>15.503000000000002</v>
      </c>
      <c r="Z201">
        <f>0.075*(4.19 * 50)</f>
        <v>15.712500000000002</v>
      </c>
      <c r="AA201">
        <f>0.077*(4.19 * 50)</f>
        <v>16.131500000000003</v>
      </c>
      <c r="AB201">
        <f>0.078*(4.19 * 50)</f>
        <v>16.341000000000001</v>
      </c>
      <c r="AC201">
        <f>0.079*(4.19 * 50)</f>
        <v>16.550500000000003</v>
      </c>
      <c r="AD201">
        <f>0.08*(4.19 * 50)</f>
        <v>16.760000000000002</v>
      </c>
      <c r="AE201">
        <f>0.081*(4.19 * 50)</f>
        <v>16.969500000000004</v>
      </c>
      <c r="AF201">
        <f>0.08*(4.19 * 50)</f>
        <v>16.760000000000002</v>
      </c>
      <c r="AG201">
        <f>0.079*(4.19 * 50)</f>
        <v>16.550500000000003</v>
      </c>
    </row>
    <row r="202" spans="1:33" x14ac:dyDescent="0.3">
      <c r="A202" t="s">
        <v>245</v>
      </c>
      <c r="B202">
        <v>357059.972656</v>
      </c>
      <c r="C202">
        <v>6669483.0507810004</v>
      </c>
      <c r="D202" t="s">
        <v>540</v>
      </c>
      <c r="E202">
        <v>100</v>
      </c>
      <c r="F202">
        <v>13</v>
      </c>
      <c r="G202">
        <v>6.2052505966587103E-2</v>
      </c>
      <c r="H202">
        <f t="shared" si="7"/>
        <v>25.151000000000003</v>
      </c>
      <c r="I202">
        <f t="shared" si="6"/>
        <v>209.50000000000003</v>
      </c>
      <c r="J202">
        <f>0.057*(4.19 * 50)</f>
        <v>11.941500000000001</v>
      </c>
      <c r="K202">
        <f>0.056*(4.19 * 50)</f>
        <v>11.732000000000001</v>
      </c>
      <c r="L202">
        <f>0.056*(4.19 * 50)</f>
        <v>11.732000000000001</v>
      </c>
      <c r="M202">
        <f>0.056*(4.19 * 50)</f>
        <v>11.732000000000001</v>
      </c>
      <c r="N202">
        <f>0.056*(4.19 * 50)</f>
        <v>11.732000000000001</v>
      </c>
      <c r="O202">
        <f>0.057*(4.19 * 50)</f>
        <v>11.941500000000001</v>
      </c>
      <c r="P202">
        <f>0.058*(4.19 * 50)</f>
        <v>12.151000000000002</v>
      </c>
      <c r="Q202">
        <f>0.06*(4.19 * 50)</f>
        <v>12.570000000000002</v>
      </c>
      <c r="R202">
        <f>0.059*(4.19 * 50)</f>
        <v>12.360500000000002</v>
      </c>
      <c r="S202">
        <f>0.058*(4.19 * 50)</f>
        <v>12.151000000000002</v>
      </c>
      <c r="T202">
        <f>0.058*(4.19 * 50)</f>
        <v>12.151000000000002</v>
      </c>
      <c r="U202">
        <f>0.055*(4.19 * 50)</f>
        <v>11.522500000000001</v>
      </c>
      <c r="V202">
        <f>0.055*(4.19 * 50)</f>
        <v>11.522500000000001</v>
      </c>
      <c r="W202">
        <f>0.054*(4.19 * 50)</f>
        <v>11.313000000000001</v>
      </c>
      <c r="X202">
        <f>0.054*(4.19 * 50)</f>
        <v>11.313000000000001</v>
      </c>
      <c r="Y202">
        <f>0.054*(4.19 * 50)</f>
        <v>11.313000000000001</v>
      </c>
      <c r="Z202">
        <f>0.054*(4.19 * 50)</f>
        <v>11.313000000000001</v>
      </c>
      <c r="AA202">
        <f>0.055*(4.19 * 50)</f>
        <v>11.522500000000001</v>
      </c>
      <c r="AB202">
        <f>0.056*(4.19 * 50)</f>
        <v>11.732000000000001</v>
      </c>
      <c r="AC202">
        <f>0.057*(4.19 * 50)</f>
        <v>11.941500000000001</v>
      </c>
      <c r="AD202">
        <f>0.058*(4.19 * 50)</f>
        <v>12.151000000000002</v>
      </c>
      <c r="AE202">
        <f>0.059*(4.19 * 50)</f>
        <v>12.360500000000002</v>
      </c>
      <c r="AF202">
        <f>0.058*(4.19 * 50)</f>
        <v>12.151000000000002</v>
      </c>
      <c r="AG202">
        <f>0.057*(4.19 * 50)</f>
        <v>11.941500000000001</v>
      </c>
    </row>
    <row r="203" spans="1:33" x14ac:dyDescent="0.3">
      <c r="A203" t="s">
        <v>246</v>
      </c>
      <c r="B203">
        <v>357289.785156</v>
      </c>
      <c r="C203">
        <v>6669226.7460939996</v>
      </c>
      <c r="D203" t="s">
        <v>561</v>
      </c>
      <c r="E203">
        <v>100</v>
      </c>
      <c r="F203">
        <v>15</v>
      </c>
      <c r="G203">
        <v>7.159904534606204E-2</v>
      </c>
      <c r="H203">
        <f t="shared" si="7"/>
        <v>29.036500000000004</v>
      </c>
      <c r="I203">
        <f t="shared" si="6"/>
        <v>209.50000000000003</v>
      </c>
      <c r="J203">
        <f>0.065*(4.19 * 50)</f>
        <v>13.617500000000001</v>
      </c>
      <c r="K203">
        <f>0.065*(4.19 * 50)</f>
        <v>13.617500000000001</v>
      </c>
      <c r="L203">
        <f>0.064*(4.19 * 50)</f>
        <v>13.408000000000001</v>
      </c>
      <c r="M203">
        <f>0.064*(4.19 * 50)</f>
        <v>13.408000000000001</v>
      </c>
      <c r="N203">
        <f>0.064*(4.19 * 50)</f>
        <v>13.408000000000001</v>
      </c>
      <c r="O203">
        <f>0.065*(4.19 * 50)</f>
        <v>13.617500000000001</v>
      </c>
      <c r="P203">
        <f>0.067*(4.19 * 50)</f>
        <v>14.036500000000002</v>
      </c>
      <c r="Q203">
        <f>0.069*(4.19 * 50)</f>
        <v>14.455500000000002</v>
      </c>
      <c r="R203">
        <f>0.068*(4.19 * 50)</f>
        <v>14.246000000000002</v>
      </c>
      <c r="S203">
        <f>0.067*(4.19 * 50)</f>
        <v>14.036500000000002</v>
      </c>
      <c r="T203">
        <f>0.067*(4.19 * 50)</f>
        <v>14.036500000000002</v>
      </c>
      <c r="U203">
        <f>0.064*(4.19 * 50)</f>
        <v>13.408000000000001</v>
      </c>
      <c r="V203">
        <f>0.063*(4.19 * 50)</f>
        <v>13.198500000000001</v>
      </c>
      <c r="W203">
        <f>0.062*(4.19 * 50)</f>
        <v>12.989000000000003</v>
      </c>
      <c r="X203">
        <f>0.062*(4.19 * 50)</f>
        <v>12.989000000000003</v>
      </c>
      <c r="Y203">
        <f>0.062*(4.19 * 50)</f>
        <v>12.989000000000003</v>
      </c>
      <c r="Z203">
        <f>0.063*(4.19 * 50)</f>
        <v>13.198500000000001</v>
      </c>
      <c r="AA203">
        <f>0.064*(4.19 * 50)</f>
        <v>13.408000000000001</v>
      </c>
      <c r="AB203">
        <f>0.065*(4.19 * 50)</f>
        <v>13.617500000000001</v>
      </c>
      <c r="AC203">
        <f>0.066*(4.19 * 50)</f>
        <v>13.827000000000002</v>
      </c>
      <c r="AD203">
        <f>0.067*(4.19 * 50)</f>
        <v>14.036500000000002</v>
      </c>
      <c r="AE203">
        <f>0.068*(4.19 * 50)</f>
        <v>14.246000000000002</v>
      </c>
      <c r="AF203">
        <f>0.067*(4.19 * 50)</f>
        <v>14.036500000000002</v>
      </c>
      <c r="AG203">
        <f>0.066*(4.19 * 50)</f>
        <v>13.827000000000002</v>
      </c>
    </row>
    <row r="204" spans="1:33" x14ac:dyDescent="0.3">
      <c r="A204" t="s">
        <v>247</v>
      </c>
      <c r="B204">
        <v>357265.171875</v>
      </c>
      <c r="C204">
        <v>6669461.140625</v>
      </c>
      <c r="D204" t="s">
        <v>540</v>
      </c>
      <c r="E204">
        <v>100</v>
      </c>
      <c r="F204">
        <v>13</v>
      </c>
      <c r="G204">
        <v>6.2052505966587103E-2</v>
      </c>
      <c r="H204">
        <f t="shared" si="7"/>
        <v>25.151000000000003</v>
      </c>
      <c r="I204">
        <f t="shared" si="6"/>
        <v>209.50000000000003</v>
      </c>
      <c r="J204">
        <f>0.057*(4.19 * 50)</f>
        <v>11.941500000000001</v>
      </c>
      <c r="K204">
        <f>0.056*(4.19 * 50)</f>
        <v>11.732000000000001</v>
      </c>
      <c r="L204">
        <f>0.056*(4.19 * 50)</f>
        <v>11.732000000000001</v>
      </c>
      <c r="M204">
        <f>0.056*(4.19 * 50)</f>
        <v>11.732000000000001</v>
      </c>
      <c r="N204">
        <f>0.056*(4.19 * 50)</f>
        <v>11.732000000000001</v>
      </c>
      <c r="O204">
        <f>0.057*(4.19 * 50)</f>
        <v>11.941500000000001</v>
      </c>
      <c r="P204">
        <f>0.058*(4.19 * 50)</f>
        <v>12.151000000000002</v>
      </c>
      <c r="Q204">
        <f>0.06*(4.19 * 50)</f>
        <v>12.570000000000002</v>
      </c>
      <c r="R204">
        <f>0.059*(4.19 * 50)</f>
        <v>12.360500000000002</v>
      </c>
      <c r="S204">
        <f>0.058*(4.19 * 50)</f>
        <v>12.151000000000002</v>
      </c>
      <c r="T204">
        <f>0.058*(4.19 * 50)</f>
        <v>12.151000000000002</v>
      </c>
      <c r="U204">
        <f>0.055*(4.19 * 50)</f>
        <v>11.522500000000001</v>
      </c>
      <c r="V204">
        <f>0.055*(4.19 * 50)</f>
        <v>11.522500000000001</v>
      </c>
      <c r="W204">
        <f>0.054*(4.19 * 50)</f>
        <v>11.313000000000001</v>
      </c>
      <c r="X204">
        <f>0.054*(4.19 * 50)</f>
        <v>11.313000000000001</v>
      </c>
      <c r="Y204">
        <f>0.054*(4.19 * 50)</f>
        <v>11.313000000000001</v>
      </c>
      <c r="Z204">
        <f>0.054*(4.19 * 50)</f>
        <v>11.313000000000001</v>
      </c>
      <c r="AA204">
        <f>0.055*(4.19 * 50)</f>
        <v>11.522500000000001</v>
      </c>
      <c r="AB204">
        <f>0.056*(4.19 * 50)</f>
        <v>11.732000000000001</v>
      </c>
      <c r="AC204">
        <f>0.057*(4.19 * 50)</f>
        <v>11.941500000000001</v>
      </c>
      <c r="AD204">
        <f>0.058*(4.19 * 50)</f>
        <v>12.151000000000002</v>
      </c>
      <c r="AE204">
        <f>0.059*(4.19 * 50)</f>
        <v>12.360500000000002</v>
      </c>
      <c r="AF204">
        <f>0.058*(4.19 * 50)</f>
        <v>12.151000000000002</v>
      </c>
      <c r="AG204">
        <f>0.057*(4.19 * 50)</f>
        <v>11.941500000000001</v>
      </c>
    </row>
    <row r="205" spans="1:33" x14ac:dyDescent="0.3">
      <c r="A205" t="s">
        <v>248</v>
      </c>
      <c r="B205">
        <v>357293.105469</v>
      </c>
      <c r="C205">
        <v>6669170.6757810004</v>
      </c>
      <c r="D205" t="s">
        <v>540</v>
      </c>
      <c r="E205">
        <v>100</v>
      </c>
      <c r="F205">
        <v>9</v>
      </c>
      <c r="G205">
        <v>4.2959427207637228E-2</v>
      </c>
      <c r="H205">
        <f t="shared" si="7"/>
        <v>17.380000000000003</v>
      </c>
      <c r="I205">
        <f t="shared" si="6"/>
        <v>209.50000000000003</v>
      </c>
      <c r="J205">
        <f>0.039*(4.19 * 50)</f>
        <v>8.1705000000000005</v>
      </c>
      <c r="K205">
        <f>0.039*(4.19 * 50)</f>
        <v>8.1705000000000005</v>
      </c>
      <c r="L205">
        <f>0.039*(4.19 * 50)</f>
        <v>8.1705000000000005</v>
      </c>
      <c r="M205">
        <f>0.038*(4.19 * 50)</f>
        <v>7.9610000000000012</v>
      </c>
      <c r="N205">
        <f>0.039*(4.19 * 50)</f>
        <v>8.1705000000000005</v>
      </c>
      <c r="O205">
        <f>0.039*(4.19 * 50)</f>
        <v>8.1705000000000005</v>
      </c>
      <c r="P205">
        <f>0.04*(4.19 * 50)</f>
        <v>8.3800000000000008</v>
      </c>
      <c r="Q205">
        <f>0.041*(4.19 * 50)</f>
        <v>8.589500000000001</v>
      </c>
      <c r="R205">
        <f>0.041*(4.19 * 50)</f>
        <v>8.589500000000001</v>
      </c>
      <c r="S205">
        <f>0.04*(4.19 * 50)</f>
        <v>8.3800000000000008</v>
      </c>
      <c r="T205">
        <f>0.04*(4.19 * 50)</f>
        <v>8.3800000000000008</v>
      </c>
      <c r="U205">
        <f>0.038*(4.19 * 50)</f>
        <v>7.9610000000000012</v>
      </c>
      <c r="V205">
        <f>0.038*(4.19 * 50)</f>
        <v>7.9610000000000012</v>
      </c>
      <c r="W205">
        <f>0.037*(4.19 * 50)</f>
        <v>7.7515000000000009</v>
      </c>
      <c r="X205">
        <f>0.037*(4.19 * 50)</f>
        <v>7.7515000000000009</v>
      </c>
      <c r="Y205">
        <f>0.037*(4.19 * 50)</f>
        <v>7.7515000000000009</v>
      </c>
      <c r="Z205">
        <f>0.038*(4.19 * 50)</f>
        <v>7.9610000000000012</v>
      </c>
      <c r="AA205">
        <f>0.038*(4.19 * 50)</f>
        <v>7.9610000000000012</v>
      </c>
      <c r="AB205">
        <f>0.039*(4.19 * 50)</f>
        <v>8.1705000000000005</v>
      </c>
      <c r="AC205">
        <f>0.04*(4.19 * 50)</f>
        <v>8.3800000000000008</v>
      </c>
      <c r="AD205">
        <f>0.04*(4.19 * 50)</f>
        <v>8.3800000000000008</v>
      </c>
      <c r="AE205">
        <f>0.041*(4.19 * 50)</f>
        <v>8.589500000000001</v>
      </c>
      <c r="AF205">
        <f>0.04*(4.19 * 50)</f>
        <v>8.3800000000000008</v>
      </c>
      <c r="AG205">
        <f>0.04*(4.19 * 50)</f>
        <v>8.3800000000000008</v>
      </c>
    </row>
    <row r="206" spans="1:33" x14ac:dyDescent="0.3">
      <c r="A206" t="s">
        <v>249</v>
      </c>
      <c r="B206">
        <v>363253.042969</v>
      </c>
      <c r="C206">
        <v>6672313.6132810004</v>
      </c>
      <c r="D206" t="s">
        <v>540</v>
      </c>
      <c r="E206">
        <v>100</v>
      </c>
      <c r="F206">
        <v>5</v>
      </c>
      <c r="G206">
        <v>2.386634844868735E-2</v>
      </c>
      <c r="H206">
        <f t="shared" si="7"/>
        <v>9.609</v>
      </c>
      <c r="I206">
        <f t="shared" si="6"/>
        <v>209.50000000000003</v>
      </c>
      <c r="J206">
        <f>0.022*(4.19 * 50)</f>
        <v>4.609</v>
      </c>
      <c r="K206">
        <f>0.022*(4.19 * 50)</f>
        <v>4.609</v>
      </c>
      <c r="L206">
        <f>0.021*(4.19 * 50)</f>
        <v>4.3995000000000006</v>
      </c>
      <c r="M206">
        <f>0.021*(4.19 * 50)</f>
        <v>4.3995000000000006</v>
      </c>
      <c r="N206">
        <f>0.021*(4.19 * 50)</f>
        <v>4.3995000000000006</v>
      </c>
      <c r="O206">
        <f>0.022*(4.19 * 50)</f>
        <v>4.609</v>
      </c>
      <c r="P206">
        <f>0.022*(4.19 * 50)</f>
        <v>4.609</v>
      </c>
      <c r="Q206">
        <f>0.023*(4.19 * 50)</f>
        <v>4.8185000000000002</v>
      </c>
      <c r="R206">
        <f>0.023*(4.19 * 50)</f>
        <v>4.8185000000000002</v>
      </c>
      <c r="S206">
        <f>0.022*(4.19 * 50)</f>
        <v>4.609</v>
      </c>
      <c r="T206">
        <f>0.022*(4.19 * 50)</f>
        <v>4.609</v>
      </c>
      <c r="U206">
        <f>0.021*(4.19 * 50)</f>
        <v>4.3995000000000006</v>
      </c>
      <c r="V206">
        <f>0.021*(4.19 * 50)</f>
        <v>4.3995000000000006</v>
      </c>
      <c r="W206">
        <f>0.021*(4.19 * 50)</f>
        <v>4.3995000000000006</v>
      </c>
      <c r="X206">
        <f>0.021*(4.19 * 50)</f>
        <v>4.3995000000000006</v>
      </c>
      <c r="Y206">
        <f>0.021*(4.19 * 50)</f>
        <v>4.3995000000000006</v>
      </c>
      <c r="Z206">
        <f>0.021*(4.19 * 50)</f>
        <v>4.3995000000000006</v>
      </c>
      <c r="AA206">
        <f>0.021*(4.19 * 50)</f>
        <v>4.3995000000000006</v>
      </c>
      <c r="AB206">
        <f>0.022*(4.19 * 50)</f>
        <v>4.609</v>
      </c>
      <c r="AC206">
        <f>0.022*(4.19 * 50)</f>
        <v>4.609</v>
      </c>
      <c r="AD206">
        <f>0.022*(4.19 * 50)</f>
        <v>4.609</v>
      </c>
      <c r="AE206">
        <f>0.023*(4.19 * 50)</f>
        <v>4.8185000000000002</v>
      </c>
      <c r="AF206">
        <f>0.022*(4.19 * 50)</f>
        <v>4.609</v>
      </c>
      <c r="AG206">
        <f>0.022*(4.19 * 50)</f>
        <v>4.609</v>
      </c>
    </row>
    <row r="207" spans="1:33" x14ac:dyDescent="0.3">
      <c r="A207" t="s">
        <v>250</v>
      </c>
      <c r="B207">
        <v>357371.269531</v>
      </c>
      <c r="C207">
        <v>6669536.1601560004</v>
      </c>
      <c r="D207" t="s">
        <v>540</v>
      </c>
      <c r="E207">
        <v>100</v>
      </c>
      <c r="F207">
        <v>10</v>
      </c>
      <c r="G207">
        <v>4.7732696897374693E-2</v>
      </c>
      <c r="H207">
        <f t="shared" si="7"/>
        <v>19.427500000000002</v>
      </c>
      <c r="I207">
        <f t="shared" si="6"/>
        <v>209.50000000000003</v>
      </c>
      <c r="J207">
        <f>0.044*(4.19 * 50)</f>
        <v>9.218</v>
      </c>
      <c r="K207">
        <f>0.043*(4.19 * 50)</f>
        <v>9.0084999999999997</v>
      </c>
      <c r="L207">
        <f>0.043*(4.19 * 50)</f>
        <v>9.0084999999999997</v>
      </c>
      <c r="M207">
        <f>0.043*(4.19 * 50)</f>
        <v>9.0084999999999997</v>
      </c>
      <c r="N207">
        <f>0.043*(4.19 * 50)</f>
        <v>9.0084999999999997</v>
      </c>
      <c r="O207">
        <f>0.043*(4.19 * 50)</f>
        <v>9.0084999999999997</v>
      </c>
      <c r="P207">
        <f>0.045*(4.19 * 50)</f>
        <v>9.4275000000000002</v>
      </c>
      <c r="Q207">
        <f>0.046*(4.19 * 50)</f>
        <v>9.6370000000000005</v>
      </c>
      <c r="R207">
        <f>0.046*(4.19 * 50)</f>
        <v>9.6370000000000005</v>
      </c>
      <c r="S207">
        <f>0.045*(4.19 * 50)</f>
        <v>9.4275000000000002</v>
      </c>
      <c r="T207">
        <f>0.044*(4.19 * 50)</f>
        <v>9.218</v>
      </c>
      <c r="U207">
        <f>0.043*(4.19 * 50)</f>
        <v>9.0084999999999997</v>
      </c>
      <c r="V207">
        <f>0.042*(4.19 * 50)</f>
        <v>8.7990000000000013</v>
      </c>
      <c r="W207">
        <f>0.041*(4.19 * 50)</f>
        <v>8.589500000000001</v>
      </c>
      <c r="X207">
        <f>0.041*(4.19 * 50)</f>
        <v>8.589500000000001</v>
      </c>
      <c r="Y207">
        <f>0.041*(4.19 * 50)</f>
        <v>8.589500000000001</v>
      </c>
      <c r="Z207">
        <f>0.042*(4.19 * 50)</f>
        <v>8.7990000000000013</v>
      </c>
      <c r="AA207">
        <f>0.043*(4.19 * 50)</f>
        <v>9.0084999999999997</v>
      </c>
      <c r="AB207">
        <f>0.043*(4.19 * 50)</f>
        <v>9.0084999999999997</v>
      </c>
      <c r="AC207">
        <f>0.044*(4.19 * 50)</f>
        <v>9.218</v>
      </c>
      <c r="AD207">
        <f>0.045*(4.19 * 50)</f>
        <v>9.4275000000000002</v>
      </c>
      <c r="AE207">
        <f>0.045*(4.19 * 50)</f>
        <v>9.4275000000000002</v>
      </c>
      <c r="AF207">
        <f>0.045*(4.19 * 50)</f>
        <v>9.4275000000000002</v>
      </c>
      <c r="AG207">
        <f>0.044*(4.19 * 50)</f>
        <v>9.218</v>
      </c>
    </row>
    <row r="208" spans="1:33" x14ac:dyDescent="0.3">
      <c r="A208" t="s">
        <v>251</v>
      </c>
      <c r="B208">
        <v>357378.746094</v>
      </c>
      <c r="C208">
        <v>6669287.5195310004</v>
      </c>
      <c r="D208" t="s">
        <v>541</v>
      </c>
      <c r="E208">
        <v>100</v>
      </c>
      <c r="F208">
        <v>95.666999816894503</v>
      </c>
      <c r="G208">
        <v>0.45664439053410261</v>
      </c>
      <c r="H208">
        <f t="shared" si="7"/>
        <v>185.33299981689453</v>
      </c>
      <c r="I208">
        <f t="shared" si="6"/>
        <v>209.50000000000003</v>
      </c>
      <c r="J208">
        <f>0.416*(4.19 * 50)</f>
        <v>87.152000000000001</v>
      </c>
      <c r="K208">
        <f>0.413*(4.19 * 50)</f>
        <v>86.523500000000013</v>
      </c>
      <c r="L208">
        <f>0.411*(4.19 * 50)</f>
        <v>86.104500000000002</v>
      </c>
      <c r="M208">
        <f>0.409*(4.19 * 50)</f>
        <v>85.685500000000005</v>
      </c>
      <c r="N208">
        <f>0.411*(4.19 * 50)</f>
        <v>86.104500000000002</v>
      </c>
      <c r="O208">
        <f>0.416*(4.19 * 50)</f>
        <v>87.152000000000001</v>
      </c>
      <c r="P208">
        <f>0.428*(4.19 * 50)</f>
        <v>89.666000000000011</v>
      </c>
      <c r="Q208">
        <f>0.44*(4.19 * 50)</f>
        <v>92.18</v>
      </c>
      <c r="R208">
        <f>0.436*(4.19 * 50)</f>
        <v>91.342000000000013</v>
      </c>
      <c r="S208">
        <f>0.427*(4.19 * 50)</f>
        <v>89.456500000000005</v>
      </c>
      <c r="T208">
        <f>0.425*(4.19 * 50)</f>
        <v>89.037500000000009</v>
      </c>
      <c r="U208">
        <f>0.407*(4.19 * 50)</f>
        <v>85.266500000000008</v>
      </c>
      <c r="V208">
        <f>0.401*(4.19 * 50)</f>
        <v>84.009500000000017</v>
      </c>
      <c r="W208">
        <f>0.396*(4.19 * 50)</f>
        <v>82.962000000000018</v>
      </c>
      <c r="X208">
        <f>0.395*(4.19 * 50)</f>
        <v>82.752500000000012</v>
      </c>
      <c r="Y208">
        <f>0.396*(4.19 * 50)</f>
        <v>82.962000000000018</v>
      </c>
      <c r="Z208">
        <f>0.4*(4.19 * 50)</f>
        <v>83.800000000000011</v>
      </c>
      <c r="AA208">
        <f>0.407*(4.19 * 50)</f>
        <v>85.266500000000008</v>
      </c>
      <c r="AB208">
        <f>0.413*(4.19 * 50)</f>
        <v>86.523500000000013</v>
      </c>
      <c r="AC208">
        <f>0.421*(4.19 * 50)</f>
        <v>88.199500000000015</v>
      </c>
      <c r="AD208">
        <f>0.428*(4.19 * 50)</f>
        <v>89.666000000000011</v>
      </c>
      <c r="AE208">
        <f>0.431*(4.19 * 50)</f>
        <v>90.294500000000014</v>
      </c>
      <c r="AF208">
        <f>0.427*(4.19 * 50)</f>
        <v>89.456500000000005</v>
      </c>
      <c r="AG208">
        <f>0.421*(4.19 * 50)</f>
        <v>88.199500000000015</v>
      </c>
    </row>
    <row r="209" spans="1:33" x14ac:dyDescent="0.3">
      <c r="A209" t="s">
        <v>252</v>
      </c>
      <c r="B209">
        <v>357337.273438</v>
      </c>
      <c r="C209">
        <v>6669443.0976560004</v>
      </c>
      <c r="D209" t="s">
        <v>540</v>
      </c>
      <c r="E209">
        <v>100</v>
      </c>
      <c r="F209">
        <v>12</v>
      </c>
      <c r="G209">
        <v>5.7279236276849638E-2</v>
      </c>
      <c r="H209">
        <f t="shared" si="7"/>
        <v>23.313000000000002</v>
      </c>
      <c r="I209">
        <f t="shared" si="6"/>
        <v>209.50000000000003</v>
      </c>
      <c r="J209">
        <f>0.052*(4.19 * 50)</f>
        <v>10.894</v>
      </c>
      <c r="K209">
        <f>0.052*(4.19 * 50)</f>
        <v>10.894</v>
      </c>
      <c r="L209">
        <f>0.051*(4.19 * 50)</f>
        <v>10.6845</v>
      </c>
      <c r="M209">
        <f>0.051*(4.19 * 50)</f>
        <v>10.6845</v>
      </c>
      <c r="N209">
        <f>0.051*(4.19 * 50)</f>
        <v>10.6845</v>
      </c>
      <c r="O209">
        <f>0.052*(4.19 * 50)</f>
        <v>10.894</v>
      </c>
      <c r="P209">
        <f>0.054*(4.19 * 50)</f>
        <v>11.313000000000001</v>
      </c>
      <c r="Q209">
        <f>0.055*(4.19 * 50)</f>
        <v>11.522500000000001</v>
      </c>
      <c r="R209">
        <f>0.055*(4.19 * 50)</f>
        <v>11.522500000000001</v>
      </c>
      <c r="S209">
        <f>0.054*(4.19 * 50)</f>
        <v>11.313000000000001</v>
      </c>
      <c r="T209">
        <f>0.053*(4.19 * 50)</f>
        <v>11.1035</v>
      </c>
      <c r="U209">
        <f>0.051*(4.19 * 50)</f>
        <v>10.6845</v>
      </c>
      <c r="V209">
        <f>0.05*(4.19 * 50)</f>
        <v>10.475000000000001</v>
      </c>
      <c r="W209">
        <f>0.05*(4.19 * 50)</f>
        <v>10.475000000000001</v>
      </c>
      <c r="X209">
        <f>0.05*(4.19 * 50)</f>
        <v>10.475000000000001</v>
      </c>
      <c r="Y209">
        <f>0.05*(4.19 * 50)</f>
        <v>10.475000000000001</v>
      </c>
      <c r="Z209">
        <f>0.05*(4.19 * 50)</f>
        <v>10.475000000000001</v>
      </c>
      <c r="AA209">
        <f>0.051*(4.19 * 50)</f>
        <v>10.6845</v>
      </c>
      <c r="AB209">
        <f>0.052*(4.19 * 50)</f>
        <v>10.894</v>
      </c>
      <c r="AC209">
        <f>0.053*(4.19 * 50)</f>
        <v>11.1035</v>
      </c>
      <c r="AD209">
        <f>0.054*(4.19 * 50)</f>
        <v>11.313000000000001</v>
      </c>
      <c r="AE209">
        <f>0.054*(4.19 * 50)</f>
        <v>11.313000000000001</v>
      </c>
      <c r="AF209">
        <f>0.054*(4.19 * 50)</f>
        <v>11.313000000000001</v>
      </c>
      <c r="AG209">
        <f>0.053*(4.19 * 50)</f>
        <v>11.1035</v>
      </c>
    </row>
    <row r="210" spans="1:33" x14ac:dyDescent="0.3">
      <c r="A210" t="s">
        <v>253</v>
      </c>
      <c r="B210">
        <v>357071.964844</v>
      </c>
      <c r="C210">
        <v>6669441.5</v>
      </c>
      <c r="D210" t="s">
        <v>540</v>
      </c>
      <c r="E210">
        <v>100</v>
      </c>
      <c r="F210">
        <v>7</v>
      </c>
      <c r="G210">
        <v>3.3412887828162277E-2</v>
      </c>
      <c r="H210">
        <f t="shared" si="7"/>
        <v>13.494500000000002</v>
      </c>
      <c r="I210">
        <f t="shared" si="6"/>
        <v>209.50000000000003</v>
      </c>
      <c r="J210">
        <f>0.03*(4.19 * 50)</f>
        <v>6.285000000000001</v>
      </c>
      <c r="K210">
        <f>0.03*(4.19 * 50)</f>
        <v>6.285000000000001</v>
      </c>
      <c r="L210">
        <f>0.03*(4.19 * 50)</f>
        <v>6.285000000000001</v>
      </c>
      <c r="M210">
        <f>0.03*(4.19 * 50)</f>
        <v>6.285000000000001</v>
      </c>
      <c r="N210">
        <f>0.03*(4.19 * 50)</f>
        <v>6.285000000000001</v>
      </c>
      <c r="O210">
        <f>0.03*(4.19 * 50)</f>
        <v>6.285000000000001</v>
      </c>
      <c r="P210">
        <f>0.031*(4.19 * 50)</f>
        <v>6.4945000000000013</v>
      </c>
      <c r="Q210">
        <f>0.032*(4.19 * 50)</f>
        <v>6.7040000000000006</v>
      </c>
      <c r="R210">
        <f>0.032*(4.19 * 50)</f>
        <v>6.7040000000000006</v>
      </c>
      <c r="S210">
        <f>0.031*(4.19 * 50)</f>
        <v>6.4945000000000013</v>
      </c>
      <c r="T210">
        <f>0.031*(4.19 * 50)</f>
        <v>6.4945000000000013</v>
      </c>
      <c r="U210">
        <f>0.03*(4.19 * 50)</f>
        <v>6.285000000000001</v>
      </c>
      <c r="V210">
        <f>0.029*(4.19 * 50)</f>
        <v>6.0755000000000008</v>
      </c>
      <c r="W210">
        <f>0.029*(4.19 * 50)</f>
        <v>6.0755000000000008</v>
      </c>
      <c r="X210">
        <f>0.029*(4.19 * 50)</f>
        <v>6.0755000000000008</v>
      </c>
      <c r="Y210">
        <f>0.029*(4.19 * 50)</f>
        <v>6.0755000000000008</v>
      </c>
      <c r="Z210">
        <f>0.029*(4.19 * 50)</f>
        <v>6.0755000000000008</v>
      </c>
      <c r="AA210">
        <f>0.03*(4.19 * 50)</f>
        <v>6.285000000000001</v>
      </c>
      <c r="AB210">
        <f>0.03*(4.19 * 50)</f>
        <v>6.285000000000001</v>
      </c>
      <c r="AC210">
        <f>0.031*(4.19 * 50)</f>
        <v>6.4945000000000013</v>
      </c>
      <c r="AD210">
        <f>0.031*(4.19 * 50)</f>
        <v>6.4945000000000013</v>
      </c>
      <c r="AE210">
        <f>0.032*(4.19 * 50)</f>
        <v>6.7040000000000006</v>
      </c>
      <c r="AF210">
        <f>0.031*(4.19 * 50)</f>
        <v>6.4945000000000013</v>
      </c>
      <c r="AG210">
        <f>0.031*(4.19 * 50)</f>
        <v>6.4945000000000013</v>
      </c>
    </row>
    <row r="211" spans="1:33" x14ac:dyDescent="0.3">
      <c r="A211" t="s">
        <v>254</v>
      </c>
      <c r="B211">
        <v>357084.464844</v>
      </c>
      <c r="C211">
        <v>6669496.9609380001</v>
      </c>
      <c r="D211" t="s">
        <v>540</v>
      </c>
      <c r="E211">
        <v>100</v>
      </c>
      <c r="F211">
        <v>11</v>
      </c>
      <c r="G211">
        <v>5.2505966587112173E-2</v>
      </c>
      <c r="H211">
        <f t="shared" si="7"/>
        <v>21.265500000000003</v>
      </c>
      <c r="I211">
        <f t="shared" si="6"/>
        <v>209.50000000000003</v>
      </c>
      <c r="J211">
        <f>0.048*(4.19 * 50)</f>
        <v>10.056000000000001</v>
      </c>
      <c r="K211">
        <f>0.047*(4.19 * 50)</f>
        <v>9.8465000000000007</v>
      </c>
      <c r="L211">
        <f>0.047*(4.19 * 50)</f>
        <v>9.8465000000000007</v>
      </c>
      <c r="M211">
        <f>0.047*(4.19 * 50)</f>
        <v>9.8465000000000007</v>
      </c>
      <c r="N211">
        <f>0.047*(4.19 * 50)</f>
        <v>9.8465000000000007</v>
      </c>
      <c r="O211">
        <f>0.048*(4.19 * 50)</f>
        <v>10.056000000000001</v>
      </c>
      <c r="P211">
        <f>0.049*(4.19 * 50)</f>
        <v>10.265500000000001</v>
      </c>
      <c r="Q211">
        <f>0.051*(4.19 * 50)</f>
        <v>10.6845</v>
      </c>
      <c r="R211">
        <f>0.05*(4.19 * 50)</f>
        <v>10.475000000000001</v>
      </c>
      <c r="S211">
        <f>0.049*(4.19 * 50)</f>
        <v>10.265500000000001</v>
      </c>
      <c r="T211">
        <f>0.049*(4.19 * 50)</f>
        <v>10.265500000000001</v>
      </c>
      <c r="U211">
        <f>0.047*(4.19 * 50)</f>
        <v>9.8465000000000007</v>
      </c>
      <c r="V211">
        <f>0.046*(4.19 * 50)</f>
        <v>9.6370000000000005</v>
      </c>
      <c r="W211">
        <f>0.046*(4.19 * 50)</f>
        <v>9.6370000000000005</v>
      </c>
      <c r="X211">
        <f>0.045*(4.19 * 50)</f>
        <v>9.4275000000000002</v>
      </c>
      <c r="Y211">
        <f>0.045*(4.19 * 50)</f>
        <v>9.4275000000000002</v>
      </c>
      <c r="Z211">
        <f>0.046*(4.19 * 50)</f>
        <v>9.6370000000000005</v>
      </c>
      <c r="AA211">
        <f>0.047*(4.19 * 50)</f>
        <v>9.8465000000000007</v>
      </c>
      <c r="AB211">
        <f>0.047*(4.19 * 50)</f>
        <v>9.8465000000000007</v>
      </c>
      <c r="AC211">
        <f>0.048*(4.19 * 50)</f>
        <v>10.056000000000001</v>
      </c>
      <c r="AD211">
        <f>0.049*(4.19 * 50)</f>
        <v>10.265500000000001</v>
      </c>
      <c r="AE211">
        <f>0.05*(4.19 * 50)</f>
        <v>10.475000000000001</v>
      </c>
      <c r="AF211">
        <f>0.049*(4.19 * 50)</f>
        <v>10.265500000000001</v>
      </c>
      <c r="AG211">
        <f>0.048*(4.19 * 50)</f>
        <v>10.056000000000001</v>
      </c>
    </row>
    <row r="212" spans="1:33" x14ac:dyDescent="0.3">
      <c r="A212" t="s">
        <v>255</v>
      </c>
      <c r="B212">
        <v>357127.382813</v>
      </c>
      <c r="C212">
        <v>6669506.546875</v>
      </c>
      <c r="D212" t="s">
        <v>540</v>
      </c>
      <c r="E212">
        <v>100</v>
      </c>
      <c r="F212">
        <v>12</v>
      </c>
      <c r="G212">
        <v>5.7279236276849638E-2</v>
      </c>
      <c r="H212">
        <f t="shared" si="7"/>
        <v>23.313000000000002</v>
      </c>
      <c r="I212">
        <f t="shared" si="6"/>
        <v>209.50000000000003</v>
      </c>
      <c r="J212">
        <f>0.052*(4.19 * 50)</f>
        <v>10.894</v>
      </c>
      <c r="K212">
        <f>0.052*(4.19 * 50)</f>
        <v>10.894</v>
      </c>
      <c r="L212">
        <f>0.051*(4.19 * 50)</f>
        <v>10.6845</v>
      </c>
      <c r="M212">
        <f>0.051*(4.19 * 50)</f>
        <v>10.6845</v>
      </c>
      <c r="N212">
        <f>0.051*(4.19 * 50)</f>
        <v>10.6845</v>
      </c>
      <c r="O212">
        <f>0.052*(4.19 * 50)</f>
        <v>10.894</v>
      </c>
      <c r="P212">
        <f>0.054*(4.19 * 50)</f>
        <v>11.313000000000001</v>
      </c>
      <c r="Q212">
        <f>0.055*(4.19 * 50)</f>
        <v>11.522500000000001</v>
      </c>
      <c r="R212">
        <f>0.055*(4.19 * 50)</f>
        <v>11.522500000000001</v>
      </c>
      <c r="S212">
        <f>0.054*(4.19 * 50)</f>
        <v>11.313000000000001</v>
      </c>
      <c r="T212">
        <f>0.053*(4.19 * 50)</f>
        <v>11.1035</v>
      </c>
      <c r="U212">
        <f>0.051*(4.19 * 50)</f>
        <v>10.6845</v>
      </c>
      <c r="V212">
        <f>0.05*(4.19 * 50)</f>
        <v>10.475000000000001</v>
      </c>
      <c r="W212">
        <f>0.05*(4.19 * 50)</f>
        <v>10.475000000000001</v>
      </c>
      <c r="X212">
        <f>0.05*(4.19 * 50)</f>
        <v>10.475000000000001</v>
      </c>
      <c r="Y212">
        <f>0.05*(4.19 * 50)</f>
        <v>10.475000000000001</v>
      </c>
      <c r="Z212">
        <f>0.05*(4.19 * 50)</f>
        <v>10.475000000000001</v>
      </c>
      <c r="AA212">
        <f>0.051*(4.19 * 50)</f>
        <v>10.6845</v>
      </c>
      <c r="AB212">
        <f>0.052*(4.19 * 50)</f>
        <v>10.894</v>
      </c>
      <c r="AC212">
        <f>0.053*(4.19 * 50)</f>
        <v>11.1035</v>
      </c>
      <c r="AD212">
        <f>0.054*(4.19 * 50)</f>
        <v>11.313000000000001</v>
      </c>
      <c r="AE212">
        <f>0.054*(4.19 * 50)</f>
        <v>11.313000000000001</v>
      </c>
      <c r="AF212">
        <f>0.054*(4.19 * 50)</f>
        <v>11.313000000000001</v>
      </c>
      <c r="AG212">
        <f>0.053*(4.19 * 50)</f>
        <v>11.1035</v>
      </c>
    </row>
    <row r="213" spans="1:33" x14ac:dyDescent="0.3">
      <c r="A213" t="s">
        <v>256</v>
      </c>
      <c r="B213">
        <v>357040.269531</v>
      </c>
      <c r="C213">
        <v>6667346.4570310004</v>
      </c>
      <c r="D213" t="s">
        <v>546</v>
      </c>
      <c r="E213">
        <v>100</v>
      </c>
      <c r="F213">
        <v>183.33299255371</v>
      </c>
      <c r="G213">
        <v>0.87509781648548912</v>
      </c>
      <c r="H213">
        <f t="shared" si="7"/>
        <v>355.33249255371004</v>
      </c>
      <c r="I213">
        <f t="shared" si="6"/>
        <v>209.50000000000003</v>
      </c>
      <c r="J213">
        <f>0.798*(4.19 * 50)</f>
        <v>167.18100000000004</v>
      </c>
      <c r="K213">
        <f>0.792*(4.19 * 50)</f>
        <v>165.92400000000004</v>
      </c>
      <c r="L213">
        <f>0.787*(4.19 * 50)</f>
        <v>164.87650000000002</v>
      </c>
      <c r="M213">
        <f>0.784*(4.19 * 50)</f>
        <v>164.24800000000002</v>
      </c>
      <c r="N213">
        <f>0.787*(4.19 * 50)</f>
        <v>164.87650000000002</v>
      </c>
      <c r="O213">
        <f>0.797*(4.19 * 50)</f>
        <v>166.97150000000002</v>
      </c>
      <c r="P213">
        <f>0.821*(4.19 * 50)</f>
        <v>171.99950000000001</v>
      </c>
      <c r="Q213">
        <f>0.843*(4.19 * 50)</f>
        <v>176.60850000000002</v>
      </c>
      <c r="R213">
        <f>0.835*(4.19 * 50)</f>
        <v>174.9325</v>
      </c>
      <c r="S213">
        <f>0.818*(4.19 * 50)</f>
        <v>171.37100000000001</v>
      </c>
      <c r="T213">
        <f>0.815*(4.19 * 50)</f>
        <v>170.74250000000001</v>
      </c>
      <c r="U213">
        <f>0.78*(4.19 * 50)</f>
        <v>163.41000000000003</v>
      </c>
      <c r="V213">
        <f>0.769*(4.19 * 50)</f>
        <v>161.10550000000003</v>
      </c>
      <c r="W213">
        <f>0.759*(4.19 * 50)</f>
        <v>159.01050000000004</v>
      </c>
      <c r="X213">
        <f>0.757*(4.19 * 50)</f>
        <v>158.59150000000002</v>
      </c>
      <c r="Y213">
        <f>0.758*(4.19 * 50)</f>
        <v>158.80100000000002</v>
      </c>
      <c r="Z213">
        <f>0.766*(4.19 * 50)</f>
        <v>160.47700000000003</v>
      </c>
      <c r="AA213">
        <f>0.78*(4.19 * 50)</f>
        <v>163.41000000000003</v>
      </c>
      <c r="AB213">
        <f>0.792*(4.19 * 50)</f>
        <v>165.92400000000004</v>
      </c>
      <c r="AC213">
        <f>0.806*(4.19 * 50)</f>
        <v>168.85700000000003</v>
      </c>
      <c r="AD213">
        <f>0.819*(4.19 * 50)</f>
        <v>171.5805</v>
      </c>
      <c r="AE213">
        <f>0.825*(4.19 * 50)</f>
        <v>172.83750000000001</v>
      </c>
      <c r="AF213">
        <f>0.818*(4.19 * 50)</f>
        <v>171.37100000000001</v>
      </c>
      <c r="AG213">
        <f>0.807*(4.19 * 50)</f>
        <v>169.06650000000005</v>
      </c>
    </row>
    <row r="214" spans="1:33" x14ac:dyDescent="0.3">
      <c r="A214" t="s">
        <v>257</v>
      </c>
      <c r="B214">
        <v>357356.136719</v>
      </c>
      <c r="C214">
        <v>6669473.3828130001</v>
      </c>
      <c r="D214" t="s">
        <v>540</v>
      </c>
      <c r="E214">
        <v>100</v>
      </c>
      <c r="F214">
        <v>7</v>
      </c>
      <c r="G214">
        <v>3.3412887828162277E-2</v>
      </c>
      <c r="H214">
        <f t="shared" si="7"/>
        <v>13.494500000000002</v>
      </c>
      <c r="I214">
        <f t="shared" si="6"/>
        <v>209.50000000000003</v>
      </c>
      <c r="J214">
        <f>0.03*(4.19 * 50)</f>
        <v>6.285000000000001</v>
      </c>
      <c r="K214">
        <f>0.03*(4.19 * 50)</f>
        <v>6.285000000000001</v>
      </c>
      <c r="L214">
        <f>0.03*(4.19 * 50)</f>
        <v>6.285000000000001</v>
      </c>
      <c r="M214">
        <f>0.03*(4.19 * 50)</f>
        <v>6.285000000000001</v>
      </c>
      <c r="N214">
        <f>0.03*(4.19 * 50)</f>
        <v>6.285000000000001</v>
      </c>
      <c r="O214">
        <f>0.03*(4.19 * 50)</f>
        <v>6.285000000000001</v>
      </c>
      <c r="P214">
        <f>0.031*(4.19 * 50)</f>
        <v>6.4945000000000013</v>
      </c>
      <c r="Q214">
        <f>0.032*(4.19 * 50)</f>
        <v>6.7040000000000006</v>
      </c>
      <c r="R214">
        <f>0.032*(4.19 * 50)</f>
        <v>6.7040000000000006</v>
      </c>
      <c r="S214">
        <f>0.031*(4.19 * 50)</f>
        <v>6.4945000000000013</v>
      </c>
      <c r="T214">
        <f>0.031*(4.19 * 50)</f>
        <v>6.4945000000000013</v>
      </c>
      <c r="U214">
        <f>0.03*(4.19 * 50)</f>
        <v>6.285000000000001</v>
      </c>
      <c r="V214">
        <f>0.029*(4.19 * 50)</f>
        <v>6.0755000000000008</v>
      </c>
      <c r="W214">
        <f>0.029*(4.19 * 50)</f>
        <v>6.0755000000000008</v>
      </c>
      <c r="X214">
        <f>0.029*(4.19 * 50)</f>
        <v>6.0755000000000008</v>
      </c>
      <c r="Y214">
        <f>0.029*(4.19 * 50)</f>
        <v>6.0755000000000008</v>
      </c>
      <c r="Z214">
        <f>0.029*(4.19 * 50)</f>
        <v>6.0755000000000008</v>
      </c>
      <c r="AA214">
        <f>0.03*(4.19 * 50)</f>
        <v>6.285000000000001</v>
      </c>
      <c r="AB214">
        <f>0.03*(4.19 * 50)</f>
        <v>6.285000000000001</v>
      </c>
      <c r="AC214">
        <f>0.031*(4.19 * 50)</f>
        <v>6.4945000000000013</v>
      </c>
      <c r="AD214">
        <f>0.031*(4.19 * 50)</f>
        <v>6.4945000000000013</v>
      </c>
      <c r="AE214">
        <f>0.032*(4.19 * 50)</f>
        <v>6.7040000000000006</v>
      </c>
      <c r="AF214">
        <f>0.031*(4.19 * 50)</f>
        <v>6.4945000000000013</v>
      </c>
      <c r="AG214">
        <f>0.031*(4.19 * 50)</f>
        <v>6.4945000000000013</v>
      </c>
    </row>
    <row r="215" spans="1:33" x14ac:dyDescent="0.3">
      <c r="A215" t="s">
        <v>258</v>
      </c>
      <c r="B215">
        <v>359001.074219</v>
      </c>
      <c r="C215">
        <v>6667116.6640630001</v>
      </c>
      <c r="D215" t="s">
        <v>540</v>
      </c>
      <c r="E215">
        <v>100</v>
      </c>
      <c r="F215">
        <v>6</v>
      </c>
      <c r="G215">
        <v>2.8639618138424819E-2</v>
      </c>
      <c r="H215">
        <f t="shared" si="7"/>
        <v>11.656500000000001</v>
      </c>
      <c r="I215">
        <f t="shared" si="6"/>
        <v>209.50000000000003</v>
      </c>
      <c r="J215">
        <f>0.026*(4.19 * 50)</f>
        <v>5.4470000000000001</v>
      </c>
      <c r="K215">
        <f>0.026*(4.19 * 50)</f>
        <v>5.4470000000000001</v>
      </c>
      <c r="L215">
        <f>0.026*(4.19 * 50)</f>
        <v>5.4470000000000001</v>
      </c>
      <c r="M215">
        <f>0.026*(4.19 * 50)</f>
        <v>5.4470000000000001</v>
      </c>
      <c r="N215">
        <f>0.026*(4.19 * 50)</f>
        <v>5.4470000000000001</v>
      </c>
      <c r="O215">
        <f>0.026*(4.19 * 50)</f>
        <v>5.4470000000000001</v>
      </c>
      <c r="P215">
        <f>0.027*(4.19 * 50)</f>
        <v>5.6565000000000003</v>
      </c>
      <c r="Q215">
        <f>0.028*(4.19 * 50)</f>
        <v>5.8660000000000005</v>
      </c>
      <c r="R215">
        <f>0.027*(4.19 * 50)</f>
        <v>5.6565000000000003</v>
      </c>
      <c r="S215">
        <f>0.027*(4.19 * 50)</f>
        <v>5.6565000000000003</v>
      </c>
      <c r="T215">
        <f>0.027*(4.19 * 50)</f>
        <v>5.6565000000000003</v>
      </c>
      <c r="U215">
        <f>0.026*(4.19 * 50)</f>
        <v>5.4470000000000001</v>
      </c>
      <c r="V215">
        <f>0.025*(4.19 * 50)</f>
        <v>5.2375000000000007</v>
      </c>
      <c r="W215">
        <f>0.025*(4.19 * 50)</f>
        <v>5.2375000000000007</v>
      </c>
      <c r="X215">
        <f>0.025*(4.19 * 50)</f>
        <v>5.2375000000000007</v>
      </c>
      <c r="Y215">
        <f>0.025*(4.19 * 50)</f>
        <v>5.2375000000000007</v>
      </c>
      <c r="Z215">
        <f>0.025*(4.19 * 50)</f>
        <v>5.2375000000000007</v>
      </c>
      <c r="AA215">
        <f>0.026*(4.19 * 50)</f>
        <v>5.4470000000000001</v>
      </c>
      <c r="AB215">
        <f>0.026*(4.19 * 50)</f>
        <v>5.4470000000000001</v>
      </c>
      <c r="AC215">
        <f>0.026*(4.19 * 50)</f>
        <v>5.4470000000000001</v>
      </c>
      <c r="AD215">
        <f>0.027*(4.19 * 50)</f>
        <v>5.6565000000000003</v>
      </c>
      <c r="AE215">
        <f>0.027*(4.19 * 50)</f>
        <v>5.6565000000000003</v>
      </c>
      <c r="AF215">
        <f>0.027*(4.19 * 50)</f>
        <v>5.6565000000000003</v>
      </c>
      <c r="AG215">
        <f>0.026*(4.19 * 50)</f>
        <v>5.4470000000000001</v>
      </c>
    </row>
    <row r="216" spans="1:33" x14ac:dyDescent="0.3">
      <c r="A216" t="s">
        <v>259</v>
      </c>
      <c r="B216">
        <v>357150.777344</v>
      </c>
      <c r="C216">
        <v>6669427.109375</v>
      </c>
      <c r="D216" t="s">
        <v>540</v>
      </c>
      <c r="E216">
        <v>100</v>
      </c>
      <c r="F216">
        <v>9</v>
      </c>
      <c r="G216">
        <v>4.2959427207637228E-2</v>
      </c>
      <c r="H216">
        <f t="shared" si="7"/>
        <v>17.380000000000003</v>
      </c>
      <c r="I216">
        <f t="shared" si="6"/>
        <v>209.50000000000003</v>
      </c>
      <c r="J216">
        <f>0.039*(4.19 * 50)</f>
        <v>8.1705000000000005</v>
      </c>
      <c r="K216">
        <f>0.039*(4.19 * 50)</f>
        <v>8.1705000000000005</v>
      </c>
      <c r="L216">
        <f>0.039*(4.19 * 50)</f>
        <v>8.1705000000000005</v>
      </c>
      <c r="M216">
        <f>0.038*(4.19 * 50)</f>
        <v>7.9610000000000012</v>
      </c>
      <c r="N216">
        <f>0.039*(4.19 * 50)</f>
        <v>8.1705000000000005</v>
      </c>
      <c r="O216">
        <f>0.039*(4.19 * 50)</f>
        <v>8.1705000000000005</v>
      </c>
      <c r="P216">
        <f>0.04*(4.19 * 50)</f>
        <v>8.3800000000000008</v>
      </c>
      <c r="Q216">
        <f>0.041*(4.19 * 50)</f>
        <v>8.589500000000001</v>
      </c>
      <c r="R216">
        <f>0.041*(4.19 * 50)</f>
        <v>8.589500000000001</v>
      </c>
      <c r="S216">
        <f>0.04*(4.19 * 50)</f>
        <v>8.3800000000000008</v>
      </c>
      <c r="T216">
        <f>0.04*(4.19 * 50)</f>
        <v>8.3800000000000008</v>
      </c>
      <c r="U216">
        <f>0.038*(4.19 * 50)</f>
        <v>7.9610000000000012</v>
      </c>
      <c r="V216">
        <f>0.038*(4.19 * 50)</f>
        <v>7.9610000000000012</v>
      </c>
      <c r="W216">
        <f>0.037*(4.19 * 50)</f>
        <v>7.7515000000000009</v>
      </c>
      <c r="X216">
        <f>0.037*(4.19 * 50)</f>
        <v>7.7515000000000009</v>
      </c>
      <c r="Y216">
        <f>0.037*(4.19 * 50)</f>
        <v>7.7515000000000009</v>
      </c>
      <c r="Z216">
        <f>0.038*(4.19 * 50)</f>
        <v>7.9610000000000012</v>
      </c>
      <c r="AA216">
        <f>0.038*(4.19 * 50)</f>
        <v>7.9610000000000012</v>
      </c>
      <c r="AB216">
        <f>0.039*(4.19 * 50)</f>
        <v>8.1705000000000005</v>
      </c>
      <c r="AC216">
        <f>0.04*(4.19 * 50)</f>
        <v>8.3800000000000008</v>
      </c>
      <c r="AD216">
        <f>0.04*(4.19 * 50)</f>
        <v>8.3800000000000008</v>
      </c>
      <c r="AE216">
        <f>0.041*(4.19 * 50)</f>
        <v>8.589500000000001</v>
      </c>
      <c r="AF216">
        <f>0.04*(4.19 * 50)</f>
        <v>8.3800000000000008</v>
      </c>
      <c r="AG216">
        <f>0.04*(4.19 * 50)</f>
        <v>8.3800000000000008</v>
      </c>
    </row>
    <row r="217" spans="1:33" x14ac:dyDescent="0.3">
      <c r="A217" t="s">
        <v>260</v>
      </c>
      <c r="B217">
        <v>361886.082031</v>
      </c>
      <c r="C217">
        <v>6668482.1757810004</v>
      </c>
      <c r="D217" t="s">
        <v>553</v>
      </c>
      <c r="E217">
        <v>100</v>
      </c>
      <c r="F217">
        <v>2733.3330078125</v>
      </c>
      <c r="G217">
        <v>13.046935598150361</v>
      </c>
      <c r="H217">
        <f t="shared" si="7"/>
        <v>5297.8225078124997</v>
      </c>
      <c r="I217">
        <f t="shared" si="6"/>
        <v>209.50000000000003</v>
      </c>
      <c r="J217">
        <f>11.896*(4.19 * 50)</f>
        <v>2492.2120000000004</v>
      </c>
      <c r="K217">
        <f>11.801*(4.19 * 50)</f>
        <v>2472.3095000000003</v>
      </c>
      <c r="L217">
        <f>11.73*(4.19 * 50)</f>
        <v>2457.4350000000004</v>
      </c>
      <c r="M217">
        <f>11.683*(4.19 * 50)</f>
        <v>2447.5885000000003</v>
      </c>
      <c r="N217">
        <f>11.73*(4.19 * 50)</f>
        <v>2457.4350000000004</v>
      </c>
      <c r="O217">
        <f>11.885*(4.19 * 50)</f>
        <v>2489.9075000000003</v>
      </c>
      <c r="P217">
        <f>12.241*(4.19 * 50)</f>
        <v>2564.4895000000001</v>
      </c>
      <c r="Q217">
        <f>12.561*(4.19 * 50)</f>
        <v>2631.5295000000006</v>
      </c>
      <c r="R217">
        <f>12.454*(4.19 * 50)</f>
        <v>2609.1130000000003</v>
      </c>
      <c r="S217">
        <f>12.193*(4.19 * 50)</f>
        <v>2554.4335000000001</v>
      </c>
      <c r="T217">
        <f>12.146*(4.19 * 50)</f>
        <v>2544.5870000000004</v>
      </c>
      <c r="U217">
        <f>11.635*(4.19 * 50)</f>
        <v>2437.5325000000003</v>
      </c>
      <c r="V217">
        <f>11.469*(4.19 * 50)</f>
        <v>2402.7555000000002</v>
      </c>
      <c r="W217">
        <f>11.315*(4.19 * 50)</f>
        <v>2370.4925000000003</v>
      </c>
      <c r="X217">
        <f>11.279*(4.19 * 50)</f>
        <v>2362.9505000000004</v>
      </c>
      <c r="Y217">
        <f>11.303*(4.19 * 50)</f>
        <v>2367.9785000000006</v>
      </c>
      <c r="Z217">
        <f>11.422*(4.19 * 50)</f>
        <v>2392.9090000000006</v>
      </c>
      <c r="AA217">
        <f>11.635*(4.19 * 50)</f>
        <v>2437.5325000000003</v>
      </c>
      <c r="AB217">
        <f>11.801*(4.19 * 50)</f>
        <v>2472.3095000000003</v>
      </c>
      <c r="AC217">
        <f>12.015*(4.19 * 50)</f>
        <v>2517.1425000000004</v>
      </c>
      <c r="AD217">
        <f>12.217*(4.19 * 50)</f>
        <v>2559.4615000000003</v>
      </c>
      <c r="AE217">
        <f>12.3*(4.19 * 50)</f>
        <v>2576.8500000000004</v>
      </c>
      <c r="AF217">
        <f>12.193*(4.19 * 50)</f>
        <v>2554.4335000000001</v>
      </c>
      <c r="AG217">
        <f>12.027*(4.19 * 50)</f>
        <v>2519.6565000000001</v>
      </c>
    </row>
    <row r="218" spans="1:33" x14ac:dyDescent="0.3">
      <c r="A218" t="s">
        <v>261</v>
      </c>
      <c r="B218">
        <v>357132.433594</v>
      </c>
      <c r="C218">
        <v>6669399.6640630001</v>
      </c>
      <c r="D218" t="s">
        <v>540</v>
      </c>
      <c r="E218">
        <v>100</v>
      </c>
      <c r="F218">
        <v>8</v>
      </c>
      <c r="G218">
        <v>3.8186157517899763E-2</v>
      </c>
      <c r="H218">
        <f t="shared" si="7"/>
        <v>15.542000000000002</v>
      </c>
      <c r="I218">
        <f t="shared" si="6"/>
        <v>209.50000000000003</v>
      </c>
      <c r="J218">
        <f>0.035*(4.19 * 50)</f>
        <v>7.3325000000000014</v>
      </c>
      <c r="K218">
        <f>0.035*(4.19 * 50)</f>
        <v>7.3325000000000014</v>
      </c>
      <c r="L218">
        <f>0.034*(4.19 * 50)</f>
        <v>7.1230000000000011</v>
      </c>
      <c r="M218">
        <f>0.034*(4.19 * 50)</f>
        <v>7.1230000000000011</v>
      </c>
      <c r="N218">
        <f>0.034*(4.19 * 50)</f>
        <v>7.1230000000000011</v>
      </c>
      <c r="O218">
        <f>0.035*(4.19 * 50)</f>
        <v>7.3325000000000014</v>
      </c>
      <c r="P218">
        <f>0.036*(4.19 * 50)</f>
        <v>7.5420000000000007</v>
      </c>
      <c r="Q218">
        <f>0.037*(4.19 * 50)</f>
        <v>7.7515000000000009</v>
      </c>
      <c r="R218">
        <f>0.036*(4.19 * 50)</f>
        <v>7.5420000000000007</v>
      </c>
      <c r="S218">
        <f>0.036*(4.19 * 50)</f>
        <v>7.5420000000000007</v>
      </c>
      <c r="T218">
        <f>0.036*(4.19 * 50)</f>
        <v>7.5420000000000007</v>
      </c>
      <c r="U218">
        <f>0.034*(4.19 * 50)</f>
        <v>7.1230000000000011</v>
      </c>
      <c r="V218">
        <f>0.034*(4.19 * 50)</f>
        <v>7.1230000000000011</v>
      </c>
      <c r="W218">
        <f>0.033*(4.19 * 50)</f>
        <v>6.9135000000000009</v>
      </c>
      <c r="X218">
        <f>0.033*(4.19 * 50)</f>
        <v>6.9135000000000009</v>
      </c>
      <c r="Y218">
        <f>0.033*(4.19 * 50)</f>
        <v>6.9135000000000009</v>
      </c>
      <c r="Z218">
        <f>0.033*(4.19 * 50)</f>
        <v>6.9135000000000009</v>
      </c>
      <c r="AA218">
        <f>0.034*(4.19 * 50)</f>
        <v>7.1230000000000011</v>
      </c>
      <c r="AB218">
        <f>0.035*(4.19 * 50)</f>
        <v>7.3325000000000014</v>
      </c>
      <c r="AC218">
        <f>0.035*(4.19 * 50)</f>
        <v>7.3325000000000014</v>
      </c>
      <c r="AD218">
        <f>0.036*(4.19 * 50)</f>
        <v>7.5420000000000007</v>
      </c>
      <c r="AE218">
        <f>0.036*(4.19 * 50)</f>
        <v>7.5420000000000007</v>
      </c>
      <c r="AF218">
        <f>0.036*(4.19 * 50)</f>
        <v>7.5420000000000007</v>
      </c>
      <c r="AG218">
        <f>0.035*(4.19 * 50)</f>
        <v>7.3325000000000014</v>
      </c>
    </row>
    <row r="219" spans="1:33" x14ac:dyDescent="0.3">
      <c r="A219" t="s">
        <v>262</v>
      </c>
      <c r="B219">
        <v>362784.792969</v>
      </c>
      <c r="C219">
        <v>6672978.34375</v>
      </c>
      <c r="D219" t="s">
        <v>541</v>
      </c>
      <c r="E219">
        <v>100</v>
      </c>
      <c r="F219">
        <v>127.333000183105</v>
      </c>
      <c r="G219">
        <v>0.60779475027735075</v>
      </c>
      <c r="H219">
        <f t="shared" si="7"/>
        <v>246.74800018310501</v>
      </c>
      <c r="I219">
        <f t="shared" si="6"/>
        <v>209.50000000000003</v>
      </c>
      <c r="J219">
        <f>0.554*(4.19 * 50)</f>
        <v>116.06300000000003</v>
      </c>
      <c r="K219">
        <f>0.55*(4.19 * 50)</f>
        <v>115.22500000000002</v>
      </c>
      <c r="L219">
        <f>0.546*(4.19 * 50)</f>
        <v>114.38700000000003</v>
      </c>
      <c r="M219">
        <f>0.544*(4.19 * 50)</f>
        <v>113.96800000000002</v>
      </c>
      <c r="N219">
        <f>0.546*(4.19 * 50)</f>
        <v>114.38700000000003</v>
      </c>
      <c r="O219">
        <f>0.554*(4.19 * 50)</f>
        <v>116.06300000000003</v>
      </c>
      <c r="P219">
        <f>0.57*(4.19 * 50)</f>
        <v>119.41500000000001</v>
      </c>
      <c r="Q219">
        <f>0.585*(4.19 * 50)</f>
        <v>122.5575</v>
      </c>
      <c r="R219">
        <f>0.58*(4.19 * 50)</f>
        <v>121.51</v>
      </c>
      <c r="S219">
        <f>0.568*(4.19 * 50)</f>
        <v>118.99600000000001</v>
      </c>
      <c r="T219">
        <f>0.566*(4.19 * 50)</f>
        <v>118.577</v>
      </c>
      <c r="U219">
        <f>0.542*(4.19 * 50)</f>
        <v>113.54900000000002</v>
      </c>
      <c r="V219">
        <f>0.534*(4.19 * 50)</f>
        <v>111.87300000000002</v>
      </c>
      <c r="W219">
        <f>0.527*(4.19 * 50)</f>
        <v>110.40650000000002</v>
      </c>
      <c r="X219">
        <f>0.525*(4.19 * 50)</f>
        <v>109.98750000000003</v>
      </c>
      <c r="Y219">
        <f>0.527*(4.19 * 50)</f>
        <v>110.40650000000002</v>
      </c>
      <c r="Z219">
        <f>0.532*(4.19 * 50)</f>
        <v>111.45400000000002</v>
      </c>
      <c r="AA219">
        <f>0.542*(4.19 * 50)</f>
        <v>113.54900000000002</v>
      </c>
      <c r="AB219">
        <f>0.55*(4.19 * 50)</f>
        <v>115.22500000000002</v>
      </c>
      <c r="AC219">
        <f>0.56*(4.19 * 50)</f>
        <v>117.32000000000002</v>
      </c>
      <c r="AD219">
        <f>0.569*(4.19 * 50)</f>
        <v>119.2055</v>
      </c>
      <c r="AE219">
        <f>0.573*(4.19 * 50)</f>
        <v>120.04350000000001</v>
      </c>
      <c r="AF219">
        <f>0.568*(4.19 * 50)</f>
        <v>118.99600000000001</v>
      </c>
      <c r="AG219">
        <f>0.56*(4.19 * 50)</f>
        <v>117.32000000000002</v>
      </c>
    </row>
    <row r="220" spans="1:33" x14ac:dyDescent="0.3">
      <c r="A220" t="s">
        <v>263</v>
      </c>
      <c r="B220">
        <v>364077.84375</v>
      </c>
      <c r="C220">
        <v>6671349.3046880001</v>
      </c>
      <c r="D220" t="s">
        <v>541</v>
      </c>
      <c r="E220">
        <v>100</v>
      </c>
      <c r="F220">
        <v>290</v>
      </c>
      <c r="G220">
        <v>1.384248210023866</v>
      </c>
      <c r="H220">
        <f t="shared" si="7"/>
        <v>562.14049999999997</v>
      </c>
      <c r="I220">
        <f t="shared" si="6"/>
        <v>209.50000000000003</v>
      </c>
      <c r="J220">
        <f>1.262*(4.19 * 50)</f>
        <v>264.38900000000001</v>
      </c>
      <c r="K220">
        <f>1.252*(4.19 * 50)</f>
        <v>262.29400000000004</v>
      </c>
      <c r="L220">
        <f>1.245*(4.19 * 50)</f>
        <v>260.82750000000004</v>
      </c>
      <c r="M220">
        <f>1.24*(4.19 * 50)</f>
        <v>259.78000000000003</v>
      </c>
      <c r="N220">
        <f>1.245*(4.19 * 50)</f>
        <v>260.82750000000004</v>
      </c>
      <c r="O220">
        <f>1.261*(4.19 * 50)</f>
        <v>264.17950000000002</v>
      </c>
      <c r="P220">
        <f>1.299*(4.19 * 50)</f>
        <v>272.14050000000003</v>
      </c>
      <c r="Q220">
        <f>1.333*(4.19 * 50)</f>
        <v>279.26350000000002</v>
      </c>
      <c r="R220">
        <f>1.321*(4.19 * 50)</f>
        <v>276.74950000000001</v>
      </c>
      <c r="S220">
        <f>1.294*(4.19 * 50)</f>
        <v>271.09300000000002</v>
      </c>
      <c r="T220">
        <f>1.289*(4.19 * 50)</f>
        <v>270.0455</v>
      </c>
      <c r="U220">
        <f>1.234*(4.19 * 50)</f>
        <v>258.52300000000002</v>
      </c>
      <c r="V220">
        <f>1.217*(4.19 * 50)</f>
        <v>254.96150000000006</v>
      </c>
      <c r="W220">
        <f>1.2*(4.19 * 50)</f>
        <v>251.40000000000003</v>
      </c>
      <c r="X220">
        <f>1.197*(4.19 * 50)</f>
        <v>250.77150000000006</v>
      </c>
      <c r="Y220">
        <f>1.199*(4.19 * 50)</f>
        <v>251.19050000000004</v>
      </c>
      <c r="Z220">
        <f>1.212*(4.19 * 50)</f>
        <v>253.91400000000002</v>
      </c>
      <c r="AA220">
        <f>1.234*(4.19 * 50)</f>
        <v>258.52300000000002</v>
      </c>
      <c r="AB220">
        <f>1.252*(4.19 * 50)</f>
        <v>262.29400000000004</v>
      </c>
      <c r="AC220">
        <f>1.275*(4.19 * 50)</f>
        <v>267.11250000000001</v>
      </c>
      <c r="AD220">
        <f>1.296*(4.19 * 50)</f>
        <v>271.51200000000006</v>
      </c>
      <c r="AE220">
        <f>1.305*(4.19 * 50)</f>
        <v>273.39750000000004</v>
      </c>
      <c r="AF220">
        <f>1.294*(4.19 * 50)</f>
        <v>271.09300000000002</v>
      </c>
      <c r="AG220">
        <f>1.276*(4.19 * 50)</f>
        <v>267.32200000000006</v>
      </c>
    </row>
    <row r="221" spans="1:33" x14ac:dyDescent="0.3">
      <c r="A221" t="s">
        <v>264</v>
      </c>
      <c r="B221">
        <v>357384.871094</v>
      </c>
      <c r="C221">
        <v>6669490.21875</v>
      </c>
      <c r="D221" t="s">
        <v>540</v>
      </c>
      <c r="E221">
        <v>100</v>
      </c>
      <c r="F221">
        <v>11</v>
      </c>
      <c r="G221">
        <v>5.2505966587112173E-2</v>
      </c>
      <c r="H221">
        <f t="shared" si="7"/>
        <v>21.265500000000003</v>
      </c>
      <c r="I221">
        <f t="shared" si="6"/>
        <v>209.50000000000003</v>
      </c>
      <c r="J221">
        <f>0.048*(4.19 * 50)</f>
        <v>10.056000000000001</v>
      </c>
      <c r="K221">
        <f>0.047*(4.19 * 50)</f>
        <v>9.8465000000000007</v>
      </c>
      <c r="L221">
        <f>0.047*(4.19 * 50)</f>
        <v>9.8465000000000007</v>
      </c>
      <c r="M221">
        <f>0.047*(4.19 * 50)</f>
        <v>9.8465000000000007</v>
      </c>
      <c r="N221">
        <f>0.047*(4.19 * 50)</f>
        <v>9.8465000000000007</v>
      </c>
      <c r="O221">
        <f>0.048*(4.19 * 50)</f>
        <v>10.056000000000001</v>
      </c>
      <c r="P221">
        <f>0.049*(4.19 * 50)</f>
        <v>10.265500000000001</v>
      </c>
      <c r="Q221">
        <f>0.051*(4.19 * 50)</f>
        <v>10.6845</v>
      </c>
      <c r="R221">
        <f>0.05*(4.19 * 50)</f>
        <v>10.475000000000001</v>
      </c>
      <c r="S221">
        <f>0.049*(4.19 * 50)</f>
        <v>10.265500000000001</v>
      </c>
      <c r="T221">
        <f>0.049*(4.19 * 50)</f>
        <v>10.265500000000001</v>
      </c>
      <c r="U221">
        <f>0.047*(4.19 * 50)</f>
        <v>9.8465000000000007</v>
      </c>
      <c r="V221">
        <f>0.046*(4.19 * 50)</f>
        <v>9.6370000000000005</v>
      </c>
      <c r="W221">
        <f>0.046*(4.19 * 50)</f>
        <v>9.6370000000000005</v>
      </c>
      <c r="X221">
        <f>0.045*(4.19 * 50)</f>
        <v>9.4275000000000002</v>
      </c>
      <c r="Y221">
        <f>0.045*(4.19 * 50)</f>
        <v>9.4275000000000002</v>
      </c>
      <c r="Z221">
        <f>0.046*(4.19 * 50)</f>
        <v>9.6370000000000005</v>
      </c>
      <c r="AA221">
        <f>0.047*(4.19 * 50)</f>
        <v>9.8465000000000007</v>
      </c>
      <c r="AB221">
        <f>0.047*(4.19 * 50)</f>
        <v>9.8465000000000007</v>
      </c>
      <c r="AC221">
        <f>0.048*(4.19 * 50)</f>
        <v>10.056000000000001</v>
      </c>
      <c r="AD221">
        <f>0.049*(4.19 * 50)</f>
        <v>10.265500000000001</v>
      </c>
      <c r="AE221">
        <f>0.05*(4.19 * 50)</f>
        <v>10.475000000000001</v>
      </c>
      <c r="AF221">
        <f>0.049*(4.19 * 50)</f>
        <v>10.265500000000001</v>
      </c>
      <c r="AG221">
        <f>0.048*(4.19 * 50)</f>
        <v>10.056000000000001</v>
      </c>
    </row>
    <row r="222" spans="1:33" x14ac:dyDescent="0.3">
      <c r="A222" t="s">
        <v>265</v>
      </c>
      <c r="B222">
        <v>357468.398438</v>
      </c>
      <c r="C222">
        <v>6667472.3085939996</v>
      </c>
      <c r="D222" t="s">
        <v>552</v>
      </c>
      <c r="E222">
        <v>100</v>
      </c>
      <c r="F222">
        <v>74.666999816894503</v>
      </c>
      <c r="G222">
        <v>0.35640572704961571</v>
      </c>
      <c r="H222">
        <f t="shared" si="7"/>
        <v>144.63999981689452</v>
      </c>
      <c r="I222">
        <f t="shared" si="6"/>
        <v>209.50000000000003</v>
      </c>
      <c r="J222">
        <f>0.325*(4.19 * 50)</f>
        <v>68.087500000000006</v>
      </c>
      <c r="K222">
        <f>0.322*(4.19 * 50)</f>
        <v>67.459000000000017</v>
      </c>
      <c r="L222">
        <f>0.32*(4.19 * 50)</f>
        <v>67.040000000000006</v>
      </c>
      <c r="M222">
        <f>0.319*(4.19 * 50)</f>
        <v>66.830500000000015</v>
      </c>
      <c r="N222">
        <f>0.32*(4.19 * 50)</f>
        <v>67.040000000000006</v>
      </c>
      <c r="O222">
        <f>0.325*(4.19 * 50)</f>
        <v>68.087500000000006</v>
      </c>
      <c r="P222">
        <f>0.334*(4.19 * 50)</f>
        <v>69.973000000000013</v>
      </c>
      <c r="Q222">
        <f>0.343*(4.19 * 50)</f>
        <v>71.858500000000021</v>
      </c>
      <c r="R222">
        <f>0.34*(4.19 * 50)</f>
        <v>71.230000000000018</v>
      </c>
      <c r="S222">
        <f>0.333*(4.19 * 50)</f>
        <v>69.763500000000008</v>
      </c>
      <c r="T222">
        <f>0.332*(4.19 * 50)</f>
        <v>69.554000000000016</v>
      </c>
      <c r="U222">
        <f>0.318*(4.19 * 50)</f>
        <v>66.621000000000009</v>
      </c>
      <c r="V222">
        <f>0.313*(4.19 * 50)</f>
        <v>65.57350000000001</v>
      </c>
      <c r="W222">
        <f>0.309*(4.19 * 50)</f>
        <v>64.735500000000002</v>
      </c>
      <c r="X222">
        <f>0.308*(4.19 * 50)</f>
        <v>64.52600000000001</v>
      </c>
      <c r="Y222">
        <f>0.309*(4.19 * 50)</f>
        <v>64.735500000000002</v>
      </c>
      <c r="Z222">
        <f>0.312*(4.19 * 50)</f>
        <v>65.364000000000004</v>
      </c>
      <c r="AA222">
        <f>0.318*(4.19 * 50)</f>
        <v>66.621000000000009</v>
      </c>
      <c r="AB222">
        <f>0.322*(4.19 * 50)</f>
        <v>67.459000000000017</v>
      </c>
      <c r="AC222">
        <f>0.328*(4.19 * 50)</f>
        <v>68.716000000000008</v>
      </c>
      <c r="AD222">
        <f>0.334*(4.19 * 50)</f>
        <v>69.973000000000013</v>
      </c>
      <c r="AE222">
        <f>0.336*(4.19 * 50)</f>
        <v>70.39200000000001</v>
      </c>
      <c r="AF222">
        <f>0.333*(4.19 * 50)</f>
        <v>69.763500000000008</v>
      </c>
      <c r="AG222">
        <f>0.329*(4.19 * 50)</f>
        <v>68.925500000000014</v>
      </c>
    </row>
    <row r="223" spans="1:33" x14ac:dyDescent="0.3">
      <c r="A223" t="s">
        <v>266</v>
      </c>
      <c r="B223">
        <v>363156.128906</v>
      </c>
      <c r="C223">
        <v>6672473.171875</v>
      </c>
      <c r="D223" t="s">
        <v>540</v>
      </c>
      <c r="E223">
        <v>100</v>
      </c>
      <c r="F223">
        <v>12</v>
      </c>
      <c r="G223">
        <v>5.7279236276849638E-2</v>
      </c>
      <c r="H223">
        <f t="shared" si="7"/>
        <v>23.313000000000002</v>
      </c>
      <c r="I223">
        <f t="shared" si="6"/>
        <v>209.50000000000003</v>
      </c>
      <c r="J223">
        <f>0.052*(4.19 * 50)</f>
        <v>10.894</v>
      </c>
      <c r="K223">
        <f>0.052*(4.19 * 50)</f>
        <v>10.894</v>
      </c>
      <c r="L223">
        <f>0.051*(4.19 * 50)</f>
        <v>10.6845</v>
      </c>
      <c r="M223">
        <f>0.051*(4.19 * 50)</f>
        <v>10.6845</v>
      </c>
      <c r="N223">
        <f>0.051*(4.19 * 50)</f>
        <v>10.6845</v>
      </c>
      <c r="O223">
        <f>0.052*(4.19 * 50)</f>
        <v>10.894</v>
      </c>
      <c r="P223">
        <f>0.054*(4.19 * 50)</f>
        <v>11.313000000000001</v>
      </c>
      <c r="Q223">
        <f>0.055*(4.19 * 50)</f>
        <v>11.522500000000001</v>
      </c>
      <c r="R223">
        <f>0.055*(4.19 * 50)</f>
        <v>11.522500000000001</v>
      </c>
      <c r="S223">
        <f>0.054*(4.19 * 50)</f>
        <v>11.313000000000001</v>
      </c>
      <c r="T223">
        <f>0.053*(4.19 * 50)</f>
        <v>11.1035</v>
      </c>
      <c r="U223">
        <f>0.051*(4.19 * 50)</f>
        <v>10.6845</v>
      </c>
      <c r="V223">
        <f>0.05*(4.19 * 50)</f>
        <v>10.475000000000001</v>
      </c>
      <c r="W223">
        <f>0.05*(4.19 * 50)</f>
        <v>10.475000000000001</v>
      </c>
      <c r="X223">
        <f>0.05*(4.19 * 50)</f>
        <v>10.475000000000001</v>
      </c>
      <c r="Y223">
        <f>0.05*(4.19 * 50)</f>
        <v>10.475000000000001</v>
      </c>
      <c r="Z223">
        <f>0.05*(4.19 * 50)</f>
        <v>10.475000000000001</v>
      </c>
      <c r="AA223">
        <f>0.051*(4.19 * 50)</f>
        <v>10.6845</v>
      </c>
      <c r="AB223">
        <f>0.052*(4.19 * 50)</f>
        <v>10.894</v>
      </c>
      <c r="AC223">
        <f>0.053*(4.19 * 50)</f>
        <v>11.1035</v>
      </c>
      <c r="AD223">
        <f>0.054*(4.19 * 50)</f>
        <v>11.313000000000001</v>
      </c>
      <c r="AE223">
        <f>0.054*(4.19 * 50)</f>
        <v>11.313000000000001</v>
      </c>
      <c r="AF223">
        <f>0.054*(4.19 * 50)</f>
        <v>11.313000000000001</v>
      </c>
      <c r="AG223">
        <f>0.053*(4.19 * 50)</f>
        <v>11.1035</v>
      </c>
    </row>
    <row r="224" spans="1:33" x14ac:dyDescent="0.3">
      <c r="A224" t="s">
        <v>267</v>
      </c>
      <c r="B224">
        <v>357273.222656</v>
      </c>
      <c r="C224">
        <v>6669467.3828130001</v>
      </c>
      <c r="D224" t="s">
        <v>540</v>
      </c>
      <c r="E224">
        <v>100</v>
      </c>
      <c r="F224">
        <v>10</v>
      </c>
      <c r="G224">
        <v>4.7732696897374693E-2</v>
      </c>
      <c r="H224">
        <f t="shared" si="7"/>
        <v>19.427500000000002</v>
      </c>
      <c r="I224">
        <f t="shared" si="6"/>
        <v>209.50000000000003</v>
      </c>
      <c r="J224">
        <f>0.044*(4.19 * 50)</f>
        <v>9.218</v>
      </c>
      <c r="K224">
        <f>0.043*(4.19 * 50)</f>
        <v>9.0084999999999997</v>
      </c>
      <c r="L224">
        <f>0.043*(4.19 * 50)</f>
        <v>9.0084999999999997</v>
      </c>
      <c r="M224">
        <f>0.043*(4.19 * 50)</f>
        <v>9.0084999999999997</v>
      </c>
      <c r="N224">
        <f>0.043*(4.19 * 50)</f>
        <v>9.0084999999999997</v>
      </c>
      <c r="O224">
        <f>0.043*(4.19 * 50)</f>
        <v>9.0084999999999997</v>
      </c>
      <c r="P224">
        <f>0.045*(4.19 * 50)</f>
        <v>9.4275000000000002</v>
      </c>
      <c r="Q224">
        <f>0.046*(4.19 * 50)</f>
        <v>9.6370000000000005</v>
      </c>
      <c r="R224">
        <f>0.046*(4.19 * 50)</f>
        <v>9.6370000000000005</v>
      </c>
      <c r="S224">
        <f>0.045*(4.19 * 50)</f>
        <v>9.4275000000000002</v>
      </c>
      <c r="T224">
        <f>0.044*(4.19 * 50)</f>
        <v>9.218</v>
      </c>
      <c r="U224">
        <f>0.043*(4.19 * 50)</f>
        <v>9.0084999999999997</v>
      </c>
      <c r="V224">
        <f>0.042*(4.19 * 50)</f>
        <v>8.7990000000000013</v>
      </c>
      <c r="W224">
        <f>0.041*(4.19 * 50)</f>
        <v>8.589500000000001</v>
      </c>
      <c r="X224">
        <f>0.041*(4.19 * 50)</f>
        <v>8.589500000000001</v>
      </c>
      <c r="Y224">
        <f>0.041*(4.19 * 50)</f>
        <v>8.589500000000001</v>
      </c>
      <c r="Z224">
        <f>0.042*(4.19 * 50)</f>
        <v>8.7990000000000013</v>
      </c>
      <c r="AA224">
        <f>0.043*(4.19 * 50)</f>
        <v>9.0084999999999997</v>
      </c>
      <c r="AB224">
        <f>0.043*(4.19 * 50)</f>
        <v>9.0084999999999997</v>
      </c>
      <c r="AC224">
        <f>0.044*(4.19 * 50)</f>
        <v>9.218</v>
      </c>
      <c r="AD224">
        <f>0.045*(4.19 * 50)</f>
        <v>9.4275000000000002</v>
      </c>
      <c r="AE224">
        <f>0.045*(4.19 * 50)</f>
        <v>9.4275000000000002</v>
      </c>
      <c r="AF224">
        <f>0.045*(4.19 * 50)</f>
        <v>9.4275000000000002</v>
      </c>
      <c r="AG224">
        <f>0.044*(4.19 * 50)</f>
        <v>9.218</v>
      </c>
    </row>
    <row r="225" spans="1:33" x14ac:dyDescent="0.3">
      <c r="A225" t="s">
        <v>268</v>
      </c>
      <c r="B225">
        <v>357094.167969</v>
      </c>
      <c r="C225">
        <v>6669200.1875</v>
      </c>
      <c r="D225" t="s">
        <v>540</v>
      </c>
      <c r="E225">
        <v>100</v>
      </c>
      <c r="F225">
        <v>8</v>
      </c>
      <c r="G225">
        <v>3.8186157517899763E-2</v>
      </c>
      <c r="H225">
        <f t="shared" si="7"/>
        <v>15.542000000000002</v>
      </c>
      <c r="I225">
        <f t="shared" si="6"/>
        <v>209.50000000000003</v>
      </c>
      <c r="J225">
        <f>0.035*(4.19 * 50)</f>
        <v>7.3325000000000014</v>
      </c>
      <c r="K225">
        <f>0.035*(4.19 * 50)</f>
        <v>7.3325000000000014</v>
      </c>
      <c r="L225">
        <f>0.034*(4.19 * 50)</f>
        <v>7.1230000000000011</v>
      </c>
      <c r="M225">
        <f>0.034*(4.19 * 50)</f>
        <v>7.1230000000000011</v>
      </c>
      <c r="N225">
        <f>0.034*(4.19 * 50)</f>
        <v>7.1230000000000011</v>
      </c>
      <c r="O225">
        <f>0.035*(4.19 * 50)</f>
        <v>7.3325000000000014</v>
      </c>
      <c r="P225">
        <f>0.036*(4.19 * 50)</f>
        <v>7.5420000000000007</v>
      </c>
      <c r="Q225">
        <f>0.037*(4.19 * 50)</f>
        <v>7.7515000000000009</v>
      </c>
      <c r="R225">
        <f>0.036*(4.19 * 50)</f>
        <v>7.5420000000000007</v>
      </c>
      <c r="S225">
        <f>0.036*(4.19 * 50)</f>
        <v>7.5420000000000007</v>
      </c>
      <c r="T225">
        <f>0.036*(4.19 * 50)</f>
        <v>7.5420000000000007</v>
      </c>
      <c r="U225">
        <f>0.034*(4.19 * 50)</f>
        <v>7.1230000000000011</v>
      </c>
      <c r="V225">
        <f>0.034*(4.19 * 50)</f>
        <v>7.1230000000000011</v>
      </c>
      <c r="W225">
        <f>0.033*(4.19 * 50)</f>
        <v>6.9135000000000009</v>
      </c>
      <c r="X225">
        <f>0.033*(4.19 * 50)</f>
        <v>6.9135000000000009</v>
      </c>
      <c r="Y225">
        <f>0.033*(4.19 * 50)</f>
        <v>6.9135000000000009</v>
      </c>
      <c r="Z225">
        <f>0.033*(4.19 * 50)</f>
        <v>6.9135000000000009</v>
      </c>
      <c r="AA225">
        <f>0.034*(4.19 * 50)</f>
        <v>7.1230000000000011</v>
      </c>
      <c r="AB225">
        <f>0.035*(4.19 * 50)</f>
        <v>7.3325000000000014</v>
      </c>
      <c r="AC225">
        <f>0.035*(4.19 * 50)</f>
        <v>7.3325000000000014</v>
      </c>
      <c r="AD225">
        <f>0.036*(4.19 * 50)</f>
        <v>7.5420000000000007</v>
      </c>
      <c r="AE225">
        <f>0.036*(4.19 * 50)</f>
        <v>7.5420000000000007</v>
      </c>
      <c r="AF225">
        <f>0.036*(4.19 * 50)</f>
        <v>7.5420000000000007</v>
      </c>
      <c r="AG225">
        <f>0.035*(4.19 * 50)</f>
        <v>7.3325000000000014</v>
      </c>
    </row>
    <row r="226" spans="1:33" x14ac:dyDescent="0.3">
      <c r="A226" t="s">
        <v>269</v>
      </c>
      <c r="B226">
        <v>357008.8125</v>
      </c>
      <c r="C226">
        <v>6667255.859375</v>
      </c>
      <c r="D226" t="s">
        <v>564</v>
      </c>
      <c r="E226">
        <v>100</v>
      </c>
      <c r="F226">
        <v>140</v>
      </c>
      <c r="G226">
        <v>0.66825775656324571</v>
      </c>
      <c r="H226">
        <f t="shared" si="7"/>
        <v>271.35649999999998</v>
      </c>
      <c r="I226">
        <f t="shared" si="6"/>
        <v>209.50000000000003</v>
      </c>
      <c r="J226">
        <f>0.609*(4.19 * 50)</f>
        <v>127.58550000000001</v>
      </c>
      <c r="K226">
        <f>0.604*(4.19 * 50)</f>
        <v>126.53800000000001</v>
      </c>
      <c r="L226">
        <f>0.601*(4.19 * 50)</f>
        <v>125.90950000000001</v>
      </c>
      <c r="M226">
        <f>0.598*(4.19 * 50)</f>
        <v>125.28100000000001</v>
      </c>
      <c r="N226">
        <f>0.601*(4.19 * 50)</f>
        <v>125.90950000000001</v>
      </c>
      <c r="O226">
        <f>0.609*(4.19 * 50)</f>
        <v>127.58550000000001</v>
      </c>
      <c r="P226">
        <f>0.627*(4.19 * 50)</f>
        <v>131.35650000000001</v>
      </c>
      <c r="Q226">
        <f>0.643*(4.19 * 50)</f>
        <v>134.70850000000002</v>
      </c>
      <c r="R226">
        <f>0.638*(4.19 * 50)</f>
        <v>133.66100000000003</v>
      </c>
      <c r="S226">
        <f>0.625*(4.19 * 50)</f>
        <v>130.93750000000003</v>
      </c>
      <c r="T226">
        <f>0.622*(4.19 * 50)</f>
        <v>130.30900000000003</v>
      </c>
      <c r="U226">
        <f>0.596*(4.19 * 50)</f>
        <v>124.86200000000001</v>
      </c>
      <c r="V226">
        <f>0.587*(4.19 * 50)</f>
        <v>122.97650000000002</v>
      </c>
      <c r="W226">
        <f>0.58*(4.19 * 50)</f>
        <v>121.51</v>
      </c>
      <c r="X226">
        <f>0.578*(4.19 * 50)</f>
        <v>121.09100000000001</v>
      </c>
      <c r="Y226">
        <f>0.579*(4.19 * 50)</f>
        <v>121.30050000000001</v>
      </c>
      <c r="Z226">
        <f>0.585*(4.19 * 50)</f>
        <v>122.5575</v>
      </c>
      <c r="AA226">
        <f>0.596*(4.19 * 50)</f>
        <v>124.86200000000001</v>
      </c>
      <c r="AB226">
        <f>0.604*(4.19 * 50)</f>
        <v>126.53800000000001</v>
      </c>
      <c r="AC226">
        <f>0.615*(4.19 * 50)</f>
        <v>128.84250000000003</v>
      </c>
      <c r="AD226">
        <f>0.626*(4.19 * 50)</f>
        <v>131.14700000000002</v>
      </c>
      <c r="AE226">
        <f>0.63*(4.19 * 50)</f>
        <v>131.98500000000001</v>
      </c>
      <c r="AF226">
        <f>0.625*(4.19 * 50)</f>
        <v>130.93750000000003</v>
      </c>
      <c r="AG226">
        <f>0.616*(4.19 * 50)</f>
        <v>129.05200000000002</v>
      </c>
    </row>
    <row r="227" spans="1:33" x14ac:dyDescent="0.3">
      <c r="A227" t="s">
        <v>270</v>
      </c>
      <c r="B227">
        <v>357059.730469</v>
      </c>
      <c r="C227">
        <v>6669367.6757810004</v>
      </c>
      <c r="D227" t="s">
        <v>540</v>
      </c>
      <c r="E227">
        <v>100</v>
      </c>
      <c r="F227">
        <v>10</v>
      </c>
      <c r="G227">
        <v>4.7732696897374693E-2</v>
      </c>
      <c r="H227">
        <f t="shared" si="7"/>
        <v>19.427500000000002</v>
      </c>
      <c r="I227">
        <f t="shared" si="6"/>
        <v>209.50000000000003</v>
      </c>
      <c r="J227">
        <f>0.044*(4.19 * 50)</f>
        <v>9.218</v>
      </c>
      <c r="K227">
        <f>0.043*(4.19 * 50)</f>
        <v>9.0084999999999997</v>
      </c>
      <c r="L227">
        <f>0.043*(4.19 * 50)</f>
        <v>9.0084999999999997</v>
      </c>
      <c r="M227">
        <f>0.043*(4.19 * 50)</f>
        <v>9.0084999999999997</v>
      </c>
      <c r="N227">
        <f>0.043*(4.19 * 50)</f>
        <v>9.0084999999999997</v>
      </c>
      <c r="O227">
        <f>0.043*(4.19 * 50)</f>
        <v>9.0084999999999997</v>
      </c>
      <c r="P227">
        <f>0.045*(4.19 * 50)</f>
        <v>9.4275000000000002</v>
      </c>
      <c r="Q227">
        <f>0.046*(4.19 * 50)</f>
        <v>9.6370000000000005</v>
      </c>
      <c r="R227">
        <f>0.046*(4.19 * 50)</f>
        <v>9.6370000000000005</v>
      </c>
      <c r="S227">
        <f>0.045*(4.19 * 50)</f>
        <v>9.4275000000000002</v>
      </c>
      <c r="T227">
        <f>0.044*(4.19 * 50)</f>
        <v>9.218</v>
      </c>
      <c r="U227">
        <f>0.043*(4.19 * 50)</f>
        <v>9.0084999999999997</v>
      </c>
      <c r="V227">
        <f>0.042*(4.19 * 50)</f>
        <v>8.7990000000000013</v>
      </c>
      <c r="W227">
        <f>0.041*(4.19 * 50)</f>
        <v>8.589500000000001</v>
      </c>
      <c r="X227">
        <f>0.041*(4.19 * 50)</f>
        <v>8.589500000000001</v>
      </c>
      <c r="Y227">
        <f>0.041*(4.19 * 50)</f>
        <v>8.589500000000001</v>
      </c>
      <c r="Z227">
        <f>0.042*(4.19 * 50)</f>
        <v>8.7990000000000013</v>
      </c>
      <c r="AA227">
        <f>0.043*(4.19 * 50)</f>
        <v>9.0084999999999997</v>
      </c>
      <c r="AB227">
        <f>0.043*(4.19 * 50)</f>
        <v>9.0084999999999997</v>
      </c>
      <c r="AC227">
        <f>0.044*(4.19 * 50)</f>
        <v>9.218</v>
      </c>
      <c r="AD227">
        <f>0.045*(4.19 * 50)</f>
        <v>9.4275000000000002</v>
      </c>
      <c r="AE227">
        <f>0.045*(4.19 * 50)</f>
        <v>9.4275000000000002</v>
      </c>
      <c r="AF227">
        <f>0.045*(4.19 * 50)</f>
        <v>9.4275000000000002</v>
      </c>
      <c r="AG227">
        <f>0.044*(4.19 * 50)</f>
        <v>9.218</v>
      </c>
    </row>
    <row r="228" spans="1:33" x14ac:dyDescent="0.3">
      <c r="A228" t="s">
        <v>271</v>
      </c>
      <c r="B228">
        <v>359584.296875</v>
      </c>
      <c r="C228">
        <v>6667693.9375</v>
      </c>
      <c r="D228" t="s">
        <v>565</v>
      </c>
      <c r="E228">
        <v>100</v>
      </c>
      <c r="F228">
        <v>8.7329998016357404</v>
      </c>
      <c r="G228">
        <v>4.1684963253631212E-2</v>
      </c>
      <c r="H228">
        <f t="shared" si="7"/>
        <v>16.903499801635739</v>
      </c>
      <c r="I228">
        <f t="shared" si="6"/>
        <v>209.50000000000003</v>
      </c>
      <c r="J228">
        <f>0.038*(4.19 * 50)</f>
        <v>7.9610000000000012</v>
      </c>
      <c r="K228">
        <f>0.038*(4.19 * 50)</f>
        <v>7.9610000000000012</v>
      </c>
      <c r="L228">
        <f>0.037*(4.19 * 50)</f>
        <v>7.7515000000000009</v>
      </c>
      <c r="M228">
        <f>0.037*(4.19 * 50)</f>
        <v>7.7515000000000009</v>
      </c>
      <c r="N228">
        <f>0.037*(4.19 * 50)</f>
        <v>7.7515000000000009</v>
      </c>
      <c r="O228">
        <f>0.038*(4.19 * 50)</f>
        <v>7.9610000000000012</v>
      </c>
      <c r="P228">
        <f>0.039*(4.19 * 50)</f>
        <v>8.1705000000000005</v>
      </c>
      <c r="Q228">
        <f>0.04*(4.19 * 50)</f>
        <v>8.3800000000000008</v>
      </c>
      <c r="R228">
        <f>0.04*(4.19 * 50)</f>
        <v>8.3800000000000008</v>
      </c>
      <c r="S228">
        <f>0.039*(4.19 * 50)</f>
        <v>8.1705000000000005</v>
      </c>
      <c r="T228">
        <f>0.039*(4.19 * 50)</f>
        <v>8.1705000000000005</v>
      </c>
      <c r="U228">
        <f>0.037*(4.19 * 50)</f>
        <v>7.7515000000000009</v>
      </c>
      <c r="V228">
        <f>0.037*(4.19 * 50)</f>
        <v>7.7515000000000009</v>
      </c>
      <c r="W228">
        <f>0.036*(4.19 * 50)</f>
        <v>7.5420000000000007</v>
      </c>
      <c r="X228">
        <f>0.036*(4.19 * 50)</f>
        <v>7.5420000000000007</v>
      </c>
      <c r="Y228">
        <f>0.036*(4.19 * 50)</f>
        <v>7.5420000000000007</v>
      </c>
      <c r="Z228">
        <f>0.036*(4.19 * 50)</f>
        <v>7.5420000000000007</v>
      </c>
      <c r="AA228">
        <f>0.037*(4.19 * 50)</f>
        <v>7.7515000000000009</v>
      </c>
      <c r="AB228">
        <f>0.038*(4.19 * 50)</f>
        <v>7.9610000000000012</v>
      </c>
      <c r="AC228">
        <f>0.038*(4.19 * 50)</f>
        <v>7.9610000000000012</v>
      </c>
      <c r="AD228">
        <f>0.039*(4.19 * 50)</f>
        <v>8.1705000000000005</v>
      </c>
      <c r="AE228">
        <f>0.039*(4.19 * 50)</f>
        <v>8.1705000000000005</v>
      </c>
      <c r="AF228">
        <f>0.039*(4.19 * 50)</f>
        <v>8.1705000000000005</v>
      </c>
      <c r="AG228">
        <f>0.038*(4.19 * 50)</f>
        <v>7.9610000000000012</v>
      </c>
    </row>
    <row r="229" spans="1:33" x14ac:dyDescent="0.3">
      <c r="A229" t="s">
        <v>272</v>
      </c>
      <c r="B229">
        <v>359193.777344</v>
      </c>
      <c r="C229">
        <v>6667810.921875</v>
      </c>
      <c r="D229" t="s">
        <v>540</v>
      </c>
      <c r="E229">
        <v>100</v>
      </c>
      <c r="F229">
        <v>11.333000183105399</v>
      </c>
      <c r="G229">
        <v>5.4095466267806203E-2</v>
      </c>
      <c r="H229">
        <f t="shared" si="7"/>
        <v>22.017500183105398</v>
      </c>
      <c r="I229">
        <f t="shared" si="6"/>
        <v>209.50000000000003</v>
      </c>
      <c r="J229">
        <f>0.049*(4.19 * 50)</f>
        <v>10.265500000000001</v>
      </c>
      <c r="K229">
        <f>0.049*(4.19 * 50)</f>
        <v>10.265500000000001</v>
      </c>
      <c r="L229">
        <f>0.049*(4.19 * 50)</f>
        <v>10.265500000000001</v>
      </c>
      <c r="M229">
        <f>0.048*(4.19 * 50)</f>
        <v>10.056000000000001</v>
      </c>
      <c r="N229">
        <f>0.049*(4.19 * 50)</f>
        <v>10.265500000000001</v>
      </c>
      <c r="O229">
        <f>0.049*(4.19 * 50)</f>
        <v>10.265500000000001</v>
      </c>
      <c r="P229">
        <f>0.051*(4.19 * 50)</f>
        <v>10.6845</v>
      </c>
      <c r="Q229">
        <f>0.052*(4.19 * 50)</f>
        <v>10.894</v>
      </c>
      <c r="R229">
        <f>0.052*(4.19 * 50)</f>
        <v>10.894</v>
      </c>
      <c r="S229">
        <f>0.051*(4.19 * 50)</f>
        <v>10.6845</v>
      </c>
      <c r="T229">
        <f>0.05*(4.19 * 50)</f>
        <v>10.475000000000001</v>
      </c>
      <c r="U229">
        <f>0.048*(4.19 * 50)</f>
        <v>10.056000000000001</v>
      </c>
      <c r="V229">
        <f>0.048*(4.19 * 50)</f>
        <v>10.056000000000001</v>
      </c>
      <c r="W229">
        <f>0.047*(4.19 * 50)</f>
        <v>9.8465000000000007</v>
      </c>
      <c r="X229">
        <f>0.047*(4.19 * 50)</f>
        <v>9.8465000000000007</v>
      </c>
      <c r="Y229">
        <f>0.047*(4.19 * 50)</f>
        <v>9.8465000000000007</v>
      </c>
      <c r="Z229">
        <f>0.047*(4.19 * 50)</f>
        <v>9.8465000000000007</v>
      </c>
      <c r="AA229">
        <f>0.048*(4.19 * 50)</f>
        <v>10.056000000000001</v>
      </c>
      <c r="AB229">
        <f>0.049*(4.19 * 50)</f>
        <v>10.265500000000001</v>
      </c>
      <c r="AC229">
        <f>0.05*(4.19 * 50)</f>
        <v>10.475000000000001</v>
      </c>
      <c r="AD229">
        <f>0.051*(4.19 * 50)</f>
        <v>10.6845</v>
      </c>
      <c r="AE229">
        <f>0.051*(4.19 * 50)</f>
        <v>10.6845</v>
      </c>
      <c r="AF229">
        <f>0.051*(4.19 * 50)</f>
        <v>10.6845</v>
      </c>
      <c r="AG229">
        <f>0.05*(4.19 * 50)</f>
        <v>10.475000000000001</v>
      </c>
    </row>
    <row r="230" spans="1:33" x14ac:dyDescent="0.3">
      <c r="A230" t="s">
        <v>273</v>
      </c>
      <c r="B230">
        <v>356968.996094</v>
      </c>
      <c r="C230">
        <v>6666004.3867189996</v>
      </c>
      <c r="D230" t="s">
        <v>540</v>
      </c>
      <c r="E230">
        <v>100</v>
      </c>
      <c r="F230">
        <v>11</v>
      </c>
      <c r="G230">
        <v>5.2505966587112173E-2</v>
      </c>
      <c r="H230">
        <f t="shared" si="7"/>
        <v>21.265500000000003</v>
      </c>
      <c r="I230">
        <f t="shared" si="6"/>
        <v>209.50000000000003</v>
      </c>
      <c r="J230">
        <f>0.048*(4.19 * 50)</f>
        <v>10.056000000000001</v>
      </c>
      <c r="K230">
        <f>0.047*(4.19 * 50)</f>
        <v>9.8465000000000007</v>
      </c>
      <c r="L230">
        <f>0.047*(4.19 * 50)</f>
        <v>9.8465000000000007</v>
      </c>
      <c r="M230">
        <f>0.047*(4.19 * 50)</f>
        <v>9.8465000000000007</v>
      </c>
      <c r="N230">
        <f>0.047*(4.19 * 50)</f>
        <v>9.8465000000000007</v>
      </c>
      <c r="O230">
        <f>0.048*(4.19 * 50)</f>
        <v>10.056000000000001</v>
      </c>
      <c r="P230">
        <f>0.049*(4.19 * 50)</f>
        <v>10.265500000000001</v>
      </c>
      <c r="Q230">
        <f>0.051*(4.19 * 50)</f>
        <v>10.6845</v>
      </c>
      <c r="R230">
        <f>0.05*(4.19 * 50)</f>
        <v>10.475000000000001</v>
      </c>
      <c r="S230">
        <f>0.049*(4.19 * 50)</f>
        <v>10.265500000000001</v>
      </c>
      <c r="T230">
        <f>0.049*(4.19 * 50)</f>
        <v>10.265500000000001</v>
      </c>
      <c r="U230">
        <f>0.047*(4.19 * 50)</f>
        <v>9.8465000000000007</v>
      </c>
      <c r="V230">
        <f>0.046*(4.19 * 50)</f>
        <v>9.6370000000000005</v>
      </c>
      <c r="W230">
        <f>0.046*(4.19 * 50)</f>
        <v>9.6370000000000005</v>
      </c>
      <c r="X230">
        <f>0.045*(4.19 * 50)</f>
        <v>9.4275000000000002</v>
      </c>
      <c r="Y230">
        <f>0.045*(4.19 * 50)</f>
        <v>9.4275000000000002</v>
      </c>
      <c r="Z230">
        <f>0.046*(4.19 * 50)</f>
        <v>9.6370000000000005</v>
      </c>
      <c r="AA230">
        <f>0.047*(4.19 * 50)</f>
        <v>9.8465000000000007</v>
      </c>
      <c r="AB230">
        <f>0.047*(4.19 * 50)</f>
        <v>9.8465000000000007</v>
      </c>
      <c r="AC230">
        <f>0.048*(4.19 * 50)</f>
        <v>10.056000000000001</v>
      </c>
      <c r="AD230">
        <f>0.049*(4.19 * 50)</f>
        <v>10.265500000000001</v>
      </c>
      <c r="AE230">
        <f>0.05*(4.19 * 50)</f>
        <v>10.475000000000001</v>
      </c>
      <c r="AF230">
        <f>0.049*(4.19 * 50)</f>
        <v>10.265500000000001</v>
      </c>
      <c r="AG230">
        <f>0.048*(4.19 * 50)</f>
        <v>10.056000000000001</v>
      </c>
    </row>
    <row r="231" spans="1:33" x14ac:dyDescent="0.3">
      <c r="A231" t="s">
        <v>274</v>
      </c>
      <c r="B231">
        <v>358781.75</v>
      </c>
      <c r="C231">
        <v>6667822.53125</v>
      </c>
      <c r="D231" t="s">
        <v>542</v>
      </c>
      <c r="E231">
        <v>100</v>
      </c>
      <c r="F231">
        <v>69</v>
      </c>
      <c r="G231">
        <v>0.3293556085918854</v>
      </c>
      <c r="H231">
        <f t="shared" si="7"/>
        <v>133.7355</v>
      </c>
      <c r="I231">
        <f t="shared" si="6"/>
        <v>209.50000000000003</v>
      </c>
      <c r="J231">
        <f>0.3*(4.19 * 50)</f>
        <v>62.850000000000009</v>
      </c>
      <c r="K231">
        <f>0.298*(4.19 * 50)</f>
        <v>62.431000000000004</v>
      </c>
      <c r="L231">
        <f>0.296*(4.19 * 50)</f>
        <v>62.012000000000008</v>
      </c>
      <c r="M231">
        <f>0.295*(4.19 * 50)</f>
        <v>61.802500000000002</v>
      </c>
      <c r="N231">
        <f>0.296*(4.19 * 50)</f>
        <v>62.012000000000008</v>
      </c>
      <c r="O231">
        <f>0.3*(4.19 * 50)</f>
        <v>62.850000000000009</v>
      </c>
      <c r="P231">
        <f>0.309*(4.19 * 50)</f>
        <v>64.735500000000002</v>
      </c>
      <c r="Q231">
        <f>0.317*(4.19 * 50)</f>
        <v>66.411500000000004</v>
      </c>
      <c r="R231">
        <f>0.314*(4.19 * 50)</f>
        <v>65.783000000000015</v>
      </c>
      <c r="S231">
        <f>0.308*(4.19 * 50)</f>
        <v>64.52600000000001</v>
      </c>
      <c r="T231">
        <f>0.307*(4.19 * 50)</f>
        <v>64.316500000000005</v>
      </c>
      <c r="U231">
        <f>0.294*(4.19 * 50)</f>
        <v>61.593000000000004</v>
      </c>
      <c r="V231">
        <f>0.29*(4.19 * 50)</f>
        <v>60.755000000000003</v>
      </c>
      <c r="W231">
        <f>0.286*(4.19 * 50)</f>
        <v>59.917000000000002</v>
      </c>
      <c r="X231">
        <f>0.285*(4.19 * 50)</f>
        <v>59.707500000000003</v>
      </c>
      <c r="Y231">
        <f>0.285*(4.19 * 50)</f>
        <v>59.707500000000003</v>
      </c>
      <c r="Z231">
        <f>0.288*(4.19 * 50)</f>
        <v>60.336000000000006</v>
      </c>
      <c r="AA231">
        <f>0.294*(4.19 * 50)</f>
        <v>61.593000000000004</v>
      </c>
      <c r="AB231">
        <f>0.298*(4.19 * 50)</f>
        <v>62.431000000000004</v>
      </c>
      <c r="AC231">
        <f>0.303*(4.19 * 50)</f>
        <v>63.478500000000004</v>
      </c>
      <c r="AD231">
        <f>0.308*(4.19 * 50)</f>
        <v>64.52600000000001</v>
      </c>
      <c r="AE231">
        <f>0.311*(4.19 * 50)</f>
        <v>65.154500000000013</v>
      </c>
      <c r="AF231">
        <f>0.308*(4.19 * 50)</f>
        <v>64.52600000000001</v>
      </c>
      <c r="AG231">
        <f>0.304*(4.19 * 50)</f>
        <v>63.688000000000009</v>
      </c>
    </row>
    <row r="232" spans="1:33" x14ac:dyDescent="0.3">
      <c r="A232" t="s">
        <v>275</v>
      </c>
      <c r="B232">
        <v>358804.640625</v>
      </c>
      <c r="C232">
        <v>6667821.0117189996</v>
      </c>
      <c r="D232" t="s">
        <v>542</v>
      </c>
      <c r="E232">
        <v>100</v>
      </c>
      <c r="F232">
        <v>72.333000183105398</v>
      </c>
      <c r="G232">
        <v>0.34526491734179182</v>
      </c>
      <c r="H232">
        <f t="shared" si="7"/>
        <v>140.2110001831054</v>
      </c>
      <c r="I232">
        <f t="shared" si="6"/>
        <v>209.50000000000003</v>
      </c>
      <c r="J232">
        <f>0.315*(4.19 * 50)</f>
        <v>65.992500000000007</v>
      </c>
      <c r="K232">
        <f>0.312*(4.19 * 50)</f>
        <v>65.364000000000004</v>
      </c>
      <c r="L232">
        <f>0.31*(4.19 * 50)</f>
        <v>64.945000000000007</v>
      </c>
      <c r="M232">
        <f>0.309*(4.19 * 50)</f>
        <v>64.735500000000002</v>
      </c>
      <c r="N232">
        <f>0.31*(4.19 * 50)</f>
        <v>64.945000000000007</v>
      </c>
      <c r="O232">
        <f>0.315*(4.19 * 50)</f>
        <v>65.992500000000007</v>
      </c>
      <c r="P232">
        <f>0.324*(4.19 * 50)</f>
        <v>67.878000000000014</v>
      </c>
      <c r="Q232">
        <f>0.332*(4.19 * 50)</f>
        <v>69.554000000000016</v>
      </c>
      <c r="R232">
        <f>0.33*(4.19 * 50)</f>
        <v>69.135000000000019</v>
      </c>
      <c r="S232">
        <f>0.323*(4.19 * 50)</f>
        <v>67.668500000000009</v>
      </c>
      <c r="T232">
        <f>0.321*(4.19 * 50)</f>
        <v>67.249500000000012</v>
      </c>
      <c r="U232">
        <f>0.308*(4.19 * 50)</f>
        <v>64.52600000000001</v>
      </c>
      <c r="V232">
        <f>0.304*(4.19 * 50)</f>
        <v>63.688000000000009</v>
      </c>
      <c r="W232">
        <f>0.299*(4.19 * 50)</f>
        <v>62.640500000000003</v>
      </c>
      <c r="X232">
        <f>0.298*(4.19 * 50)</f>
        <v>62.431000000000004</v>
      </c>
      <c r="Y232">
        <f>0.299*(4.19 * 50)</f>
        <v>62.640500000000003</v>
      </c>
      <c r="Z232">
        <f>0.302*(4.19 * 50)</f>
        <v>63.269000000000005</v>
      </c>
      <c r="AA232">
        <f>0.308*(4.19 * 50)</f>
        <v>64.52600000000001</v>
      </c>
      <c r="AB232">
        <f>0.312*(4.19 * 50)</f>
        <v>65.364000000000004</v>
      </c>
      <c r="AC232">
        <f>0.318*(4.19 * 50)</f>
        <v>66.621000000000009</v>
      </c>
      <c r="AD232">
        <f>0.323*(4.19 * 50)</f>
        <v>67.668500000000009</v>
      </c>
      <c r="AE232">
        <f>0.326*(4.19 * 50)</f>
        <v>68.297000000000011</v>
      </c>
      <c r="AF232">
        <f>0.323*(4.19 * 50)</f>
        <v>67.668500000000009</v>
      </c>
      <c r="AG232">
        <f>0.318*(4.19 * 50)</f>
        <v>66.621000000000009</v>
      </c>
    </row>
    <row r="233" spans="1:33" x14ac:dyDescent="0.3">
      <c r="A233" t="s">
        <v>276</v>
      </c>
      <c r="B233">
        <v>358802.265625</v>
      </c>
      <c r="C233">
        <v>6667789.9140630001</v>
      </c>
      <c r="D233" t="s">
        <v>542</v>
      </c>
      <c r="E233">
        <v>100</v>
      </c>
      <c r="F233">
        <v>98</v>
      </c>
      <c r="G233">
        <v>0.46778042959427202</v>
      </c>
      <c r="H233">
        <f t="shared" si="7"/>
        <v>189.97050000000002</v>
      </c>
      <c r="I233">
        <f t="shared" si="6"/>
        <v>209.50000000000003</v>
      </c>
      <c r="J233">
        <f>0.427*(4.19 * 50)</f>
        <v>89.456500000000005</v>
      </c>
      <c r="K233">
        <f>0.423*(4.19 * 50)</f>
        <v>88.618500000000012</v>
      </c>
      <c r="L233">
        <f>0.421*(4.19 * 50)</f>
        <v>88.199500000000015</v>
      </c>
      <c r="M233">
        <f>0.419*(4.19 * 50)</f>
        <v>87.780500000000004</v>
      </c>
      <c r="N233">
        <f>0.421*(4.19 * 50)</f>
        <v>88.199500000000015</v>
      </c>
      <c r="O233">
        <f>0.426*(4.19 * 50)</f>
        <v>89.247000000000014</v>
      </c>
      <c r="P233">
        <f>0.439*(4.19 * 50)</f>
        <v>91.970500000000015</v>
      </c>
      <c r="Q233">
        <f>0.45*(4.19 * 50)</f>
        <v>94.27500000000002</v>
      </c>
      <c r="R233">
        <f>0.447*(4.19 * 50)</f>
        <v>93.646500000000017</v>
      </c>
      <c r="S233">
        <f>0.437*(4.19 * 50)</f>
        <v>91.551500000000019</v>
      </c>
      <c r="T233">
        <f>0.435*(4.19 * 50)</f>
        <v>91.132500000000007</v>
      </c>
      <c r="U233">
        <f>0.417*(4.19 * 50)</f>
        <v>87.361500000000007</v>
      </c>
      <c r="V233">
        <f>0.411*(4.19 * 50)</f>
        <v>86.104500000000002</v>
      </c>
      <c r="W233">
        <f>0.406*(4.19 * 50)</f>
        <v>85.057000000000016</v>
      </c>
      <c r="X233">
        <f>0.404*(4.19 * 50)</f>
        <v>84.638000000000019</v>
      </c>
      <c r="Y233">
        <f>0.405*(4.19 * 50)</f>
        <v>84.847500000000011</v>
      </c>
      <c r="Z233">
        <f>0.41*(4.19 * 50)</f>
        <v>85.89500000000001</v>
      </c>
      <c r="AA233">
        <f>0.417*(4.19 * 50)</f>
        <v>87.361500000000007</v>
      </c>
      <c r="AB233">
        <f>0.423*(4.19 * 50)</f>
        <v>88.618500000000012</v>
      </c>
      <c r="AC233">
        <f>0.431*(4.19 * 50)</f>
        <v>90.294500000000014</v>
      </c>
      <c r="AD233">
        <f>0.438*(4.19 * 50)</f>
        <v>91.76100000000001</v>
      </c>
      <c r="AE233">
        <f>0.441*(4.19 * 50)</f>
        <v>92.389500000000012</v>
      </c>
      <c r="AF233">
        <f>0.437*(4.19 * 50)</f>
        <v>91.551500000000019</v>
      </c>
      <c r="AG233">
        <f>0.431*(4.19 * 50)</f>
        <v>90.294500000000014</v>
      </c>
    </row>
    <row r="234" spans="1:33" x14ac:dyDescent="0.3">
      <c r="A234" t="s">
        <v>277</v>
      </c>
      <c r="B234">
        <v>358114.019531</v>
      </c>
      <c r="C234">
        <v>6666201.9140630001</v>
      </c>
      <c r="D234" t="s">
        <v>541</v>
      </c>
      <c r="E234">
        <v>100</v>
      </c>
      <c r="F234">
        <v>99.333000183105398</v>
      </c>
      <c r="G234">
        <v>0.47414319896470353</v>
      </c>
      <c r="H234">
        <f t="shared" si="7"/>
        <v>192.56050018310543</v>
      </c>
      <c r="I234">
        <f t="shared" si="6"/>
        <v>209.50000000000003</v>
      </c>
      <c r="J234">
        <f>0.432*(4.19 * 50)</f>
        <v>90.504000000000005</v>
      </c>
      <c r="K234">
        <f>0.429*(4.19 * 50)</f>
        <v>89.875500000000017</v>
      </c>
      <c r="L234">
        <f>0.426*(4.19 * 50)</f>
        <v>89.247000000000014</v>
      </c>
      <c r="M234">
        <f>0.425*(4.19 * 50)</f>
        <v>89.037500000000009</v>
      </c>
      <c r="N234">
        <f>0.426*(4.19 * 50)</f>
        <v>89.247000000000014</v>
      </c>
      <c r="O234">
        <f>0.432*(4.19 * 50)</f>
        <v>90.504000000000005</v>
      </c>
      <c r="P234">
        <f>0.445*(4.19 * 50)</f>
        <v>93.22750000000002</v>
      </c>
      <c r="Q234">
        <f>0.456*(4.19 * 50)</f>
        <v>95.532000000000011</v>
      </c>
      <c r="R234">
        <f>0.453*(4.19 * 50)</f>
        <v>94.903500000000022</v>
      </c>
      <c r="S234">
        <f>0.443*(4.19 * 50)</f>
        <v>92.808500000000009</v>
      </c>
      <c r="T234">
        <f>0.441*(4.19 * 50)</f>
        <v>92.389500000000012</v>
      </c>
      <c r="U234">
        <f>0.423*(4.19 * 50)</f>
        <v>88.618500000000012</v>
      </c>
      <c r="V234">
        <f>0.417*(4.19 * 50)</f>
        <v>87.361500000000007</v>
      </c>
      <c r="W234">
        <f>0.411*(4.19 * 50)</f>
        <v>86.104500000000002</v>
      </c>
      <c r="X234">
        <f>0.41*(4.19 * 50)</f>
        <v>85.89500000000001</v>
      </c>
      <c r="Y234">
        <f>0.411*(4.19 * 50)</f>
        <v>86.104500000000002</v>
      </c>
      <c r="Z234">
        <f>0.415*(4.19 * 50)</f>
        <v>86.94250000000001</v>
      </c>
      <c r="AA234">
        <f>0.423*(4.19 * 50)</f>
        <v>88.618500000000012</v>
      </c>
      <c r="AB234">
        <f>0.429*(4.19 * 50)</f>
        <v>89.875500000000017</v>
      </c>
      <c r="AC234">
        <f>0.437*(4.19 * 50)</f>
        <v>91.551500000000019</v>
      </c>
      <c r="AD234">
        <f>0.444*(4.19 * 50)</f>
        <v>93.018000000000015</v>
      </c>
      <c r="AE234">
        <f>0.447*(4.19 * 50)</f>
        <v>93.646500000000017</v>
      </c>
      <c r="AF234">
        <f>0.443*(4.19 * 50)</f>
        <v>92.808500000000009</v>
      </c>
      <c r="AG234">
        <f>0.437*(4.19 * 50)</f>
        <v>91.551500000000019</v>
      </c>
    </row>
    <row r="235" spans="1:33" x14ac:dyDescent="0.3">
      <c r="A235" t="s">
        <v>278</v>
      </c>
      <c r="B235">
        <v>363114.839844</v>
      </c>
      <c r="C235">
        <v>6671754.75</v>
      </c>
      <c r="D235" t="s">
        <v>541</v>
      </c>
      <c r="E235">
        <v>100</v>
      </c>
      <c r="F235">
        <v>97</v>
      </c>
      <c r="G235">
        <v>0.46300715990453462</v>
      </c>
      <c r="H235">
        <f t="shared" si="7"/>
        <v>187.923</v>
      </c>
      <c r="I235">
        <f t="shared" si="6"/>
        <v>209.50000000000003</v>
      </c>
      <c r="J235">
        <f>0.422*(4.19 * 50)</f>
        <v>88.409000000000006</v>
      </c>
      <c r="K235">
        <f>0.419*(4.19 * 50)</f>
        <v>87.780500000000004</v>
      </c>
      <c r="L235">
        <f>0.416*(4.19 * 50)</f>
        <v>87.152000000000001</v>
      </c>
      <c r="M235">
        <f>0.415*(4.19 * 50)</f>
        <v>86.94250000000001</v>
      </c>
      <c r="N235">
        <f>0.416*(4.19 * 50)</f>
        <v>87.152000000000001</v>
      </c>
      <c r="O235">
        <f>0.422*(4.19 * 50)</f>
        <v>88.409000000000006</v>
      </c>
      <c r="P235">
        <f>0.434*(4.19 * 50)</f>
        <v>90.923000000000016</v>
      </c>
      <c r="Q235">
        <f>0.446*(4.19 * 50)</f>
        <v>93.437000000000012</v>
      </c>
      <c r="R235">
        <f>0.442*(4.19 * 50)</f>
        <v>92.599000000000018</v>
      </c>
      <c r="S235">
        <f>0.433*(4.19 * 50)</f>
        <v>90.71350000000001</v>
      </c>
      <c r="T235">
        <f>0.431*(4.19 * 50)</f>
        <v>90.294500000000014</v>
      </c>
      <c r="U235">
        <f>0.413*(4.19 * 50)</f>
        <v>86.523500000000013</v>
      </c>
      <c r="V235">
        <f>0.407*(4.19 * 50)</f>
        <v>85.266500000000008</v>
      </c>
      <c r="W235">
        <f>0.402*(4.19 * 50)</f>
        <v>84.219000000000023</v>
      </c>
      <c r="X235">
        <f>0.4*(4.19 * 50)</f>
        <v>83.800000000000011</v>
      </c>
      <c r="Y235">
        <f>0.401*(4.19 * 50)</f>
        <v>84.009500000000017</v>
      </c>
      <c r="Z235">
        <f>0.405*(4.19 * 50)</f>
        <v>84.847500000000011</v>
      </c>
      <c r="AA235">
        <f>0.413*(4.19 * 50)</f>
        <v>86.523500000000013</v>
      </c>
      <c r="AB235">
        <f>0.419*(4.19 * 50)</f>
        <v>87.780500000000004</v>
      </c>
      <c r="AC235">
        <f>0.426*(4.19 * 50)</f>
        <v>89.247000000000014</v>
      </c>
      <c r="AD235">
        <f>0.434*(4.19 * 50)</f>
        <v>90.923000000000016</v>
      </c>
      <c r="AE235">
        <f>0.437*(4.19 * 50)</f>
        <v>91.551500000000019</v>
      </c>
      <c r="AF235">
        <f>0.433*(4.19 * 50)</f>
        <v>90.71350000000001</v>
      </c>
      <c r="AG235">
        <f>0.427*(4.19 * 50)</f>
        <v>89.456500000000005</v>
      </c>
    </row>
    <row r="236" spans="1:33" x14ac:dyDescent="0.3">
      <c r="A236" t="s">
        <v>279</v>
      </c>
      <c r="B236">
        <v>363114.875</v>
      </c>
      <c r="C236">
        <v>6671755.4921880001</v>
      </c>
      <c r="D236" t="s">
        <v>541</v>
      </c>
      <c r="E236">
        <v>100</v>
      </c>
      <c r="F236">
        <v>83.666999816894503</v>
      </c>
      <c r="G236">
        <v>0.39936515425725289</v>
      </c>
      <c r="H236">
        <f t="shared" si="7"/>
        <v>162.22949981689453</v>
      </c>
      <c r="I236">
        <f t="shared" si="6"/>
        <v>209.50000000000003</v>
      </c>
      <c r="J236">
        <f>0.364*(4.19 * 50)</f>
        <v>76.25800000000001</v>
      </c>
      <c r="K236">
        <f>0.361*(4.19 * 50)</f>
        <v>75.629500000000007</v>
      </c>
      <c r="L236">
        <f>0.359*(4.19 * 50)</f>
        <v>75.21050000000001</v>
      </c>
      <c r="M236">
        <f>0.358*(4.19 * 50)</f>
        <v>75.001000000000005</v>
      </c>
      <c r="N236">
        <f>0.359*(4.19 * 50)</f>
        <v>75.21050000000001</v>
      </c>
      <c r="O236">
        <f>0.364*(4.19 * 50)</f>
        <v>76.25800000000001</v>
      </c>
      <c r="P236">
        <f>0.375*(4.19 * 50)</f>
        <v>78.562500000000014</v>
      </c>
      <c r="Q236">
        <f>0.385*(4.19 * 50)</f>
        <v>80.657500000000013</v>
      </c>
      <c r="R236">
        <f>0.381*(4.19 * 50)</f>
        <v>79.819500000000005</v>
      </c>
      <c r="S236">
        <f>0.373*(4.19 * 50)</f>
        <v>78.143500000000017</v>
      </c>
      <c r="T236">
        <f>0.372*(4.19 * 50)</f>
        <v>77.934000000000012</v>
      </c>
      <c r="U236">
        <f>0.356*(4.19 * 50)</f>
        <v>74.582000000000008</v>
      </c>
      <c r="V236">
        <f>0.351*(4.19 * 50)</f>
        <v>73.534500000000008</v>
      </c>
      <c r="W236">
        <f>0.346*(4.19 * 50)</f>
        <v>72.487000000000009</v>
      </c>
      <c r="X236">
        <f>0.345*(4.19 * 50)</f>
        <v>72.277500000000003</v>
      </c>
      <c r="Y236">
        <f>0.346*(4.19 * 50)</f>
        <v>72.487000000000009</v>
      </c>
      <c r="Z236">
        <f>0.35*(4.19 * 50)</f>
        <v>73.325000000000003</v>
      </c>
      <c r="AA236">
        <f>0.356*(4.19 * 50)</f>
        <v>74.582000000000008</v>
      </c>
      <c r="AB236">
        <f>0.361*(4.19 * 50)</f>
        <v>75.629500000000007</v>
      </c>
      <c r="AC236">
        <f>0.368*(4.19 * 50)</f>
        <v>77.096000000000004</v>
      </c>
      <c r="AD236">
        <f>0.374*(4.19 * 50)</f>
        <v>78.353000000000009</v>
      </c>
      <c r="AE236">
        <f>0.377*(4.19 * 50)</f>
        <v>78.981500000000011</v>
      </c>
      <c r="AF236">
        <f>0.373*(4.19 * 50)</f>
        <v>78.143500000000017</v>
      </c>
      <c r="AG236">
        <f>0.368*(4.19 * 50)</f>
        <v>77.096000000000004</v>
      </c>
    </row>
    <row r="237" spans="1:33" x14ac:dyDescent="0.3">
      <c r="A237" t="s">
        <v>280</v>
      </c>
      <c r="B237">
        <v>357112.351563</v>
      </c>
      <c r="C237">
        <v>6669205.46875</v>
      </c>
      <c r="D237" t="s">
        <v>540</v>
      </c>
      <c r="E237">
        <v>100</v>
      </c>
      <c r="F237">
        <v>12</v>
      </c>
      <c r="G237">
        <v>5.7279236276849638E-2</v>
      </c>
      <c r="H237">
        <f t="shared" si="7"/>
        <v>23.313000000000002</v>
      </c>
      <c r="I237">
        <f t="shared" si="6"/>
        <v>209.50000000000003</v>
      </c>
      <c r="J237">
        <f>0.052*(4.19 * 50)</f>
        <v>10.894</v>
      </c>
      <c r="K237">
        <f>0.052*(4.19 * 50)</f>
        <v>10.894</v>
      </c>
      <c r="L237">
        <f>0.051*(4.19 * 50)</f>
        <v>10.6845</v>
      </c>
      <c r="M237">
        <f>0.051*(4.19 * 50)</f>
        <v>10.6845</v>
      </c>
      <c r="N237">
        <f>0.051*(4.19 * 50)</f>
        <v>10.6845</v>
      </c>
      <c r="O237">
        <f>0.052*(4.19 * 50)</f>
        <v>10.894</v>
      </c>
      <c r="P237">
        <f>0.054*(4.19 * 50)</f>
        <v>11.313000000000001</v>
      </c>
      <c r="Q237">
        <f>0.055*(4.19 * 50)</f>
        <v>11.522500000000001</v>
      </c>
      <c r="R237">
        <f>0.055*(4.19 * 50)</f>
        <v>11.522500000000001</v>
      </c>
      <c r="S237">
        <f>0.054*(4.19 * 50)</f>
        <v>11.313000000000001</v>
      </c>
      <c r="T237">
        <f>0.053*(4.19 * 50)</f>
        <v>11.1035</v>
      </c>
      <c r="U237">
        <f>0.051*(4.19 * 50)</f>
        <v>10.6845</v>
      </c>
      <c r="V237">
        <f>0.05*(4.19 * 50)</f>
        <v>10.475000000000001</v>
      </c>
      <c r="W237">
        <f>0.05*(4.19 * 50)</f>
        <v>10.475000000000001</v>
      </c>
      <c r="X237">
        <f>0.05*(4.19 * 50)</f>
        <v>10.475000000000001</v>
      </c>
      <c r="Y237">
        <f>0.05*(4.19 * 50)</f>
        <v>10.475000000000001</v>
      </c>
      <c r="Z237">
        <f>0.05*(4.19 * 50)</f>
        <v>10.475000000000001</v>
      </c>
      <c r="AA237">
        <f>0.051*(4.19 * 50)</f>
        <v>10.6845</v>
      </c>
      <c r="AB237">
        <f>0.052*(4.19 * 50)</f>
        <v>10.894</v>
      </c>
      <c r="AC237">
        <f>0.053*(4.19 * 50)</f>
        <v>11.1035</v>
      </c>
      <c r="AD237">
        <f>0.054*(4.19 * 50)</f>
        <v>11.313000000000001</v>
      </c>
      <c r="AE237">
        <f>0.054*(4.19 * 50)</f>
        <v>11.313000000000001</v>
      </c>
      <c r="AF237">
        <f>0.054*(4.19 * 50)</f>
        <v>11.313000000000001</v>
      </c>
      <c r="AG237">
        <f>0.053*(4.19 * 50)</f>
        <v>11.1035</v>
      </c>
    </row>
    <row r="238" spans="1:33" x14ac:dyDescent="0.3">
      <c r="A238" t="s">
        <v>281</v>
      </c>
      <c r="B238">
        <v>358988.585938</v>
      </c>
      <c r="C238">
        <v>6667769.0703130001</v>
      </c>
      <c r="D238" t="s">
        <v>540</v>
      </c>
      <c r="E238">
        <v>100</v>
      </c>
      <c r="F238">
        <v>9</v>
      </c>
      <c r="G238">
        <v>4.2959427207637228E-2</v>
      </c>
      <c r="H238">
        <f t="shared" si="7"/>
        <v>17.380000000000003</v>
      </c>
      <c r="I238">
        <f t="shared" si="6"/>
        <v>209.50000000000003</v>
      </c>
      <c r="J238">
        <f>0.039*(4.19 * 50)</f>
        <v>8.1705000000000005</v>
      </c>
      <c r="K238">
        <f>0.039*(4.19 * 50)</f>
        <v>8.1705000000000005</v>
      </c>
      <c r="L238">
        <f>0.039*(4.19 * 50)</f>
        <v>8.1705000000000005</v>
      </c>
      <c r="M238">
        <f>0.038*(4.19 * 50)</f>
        <v>7.9610000000000012</v>
      </c>
      <c r="N238">
        <f>0.039*(4.19 * 50)</f>
        <v>8.1705000000000005</v>
      </c>
      <c r="O238">
        <f>0.039*(4.19 * 50)</f>
        <v>8.1705000000000005</v>
      </c>
      <c r="P238">
        <f>0.04*(4.19 * 50)</f>
        <v>8.3800000000000008</v>
      </c>
      <c r="Q238">
        <f>0.041*(4.19 * 50)</f>
        <v>8.589500000000001</v>
      </c>
      <c r="R238">
        <f>0.041*(4.19 * 50)</f>
        <v>8.589500000000001</v>
      </c>
      <c r="S238">
        <f>0.04*(4.19 * 50)</f>
        <v>8.3800000000000008</v>
      </c>
      <c r="T238">
        <f>0.04*(4.19 * 50)</f>
        <v>8.3800000000000008</v>
      </c>
      <c r="U238">
        <f>0.038*(4.19 * 50)</f>
        <v>7.9610000000000012</v>
      </c>
      <c r="V238">
        <f>0.038*(4.19 * 50)</f>
        <v>7.9610000000000012</v>
      </c>
      <c r="W238">
        <f>0.037*(4.19 * 50)</f>
        <v>7.7515000000000009</v>
      </c>
      <c r="X238">
        <f>0.037*(4.19 * 50)</f>
        <v>7.7515000000000009</v>
      </c>
      <c r="Y238">
        <f>0.037*(4.19 * 50)</f>
        <v>7.7515000000000009</v>
      </c>
      <c r="Z238">
        <f>0.038*(4.19 * 50)</f>
        <v>7.9610000000000012</v>
      </c>
      <c r="AA238">
        <f>0.038*(4.19 * 50)</f>
        <v>7.9610000000000012</v>
      </c>
      <c r="AB238">
        <f>0.039*(4.19 * 50)</f>
        <v>8.1705000000000005</v>
      </c>
      <c r="AC238">
        <f>0.04*(4.19 * 50)</f>
        <v>8.3800000000000008</v>
      </c>
      <c r="AD238">
        <f>0.04*(4.19 * 50)</f>
        <v>8.3800000000000008</v>
      </c>
      <c r="AE238">
        <f>0.041*(4.19 * 50)</f>
        <v>8.589500000000001</v>
      </c>
      <c r="AF238">
        <f>0.04*(4.19 * 50)</f>
        <v>8.3800000000000008</v>
      </c>
      <c r="AG238">
        <f>0.04*(4.19 * 50)</f>
        <v>8.3800000000000008</v>
      </c>
    </row>
    <row r="239" spans="1:33" x14ac:dyDescent="0.3">
      <c r="A239" t="s">
        <v>282</v>
      </c>
      <c r="B239">
        <v>358046.738281</v>
      </c>
      <c r="C239">
        <v>6666165.9335939996</v>
      </c>
      <c r="D239" t="s">
        <v>541</v>
      </c>
      <c r="E239">
        <v>100</v>
      </c>
      <c r="F239">
        <v>55.666999816894503</v>
      </c>
      <c r="G239">
        <v>0.26571360294460378</v>
      </c>
      <c r="H239">
        <f t="shared" si="7"/>
        <v>107.83249981689451</v>
      </c>
      <c r="I239">
        <f t="shared" si="6"/>
        <v>209.50000000000003</v>
      </c>
      <c r="J239">
        <f>0.242*(4.19 * 50)</f>
        <v>50.699000000000005</v>
      </c>
      <c r="K239">
        <f>0.24*(4.19 * 50)</f>
        <v>50.280000000000008</v>
      </c>
      <c r="L239">
        <f>0.239*(4.19 * 50)</f>
        <v>50.070500000000003</v>
      </c>
      <c r="M239">
        <f>0.238*(4.19 * 50)</f>
        <v>49.861000000000004</v>
      </c>
      <c r="N239">
        <f>0.239*(4.19 * 50)</f>
        <v>50.070500000000003</v>
      </c>
      <c r="O239">
        <f>0.242*(4.19 * 50)</f>
        <v>50.699000000000005</v>
      </c>
      <c r="P239">
        <f>0.249*(4.19 * 50)</f>
        <v>52.165500000000009</v>
      </c>
      <c r="Q239">
        <f>0.256*(4.19 * 50)</f>
        <v>53.632000000000005</v>
      </c>
      <c r="R239">
        <f>0.254*(4.19 * 50)</f>
        <v>53.213000000000008</v>
      </c>
      <c r="S239">
        <f>0.248*(4.19 * 50)</f>
        <v>51.95600000000001</v>
      </c>
      <c r="T239">
        <f>0.247*(4.19 * 50)</f>
        <v>51.746500000000005</v>
      </c>
      <c r="U239">
        <f>0.237*(4.19 * 50)</f>
        <v>49.651500000000006</v>
      </c>
      <c r="V239">
        <f>0.234*(4.19 * 50)</f>
        <v>49.02300000000001</v>
      </c>
      <c r="W239">
        <f>0.23*(4.19 * 50)</f>
        <v>48.185000000000009</v>
      </c>
      <c r="X239">
        <f>0.23*(4.19 * 50)</f>
        <v>48.185000000000009</v>
      </c>
      <c r="Y239">
        <f>0.23*(4.19 * 50)</f>
        <v>48.185000000000009</v>
      </c>
      <c r="Z239">
        <f>0.233*(4.19 * 50)</f>
        <v>48.813500000000012</v>
      </c>
      <c r="AA239">
        <f>0.237*(4.19 * 50)</f>
        <v>49.651500000000006</v>
      </c>
      <c r="AB239">
        <f>0.24*(4.19 * 50)</f>
        <v>50.280000000000008</v>
      </c>
      <c r="AC239">
        <f>0.245*(4.19 * 50)</f>
        <v>51.327500000000008</v>
      </c>
      <c r="AD239">
        <f>0.249*(4.19 * 50)</f>
        <v>52.165500000000009</v>
      </c>
      <c r="AE239">
        <f>0.251*(4.19 * 50)</f>
        <v>52.584500000000006</v>
      </c>
      <c r="AF239">
        <f>0.248*(4.19 * 50)</f>
        <v>51.95600000000001</v>
      </c>
      <c r="AG239">
        <f>0.245*(4.19 * 50)</f>
        <v>51.327500000000008</v>
      </c>
    </row>
    <row r="240" spans="1:33" x14ac:dyDescent="0.3">
      <c r="A240" t="s">
        <v>283</v>
      </c>
      <c r="B240">
        <v>357007.542969</v>
      </c>
      <c r="C240">
        <v>6666029.6328130001</v>
      </c>
      <c r="D240" t="s">
        <v>540</v>
      </c>
      <c r="E240">
        <v>100</v>
      </c>
      <c r="F240">
        <v>6</v>
      </c>
      <c r="G240">
        <v>2.8639618138424819E-2</v>
      </c>
      <c r="H240">
        <f t="shared" si="7"/>
        <v>11.656500000000001</v>
      </c>
      <c r="I240">
        <f t="shared" si="6"/>
        <v>209.50000000000003</v>
      </c>
      <c r="J240">
        <f>0.026*(4.19 * 50)</f>
        <v>5.4470000000000001</v>
      </c>
      <c r="K240">
        <f>0.026*(4.19 * 50)</f>
        <v>5.4470000000000001</v>
      </c>
      <c r="L240">
        <f>0.026*(4.19 * 50)</f>
        <v>5.4470000000000001</v>
      </c>
      <c r="M240">
        <f>0.026*(4.19 * 50)</f>
        <v>5.4470000000000001</v>
      </c>
      <c r="N240">
        <f>0.026*(4.19 * 50)</f>
        <v>5.4470000000000001</v>
      </c>
      <c r="O240">
        <f>0.026*(4.19 * 50)</f>
        <v>5.4470000000000001</v>
      </c>
      <c r="P240">
        <f>0.027*(4.19 * 50)</f>
        <v>5.6565000000000003</v>
      </c>
      <c r="Q240">
        <f>0.028*(4.19 * 50)</f>
        <v>5.8660000000000005</v>
      </c>
      <c r="R240">
        <f>0.027*(4.19 * 50)</f>
        <v>5.6565000000000003</v>
      </c>
      <c r="S240">
        <f>0.027*(4.19 * 50)</f>
        <v>5.6565000000000003</v>
      </c>
      <c r="T240">
        <f>0.027*(4.19 * 50)</f>
        <v>5.6565000000000003</v>
      </c>
      <c r="U240">
        <f>0.026*(4.19 * 50)</f>
        <v>5.4470000000000001</v>
      </c>
      <c r="V240">
        <f>0.025*(4.19 * 50)</f>
        <v>5.2375000000000007</v>
      </c>
      <c r="W240">
        <f>0.025*(4.19 * 50)</f>
        <v>5.2375000000000007</v>
      </c>
      <c r="X240">
        <f>0.025*(4.19 * 50)</f>
        <v>5.2375000000000007</v>
      </c>
      <c r="Y240">
        <f>0.025*(4.19 * 50)</f>
        <v>5.2375000000000007</v>
      </c>
      <c r="Z240">
        <f>0.025*(4.19 * 50)</f>
        <v>5.2375000000000007</v>
      </c>
      <c r="AA240">
        <f>0.026*(4.19 * 50)</f>
        <v>5.4470000000000001</v>
      </c>
      <c r="AB240">
        <f>0.026*(4.19 * 50)</f>
        <v>5.4470000000000001</v>
      </c>
      <c r="AC240">
        <f>0.026*(4.19 * 50)</f>
        <v>5.4470000000000001</v>
      </c>
      <c r="AD240">
        <f>0.027*(4.19 * 50)</f>
        <v>5.6565000000000003</v>
      </c>
      <c r="AE240">
        <f>0.027*(4.19 * 50)</f>
        <v>5.6565000000000003</v>
      </c>
      <c r="AF240">
        <f>0.027*(4.19 * 50)</f>
        <v>5.6565000000000003</v>
      </c>
      <c r="AG240">
        <f>0.026*(4.19 * 50)</f>
        <v>5.4470000000000001</v>
      </c>
    </row>
    <row r="241" spans="1:33" x14ac:dyDescent="0.3">
      <c r="A241" t="s">
        <v>284</v>
      </c>
      <c r="B241">
        <v>357038.066406</v>
      </c>
      <c r="C241">
        <v>6665868.8710939996</v>
      </c>
      <c r="D241" t="s">
        <v>540</v>
      </c>
      <c r="E241">
        <v>100</v>
      </c>
      <c r="F241">
        <v>7</v>
      </c>
      <c r="G241">
        <v>3.3412887828162277E-2</v>
      </c>
      <c r="H241">
        <f t="shared" si="7"/>
        <v>13.494500000000002</v>
      </c>
      <c r="I241">
        <f t="shared" si="6"/>
        <v>209.50000000000003</v>
      </c>
      <c r="J241">
        <f>0.03*(4.19 * 50)</f>
        <v>6.285000000000001</v>
      </c>
      <c r="K241">
        <f>0.03*(4.19 * 50)</f>
        <v>6.285000000000001</v>
      </c>
      <c r="L241">
        <f>0.03*(4.19 * 50)</f>
        <v>6.285000000000001</v>
      </c>
      <c r="M241">
        <f>0.03*(4.19 * 50)</f>
        <v>6.285000000000001</v>
      </c>
      <c r="N241">
        <f>0.03*(4.19 * 50)</f>
        <v>6.285000000000001</v>
      </c>
      <c r="O241">
        <f>0.03*(4.19 * 50)</f>
        <v>6.285000000000001</v>
      </c>
      <c r="P241">
        <f>0.031*(4.19 * 50)</f>
        <v>6.4945000000000013</v>
      </c>
      <c r="Q241">
        <f>0.032*(4.19 * 50)</f>
        <v>6.7040000000000006</v>
      </c>
      <c r="R241">
        <f>0.032*(4.19 * 50)</f>
        <v>6.7040000000000006</v>
      </c>
      <c r="S241">
        <f>0.031*(4.19 * 50)</f>
        <v>6.4945000000000013</v>
      </c>
      <c r="T241">
        <f>0.031*(4.19 * 50)</f>
        <v>6.4945000000000013</v>
      </c>
      <c r="U241">
        <f>0.03*(4.19 * 50)</f>
        <v>6.285000000000001</v>
      </c>
      <c r="V241">
        <f>0.029*(4.19 * 50)</f>
        <v>6.0755000000000008</v>
      </c>
      <c r="W241">
        <f>0.029*(4.19 * 50)</f>
        <v>6.0755000000000008</v>
      </c>
      <c r="X241">
        <f>0.029*(4.19 * 50)</f>
        <v>6.0755000000000008</v>
      </c>
      <c r="Y241">
        <f>0.029*(4.19 * 50)</f>
        <v>6.0755000000000008</v>
      </c>
      <c r="Z241">
        <f>0.029*(4.19 * 50)</f>
        <v>6.0755000000000008</v>
      </c>
      <c r="AA241">
        <f>0.03*(4.19 * 50)</f>
        <v>6.285000000000001</v>
      </c>
      <c r="AB241">
        <f>0.03*(4.19 * 50)</f>
        <v>6.285000000000001</v>
      </c>
      <c r="AC241">
        <f>0.031*(4.19 * 50)</f>
        <v>6.4945000000000013</v>
      </c>
      <c r="AD241">
        <f>0.031*(4.19 * 50)</f>
        <v>6.4945000000000013</v>
      </c>
      <c r="AE241">
        <f>0.032*(4.19 * 50)</f>
        <v>6.7040000000000006</v>
      </c>
      <c r="AF241">
        <f>0.031*(4.19 * 50)</f>
        <v>6.4945000000000013</v>
      </c>
      <c r="AG241">
        <f>0.031*(4.19 * 50)</f>
        <v>6.4945000000000013</v>
      </c>
    </row>
    <row r="242" spans="1:33" x14ac:dyDescent="0.3">
      <c r="A242" t="s">
        <v>285</v>
      </c>
      <c r="B242">
        <v>357037.15625</v>
      </c>
      <c r="C242">
        <v>6668302.5546880001</v>
      </c>
      <c r="D242" t="s">
        <v>561</v>
      </c>
      <c r="E242">
        <v>100</v>
      </c>
      <c r="F242">
        <v>17</v>
      </c>
      <c r="G242">
        <v>8.1145584725536984E-2</v>
      </c>
      <c r="H242">
        <f t="shared" si="7"/>
        <v>32.922000000000004</v>
      </c>
      <c r="I242">
        <f t="shared" si="6"/>
        <v>209.50000000000003</v>
      </c>
      <c r="J242">
        <f>0.074*(4.19 * 50)</f>
        <v>15.503000000000002</v>
      </c>
      <c r="K242">
        <f>0.073*(4.19 * 50)</f>
        <v>15.293500000000002</v>
      </c>
      <c r="L242">
        <f>0.073*(4.19 * 50)</f>
        <v>15.293500000000002</v>
      </c>
      <c r="M242">
        <f>0.073*(4.19 * 50)</f>
        <v>15.293500000000002</v>
      </c>
      <c r="N242">
        <f>0.073*(4.19 * 50)</f>
        <v>15.293500000000002</v>
      </c>
      <c r="O242">
        <f>0.074*(4.19 * 50)</f>
        <v>15.503000000000002</v>
      </c>
      <c r="P242">
        <f>0.076*(4.19 * 50)</f>
        <v>15.922000000000002</v>
      </c>
      <c r="Q242">
        <f>0.078*(4.19 * 50)</f>
        <v>16.341000000000001</v>
      </c>
      <c r="R242">
        <f>0.077*(4.19 * 50)</f>
        <v>16.131500000000003</v>
      </c>
      <c r="S242">
        <f>0.076*(4.19 * 50)</f>
        <v>15.922000000000002</v>
      </c>
      <c r="T242">
        <f>0.076*(4.19 * 50)</f>
        <v>15.922000000000002</v>
      </c>
      <c r="U242">
        <f>0.072*(4.19 * 50)</f>
        <v>15.084000000000001</v>
      </c>
      <c r="V242">
        <f>0.071*(4.19 * 50)</f>
        <v>14.874500000000001</v>
      </c>
      <c r="W242">
        <f>0.07*(4.19 * 50)</f>
        <v>14.665000000000003</v>
      </c>
      <c r="X242">
        <f>0.07*(4.19 * 50)</f>
        <v>14.665000000000003</v>
      </c>
      <c r="Y242">
        <f>0.07*(4.19 * 50)</f>
        <v>14.665000000000003</v>
      </c>
      <c r="Z242">
        <f>0.071*(4.19 * 50)</f>
        <v>14.874500000000001</v>
      </c>
      <c r="AA242">
        <f>0.072*(4.19 * 50)</f>
        <v>15.084000000000001</v>
      </c>
      <c r="AB242">
        <f>0.073*(4.19 * 50)</f>
        <v>15.293500000000002</v>
      </c>
      <c r="AC242">
        <f>0.075*(4.19 * 50)</f>
        <v>15.712500000000002</v>
      </c>
      <c r="AD242">
        <f>0.076*(4.19 * 50)</f>
        <v>15.922000000000002</v>
      </c>
      <c r="AE242">
        <f>0.077*(4.19 * 50)</f>
        <v>16.131500000000003</v>
      </c>
      <c r="AF242">
        <f>0.076*(4.19 * 50)</f>
        <v>15.922000000000002</v>
      </c>
      <c r="AG242">
        <f>0.075*(4.19 * 50)</f>
        <v>15.712500000000002</v>
      </c>
    </row>
    <row r="243" spans="1:33" x14ac:dyDescent="0.3">
      <c r="A243" t="s">
        <v>286</v>
      </c>
      <c r="B243">
        <v>356996.652344</v>
      </c>
      <c r="C243">
        <v>6665984.0585939996</v>
      </c>
      <c r="D243" t="s">
        <v>540</v>
      </c>
      <c r="E243">
        <v>100</v>
      </c>
      <c r="F243">
        <v>8</v>
      </c>
      <c r="G243">
        <v>3.8186157517899763E-2</v>
      </c>
      <c r="H243">
        <f t="shared" si="7"/>
        <v>15.542000000000002</v>
      </c>
      <c r="I243">
        <f t="shared" si="6"/>
        <v>209.50000000000003</v>
      </c>
      <c r="J243">
        <f>0.035*(4.19 * 50)</f>
        <v>7.3325000000000014</v>
      </c>
      <c r="K243">
        <f>0.035*(4.19 * 50)</f>
        <v>7.3325000000000014</v>
      </c>
      <c r="L243">
        <f>0.034*(4.19 * 50)</f>
        <v>7.1230000000000011</v>
      </c>
      <c r="M243">
        <f>0.034*(4.19 * 50)</f>
        <v>7.1230000000000011</v>
      </c>
      <c r="N243">
        <f>0.034*(4.19 * 50)</f>
        <v>7.1230000000000011</v>
      </c>
      <c r="O243">
        <f>0.035*(4.19 * 50)</f>
        <v>7.3325000000000014</v>
      </c>
      <c r="P243">
        <f>0.036*(4.19 * 50)</f>
        <v>7.5420000000000007</v>
      </c>
      <c r="Q243">
        <f>0.037*(4.19 * 50)</f>
        <v>7.7515000000000009</v>
      </c>
      <c r="R243">
        <f>0.036*(4.19 * 50)</f>
        <v>7.5420000000000007</v>
      </c>
      <c r="S243">
        <f>0.036*(4.19 * 50)</f>
        <v>7.5420000000000007</v>
      </c>
      <c r="T243">
        <f>0.036*(4.19 * 50)</f>
        <v>7.5420000000000007</v>
      </c>
      <c r="U243">
        <f>0.034*(4.19 * 50)</f>
        <v>7.1230000000000011</v>
      </c>
      <c r="V243">
        <f>0.034*(4.19 * 50)</f>
        <v>7.1230000000000011</v>
      </c>
      <c r="W243">
        <f>0.033*(4.19 * 50)</f>
        <v>6.9135000000000009</v>
      </c>
      <c r="X243">
        <f>0.033*(4.19 * 50)</f>
        <v>6.9135000000000009</v>
      </c>
      <c r="Y243">
        <f>0.033*(4.19 * 50)</f>
        <v>6.9135000000000009</v>
      </c>
      <c r="Z243">
        <f>0.033*(4.19 * 50)</f>
        <v>6.9135000000000009</v>
      </c>
      <c r="AA243">
        <f>0.034*(4.19 * 50)</f>
        <v>7.1230000000000011</v>
      </c>
      <c r="AB243">
        <f>0.035*(4.19 * 50)</f>
        <v>7.3325000000000014</v>
      </c>
      <c r="AC243">
        <f>0.035*(4.19 * 50)</f>
        <v>7.3325000000000014</v>
      </c>
      <c r="AD243">
        <f>0.036*(4.19 * 50)</f>
        <v>7.5420000000000007</v>
      </c>
      <c r="AE243">
        <f>0.036*(4.19 * 50)</f>
        <v>7.5420000000000007</v>
      </c>
      <c r="AF243">
        <f>0.036*(4.19 * 50)</f>
        <v>7.5420000000000007</v>
      </c>
      <c r="AG243">
        <f>0.035*(4.19 * 50)</f>
        <v>7.3325000000000014</v>
      </c>
    </row>
    <row r="244" spans="1:33" x14ac:dyDescent="0.3">
      <c r="A244" t="s">
        <v>287</v>
      </c>
      <c r="B244">
        <v>357639.046875</v>
      </c>
      <c r="C244">
        <v>6666434.6328130001</v>
      </c>
      <c r="D244" t="s">
        <v>542</v>
      </c>
      <c r="E244">
        <v>100</v>
      </c>
      <c r="F244">
        <v>52</v>
      </c>
      <c r="G244">
        <v>0.24821002386634841</v>
      </c>
      <c r="H244">
        <f t="shared" si="7"/>
        <v>100.8135</v>
      </c>
      <c r="I244">
        <f t="shared" si="6"/>
        <v>209.50000000000003</v>
      </c>
      <c r="J244">
        <f>0.226*(4.19 * 50)</f>
        <v>47.347000000000008</v>
      </c>
      <c r="K244">
        <f>0.225*(4.19 * 50)</f>
        <v>47.13750000000001</v>
      </c>
      <c r="L244">
        <f>0.223*(4.19 * 50)</f>
        <v>46.718500000000006</v>
      </c>
      <c r="M244">
        <f>0.222*(4.19 * 50)</f>
        <v>46.509000000000007</v>
      </c>
      <c r="N244">
        <f>0.223*(4.19 * 50)</f>
        <v>46.718500000000006</v>
      </c>
      <c r="O244">
        <f>0.226*(4.19 * 50)</f>
        <v>47.347000000000008</v>
      </c>
      <c r="P244">
        <f>0.233*(4.19 * 50)</f>
        <v>48.813500000000012</v>
      </c>
      <c r="Q244">
        <f>0.239*(4.19 * 50)</f>
        <v>50.070500000000003</v>
      </c>
      <c r="R244">
        <f>0.237*(4.19 * 50)</f>
        <v>49.651500000000006</v>
      </c>
      <c r="S244">
        <f>0.232*(4.19 * 50)</f>
        <v>48.604000000000006</v>
      </c>
      <c r="T244">
        <f>0.231*(4.19 * 50)</f>
        <v>48.394500000000008</v>
      </c>
      <c r="U244">
        <f>0.221*(4.19 * 50)</f>
        <v>46.299500000000009</v>
      </c>
      <c r="V244">
        <f>0.218*(4.19 * 50)</f>
        <v>45.671000000000006</v>
      </c>
      <c r="W244">
        <f>0.215*(4.19 * 50)</f>
        <v>45.042500000000004</v>
      </c>
      <c r="X244">
        <f>0.215*(4.19 * 50)</f>
        <v>45.042500000000004</v>
      </c>
      <c r="Y244">
        <f>0.215*(4.19 * 50)</f>
        <v>45.042500000000004</v>
      </c>
      <c r="Z244">
        <f>0.217*(4.19 * 50)</f>
        <v>45.461500000000008</v>
      </c>
      <c r="AA244">
        <f>0.221*(4.19 * 50)</f>
        <v>46.299500000000009</v>
      </c>
      <c r="AB244">
        <f>0.225*(4.19 * 50)</f>
        <v>47.13750000000001</v>
      </c>
      <c r="AC244">
        <f>0.229*(4.19 * 50)</f>
        <v>47.975500000000011</v>
      </c>
      <c r="AD244">
        <f>0.232*(4.19 * 50)</f>
        <v>48.604000000000006</v>
      </c>
      <c r="AE244">
        <f>0.234*(4.19 * 50)</f>
        <v>49.02300000000001</v>
      </c>
      <c r="AF244">
        <f>0.232*(4.19 * 50)</f>
        <v>48.604000000000006</v>
      </c>
      <c r="AG244">
        <f>0.229*(4.19 * 50)</f>
        <v>47.975500000000011</v>
      </c>
    </row>
    <row r="245" spans="1:33" x14ac:dyDescent="0.3">
      <c r="A245" t="s">
        <v>288</v>
      </c>
      <c r="B245">
        <v>356904.660156</v>
      </c>
      <c r="C245">
        <v>6665849.3984380001</v>
      </c>
      <c r="D245" t="s">
        <v>540</v>
      </c>
      <c r="E245">
        <v>100</v>
      </c>
      <c r="F245">
        <v>19.666999816894499</v>
      </c>
      <c r="G245">
        <v>9.3875894114054878E-2</v>
      </c>
      <c r="H245">
        <f t="shared" si="7"/>
        <v>38.102999816894496</v>
      </c>
      <c r="I245">
        <f t="shared" si="6"/>
        <v>209.50000000000003</v>
      </c>
      <c r="J245">
        <f>0.086*(4.19 * 50)</f>
        <v>18.016999999999999</v>
      </c>
      <c r="K245">
        <f>0.085*(4.19 * 50)</f>
        <v>17.807500000000005</v>
      </c>
      <c r="L245">
        <f>0.084*(4.19 * 50)</f>
        <v>17.598000000000003</v>
      </c>
      <c r="M245">
        <f>0.084*(4.19 * 50)</f>
        <v>17.598000000000003</v>
      </c>
      <c r="N245">
        <f>0.084*(4.19 * 50)</f>
        <v>17.598000000000003</v>
      </c>
      <c r="O245">
        <f>0.086*(4.19 * 50)</f>
        <v>18.016999999999999</v>
      </c>
      <c r="P245">
        <f>0.088*(4.19 * 50)</f>
        <v>18.436</v>
      </c>
      <c r="Q245">
        <f>0.09*(4.19 * 50)</f>
        <v>18.855</v>
      </c>
      <c r="R245">
        <f>0.09*(4.19 * 50)</f>
        <v>18.855</v>
      </c>
      <c r="S245">
        <f>0.088*(4.19 * 50)</f>
        <v>18.436</v>
      </c>
      <c r="T245">
        <f>0.087*(4.19 * 50)</f>
        <v>18.226500000000001</v>
      </c>
      <c r="U245">
        <f>0.084*(4.19 * 50)</f>
        <v>17.598000000000003</v>
      </c>
      <c r="V245">
        <f>0.083*(4.19 * 50)</f>
        <v>17.388500000000004</v>
      </c>
      <c r="W245">
        <f>0.081*(4.19 * 50)</f>
        <v>16.969500000000004</v>
      </c>
      <c r="X245">
        <f>0.081*(4.19 * 50)</f>
        <v>16.969500000000004</v>
      </c>
      <c r="Y245">
        <f>0.081*(4.19 * 50)</f>
        <v>16.969500000000004</v>
      </c>
      <c r="Z245">
        <f>0.082*(4.19 * 50)</f>
        <v>17.179000000000002</v>
      </c>
      <c r="AA245">
        <f>0.084*(4.19 * 50)</f>
        <v>17.598000000000003</v>
      </c>
      <c r="AB245">
        <f>0.085*(4.19 * 50)</f>
        <v>17.807500000000005</v>
      </c>
      <c r="AC245">
        <f>0.086*(4.19 * 50)</f>
        <v>18.016999999999999</v>
      </c>
      <c r="AD245">
        <f>0.088*(4.19 * 50)</f>
        <v>18.436</v>
      </c>
      <c r="AE245">
        <f>0.089*(4.19 * 50)</f>
        <v>18.645500000000002</v>
      </c>
      <c r="AF245">
        <f>0.088*(4.19 * 50)</f>
        <v>18.436</v>
      </c>
      <c r="AG245">
        <f>0.087*(4.19 * 50)</f>
        <v>18.226500000000001</v>
      </c>
    </row>
    <row r="246" spans="1:33" x14ac:dyDescent="0.3">
      <c r="A246" t="s">
        <v>289</v>
      </c>
      <c r="B246">
        <v>357068.011719</v>
      </c>
      <c r="C246">
        <v>6669291.0625</v>
      </c>
      <c r="D246" t="s">
        <v>541</v>
      </c>
      <c r="E246">
        <v>100</v>
      </c>
      <c r="F246">
        <v>80.666999816894503</v>
      </c>
      <c r="G246">
        <v>0.38504534518804051</v>
      </c>
      <c r="H246">
        <f t="shared" si="7"/>
        <v>156.29649981689451</v>
      </c>
      <c r="I246">
        <f t="shared" si="6"/>
        <v>209.50000000000003</v>
      </c>
      <c r="J246">
        <f>0.351*(4.19 * 50)</f>
        <v>73.534500000000008</v>
      </c>
      <c r="K246">
        <f>0.348*(4.19 * 50)</f>
        <v>72.906000000000006</v>
      </c>
      <c r="L246">
        <f>0.346*(4.19 * 50)</f>
        <v>72.487000000000009</v>
      </c>
      <c r="M246">
        <f>0.345*(4.19 * 50)</f>
        <v>72.277500000000003</v>
      </c>
      <c r="N246">
        <f>0.346*(4.19 * 50)</f>
        <v>72.487000000000009</v>
      </c>
      <c r="O246">
        <f>0.351*(4.19 * 50)</f>
        <v>73.534500000000008</v>
      </c>
      <c r="P246">
        <f>0.361*(4.19 * 50)</f>
        <v>75.629500000000007</v>
      </c>
      <c r="Q246">
        <f>0.371*(4.19 * 50)</f>
        <v>77.724500000000006</v>
      </c>
      <c r="R246">
        <f>0.368*(4.19 * 50)</f>
        <v>77.096000000000004</v>
      </c>
      <c r="S246">
        <f>0.36*(4.19 * 50)</f>
        <v>75.42</v>
      </c>
      <c r="T246">
        <f>0.358*(4.19 * 50)</f>
        <v>75.001000000000005</v>
      </c>
      <c r="U246">
        <f>0.343*(4.19 * 50)</f>
        <v>71.858500000000021</v>
      </c>
      <c r="V246">
        <f>0.338*(4.19 * 50)</f>
        <v>70.811000000000021</v>
      </c>
      <c r="W246">
        <f>0.334*(4.19 * 50)</f>
        <v>69.973000000000013</v>
      </c>
      <c r="X246">
        <f>0.333*(4.19 * 50)</f>
        <v>69.763500000000008</v>
      </c>
      <c r="Y246">
        <f>0.334*(4.19 * 50)</f>
        <v>69.973000000000013</v>
      </c>
      <c r="Z246">
        <f>0.337*(4.19 * 50)</f>
        <v>70.601500000000016</v>
      </c>
      <c r="AA246">
        <f>0.343*(4.19 * 50)</f>
        <v>71.858500000000021</v>
      </c>
      <c r="AB246">
        <f>0.348*(4.19 * 50)</f>
        <v>72.906000000000006</v>
      </c>
      <c r="AC246">
        <f>0.355*(4.19 * 50)</f>
        <v>74.372500000000002</v>
      </c>
      <c r="AD246">
        <f>0.361*(4.19 * 50)</f>
        <v>75.629500000000007</v>
      </c>
      <c r="AE246">
        <f>0.363*(4.19 * 50)</f>
        <v>76.048500000000004</v>
      </c>
      <c r="AF246">
        <f>0.36*(4.19 * 50)</f>
        <v>75.42</v>
      </c>
      <c r="AG246">
        <f>0.355*(4.19 * 50)</f>
        <v>74.372500000000002</v>
      </c>
    </row>
    <row r="247" spans="1:33" x14ac:dyDescent="0.3">
      <c r="A247" t="s">
        <v>290</v>
      </c>
      <c r="B247">
        <v>356995.878906</v>
      </c>
      <c r="C247">
        <v>6667376.03125</v>
      </c>
      <c r="D247" t="s">
        <v>548</v>
      </c>
      <c r="E247">
        <v>100</v>
      </c>
      <c r="F247">
        <v>125.66699981689401</v>
      </c>
      <c r="G247">
        <v>0.5998424812262243</v>
      </c>
      <c r="H247">
        <f t="shared" si="7"/>
        <v>243.61549981689402</v>
      </c>
      <c r="I247">
        <f t="shared" si="6"/>
        <v>209.50000000000003</v>
      </c>
      <c r="J247">
        <f>0.547*(4.19 * 50)</f>
        <v>114.59650000000002</v>
      </c>
      <c r="K247">
        <f>0.543*(4.19 * 50)</f>
        <v>113.75850000000003</v>
      </c>
      <c r="L247">
        <f>0.539*(4.19 * 50)</f>
        <v>112.92050000000002</v>
      </c>
      <c r="M247">
        <f>0.537*(4.19 * 50)</f>
        <v>112.50150000000002</v>
      </c>
      <c r="N247">
        <f>0.539*(4.19 * 50)</f>
        <v>112.92050000000002</v>
      </c>
      <c r="O247">
        <f>0.546*(4.19 * 50)</f>
        <v>114.38700000000003</v>
      </c>
      <c r="P247">
        <f>0.563*(4.19 * 50)</f>
        <v>117.94850000000001</v>
      </c>
      <c r="Q247">
        <f>0.578*(4.19 * 50)</f>
        <v>121.09100000000001</v>
      </c>
      <c r="R247">
        <f>0.573*(4.19 * 50)</f>
        <v>120.04350000000001</v>
      </c>
      <c r="S247">
        <f>0.561*(4.19 * 50)</f>
        <v>117.52950000000003</v>
      </c>
      <c r="T247">
        <f>0.558*(4.19 * 50)</f>
        <v>116.90100000000002</v>
      </c>
      <c r="U247">
        <f>0.535*(4.19 * 50)</f>
        <v>112.08250000000002</v>
      </c>
      <c r="V247">
        <f>0.527*(4.19 * 50)</f>
        <v>110.40650000000002</v>
      </c>
      <c r="W247">
        <f>0.52*(4.19 * 50)</f>
        <v>108.94000000000001</v>
      </c>
      <c r="X247">
        <f>0.519*(4.19 * 50)</f>
        <v>108.73050000000002</v>
      </c>
      <c r="Y247">
        <f>0.52*(4.19 * 50)</f>
        <v>108.94000000000001</v>
      </c>
      <c r="Z247">
        <f>0.525*(4.19 * 50)</f>
        <v>109.98750000000003</v>
      </c>
      <c r="AA247">
        <f>0.535*(4.19 * 50)</f>
        <v>112.08250000000002</v>
      </c>
      <c r="AB247">
        <f>0.543*(4.19 * 50)</f>
        <v>113.75850000000003</v>
      </c>
      <c r="AC247">
        <f>0.552*(4.19 * 50)</f>
        <v>115.64400000000002</v>
      </c>
      <c r="AD247">
        <f>0.562*(4.19 * 50)</f>
        <v>117.73900000000003</v>
      </c>
      <c r="AE247">
        <f>0.566*(4.19 * 50)</f>
        <v>118.577</v>
      </c>
      <c r="AF247">
        <f>0.561*(4.19 * 50)</f>
        <v>117.52950000000003</v>
      </c>
      <c r="AG247">
        <f>0.553*(4.19 * 50)</f>
        <v>115.85350000000003</v>
      </c>
    </row>
    <row r="248" spans="1:33" x14ac:dyDescent="0.3">
      <c r="A248" t="s">
        <v>291</v>
      </c>
      <c r="B248">
        <v>356833.761719</v>
      </c>
      <c r="C248">
        <v>6665866.65625</v>
      </c>
      <c r="D248" t="s">
        <v>540</v>
      </c>
      <c r="E248">
        <v>100</v>
      </c>
      <c r="F248">
        <v>8</v>
      </c>
      <c r="G248">
        <v>3.8186157517899763E-2</v>
      </c>
      <c r="H248">
        <f t="shared" si="7"/>
        <v>15.542000000000002</v>
      </c>
      <c r="I248">
        <f t="shared" si="6"/>
        <v>209.50000000000003</v>
      </c>
      <c r="J248">
        <f>0.035*(4.19 * 50)</f>
        <v>7.3325000000000014</v>
      </c>
      <c r="K248">
        <f>0.035*(4.19 * 50)</f>
        <v>7.3325000000000014</v>
      </c>
      <c r="L248">
        <f>0.034*(4.19 * 50)</f>
        <v>7.1230000000000011</v>
      </c>
      <c r="M248">
        <f>0.034*(4.19 * 50)</f>
        <v>7.1230000000000011</v>
      </c>
      <c r="N248">
        <f>0.034*(4.19 * 50)</f>
        <v>7.1230000000000011</v>
      </c>
      <c r="O248">
        <f>0.035*(4.19 * 50)</f>
        <v>7.3325000000000014</v>
      </c>
      <c r="P248">
        <f>0.036*(4.19 * 50)</f>
        <v>7.5420000000000007</v>
      </c>
      <c r="Q248">
        <f>0.037*(4.19 * 50)</f>
        <v>7.7515000000000009</v>
      </c>
      <c r="R248">
        <f>0.036*(4.19 * 50)</f>
        <v>7.5420000000000007</v>
      </c>
      <c r="S248">
        <f>0.036*(4.19 * 50)</f>
        <v>7.5420000000000007</v>
      </c>
      <c r="T248">
        <f>0.036*(4.19 * 50)</f>
        <v>7.5420000000000007</v>
      </c>
      <c r="U248">
        <f>0.034*(4.19 * 50)</f>
        <v>7.1230000000000011</v>
      </c>
      <c r="V248">
        <f>0.034*(4.19 * 50)</f>
        <v>7.1230000000000011</v>
      </c>
      <c r="W248">
        <f>0.033*(4.19 * 50)</f>
        <v>6.9135000000000009</v>
      </c>
      <c r="X248">
        <f>0.033*(4.19 * 50)</f>
        <v>6.9135000000000009</v>
      </c>
      <c r="Y248">
        <f>0.033*(4.19 * 50)</f>
        <v>6.9135000000000009</v>
      </c>
      <c r="Z248">
        <f>0.033*(4.19 * 50)</f>
        <v>6.9135000000000009</v>
      </c>
      <c r="AA248">
        <f>0.034*(4.19 * 50)</f>
        <v>7.1230000000000011</v>
      </c>
      <c r="AB248">
        <f>0.035*(4.19 * 50)</f>
        <v>7.3325000000000014</v>
      </c>
      <c r="AC248">
        <f>0.035*(4.19 * 50)</f>
        <v>7.3325000000000014</v>
      </c>
      <c r="AD248">
        <f>0.036*(4.19 * 50)</f>
        <v>7.5420000000000007</v>
      </c>
      <c r="AE248">
        <f>0.036*(4.19 * 50)</f>
        <v>7.5420000000000007</v>
      </c>
      <c r="AF248">
        <f>0.036*(4.19 * 50)</f>
        <v>7.5420000000000007</v>
      </c>
      <c r="AG248">
        <f>0.035*(4.19 * 50)</f>
        <v>7.3325000000000014</v>
      </c>
    </row>
    <row r="249" spans="1:33" x14ac:dyDescent="0.3">
      <c r="A249" t="s">
        <v>292</v>
      </c>
      <c r="B249">
        <v>358900.75</v>
      </c>
      <c r="C249">
        <v>6667799.8242189996</v>
      </c>
      <c r="D249" t="s">
        <v>542</v>
      </c>
      <c r="E249">
        <v>100</v>
      </c>
      <c r="F249">
        <v>90.333000183105398</v>
      </c>
      <c r="G249">
        <v>0.43118377175706629</v>
      </c>
      <c r="H249">
        <f t="shared" si="7"/>
        <v>175.18050018310541</v>
      </c>
      <c r="I249">
        <f t="shared" si="6"/>
        <v>209.50000000000003</v>
      </c>
      <c r="J249">
        <f>0.393*(4.19 * 50)</f>
        <v>82.333500000000015</v>
      </c>
      <c r="K249">
        <f>0.39*(4.19 * 50)</f>
        <v>81.705000000000013</v>
      </c>
      <c r="L249">
        <f>0.388*(4.19 * 50)</f>
        <v>81.286000000000016</v>
      </c>
      <c r="M249">
        <f>0.386*(4.19 * 50)</f>
        <v>80.867000000000019</v>
      </c>
      <c r="N249">
        <f>0.388*(4.19 * 50)</f>
        <v>81.286000000000016</v>
      </c>
      <c r="O249">
        <f>0.393*(4.19 * 50)</f>
        <v>82.333500000000015</v>
      </c>
      <c r="P249">
        <f>0.405*(4.19 * 50)</f>
        <v>84.847500000000011</v>
      </c>
      <c r="Q249">
        <f>0.415*(4.19 * 50)</f>
        <v>86.94250000000001</v>
      </c>
      <c r="R249">
        <f>0.412*(4.19 * 50)</f>
        <v>86.314000000000007</v>
      </c>
      <c r="S249">
        <f>0.403*(4.19 * 50)</f>
        <v>84.428500000000014</v>
      </c>
      <c r="T249">
        <f>0.401*(4.19 * 50)</f>
        <v>84.009500000000017</v>
      </c>
      <c r="U249">
        <f>0.385*(4.19 * 50)</f>
        <v>80.657500000000013</v>
      </c>
      <c r="V249">
        <f>0.379*(4.19 * 50)</f>
        <v>79.400500000000008</v>
      </c>
      <c r="W249">
        <f>0.374*(4.19 * 50)</f>
        <v>78.353000000000009</v>
      </c>
      <c r="X249">
        <f>0.373*(4.19 * 50)</f>
        <v>78.143500000000017</v>
      </c>
      <c r="Y249">
        <f>0.374*(4.19 * 50)</f>
        <v>78.353000000000009</v>
      </c>
      <c r="Z249">
        <f>0.377*(4.19 * 50)</f>
        <v>78.981500000000011</v>
      </c>
      <c r="AA249">
        <f>0.385*(4.19 * 50)</f>
        <v>80.657500000000013</v>
      </c>
      <c r="AB249">
        <f>0.39*(4.19 * 50)</f>
        <v>81.705000000000013</v>
      </c>
      <c r="AC249">
        <f>0.397*(4.19 * 50)</f>
        <v>83.171500000000009</v>
      </c>
      <c r="AD249">
        <f>0.404*(4.19 * 50)</f>
        <v>84.638000000000019</v>
      </c>
      <c r="AE249">
        <f>0.407*(4.19 * 50)</f>
        <v>85.266500000000008</v>
      </c>
      <c r="AF249">
        <f>0.403*(4.19 * 50)</f>
        <v>84.428500000000014</v>
      </c>
      <c r="AG249">
        <f>0.397*(4.19 * 50)</f>
        <v>83.171500000000009</v>
      </c>
    </row>
    <row r="250" spans="1:33" x14ac:dyDescent="0.3">
      <c r="A250" t="s">
        <v>293</v>
      </c>
      <c r="B250">
        <v>356880.554688</v>
      </c>
      <c r="C250">
        <v>6665808.1328130001</v>
      </c>
      <c r="D250" t="s">
        <v>540</v>
      </c>
      <c r="E250">
        <v>100</v>
      </c>
      <c r="F250">
        <v>10</v>
      </c>
      <c r="G250">
        <v>4.7732696897374693E-2</v>
      </c>
      <c r="H250">
        <f t="shared" si="7"/>
        <v>19.427500000000002</v>
      </c>
      <c r="I250">
        <f t="shared" si="6"/>
        <v>209.50000000000003</v>
      </c>
      <c r="J250">
        <f>0.044*(4.19 * 50)</f>
        <v>9.218</v>
      </c>
      <c r="K250">
        <f>0.043*(4.19 * 50)</f>
        <v>9.0084999999999997</v>
      </c>
      <c r="L250">
        <f>0.043*(4.19 * 50)</f>
        <v>9.0084999999999997</v>
      </c>
      <c r="M250">
        <f>0.043*(4.19 * 50)</f>
        <v>9.0084999999999997</v>
      </c>
      <c r="N250">
        <f>0.043*(4.19 * 50)</f>
        <v>9.0084999999999997</v>
      </c>
      <c r="O250">
        <f>0.043*(4.19 * 50)</f>
        <v>9.0084999999999997</v>
      </c>
      <c r="P250">
        <f>0.045*(4.19 * 50)</f>
        <v>9.4275000000000002</v>
      </c>
      <c r="Q250">
        <f>0.046*(4.19 * 50)</f>
        <v>9.6370000000000005</v>
      </c>
      <c r="R250">
        <f>0.046*(4.19 * 50)</f>
        <v>9.6370000000000005</v>
      </c>
      <c r="S250">
        <f>0.045*(4.19 * 50)</f>
        <v>9.4275000000000002</v>
      </c>
      <c r="T250">
        <f>0.044*(4.19 * 50)</f>
        <v>9.218</v>
      </c>
      <c r="U250">
        <f>0.043*(4.19 * 50)</f>
        <v>9.0084999999999997</v>
      </c>
      <c r="V250">
        <f>0.042*(4.19 * 50)</f>
        <v>8.7990000000000013</v>
      </c>
      <c r="W250">
        <f>0.041*(4.19 * 50)</f>
        <v>8.589500000000001</v>
      </c>
      <c r="X250">
        <f>0.041*(4.19 * 50)</f>
        <v>8.589500000000001</v>
      </c>
      <c r="Y250">
        <f>0.041*(4.19 * 50)</f>
        <v>8.589500000000001</v>
      </c>
      <c r="Z250">
        <f>0.042*(4.19 * 50)</f>
        <v>8.7990000000000013</v>
      </c>
      <c r="AA250">
        <f>0.043*(4.19 * 50)</f>
        <v>9.0084999999999997</v>
      </c>
      <c r="AB250">
        <f>0.043*(4.19 * 50)</f>
        <v>9.0084999999999997</v>
      </c>
      <c r="AC250">
        <f>0.044*(4.19 * 50)</f>
        <v>9.218</v>
      </c>
      <c r="AD250">
        <f>0.045*(4.19 * 50)</f>
        <v>9.4275000000000002</v>
      </c>
      <c r="AE250">
        <f>0.045*(4.19 * 50)</f>
        <v>9.4275000000000002</v>
      </c>
      <c r="AF250">
        <f>0.045*(4.19 * 50)</f>
        <v>9.4275000000000002</v>
      </c>
      <c r="AG250">
        <f>0.044*(4.19 * 50)</f>
        <v>9.218</v>
      </c>
    </row>
    <row r="251" spans="1:33" x14ac:dyDescent="0.3">
      <c r="A251" t="s">
        <v>294</v>
      </c>
      <c r="B251">
        <v>356839.03125</v>
      </c>
      <c r="C251">
        <v>6665821.0859380001</v>
      </c>
      <c r="D251" t="s">
        <v>540</v>
      </c>
      <c r="E251">
        <v>100</v>
      </c>
      <c r="F251">
        <v>8</v>
      </c>
      <c r="G251">
        <v>3.8186157517899763E-2</v>
      </c>
      <c r="H251">
        <f t="shared" si="7"/>
        <v>15.542000000000002</v>
      </c>
      <c r="I251">
        <f t="shared" si="6"/>
        <v>209.50000000000003</v>
      </c>
      <c r="J251">
        <f>0.035*(4.19 * 50)</f>
        <v>7.3325000000000014</v>
      </c>
      <c r="K251">
        <f>0.035*(4.19 * 50)</f>
        <v>7.3325000000000014</v>
      </c>
      <c r="L251">
        <f>0.034*(4.19 * 50)</f>
        <v>7.1230000000000011</v>
      </c>
      <c r="M251">
        <f>0.034*(4.19 * 50)</f>
        <v>7.1230000000000011</v>
      </c>
      <c r="N251">
        <f>0.034*(4.19 * 50)</f>
        <v>7.1230000000000011</v>
      </c>
      <c r="O251">
        <f>0.035*(4.19 * 50)</f>
        <v>7.3325000000000014</v>
      </c>
      <c r="P251">
        <f>0.036*(4.19 * 50)</f>
        <v>7.5420000000000007</v>
      </c>
      <c r="Q251">
        <f>0.037*(4.19 * 50)</f>
        <v>7.7515000000000009</v>
      </c>
      <c r="R251">
        <f>0.036*(4.19 * 50)</f>
        <v>7.5420000000000007</v>
      </c>
      <c r="S251">
        <f>0.036*(4.19 * 50)</f>
        <v>7.5420000000000007</v>
      </c>
      <c r="T251">
        <f>0.036*(4.19 * 50)</f>
        <v>7.5420000000000007</v>
      </c>
      <c r="U251">
        <f>0.034*(4.19 * 50)</f>
        <v>7.1230000000000011</v>
      </c>
      <c r="V251">
        <f>0.034*(4.19 * 50)</f>
        <v>7.1230000000000011</v>
      </c>
      <c r="W251">
        <f>0.033*(4.19 * 50)</f>
        <v>6.9135000000000009</v>
      </c>
      <c r="X251">
        <f>0.033*(4.19 * 50)</f>
        <v>6.9135000000000009</v>
      </c>
      <c r="Y251">
        <f>0.033*(4.19 * 50)</f>
        <v>6.9135000000000009</v>
      </c>
      <c r="Z251">
        <f>0.033*(4.19 * 50)</f>
        <v>6.9135000000000009</v>
      </c>
      <c r="AA251">
        <f>0.034*(4.19 * 50)</f>
        <v>7.1230000000000011</v>
      </c>
      <c r="AB251">
        <f>0.035*(4.19 * 50)</f>
        <v>7.3325000000000014</v>
      </c>
      <c r="AC251">
        <f>0.035*(4.19 * 50)</f>
        <v>7.3325000000000014</v>
      </c>
      <c r="AD251">
        <f>0.036*(4.19 * 50)</f>
        <v>7.5420000000000007</v>
      </c>
      <c r="AE251">
        <f>0.036*(4.19 * 50)</f>
        <v>7.5420000000000007</v>
      </c>
      <c r="AF251">
        <f>0.036*(4.19 * 50)</f>
        <v>7.5420000000000007</v>
      </c>
      <c r="AG251">
        <f>0.035*(4.19 * 50)</f>
        <v>7.3325000000000014</v>
      </c>
    </row>
    <row r="252" spans="1:33" x14ac:dyDescent="0.3">
      <c r="A252" t="s">
        <v>295</v>
      </c>
      <c r="B252">
        <v>357066.355469</v>
      </c>
      <c r="C252">
        <v>6665976.0390630001</v>
      </c>
      <c r="D252" t="s">
        <v>540</v>
      </c>
      <c r="E252">
        <v>100</v>
      </c>
      <c r="F252">
        <v>8</v>
      </c>
      <c r="G252">
        <v>3.8186157517899763E-2</v>
      </c>
      <c r="H252">
        <f t="shared" si="7"/>
        <v>15.542000000000002</v>
      </c>
      <c r="I252">
        <f t="shared" si="6"/>
        <v>209.50000000000003</v>
      </c>
      <c r="J252">
        <f>0.035*(4.19 * 50)</f>
        <v>7.3325000000000014</v>
      </c>
      <c r="K252">
        <f>0.035*(4.19 * 50)</f>
        <v>7.3325000000000014</v>
      </c>
      <c r="L252">
        <f>0.034*(4.19 * 50)</f>
        <v>7.1230000000000011</v>
      </c>
      <c r="M252">
        <f>0.034*(4.19 * 50)</f>
        <v>7.1230000000000011</v>
      </c>
      <c r="N252">
        <f>0.034*(4.19 * 50)</f>
        <v>7.1230000000000011</v>
      </c>
      <c r="O252">
        <f>0.035*(4.19 * 50)</f>
        <v>7.3325000000000014</v>
      </c>
      <c r="P252">
        <f>0.036*(4.19 * 50)</f>
        <v>7.5420000000000007</v>
      </c>
      <c r="Q252">
        <f>0.037*(4.19 * 50)</f>
        <v>7.7515000000000009</v>
      </c>
      <c r="R252">
        <f>0.036*(4.19 * 50)</f>
        <v>7.5420000000000007</v>
      </c>
      <c r="S252">
        <f>0.036*(4.19 * 50)</f>
        <v>7.5420000000000007</v>
      </c>
      <c r="T252">
        <f>0.036*(4.19 * 50)</f>
        <v>7.5420000000000007</v>
      </c>
      <c r="U252">
        <f>0.034*(4.19 * 50)</f>
        <v>7.1230000000000011</v>
      </c>
      <c r="V252">
        <f>0.034*(4.19 * 50)</f>
        <v>7.1230000000000011</v>
      </c>
      <c r="W252">
        <f>0.033*(4.19 * 50)</f>
        <v>6.9135000000000009</v>
      </c>
      <c r="X252">
        <f>0.033*(4.19 * 50)</f>
        <v>6.9135000000000009</v>
      </c>
      <c r="Y252">
        <f>0.033*(4.19 * 50)</f>
        <v>6.9135000000000009</v>
      </c>
      <c r="Z252">
        <f>0.033*(4.19 * 50)</f>
        <v>6.9135000000000009</v>
      </c>
      <c r="AA252">
        <f>0.034*(4.19 * 50)</f>
        <v>7.1230000000000011</v>
      </c>
      <c r="AB252">
        <f>0.035*(4.19 * 50)</f>
        <v>7.3325000000000014</v>
      </c>
      <c r="AC252">
        <f>0.035*(4.19 * 50)</f>
        <v>7.3325000000000014</v>
      </c>
      <c r="AD252">
        <f>0.036*(4.19 * 50)</f>
        <v>7.5420000000000007</v>
      </c>
      <c r="AE252">
        <f>0.036*(4.19 * 50)</f>
        <v>7.5420000000000007</v>
      </c>
      <c r="AF252">
        <f>0.036*(4.19 * 50)</f>
        <v>7.5420000000000007</v>
      </c>
      <c r="AG252">
        <f>0.035*(4.19 * 50)</f>
        <v>7.3325000000000014</v>
      </c>
    </row>
    <row r="253" spans="1:33" x14ac:dyDescent="0.3">
      <c r="A253" t="s">
        <v>296</v>
      </c>
      <c r="B253">
        <v>357046.949219</v>
      </c>
      <c r="C253">
        <v>6665887.46875</v>
      </c>
      <c r="D253" t="s">
        <v>540</v>
      </c>
      <c r="E253">
        <v>100</v>
      </c>
      <c r="F253">
        <v>12</v>
      </c>
      <c r="G253">
        <v>5.7279236276849638E-2</v>
      </c>
      <c r="H253">
        <f t="shared" si="7"/>
        <v>23.313000000000002</v>
      </c>
      <c r="I253">
        <f t="shared" si="6"/>
        <v>209.50000000000003</v>
      </c>
      <c r="J253">
        <f>0.052*(4.19 * 50)</f>
        <v>10.894</v>
      </c>
      <c r="K253">
        <f>0.052*(4.19 * 50)</f>
        <v>10.894</v>
      </c>
      <c r="L253">
        <f>0.051*(4.19 * 50)</f>
        <v>10.6845</v>
      </c>
      <c r="M253">
        <f>0.051*(4.19 * 50)</f>
        <v>10.6845</v>
      </c>
      <c r="N253">
        <f>0.051*(4.19 * 50)</f>
        <v>10.6845</v>
      </c>
      <c r="O253">
        <f>0.052*(4.19 * 50)</f>
        <v>10.894</v>
      </c>
      <c r="P253">
        <f>0.054*(4.19 * 50)</f>
        <v>11.313000000000001</v>
      </c>
      <c r="Q253">
        <f>0.055*(4.19 * 50)</f>
        <v>11.522500000000001</v>
      </c>
      <c r="R253">
        <f>0.055*(4.19 * 50)</f>
        <v>11.522500000000001</v>
      </c>
      <c r="S253">
        <f>0.054*(4.19 * 50)</f>
        <v>11.313000000000001</v>
      </c>
      <c r="T253">
        <f>0.053*(4.19 * 50)</f>
        <v>11.1035</v>
      </c>
      <c r="U253">
        <f>0.051*(4.19 * 50)</f>
        <v>10.6845</v>
      </c>
      <c r="V253">
        <f>0.05*(4.19 * 50)</f>
        <v>10.475000000000001</v>
      </c>
      <c r="W253">
        <f>0.05*(4.19 * 50)</f>
        <v>10.475000000000001</v>
      </c>
      <c r="X253">
        <f>0.05*(4.19 * 50)</f>
        <v>10.475000000000001</v>
      </c>
      <c r="Y253">
        <f>0.05*(4.19 * 50)</f>
        <v>10.475000000000001</v>
      </c>
      <c r="Z253">
        <f>0.05*(4.19 * 50)</f>
        <v>10.475000000000001</v>
      </c>
      <c r="AA253">
        <f>0.051*(4.19 * 50)</f>
        <v>10.6845</v>
      </c>
      <c r="AB253">
        <f>0.052*(4.19 * 50)</f>
        <v>10.894</v>
      </c>
      <c r="AC253">
        <f>0.053*(4.19 * 50)</f>
        <v>11.1035</v>
      </c>
      <c r="AD253">
        <f>0.054*(4.19 * 50)</f>
        <v>11.313000000000001</v>
      </c>
      <c r="AE253">
        <f>0.054*(4.19 * 50)</f>
        <v>11.313000000000001</v>
      </c>
      <c r="AF253">
        <f>0.054*(4.19 * 50)</f>
        <v>11.313000000000001</v>
      </c>
      <c r="AG253">
        <f>0.053*(4.19 * 50)</f>
        <v>11.1035</v>
      </c>
    </row>
    <row r="254" spans="1:33" x14ac:dyDescent="0.3">
      <c r="A254" t="s">
        <v>297</v>
      </c>
      <c r="B254">
        <v>356877.320313</v>
      </c>
      <c r="C254">
        <v>6665820.8554689996</v>
      </c>
      <c r="D254" t="s">
        <v>540</v>
      </c>
      <c r="E254">
        <v>100</v>
      </c>
      <c r="F254">
        <v>6</v>
      </c>
      <c r="G254">
        <v>2.8639618138424819E-2</v>
      </c>
      <c r="H254">
        <f t="shared" si="7"/>
        <v>11.656500000000001</v>
      </c>
      <c r="I254">
        <f t="shared" si="6"/>
        <v>209.50000000000003</v>
      </c>
      <c r="J254">
        <f>0.026*(4.19 * 50)</f>
        <v>5.4470000000000001</v>
      </c>
      <c r="K254">
        <f>0.026*(4.19 * 50)</f>
        <v>5.4470000000000001</v>
      </c>
      <c r="L254">
        <f>0.026*(4.19 * 50)</f>
        <v>5.4470000000000001</v>
      </c>
      <c r="M254">
        <f>0.026*(4.19 * 50)</f>
        <v>5.4470000000000001</v>
      </c>
      <c r="N254">
        <f>0.026*(4.19 * 50)</f>
        <v>5.4470000000000001</v>
      </c>
      <c r="O254">
        <f>0.026*(4.19 * 50)</f>
        <v>5.4470000000000001</v>
      </c>
      <c r="P254">
        <f>0.027*(4.19 * 50)</f>
        <v>5.6565000000000003</v>
      </c>
      <c r="Q254">
        <f>0.028*(4.19 * 50)</f>
        <v>5.8660000000000005</v>
      </c>
      <c r="R254">
        <f>0.027*(4.19 * 50)</f>
        <v>5.6565000000000003</v>
      </c>
      <c r="S254">
        <f>0.027*(4.19 * 50)</f>
        <v>5.6565000000000003</v>
      </c>
      <c r="T254">
        <f>0.027*(4.19 * 50)</f>
        <v>5.6565000000000003</v>
      </c>
      <c r="U254">
        <f>0.026*(4.19 * 50)</f>
        <v>5.4470000000000001</v>
      </c>
      <c r="V254">
        <f>0.025*(4.19 * 50)</f>
        <v>5.2375000000000007</v>
      </c>
      <c r="W254">
        <f>0.025*(4.19 * 50)</f>
        <v>5.2375000000000007</v>
      </c>
      <c r="X254">
        <f>0.025*(4.19 * 50)</f>
        <v>5.2375000000000007</v>
      </c>
      <c r="Y254">
        <f>0.025*(4.19 * 50)</f>
        <v>5.2375000000000007</v>
      </c>
      <c r="Z254">
        <f>0.025*(4.19 * 50)</f>
        <v>5.2375000000000007</v>
      </c>
      <c r="AA254">
        <f>0.026*(4.19 * 50)</f>
        <v>5.4470000000000001</v>
      </c>
      <c r="AB254">
        <f>0.026*(4.19 * 50)</f>
        <v>5.4470000000000001</v>
      </c>
      <c r="AC254">
        <f>0.026*(4.19 * 50)</f>
        <v>5.4470000000000001</v>
      </c>
      <c r="AD254">
        <f>0.027*(4.19 * 50)</f>
        <v>5.6565000000000003</v>
      </c>
      <c r="AE254">
        <f>0.027*(4.19 * 50)</f>
        <v>5.6565000000000003</v>
      </c>
      <c r="AF254">
        <f>0.027*(4.19 * 50)</f>
        <v>5.6565000000000003</v>
      </c>
      <c r="AG254">
        <f>0.026*(4.19 * 50)</f>
        <v>5.4470000000000001</v>
      </c>
    </row>
    <row r="255" spans="1:33" x14ac:dyDescent="0.3">
      <c r="A255" t="s">
        <v>298</v>
      </c>
      <c r="B255">
        <v>361828.796875</v>
      </c>
      <c r="C255">
        <v>6669118.8945310004</v>
      </c>
      <c r="D255" t="s">
        <v>541</v>
      </c>
      <c r="E255">
        <v>100</v>
      </c>
      <c r="F255">
        <v>137.66700744628901</v>
      </c>
      <c r="G255">
        <v>0.65712175392023386</v>
      </c>
      <c r="H255">
        <f t="shared" si="7"/>
        <v>266.92850744628902</v>
      </c>
      <c r="I255">
        <f t="shared" si="6"/>
        <v>209.50000000000003</v>
      </c>
      <c r="J255">
        <f>0.599*(4.19 * 50)</f>
        <v>125.49050000000001</v>
      </c>
      <c r="K255">
        <f>0.594*(4.19 * 50)</f>
        <v>124.44300000000001</v>
      </c>
      <c r="L255">
        <f>0.591*(4.19 * 50)</f>
        <v>123.81450000000001</v>
      </c>
      <c r="M255">
        <f>0.588*(4.19 * 50)</f>
        <v>123.18600000000001</v>
      </c>
      <c r="N255">
        <f>0.591*(4.19 * 50)</f>
        <v>123.81450000000001</v>
      </c>
      <c r="O255">
        <f>0.599*(4.19 * 50)</f>
        <v>125.49050000000001</v>
      </c>
      <c r="P255">
        <f>0.617*(4.19 * 50)</f>
        <v>129.26150000000001</v>
      </c>
      <c r="Q255">
        <f>0.633*(4.19 * 50)</f>
        <v>132.61350000000002</v>
      </c>
      <c r="R255">
        <f>0.627*(4.19 * 50)</f>
        <v>131.35650000000001</v>
      </c>
      <c r="S255">
        <f>0.614*(4.19 * 50)</f>
        <v>128.63300000000001</v>
      </c>
      <c r="T255">
        <f>0.612*(4.19 * 50)</f>
        <v>128.21400000000003</v>
      </c>
      <c r="U255">
        <f>0.586*(4.19 * 50)</f>
        <v>122.76700000000001</v>
      </c>
      <c r="V255">
        <f>0.578*(4.19 * 50)</f>
        <v>121.09100000000001</v>
      </c>
      <c r="W255">
        <f>0.57*(4.19 * 50)</f>
        <v>119.41500000000001</v>
      </c>
      <c r="X255">
        <f>0.568*(4.19 * 50)</f>
        <v>118.99600000000001</v>
      </c>
      <c r="Y255">
        <f>0.569*(4.19 * 50)</f>
        <v>119.2055</v>
      </c>
      <c r="Z255">
        <f>0.575*(4.19 * 50)</f>
        <v>120.46250000000001</v>
      </c>
      <c r="AA255">
        <f>0.586*(4.19 * 50)</f>
        <v>122.76700000000001</v>
      </c>
      <c r="AB255">
        <f>0.594*(4.19 * 50)</f>
        <v>124.44300000000001</v>
      </c>
      <c r="AC255">
        <f>0.605*(4.19 * 50)</f>
        <v>126.74750000000002</v>
      </c>
      <c r="AD255">
        <f>0.615*(4.19 * 50)</f>
        <v>128.84250000000003</v>
      </c>
      <c r="AE255">
        <f>0.62*(4.19 * 50)</f>
        <v>129.89000000000001</v>
      </c>
      <c r="AF255">
        <f>0.614*(4.19 * 50)</f>
        <v>128.63300000000001</v>
      </c>
      <c r="AG255">
        <f>0.606*(4.19 * 50)</f>
        <v>126.95700000000001</v>
      </c>
    </row>
    <row r="256" spans="1:33" x14ac:dyDescent="0.3">
      <c r="A256" t="s">
        <v>299</v>
      </c>
      <c r="B256">
        <v>357112.460938</v>
      </c>
      <c r="C256">
        <v>6669344.078125</v>
      </c>
      <c r="D256" t="s">
        <v>561</v>
      </c>
      <c r="E256">
        <v>100</v>
      </c>
      <c r="F256">
        <v>56.333000183105398</v>
      </c>
      <c r="G256">
        <v>0.26889260230599232</v>
      </c>
      <c r="H256">
        <f t="shared" si="7"/>
        <v>109.12700018310539</v>
      </c>
      <c r="I256">
        <f t="shared" si="6"/>
        <v>209.50000000000003</v>
      </c>
      <c r="J256">
        <f>0.245*(4.19 * 50)</f>
        <v>51.327500000000008</v>
      </c>
      <c r="K256">
        <f>0.243*(4.19 * 50)</f>
        <v>50.908500000000004</v>
      </c>
      <c r="L256">
        <f>0.242*(4.19 * 50)</f>
        <v>50.699000000000005</v>
      </c>
      <c r="M256">
        <f>0.241*(4.19 * 50)</f>
        <v>50.489500000000007</v>
      </c>
      <c r="N256">
        <f>0.242*(4.19 * 50)</f>
        <v>50.699000000000005</v>
      </c>
      <c r="O256">
        <f>0.245*(4.19 * 50)</f>
        <v>51.327500000000008</v>
      </c>
      <c r="P256">
        <f>0.252*(4.19 * 50)</f>
        <v>52.794000000000004</v>
      </c>
      <c r="Q256">
        <f>0.259*(4.19 * 50)</f>
        <v>54.260500000000008</v>
      </c>
      <c r="R256">
        <f>0.257*(4.19 * 50)</f>
        <v>53.841500000000011</v>
      </c>
      <c r="S256">
        <f>0.251*(4.19 * 50)</f>
        <v>52.584500000000006</v>
      </c>
      <c r="T256">
        <f>0.25*(4.19 * 50)</f>
        <v>52.375000000000007</v>
      </c>
      <c r="U256">
        <f>0.24*(4.19 * 50)</f>
        <v>50.280000000000008</v>
      </c>
      <c r="V256">
        <f>0.236*(4.19 * 50)</f>
        <v>49.442000000000007</v>
      </c>
      <c r="W256">
        <f>0.233*(4.19 * 50)</f>
        <v>48.813500000000012</v>
      </c>
      <c r="X256">
        <f>0.232*(4.19 * 50)</f>
        <v>48.604000000000006</v>
      </c>
      <c r="Y256">
        <f>0.233*(4.19 * 50)</f>
        <v>48.813500000000012</v>
      </c>
      <c r="Z256">
        <f>0.235*(4.19 * 50)</f>
        <v>49.232500000000002</v>
      </c>
      <c r="AA256">
        <f>0.24*(4.19 * 50)</f>
        <v>50.280000000000008</v>
      </c>
      <c r="AB256">
        <f>0.243*(4.19 * 50)</f>
        <v>50.908500000000004</v>
      </c>
      <c r="AC256">
        <f>0.248*(4.19 * 50)</f>
        <v>51.95600000000001</v>
      </c>
      <c r="AD256">
        <f>0.252*(4.19 * 50)</f>
        <v>52.794000000000004</v>
      </c>
      <c r="AE256">
        <f>0.254*(4.19 * 50)</f>
        <v>53.213000000000008</v>
      </c>
      <c r="AF256">
        <f>0.251*(4.19 * 50)</f>
        <v>52.584500000000006</v>
      </c>
      <c r="AG256">
        <f>0.248*(4.19 * 50)</f>
        <v>51.95600000000001</v>
      </c>
    </row>
    <row r="257" spans="1:33" x14ac:dyDescent="0.3">
      <c r="A257" t="s">
        <v>300</v>
      </c>
      <c r="B257">
        <v>357037.078125</v>
      </c>
      <c r="C257">
        <v>6666005.7070310004</v>
      </c>
      <c r="D257" t="s">
        <v>540</v>
      </c>
      <c r="E257">
        <v>100</v>
      </c>
      <c r="F257">
        <v>7</v>
      </c>
      <c r="G257">
        <v>3.3412887828162277E-2</v>
      </c>
      <c r="H257">
        <f t="shared" si="7"/>
        <v>13.494500000000002</v>
      </c>
      <c r="I257">
        <f t="shared" si="6"/>
        <v>209.50000000000003</v>
      </c>
      <c r="J257">
        <f>0.03*(4.19 * 50)</f>
        <v>6.285000000000001</v>
      </c>
      <c r="K257">
        <f>0.03*(4.19 * 50)</f>
        <v>6.285000000000001</v>
      </c>
      <c r="L257">
        <f>0.03*(4.19 * 50)</f>
        <v>6.285000000000001</v>
      </c>
      <c r="M257">
        <f>0.03*(4.19 * 50)</f>
        <v>6.285000000000001</v>
      </c>
      <c r="N257">
        <f>0.03*(4.19 * 50)</f>
        <v>6.285000000000001</v>
      </c>
      <c r="O257">
        <f>0.03*(4.19 * 50)</f>
        <v>6.285000000000001</v>
      </c>
      <c r="P257">
        <f>0.031*(4.19 * 50)</f>
        <v>6.4945000000000013</v>
      </c>
      <c r="Q257">
        <f>0.032*(4.19 * 50)</f>
        <v>6.7040000000000006</v>
      </c>
      <c r="R257">
        <f>0.032*(4.19 * 50)</f>
        <v>6.7040000000000006</v>
      </c>
      <c r="S257">
        <f>0.031*(4.19 * 50)</f>
        <v>6.4945000000000013</v>
      </c>
      <c r="T257">
        <f>0.031*(4.19 * 50)</f>
        <v>6.4945000000000013</v>
      </c>
      <c r="U257">
        <f>0.03*(4.19 * 50)</f>
        <v>6.285000000000001</v>
      </c>
      <c r="V257">
        <f>0.029*(4.19 * 50)</f>
        <v>6.0755000000000008</v>
      </c>
      <c r="W257">
        <f>0.029*(4.19 * 50)</f>
        <v>6.0755000000000008</v>
      </c>
      <c r="X257">
        <f>0.029*(4.19 * 50)</f>
        <v>6.0755000000000008</v>
      </c>
      <c r="Y257">
        <f>0.029*(4.19 * 50)</f>
        <v>6.0755000000000008</v>
      </c>
      <c r="Z257">
        <f>0.029*(4.19 * 50)</f>
        <v>6.0755000000000008</v>
      </c>
      <c r="AA257">
        <f>0.03*(4.19 * 50)</f>
        <v>6.285000000000001</v>
      </c>
      <c r="AB257">
        <f>0.03*(4.19 * 50)</f>
        <v>6.285000000000001</v>
      </c>
      <c r="AC257">
        <f>0.031*(4.19 * 50)</f>
        <v>6.4945000000000013</v>
      </c>
      <c r="AD257">
        <f>0.031*(4.19 * 50)</f>
        <v>6.4945000000000013</v>
      </c>
      <c r="AE257">
        <f>0.032*(4.19 * 50)</f>
        <v>6.7040000000000006</v>
      </c>
      <c r="AF257">
        <f>0.031*(4.19 * 50)</f>
        <v>6.4945000000000013</v>
      </c>
      <c r="AG257">
        <f>0.031*(4.19 * 50)</f>
        <v>6.4945000000000013</v>
      </c>
    </row>
    <row r="258" spans="1:33" x14ac:dyDescent="0.3">
      <c r="A258" t="s">
        <v>301</v>
      </c>
      <c r="B258">
        <v>356973.953125</v>
      </c>
      <c r="C258">
        <v>6665970.640625</v>
      </c>
      <c r="D258" t="s">
        <v>540</v>
      </c>
      <c r="E258">
        <v>100</v>
      </c>
      <c r="F258">
        <v>9</v>
      </c>
      <c r="G258">
        <v>4.2959427207637228E-2</v>
      </c>
      <c r="H258">
        <f t="shared" si="7"/>
        <v>17.380000000000003</v>
      </c>
      <c r="I258">
        <f t="shared" si="6"/>
        <v>209.50000000000003</v>
      </c>
      <c r="J258">
        <f>0.039*(4.19 * 50)</f>
        <v>8.1705000000000005</v>
      </c>
      <c r="K258">
        <f>0.039*(4.19 * 50)</f>
        <v>8.1705000000000005</v>
      </c>
      <c r="L258">
        <f>0.039*(4.19 * 50)</f>
        <v>8.1705000000000005</v>
      </c>
      <c r="M258">
        <f>0.038*(4.19 * 50)</f>
        <v>7.9610000000000012</v>
      </c>
      <c r="N258">
        <f>0.039*(4.19 * 50)</f>
        <v>8.1705000000000005</v>
      </c>
      <c r="O258">
        <f>0.039*(4.19 * 50)</f>
        <v>8.1705000000000005</v>
      </c>
      <c r="P258">
        <f>0.04*(4.19 * 50)</f>
        <v>8.3800000000000008</v>
      </c>
      <c r="Q258">
        <f>0.041*(4.19 * 50)</f>
        <v>8.589500000000001</v>
      </c>
      <c r="R258">
        <f>0.041*(4.19 * 50)</f>
        <v>8.589500000000001</v>
      </c>
      <c r="S258">
        <f>0.04*(4.19 * 50)</f>
        <v>8.3800000000000008</v>
      </c>
      <c r="T258">
        <f>0.04*(4.19 * 50)</f>
        <v>8.3800000000000008</v>
      </c>
      <c r="U258">
        <f>0.038*(4.19 * 50)</f>
        <v>7.9610000000000012</v>
      </c>
      <c r="V258">
        <f>0.038*(4.19 * 50)</f>
        <v>7.9610000000000012</v>
      </c>
      <c r="W258">
        <f>0.037*(4.19 * 50)</f>
        <v>7.7515000000000009</v>
      </c>
      <c r="X258">
        <f>0.037*(4.19 * 50)</f>
        <v>7.7515000000000009</v>
      </c>
      <c r="Y258">
        <f>0.037*(4.19 * 50)</f>
        <v>7.7515000000000009</v>
      </c>
      <c r="Z258">
        <f>0.038*(4.19 * 50)</f>
        <v>7.9610000000000012</v>
      </c>
      <c r="AA258">
        <f>0.038*(4.19 * 50)</f>
        <v>7.9610000000000012</v>
      </c>
      <c r="AB258">
        <f>0.039*(4.19 * 50)</f>
        <v>8.1705000000000005</v>
      </c>
      <c r="AC258">
        <f>0.04*(4.19 * 50)</f>
        <v>8.3800000000000008</v>
      </c>
      <c r="AD258">
        <f>0.04*(4.19 * 50)</f>
        <v>8.3800000000000008</v>
      </c>
      <c r="AE258">
        <f>0.041*(4.19 * 50)</f>
        <v>8.589500000000001</v>
      </c>
      <c r="AF258">
        <f>0.04*(4.19 * 50)</f>
        <v>8.3800000000000008</v>
      </c>
      <c r="AG258">
        <f>0.04*(4.19 * 50)</f>
        <v>8.3800000000000008</v>
      </c>
    </row>
    <row r="259" spans="1:33" x14ac:dyDescent="0.3">
      <c r="A259" t="s">
        <v>302</v>
      </c>
      <c r="B259">
        <v>357000.671875</v>
      </c>
      <c r="C259">
        <v>6669178.09375</v>
      </c>
      <c r="D259" t="s">
        <v>561</v>
      </c>
      <c r="E259">
        <v>100</v>
      </c>
      <c r="F259">
        <v>46</v>
      </c>
      <c r="G259">
        <v>0.21957040572792361</v>
      </c>
      <c r="H259">
        <f t="shared" si="7"/>
        <v>89.157000000000011</v>
      </c>
      <c r="I259">
        <f t="shared" ref="I259:I322" si="8">4.19 * 50</f>
        <v>209.50000000000003</v>
      </c>
      <c r="J259">
        <f>0.2*(4.19 * 50)</f>
        <v>41.900000000000006</v>
      </c>
      <c r="K259">
        <f>0.199*(4.19 * 50)</f>
        <v>41.690500000000007</v>
      </c>
      <c r="L259">
        <f>0.197*(4.19 * 50)</f>
        <v>41.27150000000001</v>
      </c>
      <c r="M259">
        <f>0.197*(4.19 * 50)</f>
        <v>41.27150000000001</v>
      </c>
      <c r="N259">
        <f>0.197*(4.19 * 50)</f>
        <v>41.27150000000001</v>
      </c>
      <c r="O259">
        <f>0.2*(4.19 * 50)</f>
        <v>41.900000000000006</v>
      </c>
      <c r="P259">
        <f>0.206*(4.19 * 50)</f>
        <v>43.157000000000004</v>
      </c>
      <c r="Q259">
        <f>0.211*(4.19 * 50)</f>
        <v>44.204500000000003</v>
      </c>
      <c r="R259">
        <f>0.21*(4.19 * 50)</f>
        <v>43.995000000000005</v>
      </c>
      <c r="S259">
        <f>0.205*(4.19 * 50)</f>
        <v>42.947500000000005</v>
      </c>
      <c r="T259">
        <f>0.204*(4.19 * 50)</f>
        <v>42.738</v>
      </c>
      <c r="U259">
        <f>0.196*(4.19 * 50)</f>
        <v>41.062000000000005</v>
      </c>
      <c r="V259">
        <f>0.193*(4.19 * 50)</f>
        <v>40.433500000000009</v>
      </c>
      <c r="W259">
        <f>0.19*(4.19 * 50)</f>
        <v>39.805000000000007</v>
      </c>
      <c r="X259">
        <f>0.19*(4.19 * 50)</f>
        <v>39.805000000000007</v>
      </c>
      <c r="Y259">
        <f>0.19*(4.19 * 50)</f>
        <v>39.805000000000007</v>
      </c>
      <c r="Z259">
        <f>0.192*(4.19 * 50)</f>
        <v>40.224000000000004</v>
      </c>
      <c r="AA259">
        <f>0.196*(4.19 * 50)</f>
        <v>41.062000000000005</v>
      </c>
      <c r="AB259">
        <f>0.199*(4.19 * 50)</f>
        <v>41.690500000000007</v>
      </c>
      <c r="AC259">
        <f>0.202*(4.19 * 50)</f>
        <v>42.31900000000001</v>
      </c>
      <c r="AD259">
        <f>0.206*(4.19 * 50)</f>
        <v>43.157000000000004</v>
      </c>
      <c r="AE259">
        <f>0.207*(4.19 * 50)</f>
        <v>43.366500000000002</v>
      </c>
      <c r="AF259">
        <f>0.205*(4.19 * 50)</f>
        <v>42.947500000000005</v>
      </c>
      <c r="AG259">
        <f>0.202*(4.19 * 50)</f>
        <v>42.31900000000001</v>
      </c>
    </row>
    <row r="260" spans="1:33" x14ac:dyDescent="0.3">
      <c r="A260" t="s">
        <v>303</v>
      </c>
      <c r="B260">
        <v>356879.515625</v>
      </c>
      <c r="C260">
        <v>6665741.5390630001</v>
      </c>
      <c r="D260" t="s">
        <v>540</v>
      </c>
      <c r="E260">
        <v>100</v>
      </c>
      <c r="F260">
        <v>11</v>
      </c>
      <c r="G260">
        <v>5.2505966587112173E-2</v>
      </c>
      <c r="H260">
        <f t="shared" ref="H260:H323" si="9">F260+P260</f>
        <v>21.265500000000003</v>
      </c>
      <c r="I260">
        <f t="shared" si="8"/>
        <v>209.50000000000003</v>
      </c>
      <c r="J260">
        <f>0.048*(4.19 * 50)</f>
        <v>10.056000000000001</v>
      </c>
      <c r="K260">
        <f>0.047*(4.19 * 50)</f>
        <v>9.8465000000000007</v>
      </c>
      <c r="L260">
        <f>0.047*(4.19 * 50)</f>
        <v>9.8465000000000007</v>
      </c>
      <c r="M260">
        <f>0.047*(4.19 * 50)</f>
        <v>9.8465000000000007</v>
      </c>
      <c r="N260">
        <f>0.047*(4.19 * 50)</f>
        <v>9.8465000000000007</v>
      </c>
      <c r="O260">
        <f>0.048*(4.19 * 50)</f>
        <v>10.056000000000001</v>
      </c>
      <c r="P260">
        <f>0.049*(4.19 * 50)</f>
        <v>10.265500000000001</v>
      </c>
      <c r="Q260">
        <f>0.051*(4.19 * 50)</f>
        <v>10.6845</v>
      </c>
      <c r="R260">
        <f>0.05*(4.19 * 50)</f>
        <v>10.475000000000001</v>
      </c>
      <c r="S260">
        <f>0.049*(4.19 * 50)</f>
        <v>10.265500000000001</v>
      </c>
      <c r="T260">
        <f>0.049*(4.19 * 50)</f>
        <v>10.265500000000001</v>
      </c>
      <c r="U260">
        <f>0.047*(4.19 * 50)</f>
        <v>9.8465000000000007</v>
      </c>
      <c r="V260">
        <f>0.046*(4.19 * 50)</f>
        <v>9.6370000000000005</v>
      </c>
      <c r="W260">
        <f>0.046*(4.19 * 50)</f>
        <v>9.6370000000000005</v>
      </c>
      <c r="X260">
        <f>0.045*(4.19 * 50)</f>
        <v>9.4275000000000002</v>
      </c>
      <c r="Y260">
        <f>0.045*(4.19 * 50)</f>
        <v>9.4275000000000002</v>
      </c>
      <c r="Z260">
        <f>0.046*(4.19 * 50)</f>
        <v>9.6370000000000005</v>
      </c>
      <c r="AA260">
        <f>0.047*(4.19 * 50)</f>
        <v>9.8465000000000007</v>
      </c>
      <c r="AB260">
        <f>0.047*(4.19 * 50)</f>
        <v>9.8465000000000007</v>
      </c>
      <c r="AC260">
        <f>0.048*(4.19 * 50)</f>
        <v>10.056000000000001</v>
      </c>
      <c r="AD260">
        <f>0.049*(4.19 * 50)</f>
        <v>10.265500000000001</v>
      </c>
      <c r="AE260">
        <f>0.05*(4.19 * 50)</f>
        <v>10.475000000000001</v>
      </c>
      <c r="AF260">
        <f>0.049*(4.19 * 50)</f>
        <v>10.265500000000001</v>
      </c>
      <c r="AG260">
        <f>0.048*(4.19 * 50)</f>
        <v>10.056000000000001</v>
      </c>
    </row>
    <row r="261" spans="1:33" x14ac:dyDescent="0.3">
      <c r="A261" t="s">
        <v>304</v>
      </c>
      <c r="B261">
        <v>357445.042969</v>
      </c>
      <c r="C261">
        <v>6669319</v>
      </c>
      <c r="D261" t="s">
        <v>547</v>
      </c>
      <c r="E261">
        <v>100</v>
      </c>
      <c r="F261">
        <v>81.666999816894503</v>
      </c>
      <c r="G261">
        <v>0.38981861487777802</v>
      </c>
      <c r="H261">
        <f t="shared" si="9"/>
        <v>158.3439998168945</v>
      </c>
      <c r="I261">
        <f t="shared" si="8"/>
        <v>209.50000000000003</v>
      </c>
      <c r="J261">
        <f>0.355*(4.19 * 50)</f>
        <v>74.372500000000002</v>
      </c>
      <c r="K261">
        <f>0.353*(4.19 * 50)</f>
        <v>73.953500000000005</v>
      </c>
      <c r="L261">
        <f>0.35*(4.19 * 50)</f>
        <v>73.325000000000003</v>
      </c>
      <c r="M261">
        <f>0.349*(4.19 * 50)</f>
        <v>73.115500000000011</v>
      </c>
      <c r="N261">
        <f>0.35*(4.19 * 50)</f>
        <v>73.325000000000003</v>
      </c>
      <c r="O261">
        <f>0.355*(4.19 * 50)</f>
        <v>74.372500000000002</v>
      </c>
      <c r="P261">
        <f>0.366*(4.19 * 50)</f>
        <v>76.677000000000007</v>
      </c>
      <c r="Q261">
        <f>0.375*(4.19 * 50)</f>
        <v>78.562500000000014</v>
      </c>
      <c r="R261">
        <f>0.372*(4.19 * 50)</f>
        <v>77.934000000000012</v>
      </c>
      <c r="S261">
        <f>0.364*(4.19 * 50)</f>
        <v>76.25800000000001</v>
      </c>
      <c r="T261">
        <f>0.363*(4.19 * 50)</f>
        <v>76.048500000000004</v>
      </c>
      <c r="U261">
        <f>0.348*(4.19 * 50)</f>
        <v>72.906000000000006</v>
      </c>
      <c r="V261">
        <f>0.343*(4.19 * 50)</f>
        <v>71.858500000000021</v>
      </c>
      <c r="W261">
        <f>0.338*(4.19 * 50)</f>
        <v>70.811000000000021</v>
      </c>
      <c r="X261">
        <f>0.337*(4.19 * 50)</f>
        <v>70.601500000000016</v>
      </c>
      <c r="Y261">
        <f>0.338*(4.19 * 50)</f>
        <v>70.811000000000021</v>
      </c>
      <c r="Z261">
        <f>0.341*(4.19 * 50)</f>
        <v>71.43950000000001</v>
      </c>
      <c r="AA261">
        <f>0.348*(4.19 * 50)</f>
        <v>72.906000000000006</v>
      </c>
      <c r="AB261">
        <f>0.353*(4.19 * 50)</f>
        <v>73.953500000000005</v>
      </c>
      <c r="AC261">
        <f>0.359*(4.19 * 50)</f>
        <v>75.21050000000001</v>
      </c>
      <c r="AD261">
        <f>0.365*(4.19 * 50)</f>
        <v>76.467500000000015</v>
      </c>
      <c r="AE261">
        <f>0.368*(4.19 * 50)</f>
        <v>77.096000000000004</v>
      </c>
      <c r="AF261">
        <f>0.364*(4.19 * 50)</f>
        <v>76.25800000000001</v>
      </c>
      <c r="AG261">
        <f>0.359*(4.19 * 50)</f>
        <v>75.21050000000001</v>
      </c>
    </row>
    <row r="262" spans="1:33" x14ac:dyDescent="0.3">
      <c r="A262" t="s">
        <v>305</v>
      </c>
      <c r="B262">
        <v>360263.117188</v>
      </c>
      <c r="C262">
        <v>6668583.9101560004</v>
      </c>
      <c r="D262" t="s">
        <v>540</v>
      </c>
      <c r="E262">
        <v>100</v>
      </c>
      <c r="F262">
        <v>6</v>
      </c>
      <c r="G262">
        <v>2.8639618138424819E-2</v>
      </c>
      <c r="H262">
        <f t="shared" si="9"/>
        <v>11.656500000000001</v>
      </c>
      <c r="I262">
        <f t="shared" si="8"/>
        <v>209.50000000000003</v>
      </c>
      <c r="J262">
        <f>0.026*(4.19 * 50)</f>
        <v>5.4470000000000001</v>
      </c>
      <c r="K262">
        <f>0.026*(4.19 * 50)</f>
        <v>5.4470000000000001</v>
      </c>
      <c r="L262">
        <f>0.026*(4.19 * 50)</f>
        <v>5.4470000000000001</v>
      </c>
      <c r="M262">
        <f>0.026*(4.19 * 50)</f>
        <v>5.4470000000000001</v>
      </c>
      <c r="N262">
        <f>0.026*(4.19 * 50)</f>
        <v>5.4470000000000001</v>
      </c>
      <c r="O262">
        <f>0.026*(4.19 * 50)</f>
        <v>5.4470000000000001</v>
      </c>
      <c r="P262">
        <f>0.027*(4.19 * 50)</f>
        <v>5.6565000000000003</v>
      </c>
      <c r="Q262">
        <f>0.028*(4.19 * 50)</f>
        <v>5.8660000000000005</v>
      </c>
      <c r="R262">
        <f>0.027*(4.19 * 50)</f>
        <v>5.6565000000000003</v>
      </c>
      <c r="S262">
        <f>0.027*(4.19 * 50)</f>
        <v>5.6565000000000003</v>
      </c>
      <c r="T262">
        <f>0.027*(4.19 * 50)</f>
        <v>5.6565000000000003</v>
      </c>
      <c r="U262">
        <f>0.026*(4.19 * 50)</f>
        <v>5.4470000000000001</v>
      </c>
      <c r="V262">
        <f>0.025*(4.19 * 50)</f>
        <v>5.2375000000000007</v>
      </c>
      <c r="W262">
        <f>0.025*(4.19 * 50)</f>
        <v>5.2375000000000007</v>
      </c>
      <c r="X262">
        <f>0.025*(4.19 * 50)</f>
        <v>5.2375000000000007</v>
      </c>
      <c r="Y262">
        <f>0.025*(4.19 * 50)</f>
        <v>5.2375000000000007</v>
      </c>
      <c r="Z262">
        <f>0.025*(4.19 * 50)</f>
        <v>5.2375000000000007</v>
      </c>
      <c r="AA262">
        <f>0.026*(4.19 * 50)</f>
        <v>5.4470000000000001</v>
      </c>
      <c r="AB262">
        <f>0.026*(4.19 * 50)</f>
        <v>5.4470000000000001</v>
      </c>
      <c r="AC262">
        <f>0.026*(4.19 * 50)</f>
        <v>5.4470000000000001</v>
      </c>
      <c r="AD262">
        <f>0.027*(4.19 * 50)</f>
        <v>5.6565000000000003</v>
      </c>
      <c r="AE262">
        <f>0.027*(4.19 * 50)</f>
        <v>5.6565000000000003</v>
      </c>
      <c r="AF262">
        <f>0.027*(4.19 * 50)</f>
        <v>5.6565000000000003</v>
      </c>
      <c r="AG262">
        <f>0.026*(4.19 * 50)</f>
        <v>5.4470000000000001</v>
      </c>
    </row>
    <row r="263" spans="1:33" x14ac:dyDescent="0.3">
      <c r="A263" t="s">
        <v>306</v>
      </c>
      <c r="B263">
        <v>357062.039063</v>
      </c>
      <c r="C263">
        <v>6665927.6953130001</v>
      </c>
      <c r="D263" t="s">
        <v>540</v>
      </c>
      <c r="E263">
        <v>100</v>
      </c>
      <c r="F263">
        <v>10</v>
      </c>
      <c r="G263">
        <v>4.7732696897374693E-2</v>
      </c>
      <c r="H263">
        <f t="shared" si="9"/>
        <v>19.427500000000002</v>
      </c>
      <c r="I263">
        <f t="shared" si="8"/>
        <v>209.50000000000003</v>
      </c>
      <c r="J263">
        <f>0.044*(4.19 * 50)</f>
        <v>9.218</v>
      </c>
      <c r="K263">
        <f>0.043*(4.19 * 50)</f>
        <v>9.0084999999999997</v>
      </c>
      <c r="L263">
        <f>0.043*(4.19 * 50)</f>
        <v>9.0084999999999997</v>
      </c>
      <c r="M263">
        <f>0.043*(4.19 * 50)</f>
        <v>9.0084999999999997</v>
      </c>
      <c r="N263">
        <f>0.043*(4.19 * 50)</f>
        <v>9.0084999999999997</v>
      </c>
      <c r="O263">
        <f>0.043*(4.19 * 50)</f>
        <v>9.0084999999999997</v>
      </c>
      <c r="P263">
        <f>0.045*(4.19 * 50)</f>
        <v>9.4275000000000002</v>
      </c>
      <c r="Q263">
        <f>0.046*(4.19 * 50)</f>
        <v>9.6370000000000005</v>
      </c>
      <c r="R263">
        <f>0.046*(4.19 * 50)</f>
        <v>9.6370000000000005</v>
      </c>
      <c r="S263">
        <f>0.045*(4.19 * 50)</f>
        <v>9.4275000000000002</v>
      </c>
      <c r="T263">
        <f>0.044*(4.19 * 50)</f>
        <v>9.218</v>
      </c>
      <c r="U263">
        <f>0.043*(4.19 * 50)</f>
        <v>9.0084999999999997</v>
      </c>
      <c r="V263">
        <f>0.042*(4.19 * 50)</f>
        <v>8.7990000000000013</v>
      </c>
      <c r="W263">
        <f>0.041*(4.19 * 50)</f>
        <v>8.589500000000001</v>
      </c>
      <c r="X263">
        <f>0.041*(4.19 * 50)</f>
        <v>8.589500000000001</v>
      </c>
      <c r="Y263">
        <f>0.041*(4.19 * 50)</f>
        <v>8.589500000000001</v>
      </c>
      <c r="Z263">
        <f>0.042*(4.19 * 50)</f>
        <v>8.7990000000000013</v>
      </c>
      <c r="AA263">
        <f>0.043*(4.19 * 50)</f>
        <v>9.0084999999999997</v>
      </c>
      <c r="AB263">
        <f>0.043*(4.19 * 50)</f>
        <v>9.0084999999999997</v>
      </c>
      <c r="AC263">
        <f>0.044*(4.19 * 50)</f>
        <v>9.218</v>
      </c>
      <c r="AD263">
        <f>0.045*(4.19 * 50)</f>
        <v>9.4275000000000002</v>
      </c>
      <c r="AE263">
        <f>0.045*(4.19 * 50)</f>
        <v>9.4275000000000002</v>
      </c>
      <c r="AF263">
        <f>0.045*(4.19 * 50)</f>
        <v>9.4275000000000002</v>
      </c>
      <c r="AG263">
        <f>0.044*(4.19 * 50)</f>
        <v>9.218</v>
      </c>
    </row>
    <row r="264" spans="1:33" x14ac:dyDescent="0.3">
      <c r="A264" t="s">
        <v>307</v>
      </c>
      <c r="B264">
        <v>357037.027344</v>
      </c>
      <c r="C264">
        <v>6669460.3242189996</v>
      </c>
      <c r="D264" t="s">
        <v>540</v>
      </c>
      <c r="E264">
        <v>100</v>
      </c>
      <c r="F264">
        <v>16</v>
      </c>
      <c r="G264">
        <v>7.6372315035799512E-2</v>
      </c>
      <c r="H264">
        <f t="shared" si="9"/>
        <v>31.084000000000003</v>
      </c>
      <c r="I264">
        <f t="shared" si="8"/>
        <v>209.50000000000003</v>
      </c>
      <c r="J264">
        <f>0.07*(4.19 * 50)</f>
        <v>14.665000000000003</v>
      </c>
      <c r="K264">
        <f>0.069*(4.19 * 50)</f>
        <v>14.455500000000002</v>
      </c>
      <c r="L264">
        <f>0.069*(4.19 * 50)</f>
        <v>14.455500000000002</v>
      </c>
      <c r="M264">
        <f>0.068*(4.19 * 50)</f>
        <v>14.246000000000002</v>
      </c>
      <c r="N264">
        <f>0.069*(4.19 * 50)</f>
        <v>14.455500000000002</v>
      </c>
      <c r="O264">
        <f>0.07*(4.19 * 50)</f>
        <v>14.665000000000003</v>
      </c>
      <c r="P264">
        <f>0.072*(4.19 * 50)</f>
        <v>15.084000000000001</v>
      </c>
      <c r="Q264">
        <f>0.074*(4.19 * 50)</f>
        <v>15.503000000000002</v>
      </c>
      <c r="R264">
        <f>0.073*(4.19 * 50)</f>
        <v>15.293500000000002</v>
      </c>
      <c r="S264">
        <f>0.071*(4.19 * 50)</f>
        <v>14.874500000000001</v>
      </c>
      <c r="T264">
        <f>0.071*(4.19 * 50)</f>
        <v>14.874500000000001</v>
      </c>
      <c r="U264">
        <f>0.068*(4.19 * 50)</f>
        <v>14.246000000000002</v>
      </c>
      <c r="V264">
        <f>0.067*(4.19 * 50)</f>
        <v>14.036500000000002</v>
      </c>
      <c r="W264">
        <f>0.066*(4.19 * 50)</f>
        <v>13.827000000000002</v>
      </c>
      <c r="X264">
        <f>0.066*(4.19 * 50)</f>
        <v>13.827000000000002</v>
      </c>
      <c r="Y264">
        <f>0.066*(4.19 * 50)</f>
        <v>13.827000000000002</v>
      </c>
      <c r="Z264">
        <f>0.067*(4.19 * 50)</f>
        <v>14.036500000000002</v>
      </c>
      <c r="AA264">
        <f>0.068*(4.19 * 50)</f>
        <v>14.246000000000002</v>
      </c>
      <c r="AB264">
        <f>0.069*(4.19 * 50)</f>
        <v>14.455500000000002</v>
      </c>
      <c r="AC264">
        <f>0.07*(4.19 * 50)</f>
        <v>14.665000000000003</v>
      </c>
      <c r="AD264">
        <f>0.072*(4.19 * 50)</f>
        <v>15.084000000000001</v>
      </c>
      <c r="AE264">
        <f>0.072*(4.19 * 50)</f>
        <v>15.084000000000001</v>
      </c>
      <c r="AF264">
        <f>0.071*(4.19 * 50)</f>
        <v>14.874500000000001</v>
      </c>
      <c r="AG264">
        <f>0.07*(4.19 * 50)</f>
        <v>14.665000000000003</v>
      </c>
    </row>
    <row r="265" spans="1:33" x14ac:dyDescent="0.3">
      <c r="A265" t="s">
        <v>308</v>
      </c>
      <c r="B265">
        <v>356873.125</v>
      </c>
      <c r="C265">
        <v>6665870.9453130001</v>
      </c>
      <c r="D265" t="s">
        <v>540</v>
      </c>
      <c r="E265">
        <v>100</v>
      </c>
      <c r="F265">
        <v>8</v>
      </c>
      <c r="G265">
        <v>3.8186157517899763E-2</v>
      </c>
      <c r="H265">
        <f t="shared" si="9"/>
        <v>15.542000000000002</v>
      </c>
      <c r="I265">
        <f t="shared" si="8"/>
        <v>209.50000000000003</v>
      </c>
      <c r="J265">
        <f>0.035*(4.19 * 50)</f>
        <v>7.3325000000000014</v>
      </c>
      <c r="K265">
        <f>0.035*(4.19 * 50)</f>
        <v>7.3325000000000014</v>
      </c>
      <c r="L265">
        <f>0.034*(4.19 * 50)</f>
        <v>7.1230000000000011</v>
      </c>
      <c r="M265">
        <f>0.034*(4.19 * 50)</f>
        <v>7.1230000000000011</v>
      </c>
      <c r="N265">
        <f>0.034*(4.19 * 50)</f>
        <v>7.1230000000000011</v>
      </c>
      <c r="O265">
        <f>0.035*(4.19 * 50)</f>
        <v>7.3325000000000014</v>
      </c>
      <c r="P265">
        <f>0.036*(4.19 * 50)</f>
        <v>7.5420000000000007</v>
      </c>
      <c r="Q265">
        <f>0.037*(4.19 * 50)</f>
        <v>7.7515000000000009</v>
      </c>
      <c r="R265">
        <f>0.036*(4.19 * 50)</f>
        <v>7.5420000000000007</v>
      </c>
      <c r="S265">
        <f>0.036*(4.19 * 50)</f>
        <v>7.5420000000000007</v>
      </c>
      <c r="T265">
        <f>0.036*(4.19 * 50)</f>
        <v>7.5420000000000007</v>
      </c>
      <c r="U265">
        <f>0.034*(4.19 * 50)</f>
        <v>7.1230000000000011</v>
      </c>
      <c r="V265">
        <f>0.034*(4.19 * 50)</f>
        <v>7.1230000000000011</v>
      </c>
      <c r="W265">
        <f>0.033*(4.19 * 50)</f>
        <v>6.9135000000000009</v>
      </c>
      <c r="X265">
        <f>0.033*(4.19 * 50)</f>
        <v>6.9135000000000009</v>
      </c>
      <c r="Y265">
        <f>0.033*(4.19 * 50)</f>
        <v>6.9135000000000009</v>
      </c>
      <c r="Z265">
        <f>0.033*(4.19 * 50)</f>
        <v>6.9135000000000009</v>
      </c>
      <c r="AA265">
        <f>0.034*(4.19 * 50)</f>
        <v>7.1230000000000011</v>
      </c>
      <c r="AB265">
        <f>0.035*(4.19 * 50)</f>
        <v>7.3325000000000014</v>
      </c>
      <c r="AC265">
        <f>0.035*(4.19 * 50)</f>
        <v>7.3325000000000014</v>
      </c>
      <c r="AD265">
        <f>0.036*(4.19 * 50)</f>
        <v>7.5420000000000007</v>
      </c>
      <c r="AE265">
        <f>0.036*(4.19 * 50)</f>
        <v>7.5420000000000007</v>
      </c>
      <c r="AF265">
        <f>0.036*(4.19 * 50)</f>
        <v>7.5420000000000007</v>
      </c>
      <c r="AG265">
        <f>0.035*(4.19 * 50)</f>
        <v>7.3325000000000014</v>
      </c>
    </row>
    <row r="266" spans="1:33" x14ac:dyDescent="0.3">
      <c r="A266" t="s">
        <v>309</v>
      </c>
      <c r="B266">
        <v>357051.640625</v>
      </c>
      <c r="C266">
        <v>6666040.4570310004</v>
      </c>
      <c r="D266" t="s">
        <v>540</v>
      </c>
      <c r="E266">
        <v>100</v>
      </c>
      <c r="F266">
        <v>6</v>
      </c>
      <c r="G266">
        <v>2.8639618138424819E-2</v>
      </c>
      <c r="H266">
        <f t="shared" si="9"/>
        <v>11.656500000000001</v>
      </c>
      <c r="I266">
        <f t="shared" si="8"/>
        <v>209.50000000000003</v>
      </c>
      <c r="J266">
        <f>0.026*(4.19 * 50)</f>
        <v>5.4470000000000001</v>
      </c>
      <c r="K266">
        <f>0.026*(4.19 * 50)</f>
        <v>5.4470000000000001</v>
      </c>
      <c r="L266">
        <f>0.026*(4.19 * 50)</f>
        <v>5.4470000000000001</v>
      </c>
      <c r="M266">
        <f>0.026*(4.19 * 50)</f>
        <v>5.4470000000000001</v>
      </c>
      <c r="N266">
        <f>0.026*(4.19 * 50)</f>
        <v>5.4470000000000001</v>
      </c>
      <c r="O266">
        <f>0.026*(4.19 * 50)</f>
        <v>5.4470000000000001</v>
      </c>
      <c r="P266">
        <f>0.027*(4.19 * 50)</f>
        <v>5.6565000000000003</v>
      </c>
      <c r="Q266">
        <f>0.028*(4.19 * 50)</f>
        <v>5.8660000000000005</v>
      </c>
      <c r="R266">
        <f>0.027*(4.19 * 50)</f>
        <v>5.6565000000000003</v>
      </c>
      <c r="S266">
        <f>0.027*(4.19 * 50)</f>
        <v>5.6565000000000003</v>
      </c>
      <c r="T266">
        <f>0.027*(4.19 * 50)</f>
        <v>5.6565000000000003</v>
      </c>
      <c r="U266">
        <f>0.026*(4.19 * 50)</f>
        <v>5.4470000000000001</v>
      </c>
      <c r="V266">
        <f>0.025*(4.19 * 50)</f>
        <v>5.2375000000000007</v>
      </c>
      <c r="W266">
        <f>0.025*(4.19 * 50)</f>
        <v>5.2375000000000007</v>
      </c>
      <c r="X266">
        <f>0.025*(4.19 * 50)</f>
        <v>5.2375000000000007</v>
      </c>
      <c r="Y266">
        <f>0.025*(4.19 * 50)</f>
        <v>5.2375000000000007</v>
      </c>
      <c r="Z266">
        <f>0.025*(4.19 * 50)</f>
        <v>5.2375000000000007</v>
      </c>
      <c r="AA266">
        <f>0.026*(4.19 * 50)</f>
        <v>5.4470000000000001</v>
      </c>
      <c r="AB266">
        <f>0.026*(4.19 * 50)</f>
        <v>5.4470000000000001</v>
      </c>
      <c r="AC266">
        <f>0.026*(4.19 * 50)</f>
        <v>5.4470000000000001</v>
      </c>
      <c r="AD266">
        <f>0.027*(4.19 * 50)</f>
        <v>5.6565000000000003</v>
      </c>
      <c r="AE266">
        <f>0.027*(4.19 * 50)</f>
        <v>5.6565000000000003</v>
      </c>
      <c r="AF266">
        <f>0.027*(4.19 * 50)</f>
        <v>5.6565000000000003</v>
      </c>
      <c r="AG266">
        <f>0.026*(4.19 * 50)</f>
        <v>5.4470000000000001</v>
      </c>
    </row>
    <row r="267" spans="1:33" x14ac:dyDescent="0.3">
      <c r="A267" t="s">
        <v>310</v>
      </c>
      <c r="B267">
        <v>357764.957031</v>
      </c>
      <c r="C267">
        <v>6666432.5</v>
      </c>
      <c r="D267" t="s">
        <v>542</v>
      </c>
      <c r="E267">
        <v>100</v>
      </c>
      <c r="F267">
        <v>115.16699981689401</v>
      </c>
      <c r="G267">
        <v>0.54972314948398082</v>
      </c>
      <c r="H267">
        <f t="shared" si="9"/>
        <v>223.26899981689402</v>
      </c>
      <c r="I267">
        <f t="shared" si="8"/>
        <v>209.50000000000003</v>
      </c>
      <c r="J267">
        <f>0.501*(4.19 * 50)</f>
        <v>104.95950000000002</v>
      </c>
      <c r="K267">
        <f>0.497*(4.19 * 50)</f>
        <v>104.12150000000001</v>
      </c>
      <c r="L267">
        <f>0.494*(4.19 * 50)</f>
        <v>103.49300000000001</v>
      </c>
      <c r="M267">
        <f>0.492*(4.19 * 50)</f>
        <v>103.07400000000001</v>
      </c>
      <c r="N267">
        <f>0.494*(4.19 * 50)</f>
        <v>103.49300000000001</v>
      </c>
      <c r="O267">
        <f>0.501*(4.19 * 50)</f>
        <v>104.95950000000002</v>
      </c>
      <c r="P267">
        <f>0.516*(4.19 * 50)</f>
        <v>108.10200000000002</v>
      </c>
      <c r="Q267">
        <f>0.529*(4.19 * 50)</f>
        <v>110.82550000000002</v>
      </c>
      <c r="R267">
        <f>0.525*(4.19 * 50)</f>
        <v>109.98750000000003</v>
      </c>
      <c r="S267">
        <f>0.514*(4.19 * 50)</f>
        <v>107.68300000000002</v>
      </c>
      <c r="T267">
        <f>0.512*(4.19 * 50)</f>
        <v>107.26400000000001</v>
      </c>
      <c r="U267">
        <f>0.49*(4.19 * 50)</f>
        <v>102.65500000000002</v>
      </c>
      <c r="V267">
        <f>0.483*(4.19 * 50)</f>
        <v>101.1885</v>
      </c>
      <c r="W267">
        <f>0.477*(4.19 * 50)</f>
        <v>99.931500000000014</v>
      </c>
      <c r="X267">
        <f>0.475*(4.19 * 50)</f>
        <v>99.512500000000003</v>
      </c>
      <c r="Y267">
        <f>0.476*(4.19 * 50)</f>
        <v>99.722000000000008</v>
      </c>
      <c r="Z267">
        <f>0.481*(4.19 * 50)</f>
        <v>100.76950000000001</v>
      </c>
      <c r="AA267">
        <f>0.49*(4.19 * 50)</f>
        <v>102.65500000000002</v>
      </c>
      <c r="AB267">
        <f>0.497*(4.19 * 50)</f>
        <v>104.12150000000001</v>
      </c>
      <c r="AC267">
        <f>0.506*(4.19 * 50)</f>
        <v>106.00700000000002</v>
      </c>
      <c r="AD267">
        <f>0.515*(4.19 * 50)</f>
        <v>107.89250000000001</v>
      </c>
      <c r="AE267">
        <f>0.518*(4.19 * 50)</f>
        <v>108.52100000000002</v>
      </c>
      <c r="AF267">
        <f>0.514*(4.19 * 50)</f>
        <v>107.68300000000002</v>
      </c>
      <c r="AG267">
        <f>0.507*(4.19 * 50)</f>
        <v>106.21650000000001</v>
      </c>
    </row>
    <row r="268" spans="1:33" x14ac:dyDescent="0.3">
      <c r="A268" t="s">
        <v>311</v>
      </c>
      <c r="B268">
        <v>363405.945313</v>
      </c>
      <c r="C268">
        <v>6671349.7070310004</v>
      </c>
      <c r="D268" t="s">
        <v>566</v>
      </c>
      <c r="E268">
        <v>100</v>
      </c>
      <c r="F268">
        <v>135</v>
      </c>
      <c r="G268">
        <v>0.64439140811455842</v>
      </c>
      <c r="H268">
        <f t="shared" si="9"/>
        <v>261.7475</v>
      </c>
      <c r="I268">
        <f t="shared" si="8"/>
        <v>209.50000000000003</v>
      </c>
      <c r="J268">
        <f>0.588*(4.19 * 50)</f>
        <v>123.18600000000001</v>
      </c>
      <c r="K268">
        <f>0.583*(4.19 * 50)</f>
        <v>122.13850000000001</v>
      </c>
      <c r="L268">
        <f>0.579*(4.19 * 50)</f>
        <v>121.30050000000001</v>
      </c>
      <c r="M268">
        <f>0.577*(4.19 * 50)</f>
        <v>120.8815</v>
      </c>
      <c r="N268">
        <f>0.579*(4.19 * 50)</f>
        <v>121.30050000000001</v>
      </c>
      <c r="O268">
        <f>0.587*(4.19 * 50)</f>
        <v>122.97650000000002</v>
      </c>
      <c r="P268">
        <f>0.605*(4.19 * 50)</f>
        <v>126.74750000000002</v>
      </c>
      <c r="Q268">
        <f>0.62*(4.19 * 50)</f>
        <v>129.89000000000001</v>
      </c>
      <c r="R268">
        <f>0.615*(4.19 * 50)</f>
        <v>128.84250000000003</v>
      </c>
      <c r="S268">
        <f>0.602*(4.19 * 50)</f>
        <v>126.11900000000001</v>
      </c>
      <c r="T268">
        <f>0.6*(4.19 * 50)</f>
        <v>125.70000000000002</v>
      </c>
      <c r="U268">
        <f>0.575*(4.19 * 50)</f>
        <v>120.46250000000001</v>
      </c>
      <c r="V268">
        <f>0.566*(4.19 * 50)</f>
        <v>118.577</v>
      </c>
      <c r="W268">
        <f>0.559*(4.19 * 50)</f>
        <v>117.11050000000003</v>
      </c>
      <c r="X268">
        <f>0.557*(4.19 * 50)</f>
        <v>116.69150000000003</v>
      </c>
      <c r="Y268">
        <f>0.558*(4.19 * 50)</f>
        <v>116.90100000000002</v>
      </c>
      <c r="Z268">
        <f>0.564*(4.19 * 50)</f>
        <v>118.158</v>
      </c>
      <c r="AA268">
        <f>0.575*(4.19 * 50)</f>
        <v>120.46250000000001</v>
      </c>
      <c r="AB268">
        <f>0.583*(4.19 * 50)</f>
        <v>122.13850000000001</v>
      </c>
      <c r="AC268">
        <f>0.593*(4.19 * 50)</f>
        <v>124.23350000000001</v>
      </c>
      <c r="AD268">
        <f>0.603*(4.19 * 50)</f>
        <v>126.32850000000002</v>
      </c>
      <c r="AE268">
        <f>0.608*(4.19 * 50)</f>
        <v>127.37600000000002</v>
      </c>
      <c r="AF268">
        <f>0.602*(4.19 * 50)</f>
        <v>126.11900000000001</v>
      </c>
      <c r="AG268">
        <f>0.594*(4.19 * 50)</f>
        <v>124.44300000000001</v>
      </c>
    </row>
    <row r="269" spans="1:33" x14ac:dyDescent="0.3">
      <c r="A269" t="s">
        <v>312</v>
      </c>
      <c r="B269">
        <v>356850.789063</v>
      </c>
      <c r="C269">
        <v>6665796.3632810004</v>
      </c>
      <c r="D269" t="s">
        <v>540</v>
      </c>
      <c r="E269">
        <v>100</v>
      </c>
      <c r="F269">
        <v>6</v>
      </c>
      <c r="G269">
        <v>2.8639618138424819E-2</v>
      </c>
      <c r="H269">
        <f t="shared" si="9"/>
        <v>11.656500000000001</v>
      </c>
      <c r="I269">
        <f t="shared" si="8"/>
        <v>209.50000000000003</v>
      </c>
      <c r="J269">
        <f>0.026*(4.19 * 50)</f>
        <v>5.4470000000000001</v>
      </c>
      <c r="K269">
        <f>0.026*(4.19 * 50)</f>
        <v>5.4470000000000001</v>
      </c>
      <c r="L269">
        <f>0.026*(4.19 * 50)</f>
        <v>5.4470000000000001</v>
      </c>
      <c r="M269">
        <f>0.026*(4.19 * 50)</f>
        <v>5.4470000000000001</v>
      </c>
      <c r="N269">
        <f>0.026*(4.19 * 50)</f>
        <v>5.4470000000000001</v>
      </c>
      <c r="O269">
        <f>0.026*(4.19 * 50)</f>
        <v>5.4470000000000001</v>
      </c>
      <c r="P269">
        <f>0.027*(4.19 * 50)</f>
        <v>5.6565000000000003</v>
      </c>
      <c r="Q269">
        <f>0.028*(4.19 * 50)</f>
        <v>5.8660000000000005</v>
      </c>
      <c r="R269">
        <f>0.027*(4.19 * 50)</f>
        <v>5.6565000000000003</v>
      </c>
      <c r="S269">
        <f>0.027*(4.19 * 50)</f>
        <v>5.6565000000000003</v>
      </c>
      <c r="T269">
        <f>0.027*(4.19 * 50)</f>
        <v>5.6565000000000003</v>
      </c>
      <c r="U269">
        <f>0.026*(4.19 * 50)</f>
        <v>5.4470000000000001</v>
      </c>
      <c r="V269">
        <f>0.025*(4.19 * 50)</f>
        <v>5.2375000000000007</v>
      </c>
      <c r="W269">
        <f>0.025*(4.19 * 50)</f>
        <v>5.2375000000000007</v>
      </c>
      <c r="X269">
        <f>0.025*(4.19 * 50)</f>
        <v>5.2375000000000007</v>
      </c>
      <c r="Y269">
        <f>0.025*(4.19 * 50)</f>
        <v>5.2375000000000007</v>
      </c>
      <c r="Z269">
        <f>0.025*(4.19 * 50)</f>
        <v>5.2375000000000007</v>
      </c>
      <c r="AA269">
        <f>0.026*(4.19 * 50)</f>
        <v>5.4470000000000001</v>
      </c>
      <c r="AB269">
        <f>0.026*(4.19 * 50)</f>
        <v>5.4470000000000001</v>
      </c>
      <c r="AC269">
        <f>0.026*(4.19 * 50)</f>
        <v>5.4470000000000001</v>
      </c>
      <c r="AD269">
        <f>0.027*(4.19 * 50)</f>
        <v>5.6565000000000003</v>
      </c>
      <c r="AE269">
        <f>0.027*(4.19 * 50)</f>
        <v>5.6565000000000003</v>
      </c>
      <c r="AF269">
        <f>0.027*(4.19 * 50)</f>
        <v>5.6565000000000003</v>
      </c>
      <c r="AG269">
        <f>0.026*(4.19 * 50)</f>
        <v>5.4470000000000001</v>
      </c>
    </row>
    <row r="270" spans="1:33" x14ac:dyDescent="0.3">
      <c r="A270" t="s">
        <v>313</v>
      </c>
      <c r="B270">
        <v>362554.109375</v>
      </c>
      <c r="C270">
        <v>6671361.7304689996</v>
      </c>
      <c r="D270" t="s">
        <v>547</v>
      </c>
      <c r="E270">
        <v>100</v>
      </c>
      <c r="F270">
        <v>105.333000183105</v>
      </c>
      <c r="G270">
        <v>0.50278281710312644</v>
      </c>
      <c r="H270">
        <f t="shared" si="9"/>
        <v>204.21700018310503</v>
      </c>
      <c r="I270">
        <f t="shared" si="8"/>
        <v>209.50000000000003</v>
      </c>
      <c r="J270">
        <f>0.458*(4.19 * 50)</f>
        <v>95.951000000000022</v>
      </c>
      <c r="K270">
        <f>0.455*(4.19 * 50)</f>
        <v>95.322500000000019</v>
      </c>
      <c r="L270">
        <f>0.452*(4.19 * 50)</f>
        <v>94.694000000000017</v>
      </c>
      <c r="M270">
        <f>0.45*(4.19 * 50)</f>
        <v>94.27500000000002</v>
      </c>
      <c r="N270">
        <f>0.452*(4.19 * 50)</f>
        <v>94.694000000000017</v>
      </c>
      <c r="O270">
        <f>0.458*(4.19 * 50)</f>
        <v>95.951000000000022</v>
      </c>
      <c r="P270">
        <f>0.472*(4.19 * 50)</f>
        <v>98.884000000000015</v>
      </c>
      <c r="Q270">
        <f>0.484*(4.19 * 50)</f>
        <v>101.39800000000001</v>
      </c>
      <c r="R270">
        <f>0.48*(4.19 * 50)</f>
        <v>100.56000000000002</v>
      </c>
      <c r="S270">
        <f>0.47*(4.19 * 50)</f>
        <v>98.465000000000003</v>
      </c>
      <c r="T270">
        <f>0.468*(4.19 * 50)</f>
        <v>98.046000000000021</v>
      </c>
      <c r="U270">
        <f>0.448*(4.19 * 50)</f>
        <v>93.856000000000009</v>
      </c>
      <c r="V270">
        <f>0.442*(4.19 * 50)</f>
        <v>92.599000000000018</v>
      </c>
      <c r="W270">
        <f>0.436*(4.19 * 50)</f>
        <v>91.342000000000013</v>
      </c>
      <c r="X270">
        <f>0.435*(4.19 * 50)</f>
        <v>91.132500000000007</v>
      </c>
      <c r="Y270">
        <f>0.436*(4.19 * 50)</f>
        <v>91.342000000000013</v>
      </c>
      <c r="Z270">
        <f>0.44*(4.19 * 50)</f>
        <v>92.18</v>
      </c>
      <c r="AA270">
        <f>0.448*(4.19 * 50)</f>
        <v>93.856000000000009</v>
      </c>
      <c r="AB270">
        <f>0.455*(4.19 * 50)</f>
        <v>95.322500000000019</v>
      </c>
      <c r="AC270">
        <f>0.463*(4.19 * 50)</f>
        <v>96.998500000000021</v>
      </c>
      <c r="AD270">
        <f>0.471*(4.19 * 50)</f>
        <v>98.674500000000009</v>
      </c>
      <c r="AE270">
        <f>0.474*(4.19 * 50)</f>
        <v>99.303000000000011</v>
      </c>
      <c r="AF270">
        <f>0.47*(4.19 * 50)</f>
        <v>98.465000000000003</v>
      </c>
      <c r="AG270">
        <f>0.463*(4.19 * 50)</f>
        <v>96.998500000000021</v>
      </c>
    </row>
    <row r="271" spans="1:33" x14ac:dyDescent="0.3">
      <c r="A271" t="s">
        <v>314</v>
      </c>
      <c r="B271">
        <v>357070.625</v>
      </c>
      <c r="C271">
        <v>6665995.7890630001</v>
      </c>
      <c r="D271" t="s">
        <v>540</v>
      </c>
      <c r="E271">
        <v>100</v>
      </c>
      <c r="F271">
        <v>12</v>
      </c>
      <c r="G271">
        <v>5.7279236276849638E-2</v>
      </c>
      <c r="H271">
        <f t="shared" si="9"/>
        <v>23.313000000000002</v>
      </c>
      <c r="I271">
        <f t="shared" si="8"/>
        <v>209.50000000000003</v>
      </c>
      <c r="J271">
        <f>0.052*(4.19 * 50)</f>
        <v>10.894</v>
      </c>
      <c r="K271">
        <f>0.052*(4.19 * 50)</f>
        <v>10.894</v>
      </c>
      <c r="L271">
        <f>0.051*(4.19 * 50)</f>
        <v>10.6845</v>
      </c>
      <c r="M271">
        <f>0.051*(4.19 * 50)</f>
        <v>10.6845</v>
      </c>
      <c r="N271">
        <f>0.051*(4.19 * 50)</f>
        <v>10.6845</v>
      </c>
      <c r="O271">
        <f>0.052*(4.19 * 50)</f>
        <v>10.894</v>
      </c>
      <c r="P271">
        <f>0.054*(4.19 * 50)</f>
        <v>11.313000000000001</v>
      </c>
      <c r="Q271">
        <f>0.055*(4.19 * 50)</f>
        <v>11.522500000000001</v>
      </c>
      <c r="R271">
        <f>0.055*(4.19 * 50)</f>
        <v>11.522500000000001</v>
      </c>
      <c r="S271">
        <f>0.054*(4.19 * 50)</f>
        <v>11.313000000000001</v>
      </c>
      <c r="T271">
        <f>0.053*(4.19 * 50)</f>
        <v>11.1035</v>
      </c>
      <c r="U271">
        <f>0.051*(4.19 * 50)</f>
        <v>10.6845</v>
      </c>
      <c r="V271">
        <f>0.05*(4.19 * 50)</f>
        <v>10.475000000000001</v>
      </c>
      <c r="W271">
        <f>0.05*(4.19 * 50)</f>
        <v>10.475000000000001</v>
      </c>
      <c r="X271">
        <f>0.05*(4.19 * 50)</f>
        <v>10.475000000000001</v>
      </c>
      <c r="Y271">
        <f>0.05*(4.19 * 50)</f>
        <v>10.475000000000001</v>
      </c>
      <c r="Z271">
        <f>0.05*(4.19 * 50)</f>
        <v>10.475000000000001</v>
      </c>
      <c r="AA271">
        <f>0.051*(4.19 * 50)</f>
        <v>10.6845</v>
      </c>
      <c r="AB271">
        <f>0.052*(4.19 * 50)</f>
        <v>10.894</v>
      </c>
      <c r="AC271">
        <f>0.053*(4.19 * 50)</f>
        <v>11.1035</v>
      </c>
      <c r="AD271">
        <f>0.054*(4.19 * 50)</f>
        <v>11.313000000000001</v>
      </c>
      <c r="AE271">
        <f>0.054*(4.19 * 50)</f>
        <v>11.313000000000001</v>
      </c>
      <c r="AF271">
        <f>0.054*(4.19 * 50)</f>
        <v>11.313000000000001</v>
      </c>
      <c r="AG271">
        <f>0.053*(4.19 * 50)</f>
        <v>11.1035</v>
      </c>
    </row>
    <row r="272" spans="1:33" x14ac:dyDescent="0.3">
      <c r="A272" t="s">
        <v>315</v>
      </c>
      <c r="B272">
        <v>356868.765625</v>
      </c>
      <c r="C272">
        <v>6665856.0234380001</v>
      </c>
      <c r="D272" t="s">
        <v>540</v>
      </c>
      <c r="E272">
        <v>100</v>
      </c>
      <c r="F272">
        <v>8</v>
      </c>
      <c r="G272">
        <v>3.8186157517899763E-2</v>
      </c>
      <c r="H272">
        <f t="shared" si="9"/>
        <v>15.542000000000002</v>
      </c>
      <c r="I272">
        <f t="shared" si="8"/>
        <v>209.50000000000003</v>
      </c>
      <c r="J272">
        <f>0.035*(4.19 * 50)</f>
        <v>7.3325000000000014</v>
      </c>
      <c r="K272">
        <f>0.035*(4.19 * 50)</f>
        <v>7.3325000000000014</v>
      </c>
      <c r="L272">
        <f>0.034*(4.19 * 50)</f>
        <v>7.1230000000000011</v>
      </c>
      <c r="M272">
        <f>0.034*(4.19 * 50)</f>
        <v>7.1230000000000011</v>
      </c>
      <c r="N272">
        <f>0.034*(4.19 * 50)</f>
        <v>7.1230000000000011</v>
      </c>
      <c r="O272">
        <f>0.035*(4.19 * 50)</f>
        <v>7.3325000000000014</v>
      </c>
      <c r="P272">
        <f>0.036*(4.19 * 50)</f>
        <v>7.5420000000000007</v>
      </c>
      <c r="Q272">
        <f>0.037*(4.19 * 50)</f>
        <v>7.7515000000000009</v>
      </c>
      <c r="R272">
        <f>0.036*(4.19 * 50)</f>
        <v>7.5420000000000007</v>
      </c>
      <c r="S272">
        <f>0.036*(4.19 * 50)</f>
        <v>7.5420000000000007</v>
      </c>
      <c r="T272">
        <f>0.036*(4.19 * 50)</f>
        <v>7.5420000000000007</v>
      </c>
      <c r="U272">
        <f>0.034*(4.19 * 50)</f>
        <v>7.1230000000000011</v>
      </c>
      <c r="V272">
        <f>0.034*(4.19 * 50)</f>
        <v>7.1230000000000011</v>
      </c>
      <c r="W272">
        <f>0.033*(4.19 * 50)</f>
        <v>6.9135000000000009</v>
      </c>
      <c r="X272">
        <f>0.033*(4.19 * 50)</f>
        <v>6.9135000000000009</v>
      </c>
      <c r="Y272">
        <f>0.033*(4.19 * 50)</f>
        <v>6.9135000000000009</v>
      </c>
      <c r="Z272">
        <f>0.033*(4.19 * 50)</f>
        <v>6.9135000000000009</v>
      </c>
      <c r="AA272">
        <f>0.034*(4.19 * 50)</f>
        <v>7.1230000000000011</v>
      </c>
      <c r="AB272">
        <f>0.035*(4.19 * 50)</f>
        <v>7.3325000000000014</v>
      </c>
      <c r="AC272">
        <f>0.035*(4.19 * 50)</f>
        <v>7.3325000000000014</v>
      </c>
      <c r="AD272">
        <f>0.036*(4.19 * 50)</f>
        <v>7.5420000000000007</v>
      </c>
      <c r="AE272">
        <f>0.036*(4.19 * 50)</f>
        <v>7.5420000000000007</v>
      </c>
      <c r="AF272">
        <f>0.036*(4.19 * 50)</f>
        <v>7.5420000000000007</v>
      </c>
      <c r="AG272">
        <f>0.035*(4.19 * 50)</f>
        <v>7.3325000000000014</v>
      </c>
    </row>
    <row r="273" spans="1:33" x14ac:dyDescent="0.3">
      <c r="A273" t="s">
        <v>316</v>
      </c>
      <c r="B273">
        <v>356837.695313</v>
      </c>
      <c r="C273">
        <v>6665835.6015630001</v>
      </c>
      <c r="D273" t="s">
        <v>540</v>
      </c>
      <c r="E273">
        <v>100</v>
      </c>
      <c r="F273">
        <v>13</v>
      </c>
      <c r="G273">
        <v>6.2052505966587103E-2</v>
      </c>
      <c r="H273">
        <f t="shared" si="9"/>
        <v>25.151000000000003</v>
      </c>
      <c r="I273">
        <f t="shared" si="8"/>
        <v>209.50000000000003</v>
      </c>
      <c r="J273">
        <f>0.057*(4.19 * 50)</f>
        <v>11.941500000000001</v>
      </c>
      <c r="K273">
        <f>0.056*(4.19 * 50)</f>
        <v>11.732000000000001</v>
      </c>
      <c r="L273">
        <f>0.056*(4.19 * 50)</f>
        <v>11.732000000000001</v>
      </c>
      <c r="M273">
        <f>0.056*(4.19 * 50)</f>
        <v>11.732000000000001</v>
      </c>
      <c r="N273">
        <f>0.056*(4.19 * 50)</f>
        <v>11.732000000000001</v>
      </c>
      <c r="O273">
        <f>0.057*(4.19 * 50)</f>
        <v>11.941500000000001</v>
      </c>
      <c r="P273">
        <f>0.058*(4.19 * 50)</f>
        <v>12.151000000000002</v>
      </c>
      <c r="Q273">
        <f>0.06*(4.19 * 50)</f>
        <v>12.570000000000002</v>
      </c>
      <c r="R273">
        <f>0.059*(4.19 * 50)</f>
        <v>12.360500000000002</v>
      </c>
      <c r="S273">
        <f>0.058*(4.19 * 50)</f>
        <v>12.151000000000002</v>
      </c>
      <c r="T273">
        <f>0.058*(4.19 * 50)</f>
        <v>12.151000000000002</v>
      </c>
      <c r="U273">
        <f>0.055*(4.19 * 50)</f>
        <v>11.522500000000001</v>
      </c>
      <c r="V273">
        <f>0.055*(4.19 * 50)</f>
        <v>11.522500000000001</v>
      </c>
      <c r="W273">
        <f>0.054*(4.19 * 50)</f>
        <v>11.313000000000001</v>
      </c>
      <c r="X273">
        <f>0.054*(4.19 * 50)</f>
        <v>11.313000000000001</v>
      </c>
      <c r="Y273">
        <f>0.054*(4.19 * 50)</f>
        <v>11.313000000000001</v>
      </c>
      <c r="Z273">
        <f>0.054*(4.19 * 50)</f>
        <v>11.313000000000001</v>
      </c>
      <c r="AA273">
        <f>0.055*(4.19 * 50)</f>
        <v>11.522500000000001</v>
      </c>
      <c r="AB273">
        <f>0.056*(4.19 * 50)</f>
        <v>11.732000000000001</v>
      </c>
      <c r="AC273">
        <f>0.057*(4.19 * 50)</f>
        <v>11.941500000000001</v>
      </c>
      <c r="AD273">
        <f>0.058*(4.19 * 50)</f>
        <v>12.151000000000002</v>
      </c>
      <c r="AE273">
        <f>0.059*(4.19 * 50)</f>
        <v>12.360500000000002</v>
      </c>
      <c r="AF273">
        <f>0.058*(4.19 * 50)</f>
        <v>12.151000000000002</v>
      </c>
      <c r="AG273">
        <f>0.057*(4.19 * 50)</f>
        <v>11.941500000000001</v>
      </c>
    </row>
    <row r="274" spans="1:33" x14ac:dyDescent="0.3">
      <c r="A274" t="s">
        <v>317</v>
      </c>
      <c r="B274">
        <v>357511.449219</v>
      </c>
      <c r="C274">
        <v>6668046.5859380001</v>
      </c>
      <c r="D274" t="s">
        <v>542</v>
      </c>
      <c r="E274">
        <v>100</v>
      </c>
      <c r="F274">
        <v>132.33299255371</v>
      </c>
      <c r="G274">
        <v>0.6316610623088782</v>
      </c>
      <c r="H274">
        <f t="shared" si="9"/>
        <v>256.56649255371002</v>
      </c>
      <c r="I274">
        <f t="shared" si="8"/>
        <v>209.50000000000003</v>
      </c>
      <c r="J274">
        <f>0.576*(4.19 * 50)</f>
        <v>120.67200000000001</v>
      </c>
      <c r="K274">
        <f>0.571*(4.19 * 50)</f>
        <v>119.62450000000001</v>
      </c>
      <c r="L274">
        <f>0.568*(4.19 * 50)</f>
        <v>118.99600000000001</v>
      </c>
      <c r="M274">
        <f>0.566*(4.19 * 50)</f>
        <v>118.577</v>
      </c>
      <c r="N274">
        <f>0.568*(4.19 * 50)</f>
        <v>118.99600000000001</v>
      </c>
      <c r="O274">
        <f>0.575*(4.19 * 50)</f>
        <v>120.46250000000001</v>
      </c>
      <c r="P274">
        <f>0.593*(4.19 * 50)</f>
        <v>124.23350000000001</v>
      </c>
      <c r="Q274">
        <f>0.608*(4.19 * 50)</f>
        <v>127.37600000000002</v>
      </c>
      <c r="R274">
        <f>0.603*(4.19 * 50)</f>
        <v>126.32850000000002</v>
      </c>
      <c r="S274">
        <f>0.59*(4.19 * 50)</f>
        <v>123.605</v>
      </c>
      <c r="T274">
        <f>0.588*(4.19 * 50)</f>
        <v>123.18600000000001</v>
      </c>
      <c r="U274">
        <f>0.563*(4.19 * 50)</f>
        <v>117.94850000000001</v>
      </c>
      <c r="V274">
        <f>0.555*(4.19 * 50)</f>
        <v>116.27250000000002</v>
      </c>
      <c r="W274">
        <f>0.548*(4.19 * 50)</f>
        <v>114.80600000000003</v>
      </c>
      <c r="X274">
        <f>0.546*(4.19 * 50)</f>
        <v>114.38700000000003</v>
      </c>
      <c r="Y274">
        <f>0.547*(4.19 * 50)</f>
        <v>114.59650000000002</v>
      </c>
      <c r="Z274">
        <f>0.553*(4.19 * 50)</f>
        <v>115.85350000000003</v>
      </c>
      <c r="AA274">
        <f>0.563*(4.19 * 50)</f>
        <v>117.94850000000001</v>
      </c>
      <c r="AB274">
        <f>0.571*(4.19 * 50)</f>
        <v>119.62450000000001</v>
      </c>
      <c r="AC274">
        <f>0.582*(4.19 * 50)</f>
        <v>121.929</v>
      </c>
      <c r="AD274">
        <f>0.591*(4.19 * 50)</f>
        <v>123.81450000000001</v>
      </c>
      <c r="AE274">
        <f>0.596*(4.19 * 50)</f>
        <v>124.86200000000001</v>
      </c>
      <c r="AF274">
        <f>0.59*(4.19 * 50)</f>
        <v>123.605</v>
      </c>
      <c r="AG274">
        <f>0.582*(4.19 * 50)</f>
        <v>121.929</v>
      </c>
    </row>
    <row r="275" spans="1:33" x14ac:dyDescent="0.3">
      <c r="A275" t="s">
        <v>318</v>
      </c>
      <c r="B275">
        <v>363484.921875</v>
      </c>
      <c r="C275">
        <v>6672368.765625</v>
      </c>
      <c r="D275" t="s">
        <v>541</v>
      </c>
      <c r="E275">
        <v>100</v>
      </c>
      <c r="F275">
        <v>56.333000183105398</v>
      </c>
      <c r="G275">
        <v>0.26889260230599232</v>
      </c>
      <c r="H275">
        <f t="shared" si="9"/>
        <v>109.12700018310539</v>
      </c>
      <c r="I275">
        <f t="shared" si="8"/>
        <v>209.50000000000003</v>
      </c>
      <c r="J275">
        <f>0.245*(4.19 * 50)</f>
        <v>51.327500000000008</v>
      </c>
      <c r="K275">
        <f>0.243*(4.19 * 50)</f>
        <v>50.908500000000004</v>
      </c>
      <c r="L275">
        <f>0.242*(4.19 * 50)</f>
        <v>50.699000000000005</v>
      </c>
      <c r="M275">
        <f>0.241*(4.19 * 50)</f>
        <v>50.489500000000007</v>
      </c>
      <c r="N275">
        <f>0.242*(4.19 * 50)</f>
        <v>50.699000000000005</v>
      </c>
      <c r="O275">
        <f>0.245*(4.19 * 50)</f>
        <v>51.327500000000008</v>
      </c>
      <c r="P275">
        <f>0.252*(4.19 * 50)</f>
        <v>52.794000000000004</v>
      </c>
      <c r="Q275">
        <f>0.259*(4.19 * 50)</f>
        <v>54.260500000000008</v>
      </c>
      <c r="R275">
        <f>0.257*(4.19 * 50)</f>
        <v>53.841500000000011</v>
      </c>
      <c r="S275">
        <f>0.251*(4.19 * 50)</f>
        <v>52.584500000000006</v>
      </c>
      <c r="T275">
        <f>0.25*(4.19 * 50)</f>
        <v>52.375000000000007</v>
      </c>
      <c r="U275">
        <f>0.24*(4.19 * 50)</f>
        <v>50.280000000000008</v>
      </c>
      <c r="V275">
        <f>0.236*(4.19 * 50)</f>
        <v>49.442000000000007</v>
      </c>
      <c r="W275">
        <f>0.233*(4.19 * 50)</f>
        <v>48.813500000000012</v>
      </c>
      <c r="X275">
        <f>0.232*(4.19 * 50)</f>
        <v>48.604000000000006</v>
      </c>
      <c r="Y275">
        <f>0.233*(4.19 * 50)</f>
        <v>48.813500000000012</v>
      </c>
      <c r="Z275">
        <f>0.235*(4.19 * 50)</f>
        <v>49.232500000000002</v>
      </c>
      <c r="AA275">
        <f>0.24*(4.19 * 50)</f>
        <v>50.280000000000008</v>
      </c>
      <c r="AB275">
        <f>0.243*(4.19 * 50)</f>
        <v>50.908500000000004</v>
      </c>
      <c r="AC275">
        <f>0.248*(4.19 * 50)</f>
        <v>51.95600000000001</v>
      </c>
      <c r="AD275">
        <f>0.252*(4.19 * 50)</f>
        <v>52.794000000000004</v>
      </c>
      <c r="AE275">
        <f>0.254*(4.19 * 50)</f>
        <v>53.213000000000008</v>
      </c>
      <c r="AF275">
        <f>0.251*(4.19 * 50)</f>
        <v>52.584500000000006</v>
      </c>
      <c r="AG275">
        <f>0.248*(4.19 * 50)</f>
        <v>51.95600000000001</v>
      </c>
    </row>
    <row r="276" spans="1:33" x14ac:dyDescent="0.3">
      <c r="A276" t="s">
        <v>319</v>
      </c>
      <c r="B276">
        <v>357415.3125</v>
      </c>
      <c r="C276">
        <v>6669539.3671880001</v>
      </c>
      <c r="D276" t="s">
        <v>540</v>
      </c>
      <c r="E276">
        <v>100</v>
      </c>
      <c r="F276">
        <v>12</v>
      </c>
      <c r="G276">
        <v>5.7279236276849638E-2</v>
      </c>
      <c r="H276">
        <f t="shared" si="9"/>
        <v>23.313000000000002</v>
      </c>
      <c r="I276">
        <f t="shared" si="8"/>
        <v>209.50000000000003</v>
      </c>
      <c r="J276">
        <f>0.052*(4.19 * 50)</f>
        <v>10.894</v>
      </c>
      <c r="K276">
        <f>0.052*(4.19 * 50)</f>
        <v>10.894</v>
      </c>
      <c r="L276">
        <f>0.051*(4.19 * 50)</f>
        <v>10.6845</v>
      </c>
      <c r="M276">
        <f>0.051*(4.19 * 50)</f>
        <v>10.6845</v>
      </c>
      <c r="N276">
        <f>0.051*(4.19 * 50)</f>
        <v>10.6845</v>
      </c>
      <c r="O276">
        <f>0.052*(4.19 * 50)</f>
        <v>10.894</v>
      </c>
      <c r="P276">
        <f>0.054*(4.19 * 50)</f>
        <v>11.313000000000001</v>
      </c>
      <c r="Q276">
        <f>0.055*(4.19 * 50)</f>
        <v>11.522500000000001</v>
      </c>
      <c r="R276">
        <f>0.055*(4.19 * 50)</f>
        <v>11.522500000000001</v>
      </c>
      <c r="S276">
        <f>0.054*(4.19 * 50)</f>
        <v>11.313000000000001</v>
      </c>
      <c r="T276">
        <f>0.053*(4.19 * 50)</f>
        <v>11.1035</v>
      </c>
      <c r="U276">
        <f>0.051*(4.19 * 50)</f>
        <v>10.6845</v>
      </c>
      <c r="V276">
        <f>0.05*(4.19 * 50)</f>
        <v>10.475000000000001</v>
      </c>
      <c r="W276">
        <f>0.05*(4.19 * 50)</f>
        <v>10.475000000000001</v>
      </c>
      <c r="X276">
        <f>0.05*(4.19 * 50)</f>
        <v>10.475000000000001</v>
      </c>
      <c r="Y276">
        <f>0.05*(4.19 * 50)</f>
        <v>10.475000000000001</v>
      </c>
      <c r="Z276">
        <f>0.05*(4.19 * 50)</f>
        <v>10.475000000000001</v>
      </c>
      <c r="AA276">
        <f>0.051*(4.19 * 50)</f>
        <v>10.6845</v>
      </c>
      <c r="AB276">
        <f>0.052*(4.19 * 50)</f>
        <v>10.894</v>
      </c>
      <c r="AC276">
        <f>0.053*(4.19 * 50)</f>
        <v>11.1035</v>
      </c>
      <c r="AD276">
        <f>0.054*(4.19 * 50)</f>
        <v>11.313000000000001</v>
      </c>
      <c r="AE276">
        <f>0.054*(4.19 * 50)</f>
        <v>11.313000000000001</v>
      </c>
      <c r="AF276">
        <f>0.054*(4.19 * 50)</f>
        <v>11.313000000000001</v>
      </c>
      <c r="AG276">
        <f>0.053*(4.19 * 50)</f>
        <v>11.1035</v>
      </c>
    </row>
    <row r="277" spans="1:33" x14ac:dyDescent="0.3">
      <c r="A277" t="s">
        <v>320</v>
      </c>
      <c r="B277">
        <v>358691.988281</v>
      </c>
      <c r="C277">
        <v>6667845.0507810004</v>
      </c>
      <c r="D277" t="s">
        <v>542</v>
      </c>
      <c r="E277">
        <v>100</v>
      </c>
      <c r="F277">
        <v>158.33299255371</v>
      </c>
      <c r="G277">
        <v>0.75576607424205244</v>
      </c>
      <c r="H277">
        <f t="shared" si="9"/>
        <v>306.86849255370998</v>
      </c>
      <c r="I277">
        <f t="shared" si="8"/>
        <v>209.50000000000003</v>
      </c>
      <c r="J277">
        <f>0.689*(4.19 * 50)</f>
        <v>144.34550000000002</v>
      </c>
      <c r="K277">
        <f>0.684*(4.19 * 50)</f>
        <v>143.29800000000003</v>
      </c>
      <c r="L277">
        <f>0.679*(4.19 * 50)</f>
        <v>142.25050000000002</v>
      </c>
      <c r="M277">
        <f>0.677*(4.19 * 50)</f>
        <v>141.83150000000003</v>
      </c>
      <c r="N277">
        <f>0.679*(4.19 * 50)</f>
        <v>142.25050000000002</v>
      </c>
      <c r="O277">
        <f>0.688*(4.19 * 50)</f>
        <v>144.136</v>
      </c>
      <c r="P277">
        <f>0.709*(4.19 * 50)</f>
        <v>148.53550000000001</v>
      </c>
      <c r="Q277">
        <f>0.728*(4.19 * 50)</f>
        <v>152.51600000000002</v>
      </c>
      <c r="R277">
        <f>0.721*(4.19 * 50)</f>
        <v>151.04950000000002</v>
      </c>
      <c r="S277">
        <f>0.706*(4.19 * 50)</f>
        <v>147.90700000000001</v>
      </c>
      <c r="T277">
        <f>0.704*(4.19 * 50)</f>
        <v>147.488</v>
      </c>
      <c r="U277">
        <f>0.674*(4.19 * 50)</f>
        <v>141.20300000000003</v>
      </c>
      <c r="V277">
        <f>0.664*(4.19 * 50)</f>
        <v>139.10800000000003</v>
      </c>
      <c r="W277">
        <f>0.655*(4.19 * 50)</f>
        <v>137.22250000000003</v>
      </c>
      <c r="X277">
        <f>0.653*(4.19 * 50)</f>
        <v>136.80350000000001</v>
      </c>
      <c r="Y277">
        <f>0.655*(4.19 * 50)</f>
        <v>137.22250000000003</v>
      </c>
      <c r="Z277">
        <f>0.662*(4.19 * 50)</f>
        <v>138.68900000000002</v>
      </c>
      <c r="AA277">
        <f>0.674*(4.19 * 50)</f>
        <v>141.20300000000003</v>
      </c>
      <c r="AB277">
        <f>0.684*(4.19 * 50)</f>
        <v>143.29800000000003</v>
      </c>
      <c r="AC277">
        <f>0.696*(4.19 * 50)</f>
        <v>145.81200000000001</v>
      </c>
      <c r="AD277">
        <f>0.708*(4.19 * 50)</f>
        <v>148.32600000000002</v>
      </c>
      <c r="AE277">
        <f>0.713*(4.19 * 50)</f>
        <v>149.37350000000001</v>
      </c>
      <c r="AF277">
        <f>0.706*(4.19 * 50)</f>
        <v>147.90700000000001</v>
      </c>
      <c r="AG277">
        <f>0.697*(4.19 * 50)</f>
        <v>146.0215</v>
      </c>
    </row>
    <row r="278" spans="1:33" x14ac:dyDescent="0.3">
      <c r="A278" t="s">
        <v>321</v>
      </c>
      <c r="B278">
        <v>363825.699219</v>
      </c>
      <c r="C278">
        <v>6671000.140625</v>
      </c>
      <c r="D278" t="s">
        <v>545</v>
      </c>
      <c r="E278">
        <v>100</v>
      </c>
      <c r="F278">
        <v>686.6669921875</v>
      </c>
      <c r="G278">
        <v>3.27764674075179</v>
      </c>
      <c r="H278">
        <f t="shared" si="9"/>
        <v>1330.8794921875001</v>
      </c>
      <c r="I278">
        <f t="shared" si="8"/>
        <v>209.50000000000003</v>
      </c>
      <c r="J278">
        <f>2.989*(4.19 * 50)</f>
        <v>626.19550000000004</v>
      </c>
      <c r="K278">
        <f>2.965*(4.19 * 50)</f>
        <v>621.16750000000002</v>
      </c>
      <c r="L278">
        <f>2.947*(4.19 * 50)</f>
        <v>617.39650000000006</v>
      </c>
      <c r="M278">
        <f>2.935*(4.19 * 50)</f>
        <v>614.88250000000005</v>
      </c>
      <c r="N278">
        <f>2.947*(4.19 * 50)</f>
        <v>617.39650000000006</v>
      </c>
      <c r="O278">
        <f>2.986*(4.19 * 50)</f>
        <v>625.56700000000012</v>
      </c>
      <c r="P278">
        <f>3.075*(4.19 * 50)</f>
        <v>644.21250000000009</v>
      </c>
      <c r="Q278">
        <f>3.156*(4.19 * 50)</f>
        <v>661.18200000000013</v>
      </c>
      <c r="R278">
        <f>3.129*(4.19 * 50)</f>
        <v>655.52550000000008</v>
      </c>
      <c r="S278">
        <f>3.063*(4.19 * 50)</f>
        <v>641.69850000000008</v>
      </c>
      <c r="T278">
        <f>3.051*(4.19 * 50)</f>
        <v>639.18450000000007</v>
      </c>
      <c r="U278">
        <f>2.923*(4.19 * 50)</f>
        <v>612.36850000000004</v>
      </c>
      <c r="V278">
        <f>2.881*(4.19 * 50)</f>
        <v>603.56950000000006</v>
      </c>
      <c r="W278">
        <f>2.842*(4.19 * 50)</f>
        <v>595.39900000000011</v>
      </c>
      <c r="X278">
        <f>2.834*(4.19 * 50)</f>
        <v>593.72300000000007</v>
      </c>
      <c r="Y278">
        <f>2.839*(4.19 * 50)</f>
        <v>594.77050000000008</v>
      </c>
      <c r="Z278">
        <f>2.869*(4.19 * 50)</f>
        <v>601.05550000000017</v>
      </c>
      <c r="AA278">
        <f>2.923*(4.19 * 50)</f>
        <v>612.36850000000004</v>
      </c>
      <c r="AB278">
        <f>2.965*(4.19 * 50)</f>
        <v>621.16750000000002</v>
      </c>
      <c r="AC278">
        <f>3.018*(4.19 * 50)</f>
        <v>632.27100000000007</v>
      </c>
      <c r="AD278">
        <f>3.069*(4.19 * 50)</f>
        <v>642.95550000000003</v>
      </c>
      <c r="AE278">
        <f>3.09*(4.19 * 50)</f>
        <v>647.35500000000002</v>
      </c>
      <c r="AF278">
        <f>3.063*(4.19 * 50)</f>
        <v>641.69850000000008</v>
      </c>
      <c r="AG278">
        <f>3.021*(4.19 * 50)</f>
        <v>632.8995000000001</v>
      </c>
    </row>
    <row r="279" spans="1:33" x14ac:dyDescent="0.3">
      <c r="A279" t="s">
        <v>322</v>
      </c>
      <c r="B279">
        <v>357026.121094</v>
      </c>
      <c r="C279">
        <v>6666035.7773439996</v>
      </c>
      <c r="D279" t="s">
        <v>540</v>
      </c>
      <c r="E279">
        <v>100</v>
      </c>
      <c r="F279">
        <v>11</v>
      </c>
      <c r="G279">
        <v>5.2505966587112173E-2</v>
      </c>
      <c r="H279">
        <f t="shared" si="9"/>
        <v>21.265500000000003</v>
      </c>
      <c r="I279">
        <f t="shared" si="8"/>
        <v>209.50000000000003</v>
      </c>
      <c r="J279">
        <f>0.048*(4.19 * 50)</f>
        <v>10.056000000000001</v>
      </c>
      <c r="K279">
        <f>0.047*(4.19 * 50)</f>
        <v>9.8465000000000007</v>
      </c>
      <c r="L279">
        <f>0.047*(4.19 * 50)</f>
        <v>9.8465000000000007</v>
      </c>
      <c r="M279">
        <f>0.047*(4.19 * 50)</f>
        <v>9.8465000000000007</v>
      </c>
      <c r="N279">
        <f>0.047*(4.19 * 50)</f>
        <v>9.8465000000000007</v>
      </c>
      <c r="O279">
        <f>0.048*(4.19 * 50)</f>
        <v>10.056000000000001</v>
      </c>
      <c r="P279">
        <f>0.049*(4.19 * 50)</f>
        <v>10.265500000000001</v>
      </c>
      <c r="Q279">
        <f>0.051*(4.19 * 50)</f>
        <v>10.6845</v>
      </c>
      <c r="R279">
        <f>0.05*(4.19 * 50)</f>
        <v>10.475000000000001</v>
      </c>
      <c r="S279">
        <f>0.049*(4.19 * 50)</f>
        <v>10.265500000000001</v>
      </c>
      <c r="T279">
        <f>0.049*(4.19 * 50)</f>
        <v>10.265500000000001</v>
      </c>
      <c r="U279">
        <f>0.047*(4.19 * 50)</f>
        <v>9.8465000000000007</v>
      </c>
      <c r="V279">
        <f>0.046*(4.19 * 50)</f>
        <v>9.6370000000000005</v>
      </c>
      <c r="W279">
        <f>0.046*(4.19 * 50)</f>
        <v>9.6370000000000005</v>
      </c>
      <c r="X279">
        <f>0.045*(4.19 * 50)</f>
        <v>9.4275000000000002</v>
      </c>
      <c r="Y279">
        <f>0.045*(4.19 * 50)</f>
        <v>9.4275000000000002</v>
      </c>
      <c r="Z279">
        <f>0.046*(4.19 * 50)</f>
        <v>9.6370000000000005</v>
      </c>
      <c r="AA279">
        <f>0.047*(4.19 * 50)</f>
        <v>9.8465000000000007</v>
      </c>
      <c r="AB279">
        <f>0.047*(4.19 * 50)</f>
        <v>9.8465000000000007</v>
      </c>
      <c r="AC279">
        <f>0.048*(4.19 * 50)</f>
        <v>10.056000000000001</v>
      </c>
      <c r="AD279">
        <f>0.049*(4.19 * 50)</f>
        <v>10.265500000000001</v>
      </c>
      <c r="AE279">
        <f>0.05*(4.19 * 50)</f>
        <v>10.475000000000001</v>
      </c>
      <c r="AF279">
        <f>0.049*(4.19 * 50)</f>
        <v>10.265500000000001</v>
      </c>
      <c r="AG279">
        <f>0.048*(4.19 * 50)</f>
        <v>10.056000000000001</v>
      </c>
    </row>
    <row r="280" spans="1:33" x14ac:dyDescent="0.3">
      <c r="A280" t="s">
        <v>323</v>
      </c>
      <c r="B280">
        <v>357184.847656</v>
      </c>
      <c r="C280">
        <v>6666099.953125</v>
      </c>
      <c r="D280" t="s">
        <v>540</v>
      </c>
      <c r="E280">
        <v>100</v>
      </c>
      <c r="F280">
        <v>11</v>
      </c>
      <c r="G280">
        <v>5.2505966587112173E-2</v>
      </c>
      <c r="H280">
        <f t="shared" si="9"/>
        <v>21.265500000000003</v>
      </c>
      <c r="I280">
        <f t="shared" si="8"/>
        <v>209.50000000000003</v>
      </c>
      <c r="J280">
        <f>0.048*(4.19 * 50)</f>
        <v>10.056000000000001</v>
      </c>
      <c r="K280">
        <f>0.047*(4.19 * 50)</f>
        <v>9.8465000000000007</v>
      </c>
      <c r="L280">
        <f>0.047*(4.19 * 50)</f>
        <v>9.8465000000000007</v>
      </c>
      <c r="M280">
        <f>0.047*(4.19 * 50)</f>
        <v>9.8465000000000007</v>
      </c>
      <c r="N280">
        <f>0.047*(4.19 * 50)</f>
        <v>9.8465000000000007</v>
      </c>
      <c r="O280">
        <f>0.048*(4.19 * 50)</f>
        <v>10.056000000000001</v>
      </c>
      <c r="P280">
        <f>0.049*(4.19 * 50)</f>
        <v>10.265500000000001</v>
      </c>
      <c r="Q280">
        <f>0.051*(4.19 * 50)</f>
        <v>10.6845</v>
      </c>
      <c r="R280">
        <f>0.05*(4.19 * 50)</f>
        <v>10.475000000000001</v>
      </c>
      <c r="S280">
        <f>0.049*(4.19 * 50)</f>
        <v>10.265500000000001</v>
      </c>
      <c r="T280">
        <f>0.049*(4.19 * 50)</f>
        <v>10.265500000000001</v>
      </c>
      <c r="U280">
        <f>0.047*(4.19 * 50)</f>
        <v>9.8465000000000007</v>
      </c>
      <c r="V280">
        <f>0.046*(4.19 * 50)</f>
        <v>9.6370000000000005</v>
      </c>
      <c r="W280">
        <f>0.046*(4.19 * 50)</f>
        <v>9.6370000000000005</v>
      </c>
      <c r="X280">
        <f>0.045*(4.19 * 50)</f>
        <v>9.4275000000000002</v>
      </c>
      <c r="Y280">
        <f>0.045*(4.19 * 50)</f>
        <v>9.4275000000000002</v>
      </c>
      <c r="Z280">
        <f>0.046*(4.19 * 50)</f>
        <v>9.6370000000000005</v>
      </c>
      <c r="AA280">
        <f>0.047*(4.19 * 50)</f>
        <v>9.8465000000000007</v>
      </c>
      <c r="AB280">
        <f>0.047*(4.19 * 50)</f>
        <v>9.8465000000000007</v>
      </c>
      <c r="AC280">
        <f>0.048*(4.19 * 50)</f>
        <v>10.056000000000001</v>
      </c>
      <c r="AD280">
        <f>0.049*(4.19 * 50)</f>
        <v>10.265500000000001</v>
      </c>
      <c r="AE280">
        <f>0.05*(4.19 * 50)</f>
        <v>10.475000000000001</v>
      </c>
      <c r="AF280">
        <f>0.049*(4.19 * 50)</f>
        <v>10.265500000000001</v>
      </c>
      <c r="AG280">
        <f>0.048*(4.19 * 50)</f>
        <v>10.056000000000001</v>
      </c>
    </row>
    <row r="281" spans="1:33" x14ac:dyDescent="0.3">
      <c r="A281" t="s">
        <v>324</v>
      </c>
      <c r="B281">
        <v>357374.121094</v>
      </c>
      <c r="C281">
        <v>6668541.421875</v>
      </c>
      <c r="D281" t="s">
        <v>542</v>
      </c>
      <c r="E281">
        <v>100</v>
      </c>
      <c r="F281">
        <v>49.333000183105398</v>
      </c>
      <c r="G281">
        <v>0.23547971447783</v>
      </c>
      <c r="H281">
        <f t="shared" si="9"/>
        <v>95.632500183105407</v>
      </c>
      <c r="I281">
        <f t="shared" si="8"/>
        <v>209.50000000000003</v>
      </c>
      <c r="J281">
        <f>0.215*(4.19 * 50)</f>
        <v>45.042500000000004</v>
      </c>
      <c r="K281">
        <f>0.213*(4.19 * 50)</f>
        <v>44.623500000000007</v>
      </c>
      <c r="L281">
        <f>0.212*(4.19 * 50)</f>
        <v>44.414000000000001</v>
      </c>
      <c r="M281">
        <f>0.211*(4.19 * 50)</f>
        <v>44.204500000000003</v>
      </c>
      <c r="N281">
        <f>0.212*(4.19 * 50)</f>
        <v>44.414000000000001</v>
      </c>
      <c r="O281">
        <f>0.215*(4.19 * 50)</f>
        <v>45.042500000000004</v>
      </c>
      <c r="P281">
        <f>0.221*(4.19 * 50)</f>
        <v>46.299500000000009</v>
      </c>
      <c r="Q281">
        <f>0.227*(4.19 * 50)</f>
        <v>47.556500000000007</v>
      </c>
      <c r="R281">
        <f>0.225*(4.19 * 50)</f>
        <v>47.13750000000001</v>
      </c>
      <c r="S281">
        <f>0.22*(4.19 * 50)</f>
        <v>46.09</v>
      </c>
      <c r="T281">
        <f>0.219*(4.19 * 50)</f>
        <v>45.880500000000005</v>
      </c>
      <c r="U281">
        <f>0.21*(4.19 * 50)</f>
        <v>43.995000000000005</v>
      </c>
      <c r="V281">
        <f>0.207*(4.19 * 50)</f>
        <v>43.366500000000002</v>
      </c>
      <c r="W281">
        <f>0.204*(4.19 * 50)</f>
        <v>42.738</v>
      </c>
      <c r="X281">
        <f>0.204*(4.19 * 50)</f>
        <v>42.738</v>
      </c>
      <c r="Y281">
        <f>0.204*(4.19 * 50)</f>
        <v>42.738</v>
      </c>
      <c r="Z281">
        <f>0.206*(4.19 * 50)</f>
        <v>43.157000000000004</v>
      </c>
      <c r="AA281">
        <f>0.21*(4.19 * 50)</f>
        <v>43.995000000000005</v>
      </c>
      <c r="AB281">
        <f>0.213*(4.19 * 50)</f>
        <v>44.623500000000007</v>
      </c>
      <c r="AC281">
        <f>0.217*(4.19 * 50)</f>
        <v>45.461500000000008</v>
      </c>
      <c r="AD281">
        <f>0.221*(4.19 * 50)</f>
        <v>46.299500000000009</v>
      </c>
      <c r="AE281">
        <f>0.222*(4.19 * 50)</f>
        <v>46.509000000000007</v>
      </c>
      <c r="AF281">
        <f>0.22*(4.19 * 50)</f>
        <v>46.09</v>
      </c>
      <c r="AG281">
        <f>0.217*(4.19 * 50)</f>
        <v>45.461500000000008</v>
      </c>
    </row>
    <row r="282" spans="1:33" x14ac:dyDescent="0.3">
      <c r="A282" t="s">
        <v>325</v>
      </c>
      <c r="B282">
        <v>355630.664063</v>
      </c>
      <c r="C282">
        <v>6664588.7148439996</v>
      </c>
      <c r="D282" t="s">
        <v>542</v>
      </c>
      <c r="E282">
        <v>100</v>
      </c>
      <c r="F282">
        <v>91</v>
      </c>
      <c r="G282">
        <v>0.4343675417661097</v>
      </c>
      <c r="H282">
        <f t="shared" si="9"/>
        <v>176.476</v>
      </c>
      <c r="I282">
        <f t="shared" si="8"/>
        <v>209.50000000000003</v>
      </c>
      <c r="J282">
        <f>0.396*(4.19 * 50)</f>
        <v>82.962000000000018</v>
      </c>
      <c r="K282">
        <f>0.393*(4.19 * 50)</f>
        <v>82.333500000000015</v>
      </c>
      <c r="L282">
        <f>0.391*(4.19 * 50)</f>
        <v>81.914500000000018</v>
      </c>
      <c r="M282">
        <f>0.389*(4.19 * 50)</f>
        <v>81.495500000000007</v>
      </c>
      <c r="N282">
        <f>0.391*(4.19 * 50)</f>
        <v>81.914500000000018</v>
      </c>
      <c r="O282">
        <f>0.396*(4.19 * 50)</f>
        <v>82.962000000000018</v>
      </c>
      <c r="P282">
        <f>0.408*(4.19 * 50)</f>
        <v>85.475999999999999</v>
      </c>
      <c r="Q282">
        <f>0.418*(4.19 * 50)</f>
        <v>87.571000000000012</v>
      </c>
      <c r="R282">
        <f>0.415*(4.19 * 50)</f>
        <v>86.94250000000001</v>
      </c>
      <c r="S282">
        <f>0.406*(4.19 * 50)</f>
        <v>85.057000000000016</v>
      </c>
      <c r="T282">
        <f>0.404*(4.19 * 50)</f>
        <v>84.638000000000019</v>
      </c>
      <c r="U282">
        <f>0.387*(4.19 * 50)</f>
        <v>81.07650000000001</v>
      </c>
      <c r="V282">
        <f>0.382*(4.19 * 50)</f>
        <v>80.029000000000011</v>
      </c>
      <c r="W282">
        <f>0.377*(4.19 * 50)</f>
        <v>78.981500000000011</v>
      </c>
      <c r="X282">
        <f>0.376*(4.19 * 50)</f>
        <v>78.772000000000006</v>
      </c>
      <c r="Y282">
        <f>0.376*(4.19 * 50)</f>
        <v>78.772000000000006</v>
      </c>
      <c r="Z282">
        <f>0.38*(4.19 * 50)</f>
        <v>79.610000000000014</v>
      </c>
      <c r="AA282">
        <f>0.387*(4.19 * 50)</f>
        <v>81.07650000000001</v>
      </c>
      <c r="AB282">
        <f>0.393*(4.19 * 50)</f>
        <v>82.333500000000015</v>
      </c>
      <c r="AC282">
        <f>0.4*(4.19 * 50)</f>
        <v>83.800000000000011</v>
      </c>
      <c r="AD282">
        <f>0.407*(4.19 * 50)</f>
        <v>85.266500000000008</v>
      </c>
      <c r="AE282">
        <f>0.41*(4.19 * 50)</f>
        <v>85.89500000000001</v>
      </c>
      <c r="AF282">
        <f>0.406*(4.19 * 50)</f>
        <v>85.057000000000016</v>
      </c>
      <c r="AG282">
        <f>0.4*(4.19 * 50)</f>
        <v>83.800000000000011</v>
      </c>
    </row>
    <row r="283" spans="1:33" x14ac:dyDescent="0.3">
      <c r="A283" t="s">
        <v>326</v>
      </c>
      <c r="B283">
        <v>363303.449219</v>
      </c>
      <c r="C283">
        <v>6672182.0703130001</v>
      </c>
      <c r="D283" t="s">
        <v>547</v>
      </c>
      <c r="E283">
        <v>100</v>
      </c>
      <c r="F283">
        <v>91</v>
      </c>
      <c r="G283">
        <v>0.4343675417661097</v>
      </c>
      <c r="H283">
        <f t="shared" si="9"/>
        <v>176.476</v>
      </c>
      <c r="I283">
        <f t="shared" si="8"/>
        <v>209.50000000000003</v>
      </c>
      <c r="J283">
        <f>0.396*(4.19 * 50)</f>
        <v>82.962000000000018</v>
      </c>
      <c r="K283">
        <f>0.393*(4.19 * 50)</f>
        <v>82.333500000000015</v>
      </c>
      <c r="L283">
        <f>0.391*(4.19 * 50)</f>
        <v>81.914500000000018</v>
      </c>
      <c r="M283">
        <f>0.389*(4.19 * 50)</f>
        <v>81.495500000000007</v>
      </c>
      <c r="N283">
        <f>0.391*(4.19 * 50)</f>
        <v>81.914500000000018</v>
      </c>
      <c r="O283">
        <f>0.396*(4.19 * 50)</f>
        <v>82.962000000000018</v>
      </c>
      <c r="P283">
        <f>0.408*(4.19 * 50)</f>
        <v>85.475999999999999</v>
      </c>
      <c r="Q283">
        <f>0.418*(4.19 * 50)</f>
        <v>87.571000000000012</v>
      </c>
      <c r="R283">
        <f>0.415*(4.19 * 50)</f>
        <v>86.94250000000001</v>
      </c>
      <c r="S283">
        <f>0.406*(4.19 * 50)</f>
        <v>85.057000000000016</v>
      </c>
      <c r="T283">
        <f>0.404*(4.19 * 50)</f>
        <v>84.638000000000019</v>
      </c>
      <c r="U283">
        <f>0.387*(4.19 * 50)</f>
        <v>81.07650000000001</v>
      </c>
      <c r="V283">
        <f>0.382*(4.19 * 50)</f>
        <v>80.029000000000011</v>
      </c>
      <c r="W283">
        <f>0.377*(4.19 * 50)</f>
        <v>78.981500000000011</v>
      </c>
      <c r="X283">
        <f>0.376*(4.19 * 50)</f>
        <v>78.772000000000006</v>
      </c>
      <c r="Y283">
        <f>0.376*(4.19 * 50)</f>
        <v>78.772000000000006</v>
      </c>
      <c r="Z283">
        <f>0.38*(4.19 * 50)</f>
        <v>79.610000000000014</v>
      </c>
      <c r="AA283">
        <f>0.387*(4.19 * 50)</f>
        <v>81.07650000000001</v>
      </c>
      <c r="AB283">
        <f>0.393*(4.19 * 50)</f>
        <v>82.333500000000015</v>
      </c>
      <c r="AC283">
        <f>0.4*(4.19 * 50)</f>
        <v>83.800000000000011</v>
      </c>
      <c r="AD283">
        <f>0.407*(4.19 * 50)</f>
        <v>85.266500000000008</v>
      </c>
      <c r="AE283">
        <f>0.41*(4.19 * 50)</f>
        <v>85.89500000000001</v>
      </c>
      <c r="AF283">
        <f>0.406*(4.19 * 50)</f>
        <v>85.057000000000016</v>
      </c>
      <c r="AG283">
        <f>0.4*(4.19 * 50)</f>
        <v>83.800000000000011</v>
      </c>
    </row>
    <row r="284" spans="1:33" x14ac:dyDescent="0.3">
      <c r="A284" t="s">
        <v>327</v>
      </c>
      <c r="B284">
        <v>363148.105469</v>
      </c>
      <c r="C284">
        <v>6672419.8007810004</v>
      </c>
      <c r="D284" t="s">
        <v>540</v>
      </c>
      <c r="E284">
        <v>100</v>
      </c>
      <c r="F284">
        <v>9</v>
      </c>
      <c r="G284">
        <v>4.2959427207637228E-2</v>
      </c>
      <c r="H284">
        <f t="shared" si="9"/>
        <v>17.380000000000003</v>
      </c>
      <c r="I284">
        <f t="shared" si="8"/>
        <v>209.50000000000003</v>
      </c>
      <c r="J284">
        <f>0.039*(4.19 * 50)</f>
        <v>8.1705000000000005</v>
      </c>
      <c r="K284">
        <f>0.039*(4.19 * 50)</f>
        <v>8.1705000000000005</v>
      </c>
      <c r="L284">
        <f>0.039*(4.19 * 50)</f>
        <v>8.1705000000000005</v>
      </c>
      <c r="M284">
        <f>0.038*(4.19 * 50)</f>
        <v>7.9610000000000012</v>
      </c>
      <c r="N284">
        <f>0.039*(4.19 * 50)</f>
        <v>8.1705000000000005</v>
      </c>
      <c r="O284">
        <f>0.039*(4.19 * 50)</f>
        <v>8.1705000000000005</v>
      </c>
      <c r="P284">
        <f>0.04*(4.19 * 50)</f>
        <v>8.3800000000000008</v>
      </c>
      <c r="Q284">
        <f>0.041*(4.19 * 50)</f>
        <v>8.589500000000001</v>
      </c>
      <c r="R284">
        <f>0.041*(4.19 * 50)</f>
        <v>8.589500000000001</v>
      </c>
      <c r="S284">
        <f>0.04*(4.19 * 50)</f>
        <v>8.3800000000000008</v>
      </c>
      <c r="T284">
        <f>0.04*(4.19 * 50)</f>
        <v>8.3800000000000008</v>
      </c>
      <c r="U284">
        <f>0.038*(4.19 * 50)</f>
        <v>7.9610000000000012</v>
      </c>
      <c r="V284">
        <f>0.038*(4.19 * 50)</f>
        <v>7.9610000000000012</v>
      </c>
      <c r="W284">
        <f>0.037*(4.19 * 50)</f>
        <v>7.7515000000000009</v>
      </c>
      <c r="X284">
        <f>0.037*(4.19 * 50)</f>
        <v>7.7515000000000009</v>
      </c>
      <c r="Y284">
        <f>0.037*(4.19 * 50)</f>
        <v>7.7515000000000009</v>
      </c>
      <c r="Z284">
        <f>0.038*(4.19 * 50)</f>
        <v>7.9610000000000012</v>
      </c>
      <c r="AA284">
        <f>0.038*(4.19 * 50)</f>
        <v>7.9610000000000012</v>
      </c>
      <c r="AB284">
        <f>0.039*(4.19 * 50)</f>
        <v>8.1705000000000005</v>
      </c>
      <c r="AC284">
        <f>0.04*(4.19 * 50)</f>
        <v>8.3800000000000008</v>
      </c>
      <c r="AD284">
        <f>0.04*(4.19 * 50)</f>
        <v>8.3800000000000008</v>
      </c>
      <c r="AE284">
        <f>0.041*(4.19 * 50)</f>
        <v>8.589500000000001</v>
      </c>
      <c r="AF284">
        <f>0.04*(4.19 * 50)</f>
        <v>8.3800000000000008</v>
      </c>
      <c r="AG284">
        <f>0.04*(4.19 * 50)</f>
        <v>8.3800000000000008</v>
      </c>
    </row>
    <row r="285" spans="1:33" x14ac:dyDescent="0.3">
      <c r="A285" t="s">
        <v>328</v>
      </c>
      <c r="B285">
        <v>358098.238281</v>
      </c>
      <c r="C285">
        <v>6667485.4609380001</v>
      </c>
      <c r="D285" t="s">
        <v>542</v>
      </c>
      <c r="E285">
        <v>100</v>
      </c>
      <c r="F285">
        <v>62</v>
      </c>
      <c r="G285">
        <v>0.29594272076372308</v>
      </c>
      <c r="H285">
        <f t="shared" si="9"/>
        <v>120.24100000000001</v>
      </c>
      <c r="I285">
        <f t="shared" si="8"/>
        <v>209.50000000000003</v>
      </c>
      <c r="J285">
        <f>0.27*(4.19 * 50)</f>
        <v>56.565000000000012</v>
      </c>
      <c r="K285">
        <f>0.268*(4.19 * 50)</f>
        <v>56.146000000000008</v>
      </c>
      <c r="L285">
        <f>0.266*(4.19 * 50)</f>
        <v>55.727000000000011</v>
      </c>
      <c r="M285">
        <f>0.265*(4.19 * 50)</f>
        <v>55.517500000000013</v>
      </c>
      <c r="N285">
        <f>0.266*(4.19 * 50)</f>
        <v>55.727000000000011</v>
      </c>
      <c r="O285">
        <f>0.27*(4.19 * 50)</f>
        <v>56.565000000000012</v>
      </c>
      <c r="P285">
        <f>0.278*(4.19 * 50)</f>
        <v>58.241000000000014</v>
      </c>
      <c r="Q285">
        <f>0.285*(4.19 * 50)</f>
        <v>59.707500000000003</v>
      </c>
      <c r="R285">
        <f>0.283*(4.19 * 50)</f>
        <v>59.288499999999999</v>
      </c>
      <c r="S285">
        <f>0.277*(4.19 * 50)</f>
        <v>58.031500000000015</v>
      </c>
      <c r="T285">
        <f>0.276*(4.19 * 50)</f>
        <v>57.82200000000001</v>
      </c>
      <c r="U285">
        <f>0.264*(4.19 * 50)</f>
        <v>55.308000000000007</v>
      </c>
      <c r="V285">
        <f>0.26*(4.19 * 50)</f>
        <v>54.470000000000006</v>
      </c>
      <c r="W285">
        <f>0.257*(4.19 * 50)</f>
        <v>53.841500000000011</v>
      </c>
      <c r="X285">
        <f>0.256*(4.19 * 50)</f>
        <v>53.632000000000005</v>
      </c>
      <c r="Y285">
        <f>0.256*(4.19 * 50)</f>
        <v>53.632000000000005</v>
      </c>
      <c r="Z285">
        <f>0.259*(4.19 * 50)</f>
        <v>54.260500000000008</v>
      </c>
      <c r="AA285">
        <f>0.264*(4.19 * 50)</f>
        <v>55.308000000000007</v>
      </c>
      <c r="AB285">
        <f>0.268*(4.19 * 50)</f>
        <v>56.146000000000008</v>
      </c>
      <c r="AC285">
        <f>0.273*(4.19 * 50)</f>
        <v>57.193500000000014</v>
      </c>
      <c r="AD285">
        <f>0.277*(4.19 * 50)</f>
        <v>58.031500000000015</v>
      </c>
      <c r="AE285">
        <f>0.279*(4.19 * 50)</f>
        <v>58.450500000000012</v>
      </c>
      <c r="AF285">
        <f>0.277*(4.19 * 50)</f>
        <v>58.031500000000015</v>
      </c>
      <c r="AG285">
        <f>0.273*(4.19 * 50)</f>
        <v>57.193500000000014</v>
      </c>
    </row>
    <row r="286" spans="1:33" x14ac:dyDescent="0.3">
      <c r="A286" t="s">
        <v>329</v>
      </c>
      <c r="B286">
        <v>357271.558594</v>
      </c>
      <c r="C286">
        <v>6666122.859375</v>
      </c>
      <c r="D286" t="s">
        <v>541</v>
      </c>
      <c r="E286">
        <v>100</v>
      </c>
      <c r="F286">
        <v>82</v>
      </c>
      <c r="G286">
        <v>0.39140811455847252</v>
      </c>
      <c r="H286">
        <f t="shared" si="9"/>
        <v>158.88650000000001</v>
      </c>
      <c r="I286">
        <f t="shared" si="8"/>
        <v>209.50000000000003</v>
      </c>
      <c r="J286">
        <f>0.357*(4.19 * 50)</f>
        <v>74.791500000000013</v>
      </c>
      <c r="K286">
        <f>0.354*(4.19 * 50)</f>
        <v>74.163000000000011</v>
      </c>
      <c r="L286">
        <f>0.352*(4.19 * 50)</f>
        <v>73.744</v>
      </c>
      <c r="M286">
        <f>0.35*(4.19 * 50)</f>
        <v>73.325000000000003</v>
      </c>
      <c r="N286">
        <f>0.352*(4.19 * 50)</f>
        <v>73.744</v>
      </c>
      <c r="O286">
        <f>0.357*(4.19 * 50)</f>
        <v>74.791500000000013</v>
      </c>
      <c r="P286">
        <f>0.367*(4.19 * 50)</f>
        <v>76.886500000000012</v>
      </c>
      <c r="Q286">
        <f>0.377*(4.19 * 50)</f>
        <v>78.981500000000011</v>
      </c>
      <c r="R286">
        <f>0.374*(4.19 * 50)</f>
        <v>78.353000000000009</v>
      </c>
      <c r="S286">
        <f>0.366*(4.19 * 50)</f>
        <v>76.677000000000007</v>
      </c>
      <c r="T286">
        <f>0.364*(4.19 * 50)</f>
        <v>76.25800000000001</v>
      </c>
      <c r="U286">
        <f>0.349*(4.19 * 50)</f>
        <v>73.115500000000011</v>
      </c>
      <c r="V286">
        <f>0.344*(4.19 * 50)</f>
        <v>72.067999999999998</v>
      </c>
      <c r="W286">
        <f>0.339*(4.19 * 50)</f>
        <v>71.020500000000013</v>
      </c>
      <c r="X286">
        <f>0.338*(4.19 * 50)</f>
        <v>70.811000000000021</v>
      </c>
      <c r="Y286">
        <f>0.339*(4.19 * 50)</f>
        <v>71.020500000000013</v>
      </c>
      <c r="Z286">
        <f>0.343*(4.19 * 50)</f>
        <v>71.858500000000021</v>
      </c>
      <c r="AA286">
        <f>0.349*(4.19 * 50)</f>
        <v>73.115500000000011</v>
      </c>
      <c r="AB286">
        <f>0.354*(4.19 * 50)</f>
        <v>74.163000000000011</v>
      </c>
      <c r="AC286">
        <f>0.36*(4.19 * 50)</f>
        <v>75.42</v>
      </c>
      <c r="AD286">
        <f>0.367*(4.19 * 50)</f>
        <v>76.886500000000012</v>
      </c>
      <c r="AE286">
        <f>0.369*(4.19 * 50)</f>
        <v>77.305500000000009</v>
      </c>
      <c r="AF286">
        <f>0.366*(4.19 * 50)</f>
        <v>76.677000000000007</v>
      </c>
      <c r="AG286">
        <f>0.361*(4.19 * 50)</f>
        <v>75.629500000000007</v>
      </c>
    </row>
    <row r="287" spans="1:33" x14ac:dyDescent="0.3">
      <c r="A287" t="s">
        <v>330</v>
      </c>
      <c r="B287">
        <v>357018.683594</v>
      </c>
      <c r="C287">
        <v>6668856.6757810004</v>
      </c>
      <c r="D287" t="s">
        <v>542</v>
      </c>
      <c r="E287">
        <v>100</v>
      </c>
      <c r="F287">
        <v>112.333000183105</v>
      </c>
      <c r="G287">
        <v>0.53619570493128876</v>
      </c>
      <c r="H287">
        <f t="shared" si="9"/>
        <v>217.71150018310502</v>
      </c>
      <c r="I287">
        <f t="shared" si="8"/>
        <v>209.50000000000003</v>
      </c>
      <c r="J287">
        <f>0.489*(4.19 * 50)</f>
        <v>102.44550000000001</v>
      </c>
      <c r="K287">
        <f>0.485*(4.19 * 50)</f>
        <v>101.60750000000002</v>
      </c>
      <c r="L287">
        <f>0.482*(4.19 * 50)</f>
        <v>100.97900000000001</v>
      </c>
      <c r="M287">
        <f>0.48*(4.19 * 50)</f>
        <v>100.56000000000002</v>
      </c>
      <c r="N287">
        <f>0.482*(4.19 * 50)</f>
        <v>100.97900000000001</v>
      </c>
      <c r="O287">
        <f>0.488*(4.19 * 50)</f>
        <v>102.23600000000002</v>
      </c>
      <c r="P287">
        <f>0.503*(4.19 * 50)</f>
        <v>105.37850000000002</v>
      </c>
      <c r="Q287">
        <f>0.516*(4.19 * 50)</f>
        <v>108.10200000000002</v>
      </c>
      <c r="R287">
        <f>0.512*(4.19 * 50)</f>
        <v>107.26400000000001</v>
      </c>
      <c r="S287">
        <f>0.501*(4.19 * 50)</f>
        <v>104.95950000000002</v>
      </c>
      <c r="T287">
        <f>0.499*(4.19 * 50)</f>
        <v>104.54050000000001</v>
      </c>
      <c r="U287">
        <f>0.478*(4.19 * 50)</f>
        <v>100.14100000000001</v>
      </c>
      <c r="V287">
        <f>0.471*(4.19 * 50)</f>
        <v>98.674500000000009</v>
      </c>
      <c r="W287">
        <f>0.465*(4.19 * 50)</f>
        <v>97.417500000000018</v>
      </c>
      <c r="X287">
        <f>0.464*(4.19 * 50)</f>
        <v>97.208000000000013</v>
      </c>
      <c r="Y287">
        <f>0.465*(4.19 * 50)</f>
        <v>97.417500000000018</v>
      </c>
      <c r="Z287">
        <f>0.469*(4.19 * 50)</f>
        <v>98.255500000000012</v>
      </c>
      <c r="AA287">
        <f>0.478*(4.19 * 50)</f>
        <v>100.14100000000001</v>
      </c>
      <c r="AB287">
        <f>0.485*(4.19 * 50)</f>
        <v>101.60750000000002</v>
      </c>
      <c r="AC287">
        <f>0.494*(4.19 * 50)</f>
        <v>103.49300000000001</v>
      </c>
      <c r="AD287">
        <f>0.502*(4.19 * 50)</f>
        <v>105.16900000000001</v>
      </c>
      <c r="AE287">
        <f>0.506*(4.19 * 50)</f>
        <v>106.00700000000002</v>
      </c>
      <c r="AF287">
        <f>0.501*(4.19 * 50)</f>
        <v>104.95950000000002</v>
      </c>
      <c r="AG287">
        <f>0.494*(4.19 * 50)</f>
        <v>103.49300000000001</v>
      </c>
    </row>
    <row r="288" spans="1:33" x14ac:dyDescent="0.3">
      <c r="A288" t="s">
        <v>331</v>
      </c>
      <c r="B288">
        <v>357035.589844</v>
      </c>
      <c r="C288">
        <v>6668835.7070310004</v>
      </c>
      <c r="D288" t="s">
        <v>542</v>
      </c>
      <c r="E288">
        <v>100</v>
      </c>
      <c r="F288">
        <v>84.366996765136705</v>
      </c>
      <c r="G288">
        <v>0.40270642847320609</v>
      </c>
      <c r="H288">
        <f t="shared" si="9"/>
        <v>163.55799676513672</v>
      </c>
      <c r="I288">
        <f t="shared" si="8"/>
        <v>209.50000000000003</v>
      </c>
      <c r="J288">
        <f>0.367*(4.19 * 50)</f>
        <v>76.886500000000012</v>
      </c>
      <c r="K288">
        <f>0.364*(4.19 * 50)</f>
        <v>76.25800000000001</v>
      </c>
      <c r="L288">
        <f>0.362*(4.19 * 50)</f>
        <v>75.839000000000013</v>
      </c>
      <c r="M288">
        <f>0.361*(4.19 * 50)</f>
        <v>75.629500000000007</v>
      </c>
      <c r="N288">
        <f>0.362*(4.19 * 50)</f>
        <v>75.839000000000013</v>
      </c>
      <c r="O288">
        <f>0.367*(4.19 * 50)</f>
        <v>76.886500000000012</v>
      </c>
      <c r="P288">
        <f>0.378*(4.19 * 50)</f>
        <v>79.191000000000017</v>
      </c>
      <c r="Q288">
        <f>0.388*(4.19 * 50)</f>
        <v>81.286000000000016</v>
      </c>
      <c r="R288">
        <f>0.384*(4.19 * 50)</f>
        <v>80.448000000000008</v>
      </c>
      <c r="S288">
        <f>0.376*(4.19 * 50)</f>
        <v>78.772000000000006</v>
      </c>
      <c r="T288">
        <f>0.375*(4.19 * 50)</f>
        <v>78.562500000000014</v>
      </c>
      <c r="U288">
        <f>0.359*(4.19 * 50)</f>
        <v>75.21050000000001</v>
      </c>
      <c r="V288">
        <f>0.354*(4.19 * 50)</f>
        <v>74.163000000000011</v>
      </c>
      <c r="W288">
        <f>0.349*(4.19 * 50)</f>
        <v>73.115500000000011</v>
      </c>
      <c r="X288">
        <f>0.348*(4.19 * 50)</f>
        <v>72.906000000000006</v>
      </c>
      <c r="Y288">
        <f>0.349*(4.19 * 50)</f>
        <v>73.115500000000011</v>
      </c>
      <c r="Z288">
        <f>0.353*(4.19 * 50)</f>
        <v>73.953500000000005</v>
      </c>
      <c r="AA288">
        <f>0.359*(4.19 * 50)</f>
        <v>75.21050000000001</v>
      </c>
      <c r="AB288">
        <f>0.364*(4.19 * 50)</f>
        <v>76.25800000000001</v>
      </c>
      <c r="AC288">
        <f>0.371*(4.19 * 50)</f>
        <v>77.724500000000006</v>
      </c>
      <c r="AD288">
        <f>0.377*(4.19 * 50)</f>
        <v>78.981500000000011</v>
      </c>
      <c r="AE288">
        <f>0.38*(4.19 * 50)</f>
        <v>79.610000000000014</v>
      </c>
      <c r="AF288">
        <f>0.376*(4.19 * 50)</f>
        <v>78.772000000000006</v>
      </c>
      <c r="AG288">
        <f>0.371*(4.19 * 50)</f>
        <v>77.724500000000006</v>
      </c>
    </row>
    <row r="289" spans="1:33" x14ac:dyDescent="0.3">
      <c r="A289" t="s">
        <v>332</v>
      </c>
      <c r="B289">
        <v>363024.558594</v>
      </c>
      <c r="C289">
        <v>6671433.4101560004</v>
      </c>
      <c r="D289" t="s">
        <v>542</v>
      </c>
      <c r="E289">
        <v>100</v>
      </c>
      <c r="F289">
        <v>53</v>
      </c>
      <c r="G289">
        <v>0.2529832935560859</v>
      </c>
      <c r="H289">
        <f t="shared" si="9"/>
        <v>102.6515</v>
      </c>
      <c r="I289">
        <f t="shared" si="8"/>
        <v>209.50000000000003</v>
      </c>
      <c r="J289">
        <f>0.231*(4.19 * 50)</f>
        <v>48.394500000000008</v>
      </c>
      <c r="K289">
        <f>0.229*(4.19 * 50)</f>
        <v>47.975500000000011</v>
      </c>
      <c r="L289">
        <f>0.227*(4.19 * 50)</f>
        <v>47.556500000000007</v>
      </c>
      <c r="M289">
        <f>0.227*(4.19 * 50)</f>
        <v>47.556500000000007</v>
      </c>
      <c r="N289">
        <f>0.227*(4.19 * 50)</f>
        <v>47.556500000000007</v>
      </c>
      <c r="O289">
        <f>0.23*(4.19 * 50)</f>
        <v>48.185000000000009</v>
      </c>
      <c r="P289">
        <f>0.237*(4.19 * 50)</f>
        <v>49.651500000000006</v>
      </c>
      <c r="Q289">
        <f>0.244*(4.19 * 50)</f>
        <v>51.118000000000009</v>
      </c>
      <c r="R289">
        <f>0.241*(4.19 * 50)</f>
        <v>50.489500000000007</v>
      </c>
      <c r="S289">
        <f>0.236*(4.19 * 50)</f>
        <v>49.442000000000007</v>
      </c>
      <c r="T289">
        <f>0.236*(4.19 * 50)</f>
        <v>49.442000000000007</v>
      </c>
      <c r="U289">
        <f>0.226*(4.19 * 50)</f>
        <v>47.347000000000008</v>
      </c>
      <c r="V289">
        <f>0.222*(4.19 * 50)</f>
        <v>46.509000000000007</v>
      </c>
      <c r="W289">
        <f>0.219*(4.19 * 50)</f>
        <v>45.880500000000005</v>
      </c>
      <c r="X289">
        <f>0.219*(4.19 * 50)</f>
        <v>45.880500000000005</v>
      </c>
      <c r="Y289">
        <f>0.219*(4.19 * 50)</f>
        <v>45.880500000000005</v>
      </c>
      <c r="Z289">
        <f>0.221*(4.19 * 50)</f>
        <v>46.299500000000009</v>
      </c>
      <c r="AA289">
        <f>0.226*(4.19 * 50)</f>
        <v>47.347000000000008</v>
      </c>
      <c r="AB289">
        <f>0.229*(4.19 * 50)</f>
        <v>47.975500000000011</v>
      </c>
      <c r="AC289">
        <f>0.233*(4.19 * 50)</f>
        <v>48.813500000000012</v>
      </c>
      <c r="AD289">
        <f>0.237*(4.19 * 50)</f>
        <v>49.651500000000006</v>
      </c>
      <c r="AE289">
        <f>0.239*(4.19 * 50)</f>
        <v>50.070500000000003</v>
      </c>
      <c r="AF289">
        <f>0.236*(4.19 * 50)</f>
        <v>49.442000000000007</v>
      </c>
      <c r="AG289">
        <f>0.233*(4.19 * 50)</f>
        <v>48.813500000000012</v>
      </c>
    </row>
    <row r="290" spans="1:33" x14ac:dyDescent="0.3">
      <c r="A290" t="s">
        <v>333</v>
      </c>
      <c r="B290">
        <v>355548.953125</v>
      </c>
      <c r="C290">
        <v>6664543.8242189996</v>
      </c>
      <c r="D290" t="s">
        <v>542</v>
      </c>
      <c r="E290">
        <v>100</v>
      </c>
      <c r="F290">
        <v>178.66700744628901</v>
      </c>
      <c r="G290">
        <v>0.8528258111994701</v>
      </c>
      <c r="H290">
        <f t="shared" si="9"/>
        <v>346.26700744628903</v>
      </c>
      <c r="I290">
        <f t="shared" si="8"/>
        <v>209.50000000000003</v>
      </c>
      <c r="J290">
        <f>0.778*(4.19 * 50)</f>
        <v>162.99100000000001</v>
      </c>
      <c r="K290">
        <f>0.771*(4.19 * 50)</f>
        <v>161.52450000000002</v>
      </c>
      <c r="L290">
        <f>0.767*(4.19 * 50)</f>
        <v>160.68650000000002</v>
      </c>
      <c r="M290">
        <f>0.764*(4.19 * 50)</f>
        <v>160.05800000000002</v>
      </c>
      <c r="N290">
        <f>0.767*(4.19 * 50)</f>
        <v>160.68650000000002</v>
      </c>
      <c r="O290">
        <f>0.777*(4.19 * 50)</f>
        <v>162.78150000000002</v>
      </c>
      <c r="P290">
        <f>0.8*(4.19 * 50)</f>
        <v>167.60000000000002</v>
      </c>
      <c r="Q290">
        <f>0.821*(4.19 * 50)</f>
        <v>171.99950000000001</v>
      </c>
      <c r="R290">
        <f>0.814*(4.19 * 50)</f>
        <v>170.53300000000002</v>
      </c>
      <c r="S290">
        <f>0.797*(4.19 * 50)</f>
        <v>166.97150000000002</v>
      </c>
      <c r="T290">
        <f>0.794*(4.19 * 50)</f>
        <v>166.34300000000002</v>
      </c>
      <c r="U290">
        <f>0.761*(4.19 * 50)</f>
        <v>159.42950000000002</v>
      </c>
      <c r="V290">
        <f>0.75*(4.19 * 50)</f>
        <v>157.12500000000003</v>
      </c>
      <c r="W290">
        <f>0.74*(4.19 * 50)</f>
        <v>155.03000000000003</v>
      </c>
      <c r="X290">
        <f>0.737*(4.19 * 50)</f>
        <v>154.40150000000003</v>
      </c>
      <c r="Y290">
        <f>0.739*(4.19 * 50)</f>
        <v>154.82050000000001</v>
      </c>
      <c r="Z290">
        <f>0.747*(4.19 * 50)</f>
        <v>156.49650000000003</v>
      </c>
      <c r="AA290">
        <f>0.761*(4.19 * 50)</f>
        <v>159.42950000000002</v>
      </c>
      <c r="AB290">
        <f>0.771*(4.19 * 50)</f>
        <v>161.52450000000002</v>
      </c>
      <c r="AC290">
        <f>0.785*(4.19 * 50)</f>
        <v>164.45750000000004</v>
      </c>
      <c r="AD290">
        <f>0.799*(4.19 * 50)</f>
        <v>167.39050000000003</v>
      </c>
      <c r="AE290">
        <f>0.804*(4.19 * 50)</f>
        <v>168.43800000000005</v>
      </c>
      <c r="AF290">
        <f>0.797*(4.19 * 50)</f>
        <v>166.97150000000002</v>
      </c>
      <c r="AG290">
        <f>0.786*(4.19 * 50)</f>
        <v>164.66700000000003</v>
      </c>
    </row>
    <row r="291" spans="1:33" x14ac:dyDescent="0.3">
      <c r="A291" t="s">
        <v>334</v>
      </c>
      <c r="B291">
        <v>357206.636719</v>
      </c>
      <c r="C291">
        <v>6666147.7460939996</v>
      </c>
      <c r="D291" t="s">
        <v>540</v>
      </c>
      <c r="E291">
        <v>100</v>
      </c>
      <c r="F291">
        <v>10</v>
      </c>
      <c r="G291">
        <v>4.7732696897374693E-2</v>
      </c>
      <c r="H291">
        <f t="shared" si="9"/>
        <v>19.427500000000002</v>
      </c>
      <c r="I291">
        <f t="shared" si="8"/>
        <v>209.50000000000003</v>
      </c>
      <c r="J291">
        <f>0.044*(4.19 * 50)</f>
        <v>9.218</v>
      </c>
      <c r="K291">
        <f>0.043*(4.19 * 50)</f>
        <v>9.0084999999999997</v>
      </c>
      <c r="L291">
        <f>0.043*(4.19 * 50)</f>
        <v>9.0084999999999997</v>
      </c>
      <c r="M291">
        <f>0.043*(4.19 * 50)</f>
        <v>9.0084999999999997</v>
      </c>
      <c r="N291">
        <f>0.043*(4.19 * 50)</f>
        <v>9.0084999999999997</v>
      </c>
      <c r="O291">
        <f>0.043*(4.19 * 50)</f>
        <v>9.0084999999999997</v>
      </c>
      <c r="P291">
        <f>0.045*(4.19 * 50)</f>
        <v>9.4275000000000002</v>
      </c>
      <c r="Q291">
        <f>0.046*(4.19 * 50)</f>
        <v>9.6370000000000005</v>
      </c>
      <c r="R291">
        <f>0.046*(4.19 * 50)</f>
        <v>9.6370000000000005</v>
      </c>
      <c r="S291">
        <f>0.045*(4.19 * 50)</f>
        <v>9.4275000000000002</v>
      </c>
      <c r="T291">
        <f>0.044*(4.19 * 50)</f>
        <v>9.218</v>
      </c>
      <c r="U291">
        <f>0.043*(4.19 * 50)</f>
        <v>9.0084999999999997</v>
      </c>
      <c r="V291">
        <f>0.042*(4.19 * 50)</f>
        <v>8.7990000000000013</v>
      </c>
      <c r="W291">
        <f>0.041*(4.19 * 50)</f>
        <v>8.589500000000001</v>
      </c>
      <c r="X291">
        <f>0.041*(4.19 * 50)</f>
        <v>8.589500000000001</v>
      </c>
      <c r="Y291">
        <f>0.041*(4.19 * 50)</f>
        <v>8.589500000000001</v>
      </c>
      <c r="Z291">
        <f>0.042*(4.19 * 50)</f>
        <v>8.7990000000000013</v>
      </c>
      <c r="AA291">
        <f>0.043*(4.19 * 50)</f>
        <v>9.0084999999999997</v>
      </c>
      <c r="AB291">
        <f>0.043*(4.19 * 50)</f>
        <v>9.0084999999999997</v>
      </c>
      <c r="AC291">
        <f>0.044*(4.19 * 50)</f>
        <v>9.218</v>
      </c>
      <c r="AD291">
        <f>0.045*(4.19 * 50)</f>
        <v>9.4275000000000002</v>
      </c>
      <c r="AE291">
        <f>0.045*(4.19 * 50)</f>
        <v>9.4275000000000002</v>
      </c>
      <c r="AF291">
        <f>0.045*(4.19 * 50)</f>
        <v>9.4275000000000002</v>
      </c>
      <c r="AG291">
        <f>0.044*(4.19 * 50)</f>
        <v>9.218</v>
      </c>
    </row>
    <row r="292" spans="1:33" x14ac:dyDescent="0.3">
      <c r="A292" t="s">
        <v>335</v>
      </c>
      <c r="B292">
        <v>359354.011719</v>
      </c>
      <c r="C292">
        <v>6667346.5273439996</v>
      </c>
      <c r="D292" t="s">
        <v>540</v>
      </c>
      <c r="E292">
        <v>100</v>
      </c>
      <c r="F292">
        <v>11</v>
      </c>
      <c r="G292">
        <v>5.2505966587112173E-2</v>
      </c>
      <c r="H292">
        <f t="shared" si="9"/>
        <v>21.265500000000003</v>
      </c>
      <c r="I292">
        <f t="shared" si="8"/>
        <v>209.50000000000003</v>
      </c>
      <c r="J292">
        <f>0.048*(4.19 * 50)</f>
        <v>10.056000000000001</v>
      </c>
      <c r="K292">
        <f>0.047*(4.19 * 50)</f>
        <v>9.8465000000000007</v>
      </c>
      <c r="L292">
        <f>0.047*(4.19 * 50)</f>
        <v>9.8465000000000007</v>
      </c>
      <c r="M292">
        <f>0.047*(4.19 * 50)</f>
        <v>9.8465000000000007</v>
      </c>
      <c r="N292">
        <f>0.047*(4.19 * 50)</f>
        <v>9.8465000000000007</v>
      </c>
      <c r="O292">
        <f>0.048*(4.19 * 50)</f>
        <v>10.056000000000001</v>
      </c>
      <c r="P292">
        <f>0.049*(4.19 * 50)</f>
        <v>10.265500000000001</v>
      </c>
      <c r="Q292">
        <f>0.051*(4.19 * 50)</f>
        <v>10.6845</v>
      </c>
      <c r="R292">
        <f>0.05*(4.19 * 50)</f>
        <v>10.475000000000001</v>
      </c>
      <c r="S292">
        <f>0.049*(4.19 * 50)</f>
        <v>10.265500000000001</v>
      </c>
      <c r="T292">
        <f>0.049*(4.19 * 50)</f>
        <v>10.265500000000001</v>
      </c>
      <c r="U292">
        <f>0.047*(4.19 * 50)</f>
        <v>9.8465000000000007</v>
      </c>
      <c r="V292">
        <f>0.046*(4.19 * 50)</f>
        <v>9.6370000000000005</v>
      </c>
      <c r="W292">
        <f>0.046*(4.19 * 50)</f>
        <v>9.6370000000000005</v>
      </c>
      <c r="X292">
        <f>0.045*(4.19 * 50)</f>
        <v>9.4275000000000002</v>
      </c>
      <c r="Y292">
        <f>0.045*(4.19 * 50)</f>
        <v>9.4275000000000002</v>
      </c>
      <c r="Z292">
        <f>0.046*(4.19 * 50)</f>
        <v>9.6370000000000005</v>
      </c>
      <c r="AA292">
        <f>0.047*(4.19 * 50)</f>
        <v>9.8465000000000007</v>
      </c>
      <c r="AB292">
        <f>0.047*(4.19 * 50)</f>
        <v>9.8465000000000007</v>
      </c>
      <c r="AC292">
        <f>0.048*(4.19 * 50)</f>
        <v>10.056000000000001</v>
      </c>
      <c r="AD292">
        <f>0.049*(4.19 * 50)</f>
        <v>10.265500000000001</v>
      </c>
      <c r="AE292">
        <f>0.05*(4.19 * 50)</f>
        <v>10.475000000000001</v>
      </c>
      <c r="AF292">
        <f>0.049*(4.19 * 50)</f>
        <v>10.265500000000001</v>
      </c>
      <c r="AG292">
        <f>0.048*(4.19 * 50)</f>
        <v>10.056000000000001</v>
      </c>
    </row>
    <row r="293" spans="1:33" x14ac:dyDescent="0.3">
      <c r="A293" t="s">
        <v>336</v>
      </c>
      <c r="B293">
        <v>355094.941406</v>
      </c>
      <c r="C293">
        <v>6664546.0234380001</v>
      </c>
      <c r="D293" t="s">
        <v>542</v>
      </c>
      <c r="E293">
        <v>100</v>
      </c>
      <c r="F293">
        <v>75.577003479003906</v>
      </c>
      <c r="G293">
        <v>0.36074941994751258</v>
      </c>
      <c r="H293">
        <f t="shared" si="9"/>
        <v>146.38800347900394</v>
      </c>
      <c r="I293">
        <f t="shared" si="8"/>
        <v>209.50000000000003</v>
      </c>
      <c r="J293">
        <f>0.329*(4.19 * 50)</f>
        <v>68.925500000000014</v>
      </c>
      <c r="K293">
        <f>0.326*(4.19 * 50)</f>
        <v>68.297000000000011</v>
      </c>
      <c r="L293">
        <f>0.324*(4.19 * 50)</f>
        <v>67.878000000000014</v>
      </c>
      <c r="M293">
        <f>0.323*(4.19 * 50)</f>
        <v>67.668500000000009</v>
      </c>
      <c r="N293">
        <f>0.324*(4.19 * 50)</f>
        <v>67.878000000000014</v>
      </c>
      <c r="O293">
        <f>0.329*(4.19 * 50)</f>
        <v>68.925500000000014</v>
      </c>
      <c r="P293">
        <f>0.338*(4.19 * 50)</f>
        <v>70.811000000000021</v>
      </c>
      <c r="Q293">
        <f>0.347*(4.19 * 50)</f>
        <v>72.6965</v>
      </c>
      <c r="R293">
        <f>0.344*(4.19 * 50)</f>
        <v>72.067999999999998</v>
      </c>
      <c r="S293">
        <f>0.337*(4.19 * 50)</f>
        <v>70.601500000000016</v>
      </c>
      <c r="T293">
        <f>0.336*(4.19 * 50)</f>
        <v>70.39200000000001</v>
      </c>
      <c r="U293">
        <f>0.322*(4.19 * 50)</f>
        <v>67.459000000000017</v>
      </c>
      <c r="V293">
        <f>0.317*(4.19 * 50)</f>
        <v>66.411500000000004</v>
      </c>
      <c r="W293">
        <f>0.313*(4.19 * 50)</f>
        <v>65.57350000000001</v>
      </c>
      <c r="X293">
        <f>0.312*(4.19 * 50)</f>
        <v>65.364000000000004</v>
      </c>
      <c r="Y293">
        <f>0.313*(4.19 * 50)</f>
        <v>65.57350000000001</v>
      </c>
      <c r="Z293">
        <f>0.316*(4.19 * 50)</f>
        <v>66.202000000000012</v>
      </c>
      <c r="AA293">
        <f>0.322*(4.19 * 50)</f>
        <v>67.459000000000017</v>
      </c>
      <c r="AB293">
        <f>0.326*(4.19 * 50)</f>
        <v>68.297000000000011</v>
      </c>
      <c r="AC293">
        <f>0.332*(4.19 * 50)</f>
        <v>69.554000000000016</v>
      </c>
      <c r="AD293">
        <f>0.338*(4.19 * 50)</f>
        <v>70.811000000000021</v>
      </c>
      <c r="AE293">
        <f>0.34*(4.19 * 50)</f>
        <v>71.230000000000018</v>
      </c>
      <c r="AF293">
        <f>0.337*(4.19 * 50)</f>
        <v>70.601500000000016</v>
      </c>
      <c r="AG293">
        <f>0.333*(4.19 * 50)</f>
        <v>69.763500000000008</v>
      </c>
    </row>
    <row r="294" spans="1:33" x14ac:dyDescent="0.3">
      <c r="A294" t="s">
        <v>337</v>
      </c>
      <c r="B294">
        <v>360072.480469</v>
      </c>
      <c r="C294">
        <v>6668665.3046880001</v>
      </c>
      <c r="D294" t="s">
        <v>560</v>
      </c>
      <c r="E294">
        <v>100</v>
      </c>
      <c r="F294">
        <v>526.6669921875</v>
      </c>
      <c r="G294">
        <v>2.513923590393794</v>
      </c>
      <c r="H294">
        <f t="shared" si="9"/>
        <v>1020.8774921875001</v>
      </c>
      <c r="I294">
        <f t="shared" si="8"/>
        <v>209.50000000000003</v>
      </c>
      <c r="J294">
        <f>2.292*(4.19 * 50)</f>
        <v>480.17400000000004</v>
      </c>
      <c r="K294">
        <f>2.274*(4.19 * 50)</f>
        <v>476.40300000000008</v>
      </c>
      <c r="L294">
        <f>2.26*(4.19 * 50)</f>
        <v>473.47</v>
      </c>
      <c r="M294">
        <f>2.251*(4.19 * 50)</f>
        <v>471.58450000000005</v>
      </c>
      <c r="N294">
        <f>2.26*(4.19 * 50)</f>
        <v>473.47</v>
      </c>
      <c r="O294">
        <f>2.29*(4.19 * 50)</f>
        <v>479.75500000000005</v>
      </c>
      <c r="P294">
        <f>2.359*(4.19 * 50)</f>
        <v>494.21050000000008</v>
      </c>
      <c r="Q294">
        <f>2.42*(4.19 * 50)</f>
        <v>506.99000000000007</v>
      </c>
      <c r="R294">
        <f>2.4*(4.19 * 50)</f>
        <v>502.80000000000007</v>
      </c>
      <c r="S294">
        <f>2.349*(4.19 * 50)</f>
        <v>492.11550000000011</v>
      </c>
      <c r="T294">
        <f>2.34*(4.19 * 50)</f>
        <v>490.23</v>
      </c>
      <c r="U294">
        <f>2.242*(4.19 * 50)</f>
        <v>469.69900000000007</v>
      </c>
      <c r="V294">
        <f>2.21*(4.19 * 50)</f>
        <v>462.99500000000006</v>
      </c>
      <c r="W294">
        <f>2.18*(4.19 * 50)</f>
        <v>456.71000000000009</v>
      </c>
      <c r="X294">
        <f>2.173*(4.19 * 50)</f>
        <v>455.2435000000001</v>
      </c>
      <c r="Y294">
        <f>2.178*(4.19 * 50)</f>
        <v>456.29100000000005</v>
      </c>
      <c r="Z294">
        <f>2.201*(4.19 * 50)</f>
        <v>461.10950000000008</v>
      </c>
      <c r="AA294">
        <f>2.242*(4.19 * 50)</f>
        <v>469.69900000000007</v>
      </c>
      <c r="AB294">
        <f>2.274*(4.19 * 50)</f>
        <v>476.40300000000008</v>
      </c>
      <c r="AC294">
        <f>2.315*(4.19 * 50)</f>
        <v>484.99250000000006</v>
      </c>
      <c r="AD294">
        <f>2.354*(4.19 * 50)</f>
        <v>493.16300000000007</v>
      </c>
      <c r="AE294">
        <f>2.37*(4.19 * 50)</f>
        <v>496.5150000000001</v>
      </c>
      <c r="AF294">
        <f>2.349*(4.19 * 50)</f>
        <v>492.11550000000011</v>
      </c>
      <c r="AG294">
        <f>2.317*(4.19 * 50)</f>
        <v>485.4115000000001</v>
      </c>
    </row>
    <row r="295" spans="1:33" x14ac:dyDescent="0.3">
      <c r="A295" t="s">
        <v>338</v>
      </c>
      <c r="B295">
        <v>357852.5625</v>
      </c>
      <c r="C295">
        <v>6666165.2851560004</v>
      </c>
      <c r="D295" t="s">
        <v>541</v>
      </c>
      <c r="E295">
        <v>100</v>
      </c>
      <c r="F295">
        <v>55.333000183105398</v>
      </c>
      <c r="G295">
        <v>0.26411933261625492</v>
      </c>
      <c r="H295">
        <f t="shared" si="9"/>
        <v>107.2890001831054</v>
      </c>
      <c r="I295">
        <f t="shared" si="8"/>
        <v>209.50000000000003</v>
      </c>
      <c r="J295">
        <f>0.241*(4.19 * 50)</f>
        <v>50.489500000000007</v>
      </c>
      <c r="K295">
        <f>0.239*(4.19 * 50)</f>
        <v>50.070500000000003</v>
      </c>
      <c r="L295">
        <f>0.237*(4.19 * 50)</f>
        <v>49.651500000000006</v>
      </c>
      <c r="M295">
        <f>0.237*(4.19 * 50)</f>
        <v>49.651500000000006</v>
      </c>
      <c r="N295">
        <f>0.237*(4.19 * 50)</f>
        <v>49.651500000000006</v>
      </c>
      <c r="O295">
        <f>0.241*(4.19 * 50)</f>
        <v>50.489500000000007</v>
      </c>
      <c r="P295">
        <f>0.248*(4.19 * 50)</f>
        <v>51.95600000000001</v>
      </c>
      <c r="Q295">
        <f>0.254*(4.19 * 50)</f>
        <v>53.213000000000008</v>
      </c>
      <c r="R295">
        <f>0.252*(4.19 * 50)</f>
        <v>52.794000000000004</v>
      </c>
      <c r="S295">
        <f>0.247*(4.19 * 50)</f>
        <v>51.746500000000005</v>
      </c>
      <c r="T295">
        <f>0.246*(4.19 * 50)</f>
        <v>51.537000000000006</v>
      </c>
      <c r="U295">
        <f>0.236*(4.19 * 50)</f>
        <v>49.442000000000007</v>
      </c>
      <c r="V295">
        <f>0.232*(4.19 * 50)</f>
        <v>48.604000000000006</v>
      </c>
      <c r="W295">
        <f>0.229*(4.19 * 50)</f>
        <v>47.975500000000011</v>
      </c>
      <c r="X295">
        <f>0.228*(4.19 * 50)</f>
        <v>47.766000000000005</v>
      </c>
      <c r="Y295">
        <f>0.229*(4.19 * 50)</f>
        <v>47.975500000000011</v>
      </c>
      <c r="Z295">
        <f>0.231*(4.19 * 50)</f>
        <v>48.394500000000008</v>
      </c>
      <c r="AA295">
        <f>0.236*(4.19 * 50)</f>
        <v>49.442000000000007</v>
      </c>
      <c r="AB295">
        <f>0.239*(4.19 * 50)</f>
        <v>50.070500000000003</v>
      </c>
      <c r="AC295">
        <f>0.243*(4.19 * 50)</f>
        <v>50.908500000000004</v>
      </c>
      <c r="AD295">
        <f>0.247*(4.19 * 50)</f>
        <v>51.746500000000005</v>
      </c>
      <c r="AE295">
        <f>0.249*(4.19 * 50)</f>
        <v>52.165500000000009</v>
      </c>
      <c r="AF295">
        <f>0.247*(4.19 * 50)</f>
        <v>51.746500000000005</v>
      </c>
      <c r="AG295">
        <f>0.243*(4.19 * 50)</f>
        <v>50.908500000000004</v>
      </c>
    </row>
    <row r="296" spans="1:33" x14ac:dyDescent="0.3">
      <c r="A296" t="s">
        <v>339</v>
      </c>
      <c r="B296">
        <v>358726.105469</v>
      </c>
      <c r="C296">
        <v>6667756.6015630001</v>
      </c>
      <c r="D296" t="s">
        <v>542</v>
      </c>
      <c r="E296">
        <v>100</v>
      </c>
      <c r="F296">
        <v>144.33299255371</v>
      </c>
      <c r="G296">
        <v>0.68894029858572781</v>
      </c>
      <c r="H296">
        <f t="shared" si="9"/>
        <v>279.66999255371002</v>
      </c>
      <c r="I296">
        <f t="shared" si="8"/>
        <v>209.50000000000003</v>
      </c>
      <c r="J296">
        <f>0.628*(4.19 * 50)</f>
        <v>131.56600000000003</v>
      </c>
      <c r="K296">
        <f>0.623*(4.19 * 50)</f>
        <v>130.51850000000002</v>
      </c>
      <c r="L296">
        <f>0.619*(4.19 * 50)</f>
        <v>129.68050000000002</v>
      </c>
      <c r="M296">
        <f>0.617*(4.19 * 50)</f>
        <v>129.26150000000001</v>
      </c>
      <c r="N296">
        <f>0.619*(4.19 * 50)</f>
        <v>129.68050000000002</v>
      </c>
      <c r="O296">
        <f>0.628*(4.19 * 50)</f>
        <v>131.56600000000003</v>
      </c>
      <c r="P296">
        <f>0.646*(4.19 * 50)</f>
        <v>135.33700000000002</v>
      </c>
      <c r="Q296">
        <f>0.663*(4.19 * 50)</f>
        <v>138.89850000000001</v>
      </c>
      <c r="R296">
        <f>0.658*(4.19 * 50)</f>
        <v>137.85100000000003</v>
      </c>
      <c r="S296">
        <f>0.644*(4.19 * 50)</f>
        <v>134.91800000000003</v>
      </c>
      <c r="T296">
        <f>0.641*(4.19 * 50)</f>
        <v>134.28950000000003</v>
      </c>
      <c r="U296">
        <f>0.614*(4.19 * 50)</f>
        <v>128.63300000000001</v>
      </c>
      <c r="V296">
        <f>0.606*(4.19 * 50)</f>
        <v>126.95700000000001</v>
      </c>
      <c r="W296">
        <f>0.597*(4.19 * 50)</f>
        <v>125.07150000000001</v>
      </c>
      <c r="X296">
        <f>0.596*(4.19 * 50)</f>
        <v>124.86200000000001</v>
      </c>
      <c r="Y296">
        <f>0.597*(4.19 * 50)</f>
        <v>125.07150000000001</v>
      </c>
      <c r="Z296">
        <f>0.603*(4.19 * 50)</f>
        <v>126.32850000000002</v>
      </c>
      <c r="AA296">
        <f>0.614*(4.19 * 50)</f>
        <v>128.63300000000001</v>
      </c>
      <c r="AB296">
        <f>0.623*(4.19 * 50)</f>
        <v>130.51850000000002</v>
      </c>
      <c r="AC296">
        <f>0.634*(4.19 * 50)</f>
        <v>132.82300000000001</v>
      </c>
      <c r="AD296">
        <f>0.645*(4.19 * 50)</f>
        <v>135.12750000000003</v>
      </c>
      <c r="AE296">
        <f>0.65*(4.19 * 50)</f>
        <v>136.17500000000001</v>
      </c>
      <c r="AF296">
        <f>0.644*(4.19 * 50)</f>
        <v>134.91800000000003</v>
      </c>
      <c r="AG296">
        <f>0.635*(4.19 * 50)</f>
        <v>133.03250000000003</v>
      </c>
    </row>
    <row r="297" spans="1:33" x14ac:dyDescent="0.3">
      <c r="A297" t="s">
        <v>340</v>
      </c>
      <c r="B297">
        <v>357221.726563</v>
      </c>
      <c r="C297">
        <v>6666177.3125</v>
      </c>
      <c r="D297" t="s">
        <v>540</v>
      </c>
      <c r="E297">
        <v>100</v>
      </c>
      <c r="F297">
        <v>9</v>
      </c>
      <c r="G297">
        <v>4.2959427207637228E-2</v>
      </c>
      <c r="H297">
        <f t="shared" si="9"/>
        <v>17.380000000000003</v>
      </c>
      <c r="I297">
        <f t="shared" si="8"/>
        <v>209.50000000000003</v>
      </c>
      <c r="J297">
        <f>0.039*(4.19 * 50)</f>
        <v>8.1705000000000005</v>
      </c>
      <c r="K297">
        <f>0.039*(4.19 * 50)</f>
        <v>8.1705000000000005</v>
      </c>
      <c r="L297">
        <f>0.039*(4.19 * 50)</f>
        <v>8.1705000000000005</v>
      </c>
      <c r="M297">
        <f>0.038*(4.19 * 50)</f>
        <v>7.9610000000000012</v>
      </c>
      <c r="N297">
        <f>0.039*(4.19 * 50)</f>
        <v>8.1705000000000005</v>
      </c>
      <c r="O297">
        <f>0.039*(4.19 * 50)</f>
        <v>8.1705000000000005</v>
      </c>
      <c r="P297">
        <f>0.04*(4.19 * 50)</f>
        <v>8.3800000000000008</v>
      </c>
      <c r="Q297">
        <f>0.041*(4.19 * 50)</f>
        <v>8.589500000000001</v>
      </c>
      <c r="R297">
        <f>0.041*(4.19 * 50)</f>
        <v>8.589500000000001</v>
      </c>
      <c r="S297">
        <f>0.04*(4.19 * 50)</f>
        <v>8.3800000000000008</v>
      </c>
      <c r="T297">
        <f>0.04*(4.19 * 50)</f>
        <v>8.3800000000000008</v>
      </c>
      <c r="U297">
        <f>0.038*(4.19 * 50)</f>
        <v>7.9610000000000012</v>
      </c>
      <c r="V297">
        <f>0.038*(4.19 * 50)</f>
        <v>7.9610000000000012</v>
      </c>
      <c r="W297">
        <f>0.037*(4.19 * 50)</f>
        <v>7.7515000000000009</v>
      </c>
      <c r="X297">
        <f>0.037*(4.19 * 50)</f>
        <v>7.7515000000000009</v>
      </c>
      <c r="Y297">
        <f>0.037*(4.19 * 50)</f>
        <v>7.7515000000000009</v>
      </c>
      <c r="Z297">
        <f>0.038*(4.19 * 50)</f>
        <v>7.9610000000000012</v>
      </c>
      <c r="AA297">
        <f>0.038*(4.19 * 50)</f>
        <v>7.9610000000000012</v>
      </c>
      <c r="AB297">
        <f>0.039*(4.19 * 50)</f>
        <v>8.1705000000000005</v>
      </c>
      <c r="AC297">
        <f>0.04*(4.19 * 50)</f>
        <v>8.3800000000000008</v>
      </c>
      <c r="AD297">
        <f>0.04*(4.19 * 50)</f>
        <v>8.3800000000000008</v>
      </c>
      <c r="AE297">
        <f>0.041*(4.19 * 50)</f>
        <v>8.589500000000001</v>
      </c>
      <c r="AF297">
        <f>0.04*(4.19 * 50)</f>
        <v>8.3800000000000008</v>
      </c>
      <c r="AG297">
        <f>0.04*(4.19 * 50)</f>
        <v>8.3800000000000008</v>
      </c>
    </row>
    <row r="298" spans="1:33" x14ac:dyDescent="0.3">
      <c r="A298" t="s">
        <v>341</v>
      </c>
      <c r="B298">
        <v>362863.035156</v>
      </c>
      <c r="C298">
        <v>6671228.3710939996</v>
      </c>
      <c r="D298" t="s">
        <v>544</v>
      </c>
      <c r="E298">
        <v>100</v>
      </c>
      <c r="F298">
        <v>26.333000183105401</v>
      </c>
      <c r="G298">
        <v>0.12569451161386819</v>
      </c>
      <c r="H298">
        <f t="shared" si="9"/>
        <v>51.054000183105401</v>
      </c>
      <c r="I298">
        <f t="shared" si="8"/>
        <v>209.50000000000003</v>
      </c>
      <c r="J298">
        <f>0.115*(4.19 * 50)</f>
        <v>24.092500000000005</v>
      </c>
      <c r="K298">
        <f>0.114*(4.19 * 50)</f>
        <v>23.883000000000003</v>
      </c>
      <c r="L298">
        <f>0.113*(4.19 * 50)</f>
        <v>23.673500000000004</v>
      </c>
      <c r="M298">
        <f>0.113*(4.19 * 50)</f>
        <v>23.673500000000004</v>
      </c>
      <c r="N298">
        <f>0.113*(4.19 * 50)</f>
        <v>23.673500000000004</v>
      </c>
      <c r="O298">
        <f>0.114*(4.19 * 50)</f>
        <v>23.883000000000003</v>
      </c>
      <c r="P298">
        <f>0.118*(4.19 * 50)</f>
        <v>24.721000000000004</v>
      </c>
      <c r="Q298">
        <f>0.121*(4.19 * 50)</f>
        <v>25.349500000000003</v>
      </c>
      <c r="R298">
        <f>0.12*(4.19 * 50)</f>
        <v>25.140000000000004</v>
      </c>
      <c r="S298">
        <f>0.117*(4.19 * 50)</f>
        <v>24.511500000000005</v>
      </c>
      <c r="T298">
        <f>0.117*(4.19 * 50)</f>
        <v>24.511500000000005</v>
      </c>
      <c r="U298">
        <f>0.112*(4.19 * 50)</f>
        <v>23.464000000000002</v>
      </c>
      <c r="V298">
        <f>0.11*(4.19 * 50)</f>
        <v>23.045000000000002</v>
      </c>
      <c r="W298">
        <f>0.109*(4.19 * 50)</f>
        <v>22.835500000000003</v>
      </c>
      <c r="X298">
        <f>0.109*(4.19 * 50)</f>
        <v>22.835500000000003</v>
      </c>
      <c r="Y298">
        <f>0.109*(4.19 * 50)</f>
        <v>22.835500000000003</v>
      </c>
      <c r="Z298">
        <f>0.11*(4.19 * 50)</f>
        <v>23.045000000000002</v>
      </c>
      <c r="AA298">
        <f>0.112*(4.19 * 50)</f>
        <v>23.464000000000002</v>
      </c>
      <c r="AB298">
        <f>0.114*(4.19 * 50)</f>
        <v>23.883000000000003</v>
      </c>
      <c r="AC298">
        <f>0.116*(4.19 * 50)</f>
        <v>24.302000000000003</v>
      </c>
      <c r="AD298">
        <f>0.118*(4.19 * 50)</f>
        <v>24.721000000000004</v>
      </c>
      <c r="AE298">
        <f>0.118*(4.19 * 50)</f>
        <v>24.721000000000004</v>
      </c>
      <c r="AF298">
        <f>0.117*(4.19 * 50)</f>
        <v>24.511500000000005</v>
      </c>
      <c r="AG298">
        <f>0.116*(4.19 * 50)</f>
        <v>24.302000000000003</v>
      </c>
    </row>
    <row r="299" spans="1:33" x14ac:dyDescent="0.3">
      <c r="A299" t="s">
        <v>342</v>
      </c>
      <c r="B299">
        <v>357170.78125</v>
      </c>
      <c r="C299">
        <v>6668010.9921880001</v>
      </c>
      <c r="D299" t="s">
        <v>540</v>
      </c>
      <c r="E299">
        <v>100</v>
      </c>
      <c r="F299">
        <v>8</v>
      </c>
      <c r="G299">
        <v>3.8186157517899763E-2</v>
      </c>
      <c r="H299">
        <f t="shared" si="9"/>
        <v>15.542000000000002</v>
      </c>
      <c r="I299">
        <f t="shared" si="8"/>
        <v>209.50000000000003</v>
      </c>
      <c r="J299">
        <f>0.035*(4.19 * 50)</f>
        <v>7.3325000000000014</v>
      </c>
      <c r="K299">
        <f>0.035*(4.19 * 50)</f>
        <v>7.3325000000000014</v>
      </c>
      <c r="L299">
        <f>0.034*(4.19 * 50)</f>
        <v>7.1230000000000011</v>
      </c>
      <c r="M299">
        <f>0.034*(4.19 * 50)</f>
        <v>7.1230000000000011</v>
      </c>
      <c r="N299">
        <f>0.034*(4.19 * 50)</f>
        <v>7.1230000000000011</v>
      </c>
      <c r="O299">
        <f>0.035*(4.19 * 50)</f>
        <v>7.3325000000000014</v>
      </c>
      <c r="P299">
        <f>0.036*(4.19 * 50)</f>
        <v>7.5420000000000007</v>
      </c>
      <c r="Q299">
        <f>0.037*(4.19 * 50)</f>
        <v>7.7515000000000009</v>
      </c>
      <c r="R299">
        <f>0.036*(4.19 * 50)</f>
        <v>7.5420000000000007</v>
      </c>
      <c r="S299">
        <f>0.036*(4.19 * 50)</f>
        <v>7.5420000000000007</v>
      </c>
      <c r="T299">
        <f>0.036*(4.19 * 50)</f>
        <v>7.5420000000000007</v>
      </c>
      <c r="U299">
        <f>0.034*(4.19 * 50)</f>
        <v>7.1230000000000011</v>
      </c>
      <c r="V299">
        <f>0.034*(4.19 * 50)</f>
        <v>7.1230000000000011</v>
      </c>
      <c r="W299">
        <f>0.033*(4.19 * 50)</f>
        <v>6.9135000000000009</v>
      </c>
      <c r="X299">
        <f>0.033*(4.19 * 50)</f>
        <v>6.9135000000000009</v>
      </c>
      <c r="Y299">
        <f>0.033*(4.19 * 50)</f>
        <v>6.9135000000000009</v>
      </c>
      <c r="Z299">
        <f>0.033*(4.19 * 50)</f>
        <v>6.9135000000000009</v>
      </c>
      <c r="AA299">
        <f>0.034*(4.19 * 50)</f>
        <v>7.1230000000000011</v>
      </c>
      <c r="AB299">
        <f>0.035*(4.19 * 50)</f>
        <v>7.3325000000000014</v>
      </c>
      <c r="AC299">
        <f>0.035*(4.19 * 50)</f>
        <v>7.3325000000000014</v>
      </c>
      <c r="AD299">
        <f>0.036*(4.19 * 50)</f>
        <v>7.5420000000000007</v>
      </c>
      <c r="AE299">
        <f>0.036*(4.19 * 50)</f>
        <v>7.5420000000000007</v>
      </c>
      <c r="AF299">
        <f>0.036*(4.19 * 50)</f>
        <v>7.5420000000000007</v>
      </c>
      <c r="AG299">
        <f>0.035*(4.19 * 50)</f>
        <v>7.3325000000000014</v>
      </c>
    </row>
    <row r="300" spans="1:33" x14ac:dyDescent="0.3">
      <c r="A300" t="s">
        <v>343</v>
      </c>
      <c r="B300">
        <v>357400.601563</v>
      </c>
      <c r="C300">
        <v>6668486.7929689996</v>
      </c>
      <c r="D300" t="s">
        <v>547</v>
      </c>
      <c r="E300">
        <v>100</v>
      </c>
      <c r="F300">
        <v>219.66700744628901</v>
      </c>
      <c r="G300">
        <v>1.0485298684787061</v>
      </c>
      <c r="H300">
        <f t="shared" si="9"/>
        <v>425.81500744628903</v>
      </c>
      <c r="I300">
        <f t="shared" si="8"/>
        <v>209.50000000000003</v>
      </c>
      <c r="J300">
        <f>0.956*(4.19 * 50)</f>
        <v>200.28200000000001</v>
      </c>
      <c r="K300">
        <f>0.948*(4.19 * 50)</f>
        <v>198.60600000000002</v>
      </c>
      <c r="L300">
        <f>0.943*(4.19 * 50)</f>
        <v>197.55850000000001</v>
      </c>
      <c r="M300">
        <f>0.939*(4.19 * 50)</f>
        <v>196.72050000000002</v>
      </c>
      <c r="N300">
        <f>0.943*(4.19 * 50)</f>
        <v>197.55850000000001</v>
      </c>
      <c r="O300">
        <f>0.955*(4.19 * 50)</f>
        <v>200.07250000000002</v>
      </c>
      <c r="P300">
        <f>0.984*(4.19 * 50)</f>
        <v>206.14800000000002</v>
      </c>
      <c r="Q300">
        <f>1.01*(4.19 * 50)</f>
        <v>211.59500000000003</v>
      </c>
      <c r="R300">
        <f>1.001*(4.19 * 50)</f>
        <v>209.70949999999999</v>
      </c>
      <c r="S300">
        <f>0.98*(4.19 * 50)</f>
        <v>205.31000000000003</v>
      </c>
      <c r="T300">
        <f>0.976*(4.19 * 50)</f>
        <v>204.47200000000004</v>
      </c>
      <c r="U300">
        <f>0.935*(4.19 * 50)</f>
        <v>195.88250000000005</v>
      </c>
      <c r="V300">
        <f>0.922*(4.19 * 50)</f>
        <v>193.15900000000005</v>
      </c>
      <c r="W300">
        <f>0.909*(4.19 * 50)</f>
        <v>190.43550000000002</v>
      </c>
      <c r="X300">
        <f>0.906*(4.19 * 50)</f>
        <v>189.80700000000004</v>
      </c>
      <c r="Y300">
        <f>0.908*(4.19 * 50)</f>
        <v>190.22600000000003</v>
      </c>
      <c r="Z300">
        <f>0.918*(4.19 * 50)</f>
        <v>192.32100000000003</v>
      </c>
      <c r="AA300">
        <f>0.935*(4.19 * 50)</f>
        <v>195.88250000000005</v>
      </c>
      <c r="AB300">
        <f>0.948*(4.19 * 50)</f>
        <v>198.60600000000002</v>
      </c>
      <c r="AC300">
        <f>0.966*(4.19 * 50)</f>
        <v>202.37700000000001</v>
      </c>
      <c r="AD300">
        <f>0.982*(4.19 * 50)</f>
        <v>205.72900000000001</v>
      </c>
      <c r="AE300">
        <f>0.989*(4.19 * 50)</f>
        <v>207.19550000000004</v>
      </c>
      <c r="AF300">
        <f>0.98*(4.19 * 50)</f>
        <v>205.31000000000003</v>
      </c>
      <c r="AG300">
        <f>0.967*(4.19 * 50)</f>
        <v>202.58650000000003</v>
      </c>
    </row>
    <row r="301" spans="1:33" x14ac:dyDescent="0.3">
      <c r="A301" t="s">
        <v>344</v>
      </c>
      <c r="B301">
        <v>358170.082031</v>
      </c>
      <c r="C301">
        <v>6666214.3476560004</v>
      </c>
      <c r="D301" t="s">
        <v>541</v>
      </c>
      <c r="E301">
        <v>100</v>
      </c>
      <c r="F301">
        <v>96.666999816894503</v>
      </c>
      <c r="G301">
        <v>0.46141766022384012</v>
      </c>
      <c r="H301">
        <f t="shared" si="9"/>
        <v>187.38049981689451</v>
      </c>
      <c r="I301">
        <f t="shared" si="8"/>
        <v>209.50000000000003</v>
      </c>
      <c r="J301">
        <f>0.421*(4.19 * 50)</f>
        <v>88.199500000000015</v>
      </c>
      <c r="K301">
        <f>0.417*(4.19 * 50)</f>
        <v>87.361500000000007</v>
      </c>
      <c r="L301">
        <f>0.415*(4.19 * 50)</f>
        <v>86.94250000000001</v>
      </c>
      <c r="M301">
        <f>0.413*(4.19 * 50)</f>
        <v>86.523500000000013</v>
      </c>
      <c r="N301">
        <f>0.415*(4.19 * 50)</f>
        <v>86.94250000000001</v>
      </c>
      <c r="O301">
        <f>0.42*(4.19 * 50)</f>
        <v>87.990000000000009</v>
      </c>
      <c r="P301">
        <f>0.433*(4.19 * 50)</f>
        <v>90.71350000000001</v>
      </c>
      <c r="Q301">
        <f>0.444*(4.19 * 50)</f>
        <v>93.018000000000015</v>
      </c>
      <c r="R301">
        <f>0.44*(4.19 * 50)</f>
        <v>92.18</v>
      </c>
      <c r="S301">
        <f>0.431*(4.19 * 50)</f>
        <v>90.294500000000014</v>
      </c>
      <c r="T301">
        <f>0.43*(4.19 * 50)</f>
        <v>90.085000000000008</v>
      </c>
      <c r="U301">
        <f>0.411*(4.19 * 50)</f>
        <v>86.104500000000002</v>
      </c>
      <c r="V301">
        <f>0.406*(4.19 * 50)</f>
        <v>85.057000000000016</v>
      </c>
      <c r="W301">
        <f>0.4*(4.19 * 50)</f>
        <v>83.800000000000011</v>
      </c>
      <c r="X301">
        <f>0.399*(4.19 * 50)</f>
        <v>83.59050000000002</v>
      </c>
      <c r="Y301">
        <f>0.4*(4.19 * 50)</f>
        <v>83.800000000000011</v>
      </c>
      <c r="Z301">
        <f>0.404*(4.19 * 50)</f>
        <v>84.638000000000019</v>
      </c>
      <c r="AA301">
        <f>0.411*(4.19 * 50)</f>
        <v>86.104500000000002</v>
      </c>
      <c r="AB301">
        <f>0.417*(4.19 * 50)</f>
        <v>87.361500000000007</v>
      </c>
      <c r="AC301">
        <f>0.425*(4.19 * 50)</f>
        <v>89.037500000000009</v>
      </c>
      <c r="AD301">
        <f>0.432*(4.19 * 50)</f>
        <v>90.504000000000005</v>
      </c>
      <c r="AE301">
        <f>0.435*(4.19 * 50)</f>
        <v>91.132500000000007</v>
      </c>
      <c r="AF301">
        <f>0.431*(4.19 * 50)</f>
        <v>90.294500000000014</v>
      </c>
      <c r="AG301">
        <f>0.425*(4.19 * 50)</f>
        <v>89.037500000000009</v>
      </c>
    </row>
    <row r="302" spans="1:33" x14ac:dyDescent="0.3">
      <c r="A302" t="s">
        <v>345</v>
      </c>
      <c r="B302">
        <v>366223.714844</v>
      </c>
      <c r="C302">
        <v>6670109.4960939996</v>
      </c>
      <c r="D302" t="s">
        <v>566</v>
      </c>
      <c r="E302">
        <v>100</v>
      </c>
      <c r="F302">
        <v>42.666999816894503</v>
      </c>
      <c r="G302">
        <v>0.20366109697801671</v>
      </c>
      <c r="H302">
        <f t="shared" si="9"/>
        <v>82.681499816894501</v>
      </c>
      <c r="I302">
        <f t="shared" si="8"/>
        <v>209.50000000000003</v>
      </c>
      <c r="J302">
        <f>0.186*(4.19 * 50)</f>
        <v>38.967000000000006</v>
      </c>
      <c r="K302">
        <f>0.184*(4.19 * 50)</f>
        <v>38.548000000000002</v>
      </c>
      <c r="L302">
        <f>0.183*(4.19 * 50)</f>
        <v>38.338500000000003</v>
      </c>
      <c r="M302">
        <f>0.182*(4.19 * 50)</f>
        <v>38.129000000000005</v>
      </c>
      <c r="N302">
        <f>0.183*(4.19 * 50)</f>
        <v>38.338500000000003</v>
      </c>
      <c r="O302">
        <f>0.186*(4.19 * 50)</f>
        <v>38.967000000000006</v>
      </c>
      <c r="P302">
        <f>0.191*(4.19 * 50)</f>
        <v>40.014500000000005</v>
      </c>
      <c r="Q302">
        <f>0.196*(4.19 * 50)</f>
        <v>41.062000000000005</v>
      </c>
      <c r="R302">
        <f>0.194*(4.19 * 50)</f>
        <v>40.643000000000008</v>
      </c>
      <c r="S302">
        <f>0.19*(4.19 * 50)</f>
        <v>39.805000000000007</v>
      </c>
      <c r="T302">
        <f>0.19*(4.19 * 50)</f>
        <v>39.805000000000007</v>
      </c>
      <c r="U302">
        <f>0.182*(4.19 * 50)</f>
        <v>38.129000000000005</v>
      </c>
      <c r="V302">
        <f>0.179*(4.19 * 50)</f>
        <v>37.500500000000002</v>
      </c>
      <c r="W302">
        <f>0.177*(4.19 * 50)</f>
        <v>37.081500000000005</v>
      </c>
      <c r="X302">
        <f>0.176*(4.19 * 50)</f>
        <v>36.872</v>
      </c>
      <c r="Y302">
        <f>0.176*(4.19 * 50)</f>
        <v>36.872</v>
      </c>
      <c r="Z302">
        <f>0.178*(4.19 * 50)</f>
        <v>37.291000000000004</v>
      </c>
      <c r="AA302">
        <f>0.182*(4.19 * 50)</f>
        <v>38.129000000000005</v>
      </c>
      <c r="AB302">
        <f>0.184*(4.19 * 50)</f>
        <v>38.548000000000002</v>
      </c>
      <c r="AC302">
        <f>0.188*(4.19 * 50)</f>
        <v>39.386000000000003</v>
      </c>
      <c r="AD302">
        <f>0.191*(4.19 * 50)</f>
        <v>40.014500000000005</v>
      </c>
      <c r="AE302">
        <f>0.192*(4.19 * 50)</f>
        <v>40.224000000000004</v>
      </c>
      <c r="AF302">
        <f>0.19*(4.19 * 50)</f>
        <v>39.805000000000007</v>
      </c>
      <c r="AG302">
        <f>0.188*(4.19 * 50)</f>
        <v>39.386000000000003</v>
      </c>
    </row>
    <row r="303" spans="1:33" x14ac:dyDescent="0.3">
      <c r="A303" t="s">
        <v>346</v>
      </c>
      <c r="B303">
        <v>357188.320313</v>
      </c>
      <c r="C303">
        <v>6669329.578125</v>
      </c>
      <c r="D303" t="s">
        <v>540</v>
      </c>
      <c r="E303">
        <v>100</v>
      </c>
      <c r="F303">
        <v>8</v>
      </c>
      <c r="G303">
        <v>3.8186157517899763E-2</v>
      </c>
      <c r="H303">
        <f t="shared" si="9"/>
        <v>15.542000000000002</v>
      </c>
      <c r="I303">
        <f t="shared" si="8"/>
        <v>209.50000000000003</v>
      </c>
      <c r="J303">
        <f>0.035*(4.19 * 50)</f>
        <v>7.3325000000000014</v>
      </c>
      <c r="K303">
        <f>0.035*(4.19 * 50)</f>
        <v>7.3325000000000014</v>
      </c>
      <c r="L303">
        <f>0.034*(4.19 * 50)</f>
        <v>7.1230000000000011</v>
      </c>
      <c r="M303">
        <f>0.034*(4.19 * 50)</f>
        <v>7.1230000000000011</v>
      </c>
      <c r="N303">
        <f>0.034*(4.19 * 50)</f>
        <v>7.1230000000000011</v>
      </c>
      <c r="O303">
        <f>0.035*(4.19 * 50)</f>
        <v>7.3325000000000014</v>
      </c>
      <c r="P303">
        <f>0.036*(4.19 * 50)</f>
        <v>7.5420000000000007</v>
      </c>
      <c r="Q303">
        <f>0.037*(4.19 * 50)</f>
        <v>7.7515000000000009</v>
      </c>
      <c r="R303">
        <f>0.036*(4.19 * 50)</f>
        <v>7.5420000000000007</v>
      </c>
      <c r="S303">
        <f>0.036*(4.19 * 50)</f>
        <v>7.5420000000000007</v>
      </c>
      <c r="T303">
        <f>0.036*(4.19 * 50)</f>
        <v>7.5420000000000007</v>
      </c>
      <c r="U303">
        <f>0.034*(4.19 * 50)</f>
        <v>7.1230000000000011</v>
      </c>
      <c r="V303">
        <f>0.034*(4.19 * 50)</f>
        <v>7.1230000000000011</v>
      </c>
      <c r="W303">
        <f>0.033*(4.19 * 50)</f>
        <v>6.9135000000000009</v>
      </c>
      <c r="X303">
        <f>0.033*(4.19 * 50)</f>
        <v>6.9135000000000009</v>
      </c>
      <c r="Y303">
        <f>0.033*(4.19 * 50)</f>
        <v>6.9135000000000009</v>
      </c>
      <c r="Z303">
        <f>0.033*(4.19 * 50)</f>
        <v>6.9135000000000009</v>
      </c>
      <c r="AA303">
        <f>0.034*(4.19 * 50)</f>
        <v>7.1230000000000011</v>
      </c>
      <c r="AB303">
        <f>0.035*(4.19 * 50)</f>
        <v>7.3325000000000014</v>
      </c>
      <c r="AC303">
        <f>0.035*(4.19 * 50)</f>
        <v>7.3325000000000014</v>
      </c>
      <c r="AD303">
        <f>0.036*(4.19 * 50)</f>
        <v>7.5420000000000007</v>
      </c>
      <c r="AE303">
        <f>0.036*(4.19 * 50)</f>
        <v>7.5420000000000007</v>
      </c>
      <c r="AF303">
        <f>0.036*(4.19 * 50)</f>
        <v>7.5420000000000007</v>
      </c>
      <c r="AG303">
        <f>0.035*(4.19 * 50)</f>
        <v>7.3325000000000014</v>
      </c>
    </row>
    <row r="304" spans="1:33" x14ac:dyDescent="0.3">
      <c r="A304" t="s">
        <v>347</v>
      </c>
      <c r="B304">
        <v>357128.75</v>
      </c>
      <c r="C304">
        <v>6669294.1640630001</v>
      </c>
      <c r="D304" t="s">
        <v>540</v>
      </c>
      <c r="E304">
        <v>100</v>
      </c>
      <c r="F304">
        <v>8</v>
      </c>
      <c r="G304">
        <v>3.8186157517899763E-2</v>
      </c>
      <c r="H304">
        <f t="shared" si="9"/>
        <v>15.542000000000002</v>
      </c>
      <c r="I304">
        <f t="shared" si="8"/>
        <v>209.50000000000003</v>
      </c>
      <c r="J304">
        <f>0.035*(4.19 * 50)</f>
        <v>7.3325000000000014</v>
      </c>
      <c r="K304">
        <f>0.035*(4.19 * 50)</f>
        <v>7.3325000000000014</v>
      </c>
      <c r="L304">
        <f>0.034*(4.19 * 50)</f>
        <v>7.1230000000000011</v>
      </c>
      <c r="M304">
        <f>0.034*(4.19 * 50)</f>
        <v>7.1230000000000011</v>
      </c>
      <c r="N304">
        <f>0.034*(4.19 * 50)</f>
        <v>7.1230000000000011</v>
      </c>
      <c r="O304">
        <f>0.035*(4.19 * 50)</f>
        <v>7.3325000000000014</v>
      </c>
      <c r="P304">
        <f>0.036*(4.19 * 50)</f>
        <v>7.5420000000000007</v>
      </c>
      <c r="Q304">
        <f>0.037*(4.19 * 50)</f>
        <v>7.7515000000000009</v>
      </c>
      <c r="R304">
        <f>0.036*(4.19 * 50)</f>
        <v>7.5420000000000007</v>
      </c>
      <c r="S304">
        <f>0.036*(4.19 * 50)</f>
        <v>7.5420000000000007</v>
      </c>
      <c r="T304">
        <f>0.036*(4.19 * 50)</f>
        <v>7.5420000000000007</v>
      </c>
      <c r="U304">
        <f>0.034*(4.19 * 50)</f>
        <v>7.1230000000000011</v>
      </c>
      <c r="V304">
        <f>0.034*(4.19 * 50)</f>
        <v>7.1230000000000011</v>
      </c>
      <c r="W304">
        <f>0.033*(4.19 * 50)</f>
        <v>6.9135000000000009</v>
      </c>
      <c r="X304">
        <f>0.033*(4.19 * 50)</f>
        <v>6.9135000000000009</v>
      </c>
      <c r="Y304">
        <f>0.033*(4.19 * 50)</f>
        <v>6.9135000000000009</v>
      </c>
      <c r="Z304">
        <f>0.033*(4.19 * 50)</f>
        <v>6.9135000000000009</v>
      </c>
      <c r="AA304">
        <f>0.034*(4.19 * 50)</f>
        <v>7.1230000000000011</v>
      </c>
      <c r="AB304">
        <f>0.035*(4.19 * 50)</f>
        <v>7.3325000000000014</v>
      </c>
      <c r="AC304">
        <f>0.035*(4.19 * 50)</f>
        <v>7.3325000000000014</v>
      </c>
      <c r="AD304">
        <f>0.036*(4.19 * 50)</f>
        <v>7.5420000000000007</v>
      </c>
      <c r="AE304">
        <f>0.036*(4.19 * 50)</f>
        <v>7.5420000000000007</v>
      </c>
      <c r="AF304">
        <f>0.036*(4.19 * 50)</f>
        <v>7.5420000000000007</v>
      </c>
      <c r="AG304">
        <f>0.035*(4.19 * 50)</f>
        <v>7.3325000000000014</v>
      </c>
    </row>
    <row r="305" spans="1:33" x14ac:dyDescent="0.3">
      <c r="A305" t="s">
        <v>348</v>
      </c>
      <c r="B305">
        <v>358072.175781</v>
      </c>
      <c r="C305">
        <v>6666467.984375</v>
      </c>
      <c r="D305" t="s">
        <v>567</v>
      </c>
      <c r="E305">
        <v>100</v>
      </c>
      <c r="F305">
        <v>87.666999816894503</v>
      </c>
      <c r="G305">
        <v>0.41845823301620277</v>
      </c>
      <c r="H305">
        <f t="shared" si="9"/>
        <v>170.00049981689452</v>
      </c>
      <c r="I305">
        <f t="shared" si="8"/>
        <v>209.50000000000003</v>
      </c>
      <c r="J305">
        <f>0.382*(4.19 * 50)</f>
        <v>80.029000000000011</v>
      </c>
      <c r="K305">
        <f>0.379*(4.19 * 50)</f>
        <v>79.400500000000008</v>
      </c>
      <c r="L305">
        <f>0.376*(4.19 * 50)</f>
        <v>78.772000000000006</v>
      </c>
      <c r="M305">
        <f>0.375*(4.19 * 50)</f>
        <v>78.562500000000014</v>
      </c>
      <c r="N305">
        <f>0.376*(4.19 * 50)</f>
        <v>78.772000000000006</v>
      </c>
      <c r="O305">
        <f>0.381*(4.19 * 50)</f>
        <v>79.819500000000005</v>
      </c>
      <c r="P305">
        <f>0.393*(4.19 * 50)</f>
        <v>82.333500000000015</v>
      </c>
      <c r="Q305">
        <f>0.403*(4.19 * 50)</f>
        <v>84.428500000000014</v>
      </c>
      <c r="R305">
        <f>0.399*(4.19 * 50)</f>
        <v>83.59050000000002</v>
      </c>
      <c r="S305">
        <f>0.391*(4.19 * 50)</f>
        <v>81.914500000000018</v>
      </c>
      <c r="T305">
        <f>0.39*(4.19 * 50)</f>
        <v>81.705000000000013</v>
      </c>
      <c r="U305">
        <f>0.373*(4.19 * 50)</f>
        <v>78.143500000000017</v>
      </c>
      <c r="V305">
        <f>0.368*(4.19 * 50)</f>
        <v>77.096000000000004</v>
      </c>
      <c r="W305">
        <f>0.363*(4.19 * 50)</f>
        <v>76.048500000000004</v>
      </c>
      <c r="X305">
        <f>0.362*(4.19 * 50)</f>
        <v>75.839000000000013</v>
      </c>
      <c r="Y305">
        <f>0.363*(4.19 * 50)</f>
        <v>76.048500000000004</v>
      </c>
      <c r="Z305">
        <f>0.366*(4.19 * 50)</f>
        <v>76.677000000000007</v>
      </c>
      <c r="AA305">
        <f>0.373*(4.19 * 50)</f>
        <v>78.143500000000017</v>
      </c>
      <c r="AB305">
        <f>0.379*(4.19 * 50)</f>
        <v>79.400500000000008</v>
      </c>
      <c r="AC305">
        <f>0.385*(4.19 * 50)</f>
        <v>80.657500000000013</v>
      </c>
      <c r="AD305">
        <f>0.392*(4.19 * 50)</f>
        <v>82.124000000000009</v>
      </c>
      <c r="AE305">
        <f>0.395*(4.19 * 50)</f>
        <v>82.752500000000012</v>
      </c>
      <c r="AF305">
        <f>0.391*(4.19 * 50)</f>
        <v>81.914500000000018</v>
      </c>
      <c r="AG305">
        <f>0.386*(4.19 * 50)</f>
        <v>80.867000000000019</v>
      </c>
    </row>
    <row r="306" spans="1:33" x14ac:dyDescent="0.3">
      <c r="A306" t="s">
        <v>349</v>
      </c>
      <c r="B306">
        <v>362758.128906</v>
      </c>
      <c r="C306">
        <v>6672911.0546880001</v>
      </c>
      <c r="D306" t="s">
        <v>541</v>
      </c>
      <c r="E306">
        <v>100</v>
      </c>
      <c r="F306">
        <v>81.666999816894503</v>
      </c>
      <c r="G306">
        <v>0.38981861487777802</v>
      </c>
      <c r="H306">
        <f t="shared" si="9"/>
        <v>158.3439998168945</v>
      </c>
      <c r="I306">
        <f t="shared" si="8"/>
        <v>209.50000000000003</v>
      </c>
      <c r="J306">
        <f>0.355*(4.19 * 50)</f>
        <v>74.372500000000002</v>
      </c>
      <c r="K306">
        <f>0.353*(4.19 * 50)</f>
        <v>73.953500000000005</v>
      </c>
      <c r="L306">
        <f>0.35*(4.19 * 50)</f>
        <v>73.325000000000003</v>
      </c>
      <c r="M306">
        <f>0.349*(4.19 * 50)</f>
        <v>73.115500000000011</v>
      </c>
      <c r="N306">
        <f>0.35*(4.19 * 50)</f>
        <v>73.325000000000003</v>
      </c>
      <c r="O306">
        <f>0.355*(4.19 * 50)</f>
        <v>74.372500000000002</v>
      </c>
      <c r="P306">
        <f>0.366*(4.19 * 50)</f>
        <v>76.677000000000007</v>
      </c>
      <c r="Q306">
        <f>0.375*(4.19 * 50)</f>
        <v>78.562500000000014</v>
      </c>
      <c r="R306">
        <f>0.372*(4.19 * 50)</f>
        <v>77.934000000000012</v>
      </c>
      <c r="S306">
        <f>0.364*(4.19 * 50)</f>
        <v>76.25800000000001</v>
      </c>
      <c r="T306">
        <f>0.363*(4.19 * 50)</f>
        <v>76.048500000000004</v>
      </c>
      <c r="U306">
        <f>0.348*(4.19 * 50)</f>
        <v>72.906000000000006</v>
      </c>
      <c r="V306">
        <f>0.343*(4.19 * 50)</f>
        <v>71.858500000000021</v>
      </c>
      <c r="W306">
        <f>0.338*(4.19 * 50)</f>
        <v>70.811000000000021</v>
      </c>
      <c r="X306">
        <f>0.337*(4.19 * 50)</f>
        <v>70.601500000000016</v>
      </c>
      <c r="Y306">
        <f>0.338*(4.19 * 50)</f>
        <v>70.811000000000021</v>
      </c>
      <c r="Z306">
        <f>0.341*(4.19 * 50)</f>
        <v>71.43950000000001</v>
      </c>
      <c r="AA306">
        <f>0.348*(4.19 * 50)</f>
        <v>72.906000000000006</v>
      </c>
      <c r="AB306">
        <f>0.353*(4.19 * 50)</f>
        <v>73.953500000000005</v>
      </c>
      <c r="AC306">
        <f>0.359*(4.19 * 50)</f>
        <v>75.21050000000001</v>
      </c>
      <c r="AD306">
        <f>0.365*(4.19 * 50)</f>
        <v>76.467500000000015</v>
      </c>
      <c r="AE306">
        <f>0.368*(4.19 * 50)</f>
        <v>77.096000000000004</v>
      </c>
      <c r="AF306">
        <f>0.364*(4.19 * 50)</f>
        <v>76.25800000000001</v>
      </c>
      <c r="AG306">
        <f>0.359*(4.19 * 50)</f>
        <v>75.21050000000001</v>
      </c>
    </row>
    <row r="307" spans="1:33" x14ac:dyDescent="0.3">
      <c r="A307" t="s">
        <v>350</v>
      </c>
      <c r="B307">
        <v>362845.722656</v>
      </c>
      <c r="C307">
        <v>6672826.421875</v>
      </c>
      <c r="D307" t="s">
        <v>541</v>
      </c>
      <c r="E307">
        <v>100</v>
      </c>
      <c r="F307">
        <v>55.333000183105398</v>
      </c>
      <c r="G307">
        <v>0.26411933261625492</v>
      </c>
      <c r="H307">
        <f t="shared" si="9"/>
        <v>107.2890001831054</v>
      </c>
      <c r="I307">
        <f t="shared" si="8"/>
        <v>209.50000000000003</v>
      </c>
      <c r="J307">
        <f>0.241*(4.19 * 50)</f>
        <v>50.489500000000007</v>
      </c>
      <c r="K307">
        <f>0.239*(4.19 * 50)</f>
        <v>50.070500000000003</v>
      </c>
      <c r="L307">
        <f>0.237*(4.19 * 50)</f>
        <v>49.651500000000006</v>
      </c>
      <c r="M307">
        <f>0.237*(4.19 * 50)</f>
        <v>49.651500000000006</v>
      </c>
      <c r="N307">
        <f>0.237*(4.19 * 50)</f>
        <v>49.651500000000006</v>
      </c>
      <c r="O307">
        <f>0.241*(4.19 * 50)</f>
        <v>50.489500000000007</v>
      </c>
      <c r="P307">
        <f>0.248*(4.19 * 50)</f>
        <v>51.95600000000001</v>
      </c>
      <c r="Q307">
        <f>0.254*(4.19 * 50)</f>
        <v>53.213000000000008</v>
      </c>
      <c r="R307">
        <f>0.252*(4.19 * 50)</f>
        <v>52.794000000000004</v>
      </c>
      <c r="S307">
        <f>0.247*(4.19 * 50)</f>
        <v>51.746500000000005</v>
      </c>
      <c r="T307">
        <f>0.246*(4.19 * 50)</f>
        <v>51.537000000000006</v>
      </c>
      <c r="U307">
        <f>0.236*(4.19 * 50)</f>
        <v>49.442000000000007</v>
      </c>
      <c r="V307">
        <f>0.232*(4.19 * 50)</f>
        <v>48.604000000000006</v>
      </c>
      <c r="W307">
        <f>0.229*(4.19 * 50)</f>
        <v>47.975500000000011</v>
      </c>
      <c r="X307">
        <f>0.228*(4.19 * 50)</f>
        <v>47.766000000000005</v>
      </c>
      <c r="Y307">
        <f>0.229*(4.19 * 50)</f>
        <v>47.975500000000011</v>
      </c>
      <c r="Z307">
        <f>0.231*(4.19 * 50)</f>
        <v>48.394500000000008</v>
      </c>
      <c r="AA307">
        <f>0.236*(4.19 * 50)</f>
        <v>49.442000000000007</v>
      </c>
      <c r="AB307">
        <f>0.239*(4.19 * 50)</f>
        <v>50.070500000000003</v>
      </c>
      <c r="AC307">
        <f>0.243*(4.19 * 50)</f>
        <v>50.908500000000004</v>
      </c>
      <c r="AD307">
        <f>0.247*(4.19 * 50)</f>
        <v>51.746500000000005</v>
      </c>
      <c r="AE307">
        <f>0.249*(4.19 * 50)</f>
        <v>52.165500000000009</v>
      </c>
      <c r="AF307">
        <f>0.247*(4.19 * 50)</f>
        <v>51.746500000000005</v>
      </c>
      <c r="AG307">
        <f>0.243*(4.19 * 50)</f>
        <v>50.908500000000004</v>
      </c>
    </row>
    <row r="308" spans="1:33" x14ac:dyDescent="0.3">
      <c r="A308" t="s">
        <v>351</v>
      </c>
      <c r="B308">
        <v>362871.542969</v>
      </c>
      <c r="C308">
        <v>6673016.2578130001</v>
      </c>
      <c r="D308" t="s">
        <v>540</v>
      </c>
      <c r="E308">
        <v>100</v>
      </c>
      <c r="F308">
        <v>13</v>
      </c>
      <c r="G308">
        <v>6.2052505966587103E-2</v>
      </c>
      <c r="H308">
        <f t="shared" si="9"/>
        <v>25.151000000000003</v>
      </c>
      <c r="I308">
        <f t="shared" si="8"/>
        <v>209.50000000000003</v>
      </c>
      <c r="J308">
        <f>0.057*(4.19 * 50)</f>
        <v>11.941500000000001</v>
      </c>
      <c r="K308">
        <f>0.056*(4.19 * 50)</f>
        <v>11.732000000000001</v>
      </c>
      <c r="L308">
        <f>0.056*(4.19 * 50)</f>
        <v>11.732000000000001</v>
      </c>
      <c r="M308">
        <f>0.056*(4.19 * 50)</f>
        <v>11.732000000000001</v>
      </c>
      <c r="N308">
        <f>0.056*(4.19 * 50)</f>
        <v>11.732000000000001</v>
      </c>
      <c r="O308">
        <f>0.057*(4.19 * 50)</f>
        <v>11.941500000000001</v>
      </c>
      <c r="P308">
        <f>0.058*(4.19 * 50)</f>
        <v>12.151000000000002</v>
      </c>
      <c r="Q308">
        <f>0.06*(4.19 * 50)</f>
        <v>12.570000000000002</v>
      </c>
      <c r="R308">
        <f>0.059*(4.19 * 50)</f>
        <v>12.360500000000002</v>
      </c>
      <c r="S308">
        <f>0.058*(4.19 * 50)</f>
        <v>12.151000000000002</v>
      </c>
      <c r="T308">
        <f>0.058*(4.19 * 50)</f>
        <v>12.151000000000002</v>
      </c>
      <c r="U308">
        <f>0.055*(4.19 * 50)</f>
        <v>11.522500000000001</v>
      </c>
      <c r="V308">
        <f>0.055*(4.19 * 50)</f>
        <v>11.522500000000001</v>
      </c>
      <c r="W308">
        <f>0.054*(4.19 * 50)</f>
        <v>11.313000000000001</v>
      </c>
      <c r="X308">
        <f>0.054*(4.19 * 50)</f>
        <v>11.313000000000001</v>
      </c>
      <c r="Y308">
        <f>0.054*(4.19 * 50)</f>
        <v>11.313000000000001</v>
      </c>
      <c r="Z308">
        <f>0.054*(4.19 * 50)</f>
        <v>11.313000000000001</v>
      </c>
      <c r="AA308">
        <f>0.055*(4.19 * 50)</f>
        <v>11.522500000000001</v>
      </c>
      <c r="AB308">
        <f>0.056*(4.19 * 50)</f>
        <v>11.732000000000001</v>
      </c>
      <c r="AC308">
        <f>0.057*(4.19 * 50)</f>
        <v>11.941500000000001</v>
      </c>
      <c r="AD308">
        <f>0.058*(4.19 * 50)</f>
        <v>12.151000000000002</v>
      </c>
      <c r="AE308">
        <f>0.059*(4.19 * 50)</f>
        <v>12.360500000000002</v>
      </c>
      <c r="AF308">
        <f>0.058*(4.19 * 50)</f>
        <v>12.151000000000002</v>
      </c>
      <c r="AG308">
        <f>0.057*(4.19 * 50)</f>
        <v>11.941500000000001</v>
      </c>
    </row>
    <row r="309" spans="1:33" x14ac:dyDescent="0.3">
      <c r="A309" t="s">
        <v>352</v>
      </c>
      <c r="B309">
        <v>359477.015625</v>
      </c>
      <c r="C309">
        <v>6667550.4492189996</v>
      </c>
      <c r="D309" t="s">
        <v>542</v>
      </c>
      <c r="E309">
        <v>100</v>
      </c>
      <c r="F309">
        <v>140.33299255371</v>
      </c>
      <c r="G309">
        <v>0.66984721982677797</v>
      </c>
      <c r="H309">
        <f t="shared" si="9"/>
        <v>271.89899255371006</v>
      </c>
      <c r="I309">
        <f t="shared" si="8"/>
        <v>209.50000000000003</v>
      </c>
      <c r="J309">
        <f>0.611*(4.19 * 50)</f>
        <v>128.00450000000001</v>
      </c>
      <c r="K309">
        <f>0.606*(4.19 * 50)</f>
        <v>126.95700000000001</v>
      </c>
      <c r="L309">
        <f>0.602*(4.19 * 50)</f>
        <v>126.11900000000001</v>
      </c>
      <c r="M309">
        <f>0.6*(4.19 * 50)</f>
        <v>125.70000000000002</v>
      </c>
      <c r="N309">
        <f>0.602*(4.19 * 50)</f>
        <v>126.11900000000001</v>
      </c>
      <c r="O309">
        <f>0.61*(4.19 * 50)</f>
        <v>127.79500000000002</v>
      </c>
      <c r="P309">
        <f>0.628*(4.19 * 50)</f>
        <v>131.56600000000003</v>
      </c>
      <c r="Q309">
        <f>0.645*(4.19 * 50)</f>
        <v>135.12750000000003</v>
      </c>
      <c r="R309">
        <f>0.639*(4.19 * 50)</f>
        <v>133.87050000000002</v>
      </c>
      <c r="S309">
        <f>0.626*(4.19 * 50)</f>
        <v>131.14700000000002</v>
      </c>
      <c r="T309">
        <f>0.624*(4.19 * 50)</f>
        <v>130.72800000000001</v>
      </c>
      <c r="U309">
        <f>0.597*(4.19 * 50)</f>
        <v>125.07150000000001</v>
      </c>
      <c r="V309">
        <f>0.589*(4.19 * 50)</f>
        <v>123.39550000000001</v>
      </c>
      <c r="W309">
        <f>0.581*(4.19 * 50)</f>
        <v>121.71950000000001</v>
      </c>
      <c r="X309">
        <f>0.579*(4.19 * 50)</f>
        <v>121.30050000000001</v>
      </c>
      <c r="Y309">
        <f>0.58*(4.19 * 50)</f>
        <v>121.51</v>
      </c>
      <c r="Z309">
        <f>0.586*(4.19 * 50)</f>
        <v>122.76700000000001</v>
      </c>
      <c r="AA309">
        <f>0.597*(4.19 * 50)</f>
        <v>125.07150000000001</v>
      </c>
      <c r="AB309">
        <f>0.606*(4.19 * 50)</f>
        <v>126.95700000000001</v>
      </c>
      <c r="AC309">
        <f>0.617*(4.19 * 50)</f>
        <v>129.26150000000001</v>
      </c>
      <c r="AD309">
        <f>0.627*(4.19 * 50)</f>
        <v>131.35650000000001</v>
      </c>
      <c r="AE309">
        <f>0.632*(4.19 * 50)</f>
        <v>132.40400000000002</v>
      </c>
      <c r="AF309">
        <f>0.626*(4.19 * 50)</f>
        <v>131.14700000000002</v>
      </c>
      <c r="AG309">
        <f>0.617*(4.19 * 50)</f>
        <v>129.26150000000001</v>
      </c>
    </row>
    <row r="310" spans="1:33" x14ac:dyDescent="0.3">
      <c r="A310" t="s">
        <v>353</v>
      </c>
      <c r="B310">
        <v>357212.722656</v>
      </c>
      <c r="C310">
        <v>6669500.171875</v>
      </c>
      <c r="D310" t="s">
        <v>540</v>
      </c>
      <c r="E310">
        <v>100</v>
      </c>
      <c r="F310">
        <v>15</v>
      </c>
      <c r="G310">
        <v>7.159904534606204E-2</v>
      </c>
      <c r="H310">
        <f t="shared" si="9"/>
        <v>29.036500000000004</v>
      </c>
      <c r="I310">
        <f t="shared" si="8"/>
        <v>209.50000000000003</v>
      </c>
      <c r="J310">
        <f>0.065*(4.19 * 50)</f>
        <v>13.617500000000001</v>
      </c>
      <c r="K310">
        <f>0.065*(4.19 * 50)</f>
        <v>13.617500000000001</v>
      </c>
      <c r="L310">
        <f>0.064*(4.19 * 50)</f>
        <v>13.408000000000001</v>
      </c>
      <c r="M310">
        <f>0.064*(4.19 * 50)</f>
        <v>13.408000000000001</v>
      </c>
      <c r="N310">
        <f>0.064*(4.19 * 50)</f>
        <v>13.408000000000001</v>
      </c>
      <c r="O310">
        <f>0.065*(4.19 * 50)</f>
        <v>13.617500000000001</v>
      </c>
      <c r="P310">
        <f>0.067*(4.19 * 50)</f>
        <v>14.036500000000002</v>
      </c>
      <c r="Q310">
        <f>0.069*(4.19 * 50)</f>
        <v>14.455500000000002</v>
      </c>
      <c r="R310">
        <f>0.068*(4.19 * 50)</f>
        <v>14.246000000000002</v>
      </c>
      <c r="S310">
        <f>0.067*(4.19 * 50)</f>
        <v>14.036500000000002</v>
      </c>
      <c r="T310">
        <f>0.067*(4.19 * 50)</f>
        <v>14.036500000000002</v>
      </c>
      <c r="U310">
        <f>0.064*(4.19 * 50)</f>
        <v>13.408000000000001</v>
      </c>
      <c r="V310">
        <f>0.063*(4.19 * 50)</f>
        <v>13.198500000000001</v>
      </c>
      <c r="W310">
        <f>0.062*(4.19 * 50)</f>
        <v>12.989000000000003</v>
      </c>
      <c r="X310">
        <f>0.062*(4.19 * 50)</f>
        <v>12.989000000000003</v>
      </c>
      <c r="Y310">
        <f>0.062*(4.19 * 50)</f>
        <v>12.989000000000003</v>
      </c>
      <c r="Z310">
        <f>0.063*(4.19 * 50)</f>
        <v>13.198500000000001</v>
      </c>
      <c r="AA310">
        <f>0.064*(4.19 * 50)</f>
        <v>13.408000000000001</v>
      </c>
      <c r="AB310">
        <f>0.065*(4.19 * 50)</f>
        <v>13.617500000000001</v>
      </c>
      <c r="AC310">
        <f>0.066*(4.19 * 50)</f>
        <v>13.827000000000002</v>
      </c>
      <c r="AD310">
        <f>0.067*(4.19 * 50)</f>
        <v>14.036500000000002</v>
      </c>
      <c r="AE310">
        <f>0.068*(4.19 * 50)</f>
        <v>14.246000000000002</v>
      </c>
      <c r="AF310">
        <f>0.067*(4.19 * 50)</f>
        <v>14.036500000000002</v>
      </c>
      <c r="AG310">
        <f>0.066*(4.19 * 50)</f>
        <v>13.827000000000002</v>
      </c>
    </row>
    <row r="311" spans="1:33" x14ac:dyDescent="0.3">
      <c r="A311" t="s">
        <v>354</v>
      </c>
      <c r="B311">
        <v>357273.203125</v>
      </c>
      <c r="C311">
        <v>6669539.4414060004</v>
      </c>
      <c r="D311" t="s">
        <v>540</v>
      </c>
      <c r="E311">
        <v>100</v>
      </c>
      <c r="F311">
        <v>8</v>
      </c>
      <c r="G311">
        <v>3.8186157517899763E-2</v>
      </c>
      <c r="H311">
        <f t="shared" si="9"/>
        <v>15.542000000000002</v>
      </c>
      <c r="I311">
        <f t="shared" si="8"/>
        <v>209.50000000000003</v>
      </c>
      <c r="J311">
        <f>0.035*(4.19 * 50)</f>
        <v>7.3325000000000014</v>
      </c>
      <c r="K311">
        <f>0.035*(4.19 * 50)</f>
        <v>7.3325000000000014</v>
      </c>
      <c r="L311">
        <f>0.034*(4.19 * 50)</f>
        <v>7.1230000000000011</v>
      </c>
      <c r="M311">
        <f>0.034*(4.19 * 50)</f>
        <v>7.1230000000000011</v>
      </c>
      <c r="N311">
        <f>0.034*(4.19 * 50)</f>
        <v>7.1230000000000011</v>
      </c>
      <c r="O311">
        <f>0.035*(4.19 * 50)</f>
        <v>7.3325000000000014</v>
      </c>
      <c r="P311">
        <f>0.036*(4.19 * 50)</f>
        <v>7.5420000000000007</v>
      </c>
      <c r="Q311">
        <f>0.037*(4.19 * 50)</f>
        <v>7.7515000000000009</v>
      </c>
      <c r="R311">
        <f>0.036*(4.19 * 50)</f>
        <v>7.5420000000000007</v>
      </c>
      <c r="S311">
        <f>0.036*(4.19 * 50)</f>
        <v>7.5420000000000007</v>
      </c>
      <c r="T311">
        <f>0.036*(4.19 * 50)</f>
        <v>7.5420000000000007</v>
      </c>
      <c r="U311">
        <f>0.034*(4.19 * 50)</f>
        <v>7.1230000000000011</v>
      </c>
      <c r="V311">
        <f>0.034*(4.19 * 50)</f>
        <v>7.1230000000000011</v>
      </c>
      <c r="W311">
        <f>0.033*(4.19 * 50)</f>
        <v>6.9135000000000009</v>
      </c>
      <c r="X311">
        <f>0.033*(4.19 * 50)</f>
        <v>6.9135000000000009</v>
      </c>
      <c r="Y311">
        <f>0.033*(4.19 * 50)</f>
        <v>6.9135000000000009</v>
      </c>
      <c r="Z311">
        <f>0.033*(4.19 * 50)</f>
        <v>6.9135000000000009</v>
      </c>
      <c r="AA311">
        <f>0.034*(4.19 * 50)</f>
        <v>7.1230000000000011</v>
      </c>
      <c r="AB311">
        <f>0.035*(4.19 * 50)</f>
        <v>7.3325000000000014</v>
      </c>
      <c r="AC311">
        <f>0.035*(4.19 * 50)</f>
        <v>7.3325000000000014</v>
      </c>
      <c r="AD311">
        <f>0.036*(4.19 * 50)</f>
        <v>7.5420000000000007</v>
      </c>
      <c r="AE311">
        <f>0.036*(4.19 * 50)</f>
        <v>7.5420000000000007</v>
      </c>
      <c r="AF311">
        <f>0.036*(4.19 * 50)</f>
        <v>7.5420000000000007</v>
      </c>
      <c r="AG311">
        <f>0.035*(4.19 * 50)</f>
        <v>7.3325000000000014</v>
      </c>
    </row>
    <row r="312" spans="1:33" x14ac:dyDescent="0.3">
      <c r="A312" t="s">
        <v>355</v>
      </c>
      <c r="B312">
        <v>357520.695313</v>
      </c>
      <c r="C312">
        <v>6666455.734375</v>
      </c>
      <c r="D312" t="s">
        <v>542</v>
      </c>
      <c r="E312">
        <v>100</v>
      </c>
      <c r="F312">
        <v>36.333000183105398</v>
      </c>
      <c r="G312">
        <v>0.17342720851124291</v>
      </c>
      <c r="H312">
        <f t="shared" si="9"/>
        <v>70.481500183105396</v>
      </c>
      <c r="I312">
        <f t="shared" si="8"/>
        <v>209.50000000000003</v>
      </c>
      <c r="J312">
        <f>0.158*(4.19 * 50)</f>
        <v>33.101000000000006</v>
      </c>
      <c r="K312">
        <f>0.157*(4.19 * 50)</f>
        <v>32.891500000000008</v>
      </c>
      <c r="L312">
        <f>0.156*(4.19 * 50)</f>
        <v>32.682000000000002</v>
      </c>
      <c r="M312">
        <f>0.155*(4.19 * 50)</f>
        <v>32.472500000000004</v>
      </c>
      <c r="N312">
        <f>0.156*(4.19 * 50)</f>
        <v>32.682000000000002</v>
      </c>
      <c r="O312">
        <f>0.158*(4.19 * 50)</f>
        <v>33.101000000000006</v>
      </c>
      <c r="P312">
        <f>0.163*(4.19 * 50)</f>
        <v>34.148500000000006</v>
      </c>
      <c r="Q312">
        <f>0.167*(4.19 * 50)</f>
        <v>34.986500000000007</v>
      </c>
      <c r="R312">
        <f>0.166*(4.19 * 50)</f>
        <v>34.777000000000008</v>
      </c>
      <c r="S312">
        <f>0.162*(4.19 * 50)</f>
        <v>33.939000000000007</v>
      </c>
      <c r="T312">
        <f>0.161*(4.19 * 50)</f>
        <v>33.729500000000009</v>
      </c>
      <c r="U312">
        <f>0.155*(4.19 * 50)</f>
        <v>32.472500000000004</v>
      </c>
      <c r="V312">
        <f>0.152*(4.19 * 50)</f>
        <v>31.844000000000005</v>
      </c>
      <c r="W312">
        <f>0.15*(4.19 * 50)</f>
        <v>31.425000000000004</v>
      </c>
      <c r="X312">
        <f>0.15*(4.19 * 50)</f>
        <v>31.425000000000004</v>
      </c>
      <c r="Y312">
        <f>0.15*(4.19 * 50)</f>
        <v>31.425000000000004</v>
      </c>
      <c r="Z312">
        <f>0.152*(4.19 * 50)</f>
        <v>31.844000000000005</v>
      </c>
      <c r="AA312">
        <f>0.155*(4.19 * 50)</f>
        <v>32.472500000000004</v>
      </c>
      <c r="AB312">
        <f>0.157*(4.19 * 50)</f>
        <v>32.891500000000008</v>
      </c>
      <c r="AC312">
        <f>0.16*(4.19 * 50)</f>
        <v>33.520000000000003</v>
      </c>
      <c r="AD312">
        <f>0.162*(4.19 * 50)</f>
        <v>33.939000000000007</v>
      </c>
      <c r="AE312">
        <f>0.164*(4.19 * 50)</f>
        <v>34.358000000000004</v>
      </c>
      <c r="AF312">
        <f>0.162*(4.19 * 50)</f>
        <v>33.939000000000007</v>
      </c>
      <c r="AG312">
        <f>0.16*(4.19 * 50)</f>
        <v>33.520000000000003</v>
      </c>
    </row>
    <row r="313" spans="1:33" x14ac:dyDescent="0.3">
      <c r="A313" t="s">
        <v>356</v>
      </c>
      <c r="B313">
        <v>357119.480469</v>
      </c>
      <c r="C313">
        <v>6669462.3046880001</v>
      </c>
      <c r="D313" t="s">
        <v>540</v>
      </c>
      <c r="E313">
        <v>100</v>
      </c>
      <c r="F313">
        <v>8</v>
      </c>
      <c r="G313">
        <v>3.8186157517899763E-2</v>
      </c>
      <c r="H313">
        <f t="shared" si="9"/>
        <v>15.542000000000002</v>
      </c>
      <c r="I313">
        <f t="shared" si="8"/>
        <v>209.50000000000003</v>
      </c>
      <c r="J313">
        <f>0.035*(4.19 * 50)</f>
        <v>7.3325000000000014</v>
      </c>
      <c r="K313">
        <f>0.035*(4.19 * 50)</f>
        <v>7.3325000000000014</v>
      </c>
      <c r="L313">
        <f>0.034*(4.19 * 50)</f>
        <v>7.1230000000000011</v>
      </c>
      <c r="M313">
        <f>0.034*(4.19 * 50)</f>
        <v>7.1230000000000011</v>
      </c>
      <c r="N313">
        <f>0.034*(4.19 * 50)</f>
        <v>7.1230000000000011</v>
      </c>
      <c r="O313">
        <f>0.035*(4.19 * 50)</f>
        <v>7.3325000000000014</v>
      </c>
      <c r="P313">
        <f>0.036*(4.19 * 50)</f>
        <v>7.5420000000000007</v>
      </c>
      <c r="Q313">
        <f>0.037*(4.19 * 50)</f>
        <v>7.7515000000000009</v>
      </c>
      <c r="R313">
        <f>0.036*(4.19 * 50)</f>
        <v>7.5420000000000007</v>
      </c>
      <c r="S313">
        <f>0.036*(4.19 * 50)</f>
        <v>7.5420000000000007</v>
      </c>
      <c r="T313">
        <f>0.036*(4.19 * 50)</f>
        <v>7.5420000000000007</v>
      </c>
      <c r="U313">
        <f>0.034*(4.19 * 50)</f>
        <v>7.1230000000000011</v>
      </c>
      <c r="V313">
        <f>0.034*(4.19 * 50)</f>
        <v>7.1230000000000011</v>
      </c>
      <c r="W313">
        <f>0.033*(4.19 * 50)</f>
        <v>6.9135000000000009</v>
      </c>
      <c r="X313">
        <f>0.033*(4.19 * 50)</f>
        <v>6.9135000000000009</v>
      </c>
      <c r="Y313">
        <f>0.033*(4.19 * 50)</f>
        <v>6.9135000000000009</v>
      </c>
      <c r="Z313">
        <f>0.033*(4.19 * 50)</f>
        <v>6.9135000000000009</v>
      </c>
      <c r="AA313">
        <f>0.034*(4.19 * 50)</f>
        <v>7.1230000000000011</v>
      </c>
      <c r="AB313">
        <f>0.035*(4.19 * 50)</f>
        <v>7.3325000000000014</v>
      </c>
      <c r="AC313">
        <f>0.035*(4.19 * 50)</f>
        <v>7.3325000000000014</v>
      </c>
      <c r="AD313">
        <f>0.036*(4.19 * 50)</f>
        <v>7.5420000000000007</v>
      </c>
      <c r="AE313">
        <f>0.036*(4.19 * 50)</f>
        <v>7.5420000000000007</v>
      </c>
      <c r="AF313">
        <f>0.036*(4.19 * 50)</f>
        <v>7.5420000000000007</v>
      </c>
      <c r="AG313">
        <f>0.035*(4.19 * 50)</f>
        <v>7.3325000000000014</v>
      </c>
    </row>
    <row r="314" spans="1:33" x14ac:dyDescent="0.3">
      <c r="A314" t="s">
        <v>357</v>
      </c>
      <c r="B314">
        <v>356960.371094</v>
      </c>
      <c r="C314">
        <v>6667807.140625</v>
      </c>
      <c r="D314" t="s">
        <v>540</v>
      </c>
      <c r="E314">
        <v>100</v>
      </c>
      <c r="F314">
        <v>9</v>
      </c>
      <c r="G314">
        <v>4.2959427207637228E-2</v>
      </c>
      <c r="H314">
        <f t="shared" si="9"/>
        <v>17.380000000000003</v>
      </c>
      <c r="I314">
        <f t="shared" si="8"/>
        <v>209.50000000000003</v>
      </c>
      <c r="J314">
        <f>0.039*(4.19 * 50)</f>
        <v>8.1705000000000005</v>
      </c>
      <c r="K314">
        <f>0.039*(4.19 * 50)</f>
        <v>8.1705000000000005</v>
      </c>
      <c r="L314">
        <f>0.039*(4.19 * 50)</f>
        <v>8.1705000000000005</v>
      </c>
      <c r="M314">
        <f>0.038*(4.19 * 50)</f>
        <v>7.9610000000000012</v>
      </c>
      <c r="N314">
        <f>0.039*(4.19 * 50)</f>
        <v>8.1705000000000005</v>
      </c>
      <c r="O314">
        <f>0.039*(4.19 * 50)</f>
        <v>8.1705000000000005</v>
      </c>
      <c r="P314">
        <f>0.04*(4.19 * 50)</f>
        <v>8.3800000000000008</v>
      </c>
      <c r="Q314">
        <f>0.041*(4.19 * 50)</f>
        <v>8.589500000000001</v>
      </c>
      <c r="R314">
        <f>0.041*(4.19 * 50)</f>
        <v>8.589500000000001</v>
      </c>
      <c r="S314">
        <f>0.04*(4.19 * 50)</f>
        <v>8.3800000000000008</v>
      </c>
      <c r="T314">
        <f>0.04*(4.19 * 50)</f>
        <v>8.3800000000000008</v>
      </c>
      <c r="U314">
        <f>0.038*(4.19 * 50)</f>
        <v>7.9610000000000012</v>
      </c>
      <c r="V314">
        <f>0.038*(4.19 * 50)</f>
        <v>7.9610000000000012</v>
      </c>
      <c r="W314">
        <f>0.037*(4.19 * 50)</f>
        <v>7.7515000000000009</v>
      </c>
      <c r="X314">
        <f>0.037*(4.19 * 50)</f>
        <v>7.7515000000000009</v>
      </c>
      <c r="Y314">
        <f>0.037*(4.19 * 50)</f>
        <v>7.7515000000000009</v>
      </c>
      <c r="Z314">
        <f>0.038*(4.19 * 50)</f>
        <v>7.9610000000000012</v>
      </c>
      <c r="AA314">
        <f>0.038*(4.19 * 50)</f>
        <v>7.9610000000000012</v>
      </c>
      <c r="AB314">
        <f>0.039*(4.19 * 50)</f>
        <v>8.1705000000000005</v>
      </c>
      <c r="AC314">
        <f>0.04*(4.19 * 50)</f>
        <v>8.3800000000000008</v>
      </c>
      <c r="AD314">
        <f>0.04*(4.19 * 50)</f>
        <v>8.3800000000000008</v>
      </c>
      <c r="AE314">
        <f>0.041*(4.19 * 50)</f>
        <v>8.589500000000001</v>
      </c>
      <c r="AF314">
        <f>0.04*(4.19 * 50)</f>
        <v>8.3800000000000008</v>
      </c>
      <c r="AG314">
        <f>0.04*(4.19 * 50)</f>
        <v>8.3800000000000008</v>
      </c>
    </row>
    <row r="315" spans="1:33" x14ac:dyDescent="0.3">
      <c r="A315" t="s">
        <v>358</v>
      </c>
      <c r="B315">
        <v>358035.019531</v>
      </c>
      <c r="C315">
        <v>6667610.8007810004</v>
      </c>
      <c r="D315" t="s">
        <v>543</v>
      </c>
      <c r="E315">
        <v>100</v>
      </c>
      <c r="F315">
        <v>85</v>
      </c>
      <c r="G315">
        <v>0.40572792362768489</v>
      </c>
      <c r="H315">
        <f t="shared" si="9"/>
        <v>164.81950000000001</v>
      </c>
      <c r="I315">
        <f t="shared" si="8"/>
        <v>209.50000000000003</v>
      </c>
      <c r="J315">
        <f>0.37*(4.19 * 50)</f>
        <v>77.515000000000015</v>
      </c>
      <c r="K315">
        <f>0.367*(4.19 * 50)</f>
        <v>76.886500000000012</v>
      </c>
      <c r="L315">
        <f>0.365*(4.19 * 50)</f>
        <v>76.467500000000015</v>
      </c>
      <c r="M315">
        <f>0.363*(4.19 * 50)</f>
        <v>76.048500000000004</v>
      </c>
      <c r="N315">
        <f>0.365*(4.19 * 50)</f>
        <v>76.467500000000015</v>
      </c>
      <c r="O315">
        <f>0.37*(4.19 * 50)</f>
        <v>77.515000000000015</v>
      </c>
      <c r="P315">
        <f>0.381*(4.19 * 50)</f>
        <v>79.819500000000005</v>
      </c>
      <c r="Q315">
        <f>0.391*(4.19 * 50)</f>
        <v>81.914500000000018</v>
      </c>
      <c r="R315">
        <f>0.387*(4.19 * 50)</f>
        <v>81.07650000000001</v>
      </c>
      <c r="S315">
        <f>0.379*(4.19 * 50)</f>
        <v>79.400500000000008</v>
      </c>
      <c r="T315">
        <f>0.378*(4.19 * 50)</f>
        <v>79.191000000000017</v>
      </c>
      <c r="U315">
        <f>0.362*(4.19 * 50)</f>
        <v>75.839000000000013</v>
      </c>
      <c r="V315">
        <f>0.357*(4.19 * 50)</f>
        <v>74.791500000000013</v>
      </c>
      <c r="W315">
        <f>0.352*(4.19 * 50)</f>
        <v>73.744</v>
      </c>
      <c r="X315">
        <f>0.351*(4.19 * 50)</f>
        <v>73.534500000000008</v>
      </c>
      <c r="Y315">
        <f>0.351*(4.19 * 50)</f>
        <v>73.534500000000008</v>
      </c>
      <c r="Z315">
        <f>0.355*(4.19 * 50)</f>
        <v>74.372500000000002</v>
      </c>
      <c r="AA315">
        <f>0.362*(4.19 * 50)</f>
        <v>75.839000000000013</v>
      </c>
      <c r="AB315">
        <f>0.367*(4.19 * 50)</f>
        <v>76.886500000000012</v>
      </c>
      <c r="AC315">
        <f>0.374*(4.19 * 50)</f>
        <v>78.353000000000009</v>
      </c>
      <c r="AD315">
        <f>0.38*(4.19 * 50)</f>
        <v>79.610000000000014</v>
      </c>
      <c r="AE315">
        <f>0.383*(4.19 * 50)</f>
        <v>80.238500000000016</v>
      </c>
      <c r="AF315">
        <f>0.379*(4.19 * 50)</f>
        <v>79.400500000000008</v>
      </c>
      <c r="AG315">
        <f>0.374*(4.19 * 50)</f>
        <v>78.353000000000009</v>
      </c>
    </row>
    <row r="316" spans="1:33" x14ac:dyDescent="0.3">
      <c r="A316" t="s">
        <v>359</v>
      </c>
      <c r="B316">
        <v>357295.863281</v>
      </c>
      <c r="C316">
        <v>6666070.8984380001</v>
      </c>
      <c r="D316" t="s">
        <v>540</v>
      </c>
      <c r="E316">
        <v>100</v>
      </c>
      <c r="F316">
        <v>9</v>
      </c>
      <c r="G316">
        <v>4.2959427207637228E-2</v>
      </c>
      <c r="H316">
        <f t="shared" si="9"/>
        <v>17.380000000000003</v>
      </c>
      <c r="I316">
        <f t="shared" si="8"/>
        <v>209.50000000000003</v>
      </c>
      <c r="J316">
        <f>0.039*(4.19 * 50)</f>
        <v>8.1705000000000005</v>
      </c>
      <c r="K316">
        <f>0.039*(4.19 * 50)</f>
        <v>8.1705000000000005</v>
      </c>
      <c r="L316">
        <f>0.039*(4.19 * 50)</f>
        <v>8.1705000000000005</v>
      </c>
      <c r="M316">
        <f>0.038*(4.19 * 50)</f>
        <v>7.9610000000000012</v>
      </c>
      <c r="N316">
        <f>0.039*(4.19 * 50)</f>
        <v>8.1705000000000005</v>
      </c>
      <c r="O316">
        <f>0.039*(4.19 * 50)</f>
        <v>8.1705000000000005</v>
      </c>
      <c r="P316">
        <f>0.04*(4.19 * 50)</f>
        <v>8.3800000000000008</v>
      </c>
      <c r="Q316">
        <f>0.041*(4.19 * 50)</f>
        <v>8.589500000000001</v>
      </c>
      <c r="R316">
        <f>0.041*(4.19 * 50)</f>
        <v>8.589500000000001</v>
      </c>
      <c r="S316">
        <f>0.04*(4.19 * 50)</f>
        <v>8.3800000000000008</v>
      </c>
      <c r="T316">
        <f>0.04*(4.19 * 50)</f>
        <v>8.3800000000000008</v>
      </c>
      <c r="U316">
        <f>0.038*(4.19 * 50)</f>
        <v>7.9610000000000012</v>
      </c>
      <c r="V316">
        <f>0.038*(4.19 * 50)</f>
        <v>7.9610000000000012</v>
      </c>
      <c r="W316">
        <f>0.037*(4.19 * 50)</f>
        <v>7.7515000000000009</v>
      </c>
      <c r="X316">
        <f>0.037*(4.19 * 50)</f>
        <v>7.7515000000000009</v>
      </c>
      <c r="Y316">
        <f>0.037*(4.19 * 50)</f>
        <v>7.7515000000000009</v>
      </c>
      <c r="Z316">
        <f>0.038*(4.19 * 50)</f>
        <v>7.9610000000000012</v>
      </c>
      <c r="AA316">
        <f>0.038*(4.19 * 50)</f>
        <v>7.9610000000000012</v>
      </c>
      <c r="AB316">
        <f>0.039*(4.19 * 50)</f>
        <v>8.1705000000000005</v>
      </c>
      <c r="AC316">
        <f>0.04*(4.19 * 50)</f>
        <v>8.3800000000000008</v>
      </c>
      <c r="AD316">
        <f>0.04*(4.19 * 50)</f>
        <v>8.3800000000000008</v>
      </c>
      <c r="AE316">
        <f>0.041*(4.19 * 50)</f>
        <v>8.589500000000001</v>
      </c>
      <c r="AF316">
        <f>0.04*(4.19 * 50)</f>
        <v>8.3800000000000008</v>
      </c>
      <c r="AG316">
        <f>0.04*(4.19 * 50)</f>
        <v>8.3800000000000008</v>
      </c>
    </row>
    <row r="317" spans="1:33" x14ac:dyDescent="0.3">
      <c r="A317" t="s">
        <v>360</v>
      </c>
      <c r="B317">
        <v>355737.90625</v>
      </c>
      <c r="C317">
        <v>6663623.8320310004</v>
      </c>
      <c r="D317" t="s">
        <v>568</v>
      </c>
      <c r="E317">
        <v>100</v>
      </c>
      <c r="F317">
        <v>55.666999816894503</v>
      </c>
      <c r="G317">
        <v>0.26571360294460378</v>
      </c>
      <c r="H317">
        <f t="shared" si="9"/>
        <v>107.83249981689451</v>
      </c>
      <c r="I317">
        <f t="shared" si="8"/>
        <v>209.50000000000003</v>
      </c>
      <c r="J317">
        <f>0.242*(4.19 * 50)</f>
        <v>50.699000000000005</v>
      </c>
      <c r="K317">
        <f>0.24*(4.19 * 50)</f>
        <v>50.280000000000008</v>
      </c>
      <c r="L317">
        <f>0.239*(4.19 * 50)</f>
        <v>50.070500000000003</v>
      </c>
      <c r="M317">
        <f>0.238*(4.19 * 50)</f>
        <v>49.861000000000004</v>
      </c>
      <c r="N317">
        <f>0.239*(4.19 * 50)</f>
        <v>50.070500000000003</v>
      </c>
      <c r="O317">
        <f>0.242*(4.19 * 50)</f>
        <v>50.699000000000005</v>
      </c>
      <c r="P317">
        <f>0.249*(4.19 * 50)</f>
        <v>52.165500000000009</v>
      </c>
      <c r="Q317">
        <f>0.256*(4.19 * 50)</f>
        <v>53.632000000000005</v>
      </c>
      <c r="R317">
        <f>0.254*(4.19 * 50)</f>
        <v>53.213000000000008</v>
      </c>
      <c r="S317">
        <f>0.248*(4.19 * 50)</f>
        <v>51.95600000000001</v>
      </c>
      <c r="T317">
        <f>0.247*(4.19 * 50)</f>
        <v>51.746500000000005</v>
      </c>
      <c r="U317">
        <f>0.237*(4.19 * 50)</f>
        <v>49.651500000000006</v>
      </c>
      <c r="V317">
        <f>0.234*(4.19 * 50)</f>
        <v>49.02300000000001</v>
      </c>
      <c r="W317">
        <f>0.23*(4.19 * 50)</f>
        <v>48.185000000000009</v>
      </c>
      <c r="X317">
        <f>0.23*(4.19 * 50)</f>
        <v>48.185000000000009</v>
      </c>
      <c r="Y317">
        <f>0.23*(4.19 * 50)</f>
        <v>48.185000000000009</v>
      </c>
      <c r="Z317">
        <f>0.233*(4.19 * 50)</f>
        <v>48.813500000000012</v>
      </c>
      <c r="AA317">
        <f>0.237*(4.19 * 50)</f>
        <v>49.651500000000006</v>
      </c>
      <c r="AB317">
        <f>0.24*(4.19 * 50)</f>
        <v>50.280000000000008</v>
      </c>
      <c r="AC317">
        <f>0.245*(4.19 * 50)</f>
        <v>51.327500000000008</v>
      </c>
      <c r="AD317">
        <f>0.249*(4.19 * 50)</f>
        <v>52.165500000000009</v>
      </c>
      <c r="AE317">
        <f>0.251*(4.19 * 50)</f>
        <v>52.584500000000006</v>
      </c>
      <c r="AF317">
        <f>0.248*(4.19 * 50)</f>
        <v>51.95600000000001</v>
      </c>
      <c r="AG317">
        <f>0.245*(4.19 * 50)</f>
        <v>51.327500000000008</v>
      </c>
    </row>
    <row r="318" spans="1:33" x14ac:dyDescent="0.3">
      <c r="A318" t="s">
        <v>361</v>
      </c>
      <c r="B318">
        <v>363164.949219</v>
      </c>
      <c r="C318">
        <v>6672181.8828130001</v>
      </c>
      <c r="D318" t="s">
        <v>559</v>
      </c>
      <c r="E318">
        <v>100</v>
      </c>
      <c r="F318">
        <v>33.099998474121001</v>
      </c>
      <c r="G318">
        <v>0.1579952194468783</v>
      </c>
      <c r="H318">
        <f t="shared" si="9"/>
        <v>64.105998474121009</v>
      </c>
      <c r="I318">
        <f t="shared" si="8"/>
        <v>209.50000000000003</v>
      </c>
      <c r="J318">
        <f>0.144*(4.19 * 50)</f>
        <v>30.168000000000003</v>
      </c>
      <c r="K318">
        <f>0.143*(4.19 * 50)</f>
        <v>29.958500000000001</v>
      </c>
      <c r="L318">
        <f>0.142*(4.19 * 50)</f>
        <v>29.749000000000002</v>
      </c>
      <c r="M318">
        <f>0.141*(4.19 * 50)</f>
        <v>29.5395</v>
      </c>
      <c r="N318">
        <f>0.142*(4.19 * 50)</f>
        <v>29.749000000000002</v>
      </c>
      <c r="O318">
        <f>0.144*(4.19 * 50)</f>
        <v>30.168000000000003</v>
      </c>
      <c r="P318">
        <f>0.148*(4.19 * 50)</f>
        <v>31.006000000000004</v>
      </c>
      <c r="Q318">
        <f>0.152*(4.19 * 50)</f>
        <v>31.844000000000005</v>
      </c>
      <c r="R318">
        <f>0.151*(4.19 * 50)</f>
        <v>31.634500000000003</v>
      </c>
      <c r="S318">
        <f>0.148*(4.19 * 50)</f>
        <v>31.006000000000004</v>
      </c>
      <c r="T318">
        <f>0.147*(4.19 * 50)</f>
        <v>30.796500000000002</v>
      </c>
      <c r="U318">
        <f>0.141*(4.19 * 50)</f>
        <v>29.5395</v>
      </c>
      <c r="V318">
        <f>0.139*(4.19 * 50)</f>
        <v>29.120500000000007</v>
      </c>
      <c r="W318">
        <f>0.137*(4.19 * 50)</f>
        <v>28.701500000000006</v>
      </c>
      <c r="X318">
        <f>0.137*(4.19 * 50)</f>
        <v>28.701500000000006</v>
      </c>
      <c r="Y318">
        <f>0.137*(4.19 * 50)</f>
        <v>28.701500000000006</v>
      </c>
      <c r="Z318">
        <f>0.138*(4.19 * 50)</f>
        <v>28.911000000000005</v>
      </c>
      <c r="AA318">
        <f>0.141*(4.19 * 50)</f>
        <v>29.5395</v>
      </c>
      <c r="AB318">
        <f>0.143*(4.19 * 50)</f>
        <v>29.958500000000001</v>
      </c>
      <c r="AC318">
        <f>0.146*(4.19 * 50)</f>
        <v>30.587000000000003</v>
      </c>
      <c r="AD318">
        <f>0.148*(4.19 * 50)</f>
        <v>31.006000000000004</v>
      </c>
      <c r="AE318">
        <f>0.149*(4.19 * 50)</f>
        <v>31.215500000000002</v>
      </c>
      <c r="AF318">
        <f>0.148*(4.19 * 50)</f>
        <v>31.006000000000004</v>
      </c>
      <c r="AG318">
        <f>0.146*(4.19 * 50)</f>
        <v>30.587000000000003</v>
      </c>
    </row>
    <row r="319" spans="1:33" x14ac:dyDescent="0.3">
      <c r="A319" t="s">
        <v>362</v>
      </c>
      <c r="B319">
        <v>357722.914063</v>
      </c>
      <c r="C319">
        <v>6667714.796875</v>
      </c>
      <c r="D319" t="s">
        <v>550</v>
      </c>
      <c r="E319">
        <v>100</v>
      </c>
      <c r="F319">
        <v>506.6669921875</v>
      </c>
      <c r="G319">
        <v>2.4184581965990448</v>
      </c>
      <c r="H319">
        <f t="shared" si="9"/>
        <v>982.02249218750012</v>
      </c>
      <c r="I319">
        <f t="shared" si="8"/>
        <v>209.50000000000003</v>
      </c>
      <c r="J319">
        <f>2.205*(4.19 * 50)</f>
        <v>461.9475000000001</v>
      </c>
      <c r="K319">
        <f>2.188*(4.19 * 50)</f>
        <v>458.38600000000008</v>
      </c>
      <c r="L319">
        <f>2.174*(4.19 * 50)</f>
        <v>455.45300000000003</v>
      </c>
      <c r="M319">
        <f>2.166*(4.19 * 50)</f>
        <v>453.77700000000004</v>
      </c>
      <c r="N319">
        <f>2.174*(4.19 * 50)</f>
        <v>455.45300000000003</v>
      </c>
      <c r="O319">
        <f>2.203*(4.19 * 50)</f>
        <v>461.52850000000001</v>
      </c>
      <c r="P319">
        <f>2.269*(4.19 * 50)</f>
        <v>475.35550000000006</v>
      </c>
      <c r="Q319">
        <f>2.328*(4.19 * 50)</f>
        <v>487.71600000000001</v>
      </c>
      <c r="R319">
        <f>2.309*(4.19 * 50)</f>
        <v>483.73550000000012</v>
      </c>
      <c r="S319">
        <f>2.26*(4.19 * 50)</f>
        <v>473.47</v>
      </c>
      <c r="T319">
        <f>2.251*(4.19 * 50)</f>
        <v>471.58450000000005</v>
      </c>
      <c r="U319">
        <f>2.157*(4.19 * 50)</f>
        <v>451.89150000000006</v>
      </c>
      <c r="V319">
        <f>2.126*(4.19 * 50)</f>
        <v>445.39700000000005</v>
      </c>
      <c r="W319">
        <f>2.097*(4.19 * 50)</f>
        <v>439.32150000000007</v>
      </c>
      <c r="X319">
        <f>2.091*(4.19 * 50)</f>
        <v>438.06450000000012</v>
      </c>
      <c r="Y319">
        <f>2.095*(4.19 * 50)</f>
        <v>438.90250000000009</v>
      </c>
      <c r="Z319">
        <f>2.117*(4.19 * 50)</f>
        <v>443.51150000000007</v>
      </c>
      <c r="AA319">
        <f>2.157*(4.19 * 50)</f>
        <v>451.89150000000006</v>
      </c>
      <c r="AB319">
        <f>2.188*(4.19 * 50)</f>
        <v>458.38600000000008</v>
      </c>
      <c r="AC319">
        <f>2.227*(4.19 * 50)</f>
        <v>466.55650000000003</v>
      </c>
      <c r="AD319">
        <f>2.265*(4.19 * 50)</f>
        <v>474.5175000000001</v>
      </c>
      <c r="AE319">
        <f>2.28*(4.19 * 50)</f>
        <v>477.66</v>
      </c>
      <c r="AF319">
        <f>2.26*(4.19 * 50)</f>
        <v>473.47</v>
      </c>
      <c r="AG319">
        <f>2.229*(4.19 * 50)</f>
        <v>466.97550000000007</v>
      </c>
    </row>
    <row r="320" spans="1:33" x14ac:dyDescent="0.3">
      <c r="A320" t="s">
        <v>363</v>
      </c>
      <c r="B320">
        <v>357805.5625</v>
      </c>
      <c r="C320">
        <v>6666446.8632810004</v>
      </c>
      <c r="D320" t="s">
        <v>547</v>
      </c>
      <c r="E320">
        <v>100</v>
      </c>
      <c r="F320">
        <v>104.66699981689401</v>
      </c>
      <c r="G320">
        <v>0.49960381774173751</v>
      </c>
      <c r="H320">
        <f t="shared" si="9"/>
        <v>202.922499816894</v>
      </c>
      <c r="I320">
        <f t="shared" si="8"/>
        <v>209.50000000000003</v>
      </c>
      <c r="J320">
        <f>0.456*(4.19 * 50)</f>
        <v>95.532000000000011</v>
      </c>
      <c r="K320">
        <f>0.452*(4.19 * 50)</f>
        <v>94.694000000000017</v>
      </c>
      <c r="L320">
        <f>0.449*(4.19 * 50)</f>
        <v>94.065500000000014</v>
      </c>
      <c r="M320">
        <f>0.447*(4.19 * 50)</f>
        <v>93.646500000000017</v>
      </c>
      <c r="N320">
        <f>0.449*(4.19 * 50)</f>
        <v>94.065500000000014</v>
      </c>
      <c r="O320">
        <f>0.455*(4.19 * 50)</f>
        <v>95.322500000000019</v>
      </c>
      <c r="P320">
        <f>0.469*(4.19 * 50)</f>
        <v>98.255500000000012</v>
      </c>
      <c r="Q320">
        <f>0.481*(4.19 * 50)</f>
        <v>100.76950000000001</v>
      </c>
      <c r="R320">
        <f>0.477*(4.19 * 50)</f>
        <v>99.931500000000014</v>
      </c>
      <c r="S320">
        <f>0.467*(4.19 * 50)</f>
        <v>97.836500000000015</v>
      </c>
      <c r="T320">
        <f>0.465*(4.19 * 50)</f>
        <v>97.417500000000018</v>
      </c>
      <c r="U320">
        <f>0.446*(4.19 * 50)</f>
        <v>93.437000000000012</v>
      </c>
      <c r="V320">
        <f>0.439*(4.19 * 50)</f>
        <v>91.970500000000015</v>
      </c>
      <c r="W320">
        <f>0.433*(4.19 * 50)</f>
        <v>90.71350000000001</v>
      </c>
      <c r="X320">
        <f>0.432*(4.19 * 50)</f>
        <v>90.504000000000005</v>
      </c>
      <c r="Y320">
        <f>0.433*(4.19 * 50)</f>
        <v>90.71350000000001</v>
      </c>
      <c r="Z320">
        <f>0.437*(4.19 * 50)</f>
        <v>91.551500000000019</v>
      </c>
      <c r="AA320">
        <f>0.446*(4.19 * 50)</f>
        <v>93.437000000000012</v>
      </c>
      <c r="AB320">
        <f>0.452*(4.19 * 50)</f>
        <v>94.694000000000017</v>
      </c>
      <c r="AC320">
        <f>0.46*(4.19 * 50)</f>
        <v>96.370000000000019</v>
      </c>
      <c r="AD320">
        <f>0.468*(4.19 * 50)</f>
        <v>98.046000000000021</v>
      </c>
      <c r="AE320">
        <f>0.471*(4.19 * 50)</f>
        <v>98.674500000000009</v>
      </c>
      <c r="AF320">
        <f>0.467*(4.19 * 50)</f>
        <v>97.836500000000015</v>
      </c>
      <c r="AG320">
        <f>0.461*(4.19 * 50)</f>
        <v>96.579500000000024</v>
      </c>
    </row>
    <row r="321" spans="1:33" x14ac:dyDescent="0.3">
      <c r="A321" t="s">
        <v>364</v>
      </c>
      <c r="B321">
        <v>363198.960938</v>
      </c>
      <c r="C321">
        <v>6671572.3828130001</v>
      </c>
      <c r="D321" t="s">
        <v>563</v>
      </c>
      <c r="E321">
        <v>100</v>
      </c>
      <c r="F321">
        <v>129</v>
      </c>
      <c r="G321">
        <v>0.61575178997613356</v>
      </c>
      <c r="H321">
        <f t="shared" si="9"/>
        <v>250.09100000000001</v>
      </c>
      <c r="I321">
        <f t="shared" si="8"/>
        <v>209.50000000000003</v>
      </c>
      <c r="J321">
        <f>0.561*(4.19 * 50)</f>
        <v>117.52950000000003</v>
      </c>
      <c r="K321">
        <f>0.557*(4.19 * 50)</f>
        <v>116.69150000000003</v>
      </c>
      <c r="L321">
        <f>0.554*(4.19 * 50)</f>
        <v>116.06300000000003</v>
      </c>
      <c r="M321">
        <f>0.551*(4.19 * 50)</f>
        <v>115.43450000000003</v>
      </c>
      <c r="N321">
        <f>0.554*(4.19 * 50)</f>
        <v>116.06300000000003</v>
      </c>
      <c r="O321">
        <f>0.561*(4.19 * 50)</f>
        <v>117.52950000000003</v>
      </c>
      <c r="P321">
        <f>0.578*(4.19 * 50)</f>
        <v>121.09100000000001</v>
      </c>
      <c r="Q321">
        <f>0.593*(4.19 * 50)</f>
        <v>124.23350000000001</v>
      </c>
      <c r="R321">
        <f>0.588*(4.19 * 50)</f>
        <v>123.18600000000001</v>
      </c>
      <c r="S321">
        <f>0.575*(4.19 * 50)</f>
        <v>120.46250000000001</v>
      </c>
      <c r="T321">
        <f>0.573*(4.19 * 50)</f>
        <v>120.04350000000001</v>
      </c>
      <c r="U321">
        <f>0.549*(4.19 * 50)</f>
        <v>115.01550000000003</v>
      </c>
      <c r="V321">
        <f>0.541*(4.19 * 50)</f>
        <v>113.33950000000003</v>
      </c>
      <c r="W321">
        <f>0.534*(4.19 * 50)</f>
        <v>111.87300000000002</v>
      </c>
      <c r="X321">
        <f>0.532*(4.19 * 50)</f>
        <v>111.45400000000002</v>
      </c>
      <c r="Y321">
        <f>0.533*(4.19 * 50)</f>
        <v>111.66350000000003</v>
      </c>
      <c r="Z321">
        <f>0.539*(4.19 * 50)</f>
        <v>112.92050000000002</v>
      </c>
      <c r="AA321">
        <f>0.549*(4.19 * 50)</f>
        <v>115.01550000000003</v>
      </c>
      <c r="AB321">
        <f>0.557*(4.19 * 50)</f>
        <v>116.69150000000003</v>
      </c>
      <c r="AC321">
        <f>0.567*(4.19 * 50)</f>
        <v>118.7865</v>
      </c>
      <c r="AD321">
        <f>0.577*(4.19 * 50)</f>
        <v>120.8815</v>
      </c>
      <c r="AE321">
        <f>0.581*(4.19 * 50)</f>
        <v>121.71950000000001</v>
      </c>
      <c r="AF321">
        <f>0.575*(4.19 * 50)</f>
        <v>120.46250000000001</v>
      </c>
      <c r="AG321">
        <f>0.568*(4.19 * 50)</f>
        <v>118.99600000000001</v>
      </c>
    </row>
    <row r="322" spans="1:33" x14ac:dyDescent="0.3">
      <c r="A322" t="s">
        <v>365</v>
      </c>
      <c r="B322">
        <v>359809.015625</v>
      </c>
      <c r="C322">
        <v>6667545.2734380001</v>
      </c>
      <c r="D322" t="s">
        <v>542</v>
      </c>
      <c r="E322">
        <v>100</v>
      </c>
      <c r="F322">
        <v>176.66700744628901</v>
      </c>
      <c r="G322">
        <v>0.84327927181999518</v>
      </c>
      <c r="H322">
        <f t="shared" si="9"/>
        <v>342.38150744628905</v>
      </c>
      <c r="I322">
        <f t="shared" si="8"/>
        <v>209.50000000000003</v>
      </c>
      <c r="J322">
        <f>0.769*(4.19 * 50)</f>
        <v>161.10550000000003</v>
      </c>
      <c r="K322">
        <f>0.763*(4.19 * 50)</f>
        <v>159.84850000000003</v>
      </c>
      <c r="L322">
        <f>0.758*(4.19 * 50)</f>
        <v>158.80100000000002</v>
      </c>
      <c r="M322">
        <f>0.755*(4.19 * 50)</f>
        <v>158.17250000000001</v>
      </c>
      <c r="N322">
        <f>0.758*(4.19 * 50)</f>
        <v>158.80100000000002</v>
      </c>
      <c r="O322">
        <f>0.768*(4.19 * 50)</f>
        <v>160.89600000000002</v>
      </c>
      <c r="P322">
        <f>0.791*(4.19 * 50)</f>
        <v>165.71450000000004</v>
      </c>
      <c r="Q322">
        <f>0.812*(4.19 * 50)</f>
        <v>170.11400000000003</v>
      </c>
      <c r="R322">
        <f>0.805*(4.19 * 50)</f>
        <v>168.64750000000004</v>
      </c>
      <c r="S322">
        <f>0.788*(4.19 * 50)</f>
        <v>165.08600000000004</v>
      </c>
      <c r="T322">
        <f>0.785*(4.19 * 50)</f>
        <v>164.45750000000004</v>
      </c>
      <c r="U322">
        <f>0.752*(4.19 * 50)</f>
        <v>157.54400000000001</v>
      </c>
      <c r="V322">
        <f>0.741*(4.19 * 50)</f>
        <v>155.23950000000002</v>
      </c>
      <c r="W322">
        <f>0.731*(4.19 * 50)</f>
        <v>153.14450000000002</v>
      </c>
      <c r="X322">
        <f>0.729*(4.19 * 50)</f>
        <v>152.72550000000001</v>
      </c>
      <c r="Y322">
        <f>0.731*(4.19 * 50)</f>
        <v>153.14450000000002</v>
      </c>
      <c r="Z322">
        <f>0.738*(4.19 * 50)</f>
        <v>154.61100000000002</v>
      </c>
      <c r="AA322">
        <f>0.752*(4.19 * 50)</f>
        <v>157.54400000000001</v>
      </c>
      <c r="AB322">
        <f>0.763*(4.19 * 50)</f>
        <v>159.84850000000003</v>
      </c>
      <c r="AC322">
        <f>0.777*(4.19 * 50)</f>
        <v>162.78150000000002</v>
      </c>
      <c r="AD322">
        <f>0.79*(4.19 * 50)</f>
        <v>165.50500000000002</v>
      </c>
      <c r="AE322">
        <f>0.795*(4.19 * 50)</f>
        <v>166.55250000000004</v>
      </c>
      <c r="AF322">
        <f>0.788*(4.19 * 50)</f>
        <v>165.08600000000004</v>
      </c>
      <c r="AG322">
        <f>0.777*(4.19 * 50)</f>
        <v>162.78150000000002</v>
      </c>
    </row>
    <row r="323" spans="1:33" x14ac:dyDescent="0.3">
      <c r="A323" t="s">
        <v>366</v>
      </c>
      <c r="B323">
        <v>356758.695313</v>
      </c>
      <c r="C323">
        <v>6667894.3671880001</v>
      </c>
      <c r="D323" t="s">
        <v>541</v>
      </c>
      <c r="E323">
        <v>100</v>
      </c>
      <c r="F323">
        <v>113.66699981689401</v>
      </c>
      <c r="G323">
        <v>0.54256324494937469</v>
      </c>
      <c r="H323">
        <f t="shared" si="9"/>
        <v>220.30249981689403</v>
      </c>
      <c r="I323">
        <f t="shared" ref="I323:I386" si="10">4.19 * 50</f>
        <v>209.50000000000003</v>
      </c>
      <c r="J323">
        <f>0.495*(4.19 * 50)</f>
        <v>103.70250000000001</v>
      </c>
      <c r="K323">
        <f>0.491*(4.19 * 50)</f>
        <v>102.86450000000001</v>
      </c>
      <c r="L323">
        <f>0.488*(4.19 * 50)</f>
        <v>102.23600000000002</v>
      </c>
      <c r="M323">
        <f>0.486*(4.19 * 50)</f>
        <v>101.81700000000001</v>
      </c>
      <c r="N323">
        <f>0.488*(4.19 * 50)</f>
        <v>102.23600000000002</v>
      </c>
      <c r="O323">
        <f>0.494*(4.19 * 50)</f>
        <v>103.49300000000001</v>
      </c>
      <c r="P323">
        <f>0.509*(4.19 * 50)</f>
        <v>106.63550000000002</v>
      </c>
      <c r="Q323">
        <f>0.522*(4.19 * 50)</f>
        <v>109.35900000000002</v>
      </c>
      <c r="R323">
        <f>0.518*(4.19 * 50)</f>
        <v>108.52100000000002</v>
      </c>
      <c r="S323">
        <f>0.507*(4.19 * 50)</f>
        <v>106.21650000000001</v>
      </c>
      <c r="T323">
        <f>0.505*(4.19 * 50)</f>
        <v>105.79750000000001</v>
      </c>
      <c r="U323">
        <f>0.484*(4.19 * 50)</f>
        <v>101.39800000000001</v>
      </c>
      <c r="V323">
        <f>0.477*(4.19 * 50)</f>
        <v>99.931500000000014</v>
      </c>
      <c r="W323">
        <f>0.471*(4.19 * 50)</f>
        <v>98.674500000000009</v>
      </c>
      <c r="X323">
        <f>0.469*(4.19 * 50)</f>
        <v>98.255500000000012</v>
      </c>
      <c r="Y323">
        <f>0.47*(4.19 * 50)</f>
        <v>98.465000000000003</v>
      </c>
      <c r="Z323">
        <f>0.475*(4.19 * 50)</f>
        <v>99.512500000000003</v>
      </c>
      <c r="AA323">
        <f>0.484*(4.19 * 50)</f>
        <v>101.39800000000001</v>
      </c>
      <c r="AB323">
        <f>0.491*(4.19 * 50)</f>
        <v>102.86450000000001</v>
      </c>
      <c r="AC323">
        <f>0.5*(4.19 * 50)</f>
        <v>104.75000000000001</v>
      </c>
      <c r="AD323">
        <f>0.508*(4.19 * 50)</f>
        <v>106.42600000000002</v>
      </c>
      <c r="AE323">
        <f>0.512*(4.19 * 50)</f>
        <v>107.26400000000001</v>
      </c>
      <c r="AF323">
        <f>0.507*(4.19 * 50)</f>
        <v>106.21650000000001</v>
      </c>
      <c r="AG323">
        <f>0.5*(4.19 * 50)</f>
        <v>104.75000000000001</v>
      </c>
    </row>
    <row r="324" spans="1:33" x14ac:dyDescent="0.3">
      <c r="A324" t="s">
        <v>367</v>
      </c>
      <c r="B324">
        <v>363091.933594</v>
      </c>
      <c r="C324">
        <v>6671335.8046880001</v>
      </c>
      <c r="D324" t="s">
        <v>540</v>
      </c>
      <c r="E324">
        <v>100</v>
      </c>
      <c r="F324">
        <v>29</v>
      </c>
      <c r="G324">
        <v>0.13842482100238659</v>
      </c>
      <c r="H324">
        <f t="shared" ref="H324:H387" si="11">F324+P324</f>
        <v>56.234999999999999</v>
      </c>
      <c r="I324">
        <f t="shared" si="10"/>
        <v>209.50000000000003</v>
      </c>
      <c r="J324">
        <f>0.126*(4.19 * 50)</f>
        <v>26.397000000000002</v>
      </c>
      <c r="K324">
        <f>0.125*(4.19 * 50)</f>
        <v>26.187500000000004</v>
      </c>
      <c r="L324">
        <f>0.124*(4.19 * 50)</f>
        <v>25.978000000000005</v>
      </c>
      <c r="M324">
        <f>0.124*(4.19 * 50)</f>
        <v>25.978000000000005</v>
      </c>
      <c r="N324">
        <f>0.124*(4.19 * 50)</f>
        <v>25.978000000000005</v>
      </c>
      <c r="O324">
        <f>0.126*(4.19 * 50)</f>
        <v>26.397000000000002</v>
      </c>
      <c r="P324">
        <f>0.13*(4.19 * 50)</f>
        <v>27.235000000000003</v>
      </c>
      <c r="Q324">
        <f>0.133*(4.19 * 50)</f>
        <v>27.863500000000005</v>
      </c>
      <c r="R324">
        <f>0.132*(4.19 * 50)</f>
        <v>27.654000000000003</v>
      </c>
      <c r="S324">
        <f>0.129*(4.19 * 50)</f>
        <v>27.025500000000005</v>
      </c>
      <c r="T324">
        <f>0.129*(4.19 * 50)</f>
        <v>27.025500000000005</v>
      </c>
      <c r="U324">
        <f>0.123*(4.19 * 50)</f>
        <v>25.768500000000003</v>
      </c>
      <c r="V324">
        <f>0.122*(4.19 * 50)</f>
        <v>25.559000000000005</v>
      </c>
      <c r="W324">
        <f>0.12*(4.19 * 50)</f>
        <v>25.140000000000004</v>
      </c>
      <c r="X324">
        <f>0.12*(4.19 * 50)</f>
        <v>25.140000000000004</v>
      </c>
      <c r="Y324">
        <f>0.12*(4.19 * 50)</f>
        <v>25.140000000000004</v>
      </c>
      <c r="Z324">
        <f>0.121*(4.19 * 50)</f>
        <v>25.349500000000003</v>
      </c>
      <c r="AA324">
        <f>0.123*(4.19 * 50)</f>
        <v>25.768500000000003</v>
      </c>
      <c r="AB324">
        <f>0.125*(4.19 * 50)</f>
        <v>26.187500000000004</v>
      </c>
      <c r="AC324">
        <f>0.127*(4.19 * 50)</f>
        <v>26.606500000000004</v>
      </c>
      <c r="AD324">
        <f>0.13*(4.19 * 50)</f>
        <v>27.235000000000003</v>
      </c>
      <c r="AE324">
        <f>0.131*(4.19 * 50)</f>
        <v>27.444500000000005</v>
      </c>
      <c r="AF324">
        <f>0.129*(4.19 * 50)</f>
        <v>27.025500000000005</v>
      </c>
      <c r="AG324">
        <f>0.128*(4.19 * 50)</f>
        <v>26.816000000000003</v>
      </c>
    </row>
    <row r="325" spans="1:33" x14ac:dyDescent="0.3">
      <c r="A325" t="s">
        <v>368</v>
      </c>
      <c r="B325">
        <v>356083.058594</v>
      </c>
      <c r="C325">
        <v>6663882.4375</v>
      </c>
      <c r="D325" t="s">
        <v>541</v>
      </c>
      <c r="E325">
        <v>100</v>
      </c>
      <c r="F325">
        <v>115</v>
      </c>
      <c r="G325">
        <v>0.54892601431980903</v>
      </c>
      <c r="H325">
        <f t="shared" si="11"/>
        <v>222.89250000000001</v>
      </c>
      <c r="I325">
        <f t="shared" si="10"/>
        <v>209.50000000000003</v>
      </c>
      <c r="J325">
        <f>0.501*(4.19 * 50)</f>
        <v>104.95950000000002</v>
      </c>
      <c r="K325">
        <f>0.497*(4.19 * 50)</f>
        <v>104.12150000000001</v>
      </c>
      <c r="L325">
        <f>0.494*(4.19 * 50)</f>
        <v>103.49300000000001</v>
      </c>
      <c r="M325">
        <f>0.492*(4.19 * 50)</f>
        <v>103.07400000000001</v>
      </c>
      <c r="N325">
        <f>0.494*(4.19 * 50)</f>
        <v>103.49300000000001</v>
      </c>
      <c r="O325">
        <f>0.5*(4.19 * 50)</f>
        <v>104.75000000000001</v>
      </c>
      <c r="P325">
        <f>0.515*(4.19 * 50)</f>
        <v>107.89250000000001</v>
      </c>
      <c r="Q325">
        <f>0.528*(4.19 * 50)</f>
        <v>110.61600000000001</v>
      </c>
      <c r="R325">
        <f>0.524*(4.19 * 50)</f>
        <v>109.77800000000002</v>
      </c>
      <c r="S325">
        <f>0.513*(4.19 * 50)</f>
        <v>107.47350000000002</v>
      </c>
      <c r="T325">
        <f>0.511*(4.19 * 50)</f>
        <v>107.05450000000002</v>
      </c>
      <c r="U325">
        <f>0.49*(4.19 * 50)</f>
        <v>102.65500000000002</v>
      </c>
      <c r="V325">
        <f>0.483*(4.19 * 50)</f>
        <v>101.1885</v>
      </c>
      <c r="W325">
        <f>0.476*(4.19 * 50)</f>
        <v>99.722000000000008</v>
      </c>
      <c r="X325">
        <f>0.475*(4.19 * 50)</f>
        <v>99.512500000000003</v>
      </c>
      <c r="Y325">
        <f>0.476*(4.19 * 50)</f>
        <v>99.722000000000008</v>
      </c>
      <c r="Z325">
        <f>0.481*(4.19 * 50)</f>
        <v>100.76950000000001</v>
      </c>
      <c r="AA325">
        <f>0.49*(4.19 * 50)</f>
        <v>102.65500000000002</v>
      </c>
      <c r="AB325">
        <f>0.497*(4.19 * 50)</f>
        <v>104.12150000000001</v>
      </c>
      <c r="AC325">
        <f>0.506*(4.19 * 50)</f>
        <v>106.00700000000002</v>
      </c>
      <c r="AD325">
        <f>0.514*(4.19 * 50)</f>
        <v>107.68300000000002</v>
      </c>
      <c r="AE325">
        <f>0.518*(4.19 * 50)</f>
        <v>108.52100000000002</v>
      </c>
      <c r="AF325">
        <f>0.513*(4.19 * 50)</f>
        <v>107.47350000000002</v>
      </c>
      <c r="AG325">
        <f>0.506*(4.19 * 50)</f>
        <v>106.00700000000002</v>
      </c>
    </row>
    <row r="326" spans="1:33" x14ac:dyDescent="0.3">
      <c r="A326" t="s">
        <v>369</v>
      </c>
      <c r="B326">
        <v>357324.925781</v>
      </c>
      <c r="C326">
        <v>6666143.1914060004</v>
      </c>
      <c r="D326" t="s">
        <v>540</v>
      </c>
      <c r="E326">
        <v>100</v>
      </c>
      <c r="F326">
        <v>6</v>
      </c>
      <c r="G326">
        <v>2.8639618138424819E-2</v>
      </c>
      <c r="H326">
        <f t="shared" si="11"/>
        <v>11.656500000000001</v>
      </c>
      <c r="I326">
        <f t="shared" si="10"/>
        <v>209.50000000000003</v>
      </c>
      <c r="J326">
        <f>0.026*(4.19 * 50)</f>
        <v>5.4470000000000001</v>
      </c>
      <c r="K326">
        <f>0.026*(4.19 * 50)</f>
        <v>5.4470000000000001</v>
      </c>
      <c r="L326">
        <f>0.026*(4.19 * 50)</f>
        <v>5.4470000000000001</v>
      </c>
      <c r="M326">
        <f>0.026*(4.19 * 50)</f>
        <v>5.4470000000000001</v>
      </c>
      <c r="N326">
        <f>0.026*(4.19 * 50)</f>
        <v>5.4470000000000001</v>
      </c>
      <c r="O326">
        <f>0.026*(4.19 * 50)</f>
        <v>5.4470000000000001</v>
      </c>
      <c r="P326">
        <f>0.027*(4.19 * 50)</f>
        <v>5.6565000000000003</v>
      </c>
      <c r="Q326">
        <f>0.028*(4.19 * 50)</f>
        <v>5.8660000000000005</v>
      </c>
      <c r="R326">
        <f>0.027*(4.19 * 50)</f>
        <v>5.6565000000000003</v>
      </c>
      <c r="S326">
        <f>0.027*(4.19 * 50)</f>
        <v>5.6565000000000003</v>
      </c>
      <c r="T326">
        <f>0.027*(4.19 * 50)</f>
        <v>5.6565000000000003</v>
      </c>
      <c r="U326">
        <f>0.026*(4.19 * 50)</f>
        <v>5.4470000000000001</v>
      </c>
      <c r="V326">
        <f>0.025*(4.19 * 50)</f>
        <v>5.2375000000000007</v>
      </c>
      <c r="W326">
        <f>0.025*(4.19 * 50)</f>
        <v>5.2375000000000007</v>
      </c>
      <c r="X326">
        <f>0.025*(4.19 * 50)</f>
        <v>5.2375000000000007</v>
      </c>
      <c r="Y326">
        <f>0.025*(4.19 * 50)</f>
        <v>5.2375000000000007</v>
      </c>
      <c r="Z326">
        <f>0.025*(4.19 * 50)</f>
        <v>5.2375000000000007</v>
      </c>
      <c r="AA326">
        <f>0.026*(4.19 * 50)</f>
        <v>5.4470000000000001</v>
      </c>
      <c r="AB326">
        <f>0.026*(4.19 * 50)</f>
        <v>5.4470000000000001</v>
      </c>
      <c r="AC326">
        <f>0.026*(4.19 * 50)</f>
        <v>5.4470000000000001</v>
      </c>
      <c r="AD326">
        <f>0.027*(4.19 * 50)</f>
        <v>5.6565000000000003</v>
      </c>
      <c r="AE326">
        <f>0.027*(4.19 * 50)</f>
        <v>5.6565000000000003</v>
      </c>
      <c r="AF326">
        <f>0.027*(4.19 * 50)</f>
        <v>5.6565000000000003</v>
      </c>
      <c r="AG326">
        <f>0.026*(4.19 * 50)</f>
        <v>5.4470000000000001</v>
      </c>
    </row>
    <row r="327" spans="1:33" x14ac:dyDescent="0.3">
      <c r="A327" t="s">
        <v>370</v>
      </c>
      <c r="B327">
        <v>363097.535156</v>
      </c>
      <c r="C327">
        <v>6671214.8945310004</v>
      </c>
      <c r="D327" t="s">
        <v>542</v>
      </c>
      <c r="E327">
        <v>100</v>
      </c>
      <c r="F327">
        <v>69.666999816894503</v>
      </c>
      <c r="G327">
        <v>0.33253937860092841</v>
      </c>
      <c r="H327">
        <f t="shared" si="11"/>
        <v>135.03099981689451</v>
      </c>
      <c r="I327">
        <f t="shared" si="10"/>
        <v>209.50000000000003</v>
      </c>
      <c r="J327">
        <f>0.303*(4.19 * 50)</f>
        <v>63.478500000000004</v>
      </c>
      <c r="K327">
        <f>0.301*(4.19 * 50)</f>
        <v>63.059500000000007</v>
      </c>
      <c r="L327">
        <f>0.299*(4.19 * 50)</f>
        <v>62.640500000000003</v>
      </c>
      <c r="M327">
        <f>0.298*(4.19 * 50)</f>
        <v>62.431000000000004</v>
      </c>
      <c r="N327">
        <f>0.299*(4.19 * 50)</f>
        <v>62.640500000000003</v>
      </c>
      <c r="O327">
        <f>0.303*(4.19 * 50)</f>
        <v>63.478500000000004</v>
      </c>
      <c r="P327">
        <f>0.312*(4.19 * 50)</f>
        <v>65.364000000000004</v>
      </c>
      <c r="Q327">
        <f>0.32*(4.19 * 50)</f>
        <v>67.040000000000006</v>
      </c>
      <c r="R327">
        <f>0.317*(4.19 * 50)</f>
        <v>66.411500000000004</v>
      </c>
      <c r="S327">
        <f>0.311*(4.19 * 50)</f>
        <v>65.154500000000013</v>
      </c>
      <c r="T327">
        <f>0.31*(4.19 * 50)</f>
        <v>64.945000000000007</v>
      </c>
      <c r="U327">
        <f>0.297*(4.19 * 50)</f>
        <v>62.221500000000006</v>
      </c>
      <c r="V327">
        <f>0.292*(4.19 * 50)</f>
        <v>61.174000000000007</v>
      </c>
      <c r="W327">
        <f>0.288*(4.19 * 50)</f>
        <v>60.336000000000006</v>
      </c>
      <c r="X327">
        <f>0.287*(4.19 * 50)</f>
        <v>60.1265</v>
      </c>
      <c r="Y327">
        <f>0.288*(4.19 * 50)</f>
        <v>60.336000000000006</v>
      </c>
      <c r="Z327">
        <f>0.291*(4.19 * 50)</f>
        <v>60.964500000000001</v>
      </c>
      <c r="AA327">
        <f>0.297*(4.19 * 50)</f>
        <v>62.221500000000006</v>
      </c>
      <c r="AB327">
        <f>0.301*(4.19 * 50)</f>
        <v>63.059500000000007</v>
      </c>
      <c r="AC327">
        <f>0.306*(4.19 * 50)</f>
        <v>64.107000000000014</v>
      </c>
      <c r="AD327">
        <f>0.311*(4.19 * 50)</f>
        <v>65.154500000000013</v>
      </c>
      <c r="AE327">
        <f>0.314*(4.19 * 50)</f>
        <v>65.783000000000015</v>
      </c>
      <c r="AF327">
        <f>0.311*(4.19 * 50)</f>
        <v>65.154500000000013</v>
      </c>
      <c r="AG327">
        <f>0.307*(4.19 * 50)</f>
        <v>64.316500000000005</v>
      </c>
    </row>
    <row r="328" spans="1:33" x14ac:dyDescent="0.3">
      <c r="A328" t="s">
        <v>371</v>
      </c>
      <c r="B328">
        <v>359531.4375</v>
      </c>
      <c r="C328">
        <v>6667468.4179689996</v>
      </c>
      <c r="D328" t="s">
        <v>542</v>
      </c>
      <c r="E328">
        <v>100</v>
      </c>
      <c r="F328">
        <v>85</v>
      </c>
      <c r="G328">
        <v>0.40572792362768489</v>
      </c>
      <c r="H328">
        <f t="shared" si="11"/>
        <v>164.81950000000001</v>
      </c>
      <c r="I328">
        <f t="shared" si="10"/>
        <v>209.50000000000003</v>
      </c>
      <c r="J328">
        <f>0.37*(4.19 * 50)</f>
        <v>77.515000000000015</v>
      </c>
      <c r="K328">
        <f>0.367*(4.19 * 50)</f>
        <v>76.886500000000012</v>
      </c>
      <c r="L328">
        <f>0.365*(4.19 * 50)</f>
        <v>76.467500000000015</v>
      </c>
      <c r="M328">
        <f>0.363*(4.19 * 50)</f>
        <v>76.048500000000004</v>
      </c>
      <c r="N328">
        <f>0.365*(4.19 * 50)</f>
        <v>76.467500000000015</v>
      </c>
      <c r="O328">
        <f>0.37*(4.19 * 50)</f>
        <v>77.515000000000015</v>
      </c>
      <c r="P328">
        <f>0.381*(4.19 * 50)</f>
        <v>79.819500000000005</v>
      </c>
      <c r="Q328">
        <f>0.391*(4.19 * 50)</f>
        <v>81.914500000000018</v>
      </c>
      <c r="R328">
        <f>0.387*(4.19 * 50)</f>
        <v>81.07650000000001</v>
      </c>
      <c r="S328">
        <f>0.379*(4.19 * 50)</f>
        <v>79.400500000000008</v>
      </c>
      <c r="T328">
        <f>0.378*(4.19 * 50)</f>
        <v>79.191000000000017</v>
      </c>
      <c r="U328">
        <f>0.362*(4.19 * 50)</f>
        <v>75.839000000000013</v>
      </c>
      <c r="V328">
        <f>0.357*(4.19 * 50)</f>
        <v>74.791500000000013</v>
      </c>
      <c r="W328">
        <f>0.352*(4.19 * 50)</f>
        <v>73.744</v>
      </c>
      <c r="X328">
        <f>0.351*(4.19 * 50)</f>
        <v>73.534500000000008</v>
      </c>
      <c r="Y328">
        <f>0.351*(4.19 * 50)</f>
        <v>73.534500000000008</v>
      </c>
      <c r="Z328">
        <f>0.355*(4.19 * 50)</f>
        <v>74.372500000000002</v>
      </c>
      <c r="AA328">
        <f>0.362*(4.19 * 50)</f>
        <v>75.839000000000013</v>
      </c>
      <c r="AB328">
        <f>0.367*(4.19 * 50)</f>
        <v>76.886500000000012</v>
      </c>
      <c r="AC328">
        <f>0.374*(4.19 * 50)</f>
        <v>78.353000000000009</v>
      </c>
      <c r="AD328">
        <f>0.38*(4.19 * 50)</f>
        <v>79.610000000000014</v>
      </c>
      <c r="AE328">
        <f>0.383*(4.19 * 50)</f>
        <v>80.238500000000016</v>
      </c>
      <c r="AF328">
        <f>0.379*(4.19 * 50)</f>
        <v>79.400500000000008</v>
      </c>
      <c r="AG328">
        <f>0.374*(4.19 * 50)</f>
        <v>78.353000000000009</v>
      </c>
    </row>
    <row r="329" spans="1:33" x14ac:dyDescent="0.3">
      <c r="A329" t="s">
        <v>372</v>
      </c>
      <c r="B329">
        <v>358073.324219</v>
      </c>
      <c r="C329">
        <v>6667558.8007810004</v>
      </c>
      <c r="D329" t="s">
        <v>542</v>
      </c>
      <c r="E329">
        <v>100</v>
      </c>
      <c r="F329">
        <v>62</v>
      </c>
      <c r="G329">
        <v>0.29594272076372308</v>
      </c>
      <c r="H329">
        <f t="shared" si="11"/>
        <v>120.24100000000001</v>
      </c>
      <c r="I329">
        <f t="shared" si="10"/>
        <v>209.50000000000003</v>
      </c>
      <c r="J329">
        <f>0.27*(4.19 * 50)</f>
        <v>56.565000000000012</v>
      </c>
      <c r="K329">
        <f>0.268*(4.19 * 50)</f>
        <v>56.146000000000008</v>
      </c>
      <c r="L329">
        <f>0.266*(4.19 * 50)</f>
        <v>55.727000000000011</v>
      </c>
      <c r="M329">
        <f>0.265*(4.19 * 50)</f>
        <v>55.517500000000013</v>
      </c>
      <c r="N329">
        <f>0.266*(4.19 * 50)</f>
        <v>55.727000000000011</v>
      </c>
      <c r="O329">
        <f>0.27*(4.19 * 50)</f>
        <v>56.565000000000012</v>
      </c>
      <c r="P329">
        <f>0.278*(4.19 * 50)</f>
        <v>58.241000000000014</v>
      </c>
      <c r="Q329">
        <f>0.285*(4.19 * 50)</f>
        <v>59.707500000000003</v>
      </c>
      <c r="R329">
        <f>0.283*(4.19 * 50)</f>
        <v>59.288499999999999</v>
      </c>
      <c r="S329">
        <f>0.277*(4.19 * 50)</f>
        <v>58.031500000000015</v>
      </c>
      <c r="T329">
        <f>0.276*(4.19 * 50)</f>
        <v>57.82200000000001</v>
      </c>
      <c r="U329">
        <f>0.264*(4.19 * 50)</f>
        <v>55.308000000000007</v>
      </c>
      <c r="V329">
        <f>0.26*(4.19 * 50)</f>
        <v>54.470000000000006</v>
      </c>
      <c r="W329">
        <f>0.257*(4.19 * 50)</f>
        <v>53.841500000000011</v>
      </c>
      <c r="X329">
        <f>0.256*(4.19 * 50)</f>
        <v>53.632000000000005</v>
      </c>
      <c r="Y329">
        <f>0.256*(4.19 * 50)</f>
        <v>53.632000000000005</v>
      </c>
      <c r="Z329">
        <f>0.259*(4.19 * 50)</f>
        <v>54.260500000000008</v>
      </c>
      <c r="AA329">
        <f>0.264*(4.19 * 50)</f>
        <v>55.308000000000007</v>
      </c>
      <c r="AB329">
        <f>0.268*(4.19 * 50)</f>
        <v>56.146000000000008</v>
      </c>
      <c r="AC329">
        <f>0.273*(4.19 * 50)</f>
        <v>57.193500000000014</v>
      </c>
      <c r="AD329">
        <f>0.277*(4.19 * 50)</f>
        <v>58.031500000000015</v>
      </c>
      <c r="AE329">
        <f>0.279*(4.19 * 50)</f>
        <v>58.450500000000012</v>
      </c>
      <c r="AF329">
        <f>0.277*(4.19 * 50)</f>
        <v>58.031500000000015</v>
      </c>
      <c r="AG329">
        <f>0.273*(4.19 * 50)</f>
        <v>57.193500000000014</v>
      </c>
    </row>
    <row r="330" spans="1:33" x14ac:dyDescent="0.3">
      <c r="A330" t="s">
        <v>373</v>
      </c>
      <c r="B330">
        <v>357151.410156</v>
      </c>
      <c r="C330">
        <v>6668539.2148439996</v>
      </c>
      <c r="D330" t="s">
        <v>541</v>
      </c>
      <c r="E330">
        <v>100</v>
      </c>
      <c r="F330">
        <v>76.666999816894503</v>
      </c>
      <c r="G330">
        <v>0.36595226642909068</v>
      </c>
      <c r="H330">
        <f t="shared" si="11"/>
        <v>148.52549981689452</v>
      </c>
      <c r="I330">
        <f t="shared" si="10"/>
        <v>209.50000000000003</v>
      </c>
      <c r="J330">
        <f>0.334*(4.19 * 50)</f>
        <v>69.973000000000013</v>
      </c>
      <c r="K330">
        <f>0.331*(4.19 * 50)</f>
        <v>69.344500000000011</v>
      </c>
      <c r="L330">
        <f>0.329*(4.19 * 50)</f>
        <v>68.925500000000014</v>
      </c>
      <c r="M330">
        <f>0.328*(4.19 * 50)</f>
        <v>68.716000000000008</v>
      </c>
      <c r="N330">
        <f>0.329*(4.19 * 50)</f>
        <v>68.925500000000014</v>
      </c>
      <c r="O330">
        <f>0.333*(4.19 * 50)</f>
        <v>69.763500000000008</v>
      </c>
      <c r="P330">
        <f>0.343*(4.19 * 50)</f>
        <v>71.858500000000021</v>
      </c>
      <c r="Q330">
        <f>0.352*(4.19 * 50)</f>
        <v>73.744</v>
      </c>
      <c r="R330">
        <f>0.349*(4.19 * 50)</f>
        <v>73.115500000000011</v>
      </c>
      <c r="S330">
        <f>0.342*(4.19 * 50)</f>
        <v>71.649000000000015</v>
      </c>
      <c r="T330">
        <f>0.341*(4.19 * 50)</f>
        <v>71.43950000000001</v>
      </c>
      <c r="U330">
        <f>0.326*(4.19 * 50)</f>
        <v>68.297000000000011</v>
      </c>
      <c r="V330">
        <f>0.322*(4.19 * 50)</f>
        <v>67.459000000000017</v>
      </c>
      <c r="W330">
        <f>0.317*(4.19 * 50)</f>
        <v>66.411500000000004</v>
      </c>
      <c r="X330">
        <f>0.316*(4.19 * 50)</f>
        <v>66.202000000000012</v>
      </c>
      <c r="Y330">
        <f>0.317*(4.19 * 50)</f>
        <v>66.411500000000004</v>
      </c>
      <c r="Z330">
        <f>0.32*(4.19 * 50)</f>
        <v>67.040000000000006</v>
      </c>
      <c r="AA330">
        <f>0.326*(4.19 * 50)</f>
        <v>68.297000000000011</v>
      </c>
      <c r="AB330">
        <f>0.331*(4.19 * 50)</f>
        <v>69.344500000000011</v>
      </c>
      <c r="AC330">
        <f>0.337*(4.19 * 50)</f>
        <v>70.601500000000016</v>
      </c>
      <c r="AD330">
        <f>0.343*(4.19 * 50)</f>
        <v>71.858500000000021</v>
      </c>
      <c r="AE330">
        <f>0.345*(4.19 * 50)</f>
        <v>72.277500000000003</v>
      </c>
      <c r="AF330">
        <f>0.342*(4.19 * 50)</f>
        <v>71.649000000000015</v>
      </c>
      <c r="AG330">
        <f>0.337*(4.19 * 50)</f>
        <v>70.601500000000016</v>
      </c>
    </row>
    <row r="331" spans="1:33" x14ac:dyDescent="0.3">
      <c r="A331" t="s">
        <v>374</v>
      </c>
      <c r="B331">
        <v>362987.910156</v>
      </c>
      <c r="C331">
        <v>6671057.421875</v>
      </c>
      <c r="D331" t="s">
        <v>548</v>
      </c>
      <c r="E331">
        <v>100</v>
      </c>
      <c r="F331">
        <v>69.666999816894503</v>
      </c>
      <c r="G331">
        <v>0.33253937860092841</v>
      </c>
      <c r="H331">
        <f t="shared" si="11"/>
        <v>135.03099981689451</v>
      </c>
      <c r="I331">
        <f t="shared" si="10"/>
        <v>209.50000000000003</v>
      </c>
      <c r="J331">
        <f>0.303*(4.19 * 50)</f>
        <v>63.478500000000004</v>
      </c>
      <c r="K331">
        <f>0.301*(4.19 * 50)</f>
        <v>63.059500000000007</v>
      </c>
      <c r="L331">
        <f>0.299*(4.19 * 50)</f>
        <v>62.640500000000003</v>
      </c>
      <c r="M331">
        <f>0.298*(4.19 * 50)</f>
        <v>62.431000000000004</v>
      </c>
      <c r="N331">
        <f>0.299*(4.19 * 50)</f>
        <v>62.640500000000003</v>
      </c>
      <c r="O331">
        <f>0.303*(4.19 * 50)</f>
        <v>63.478500000000004</v>
      </c>
      <c r="P331">
        <f>0.312*(4.19 * 50)</f>
        <v>65.364000000000004</v>
      </c>
      <c r="Q331">
        <f>0.32*(4.19 * 50)</f>
        <v>67.040000000000006</v>
      </c>
      <c r="R331">
        <f>0.317*(4.19 * 50)</f>
        <v>66.411500000000004</v>
      </c>
      <c r="S331">
        <f>0.311*(4.19 * 50)</f>
        <v>65.154500000000013</v>
      </c>
      <c r="T331">
        <f>0.31*(4.19 * 50)</f>
        <v>64.945000000000007</v>
      </c>
      <c r="U331">
        <f>0.297*(4.19 * 50)</f>
        <v>62.221500000000006</v>
      </c>
      <c r="V331">
        <f>0.292*(4.19 * 50)</f>
        <v>61.174000000000007</v>
      </c>
      <c r="W331">
        <f>0.288*(4.19 * 50)</f>
        <v>60.336000000000006</v>
      </c>
      <c r="X331">
        <f>0.287*(4.19 * 50)</f>
        <v>60.1265</v>
      </c>
      <c r="Y331">
        <f>0.288*(4.19 * 50)</f>
        <v>60.336000000000006</v>
      </c>
      <c r="Z331">
        <f>0.291*(4.19 * 50)</f>
        <v>60.964500000000001</v>
      </c>
      <c r="AA331">
        <f>0.297*(4.19 * 50)</f>
        <v>62.221500000000006</v>
      </c>
      <c r="AB331">
        <f>0.301*(4.19 * 50)</f>
        <v>63.059500000000007</v>
      </c>
      <c r="AC331">
        <f>0.306*(4.19 * 50)</f>
        <v>64.107000000000014</v>
      </c>
      <c r="AD331">
        <f>0.311*(4.19 * 50)</f>
        <v>65.154500000000013</v>
      </c>
      <c r="AE331">
        <f>0.314*(4.19 * 50)</f>
        <v>65.783000000000015</v>
      </c>
      <c r="AF331">
        <f>0.311*(4.19 * 50)</f>
        <v>65.154500000000013</v>
      </c>
      <c r="AG331">
        <f>0.307*(4.19 * 50)</f>
        <v>64.316500000000005</v>
      </c>
    </row>
    <row r="332" spans="1:33" x14ac:dyDescent="0.3">
      <c r="A332" t="s">
        <v>375</v>
      </c>
      <c r="B332">
        <v>356855.839844</v>
      </c>
      <c r="C332">
        <v>6667279.5429689996</v>
      </c>
      <c r="D332" t="s">
        <v>541</v>
      </c>
      <c r="E332">
        <v>100</v>
      </c>
      <c r="F332">
        <v>49.466999053955</v>
      </c>
      <c r="G332">
        <v>0.23611932722651549</v>
      </c>
      <c r="H332">
        <f t="shared" si="11"/>
        <v>95.975999053955007</v>
      </c>
      <c r="I332">
        <f t="shared" si="10"/>
        <v>209.50000000000003</v>
      </c>
      <c r="J332">
        <f>0.215*(4.19 * 50)</f>
        <v>45.042500000000004</v>
      </c>
      <c r="K332">
        <f>0.214*(4.19 * 50)</f>
        <v>44.833000000000006</v>
      </c>
      <c r="L332">
        <f>0.212*(4.19 * 50)</f>
        <v>44.414000000000001</v>
      </c>
      <c r="M332">
        <f>0.211*(4.19 * 50)</f>
        <v>44.204500000000003</v>
      </c>
      <c r="N332">
        <f>0.212*(4.19 * 50)</f>
        <v>44.414000000000001</v>
      </c>
      <c r="O332">
        <f>0.215*(4.19 * 50)</f>
        <v>45.042500000000004</v>
      </c>
      <c r="P332">
        <f>0.222*(4.19 * 50)</f>
        <v>46.509000000000007</v>
      </c>
      <c r="Q332">
        <f>0.227*(4.19 * 50)</f>
        <v>47.556500000000007</v>
      </c>
      <c r="R332">
        <f>0.225*(4.19 * 50)</f>
        <v>47.13750000000001</v>
      </c>
      <c r="S332">
        <f>0.221*(4.19 * 50)</f>
        <v>46.299500000000009</v>
      </c>
      <c r="T332">
        <f>0.22*(4.19 * 50)</f>
        <v>46.09</v>
      </c>
      <c r="U332">
        <f>0.211*(4.19 * 50)</f>
        <v>44.204500000000003</v>
      </c>
      <c r="V332">
        <f>0.208*(4.19 * 50)</f>
        <v>43.576000000000001</v>
      </c>
      <c r="W332">
        <f>0.205*(4.19 * 50)</f>
        <v>42.947500000000005</v>
      </c>
      <c r="X332">
        <f>0.204*(4.19 * 50)</f>
        <v>42.738</v>
      </c>
      <c r="Y332">
        <f>0.205*(4.19 * 50)</f>
        <v>42.947500000000005</v>
      </c>
      <c r="Z332">
        <f>0.207*(4.19 * 50)</f>
        <v>43.366500000000002</v>
      </c>
      <c r="AA332">
        <f>0.211*(4.19 * 50)</f>
        <v>44.204500000000003</v>
      </c>
      <c r="AB332">
        <f>0.214*(4.19 * 50)</f>
        <v>44.833000000000006</v>
      </c>
      <c r="AC332">
        <f>0.217*(4.19 * 50)</f>
        <v>45.461500000000008</v>
      </c>
      <c r="AD332">
        <f>0.221*(4.19 * 50)</f>
        <v>46.299500000000009</v>
      </c>
      <c r="AE332">
        <f>0.223*(4.19 * 50)</f>
        <v>46.718500000000006</v>
      </c>
      <c r="AF332">
        <f>0.221*(4.19 * 50)</f>
        <v>46.299500000000009</v>
      </c>
      <c r="AG332">
        <f>0.218*(4.19 * 50)</f>
        <v>45.671000000000006</v>
      </c>
    </row>
    <row r="333" spans="1:33" x14ac:dyDescent="0.3">
      <c r="A333" t="s">
        <v>376</v>
      </c>
      <c r="B333">
        <v>356946.445313</v>
      </c>
      <c r="C333">
        <v>6665971.296875</v>
      </c>
      <c r="D333" t="s">
        <v>540</v>
      </c>
      <c r="E333">
        <v>100</v>
      </c>
      <c r="F333">
        <v>9</v>
      </c>
      <c r="G333">
        <v>4.2959427207637228E-2</v>
      </c>
      <c r="H333">
        <f t="shared" si="11"/>
        <v>17.380000000000003</v>
      </c>
      <c r="I333">
        <f t="shared" si="10"/>
        <v>209.50000000000003</v>
      </c>
      <c r="J333">
        <f>0.039*(4.19 * 50)</f>
        <v>8.1705000000000005</v>
      </c>
      <c r="K333">
        <f>0.039*(4.19 * 50)</f>
        <v>8.1705000000000005</v>
      </c>
      <c r="L333">
        <f>0.039*(4.19 * 50)</f>
        <v>8.1705000000000005</v>
      </c>
      <c r="M333">
        <f>0.038*(4.19 * 50)</f>
        <v>7.9610000000000012</v>
      </c>
      <c r="N333">
        <f>0.039*(4.19 * 50)</f>
        <v>8.1705000000000005</v>
      </c>
      <c r="O333">
        <f>0.039*(4.19 * 50)</f>
        <v>8.1705000000000005</v>
      </c>
      <c r="P333">
        <f>0.04*(4.19 * 50)</f>
        <v>8.3800000000000008</v>
      </c>
      <c r="Q333">
        <f>0.041*(4.19 * 50)</f>
        <v>8.589500000000001</v>
      </c>
      <c r="R333">
        <f>0.041*(4.19 * 50)</f>
        <v>8.589500000000001</v>
      </c>
      <c r="S333">
        <f>0.04*(4.19 * 50)</f>
        <v>8.3800000000000008</v>
      </c>
      <c r="T333">
        <f>0.04*(4.19 * 50)</f>
        <v>8.3800000000000008</v>
      </c>
      <c r="U333">
        <f>0.038*(4.19 * 50)</f>
        <v>7.9610000000000012</v>
      </c>
      <c r="V333">
        <f>0.038*(4.19 * 50)</f>
        <v>7.9610000000000012</v>
      </c>
      <c r="W333">
        <f>0.037*(4.19 * 50)</f>
        <v>7.7515000000000009</v>
      </c>
      <c r="X333">
        <f>0.037*(4.19 * 50)</f>
        <v>7.7515000000000009</v>
      </c>
      <c r="Y333">
        <f>0.037*(4.19 * 50)</f>
        <v>7.7515000000000009</v>
      </c>
      <c r="Z333">
        <f>0.038*(4.19 * 50)</f>
        <v>7.9610000000000012</v>
      </c>
      <c r="AA333">
        <f>0.038*(4.19 * 50)</f>
        <v>7.9610000000000012</v>
      </c>
      <c r="AB333">
        <f>0.039*(4.19 * 50)</f>
        <v>8.1705000000000005</v>
      </c>
      <c r="AC333">
        <f>0.04*(4.19 * 50)</f>
        <v>8.3800000000000008</v>
      </c>
      <c r="AD333">
        <f>0.04*(4.19 * 50)</f>
        <v>8.3800000000000008</v>
      </c>
      <c r="AE333">
        <f>0.041*(4.19 * 50)</f>
        <v>8.589500000000001</v>
      </c>
      <c r="AF333">
        <f>0.04*(4.19 * 50)</f>
        <v>8.3800000000000008</v>
      </c>
      <c r="AG333">
        <f>0.04*(4.19 * 50)</f>
        <v>8.3800000000000008</v>
      </c>
    </row>
    <row r="334" spans="1:33" x14ac:dyDescent="0.3">
      <c r="A334" t="s">
        <v>377</v>
      </c>
      <c r="B334">
        <v>358052.136719</v>
      </c>
      <c r="C334">
        <v>6667519.1914060004</v>
      </c>
      <c r="D334" t="s">
        <v>563</v>
      </c>
      <c r="E334">
        <v>100</v>
      </c>
      <c r="F334">
        <v>696.6669921875</v>
      </c>
      <c r="G334">
        <v>3.3253794376491639</v>
      </c>
      <c r="H334">
        <f t="shared" si="11"/>
        <v>1350.3069921875001</v>
      </c>
      <c r="I334">
        <f t="shared" si="10"/>
        <v>209.50000000000003</v>
      </c>
      <c r="J334">
        <f>3.032*(4.19 * 50)</f>
        <v>635.20400000000006</v>
      </c>
      <c r="K334">
        <f>3.008*(4.19 * 50)</f>
        <v>630.17600000000004</v>
      </c>
      <c r="L334">
        <f>2.99*(4.19 * 50)</f>
        <v>626.40500000000009</v>
      </c>
      <c r="M334">
        <f>2.978*(4.19 * 50)</f>
        <v>623.89100000000008</v>
      </c>
      <c r="N334">
        <f>2.99*(4.19 * 50)</f>
        <v>626.40500000000009</v>
      </c>
      <c r="O334">
        <f>3.029*(4.19 * 50)</f>
        <v>634.57550000000003</v>
      </c>
      <c r="P334">
        <f>3.12*(4.19 * 50)</f>
        <v>653.6400000000001</v>
      </c>
      <c r="Q334">
        <f>3.202*(4.19 * 50)</f>
        <v>670.81900000000007</v>
      </c>
      <c r="R334">
        <f>3.174*(4.19 * 50)</f>
        <v>664.95300000000009</v>
      </c>
      <c r="S334">
        <f>3.108*(4.19 * 50)</f>
        <v>651.12600000000009</v>
      </c>
      <c r="T334">
        <f>3.096*(4.19 * 50)</f>
        <v>648.61200000000008</v>
      </c>
      <c r="U334">
        <f>2.966*(4.19 * 50)</f>
        <v>621.37700000000018</v>
      </c>
      <c r="V334">
        <f>2.923*(4.19 * 50)</f>
        <v>612.36850000000004</v>
      </c>
      <c r="W334">
        <f>2.884*(4.19 * 50)</f>
        <v>604.19800000000009</v>
      </c>
      <c r="X334">
        <f>2.875*(4.19 * 50)</f>
        <v>602.31250000000011</v>
      </c>
      <c r="Y334">
        <f>2.881*(4.19 * 50)</f>
        <v>603.56950000000006</v>
      </c>
      <c r="Z334">
        <f>2.911*(4.19 * 50)</f>
        <v>609.85450000000014</v>
      </c>
      <c r="AA334">
        <f>2.966*(4.19 * 50)</f>
        <v>621.37700000000018</v>
      </c>
      <c r="AB334">
        <f>3.008*(4.19 * 50)</f>
        <v>630.17600000000004</v>
      </c>
      <c r="AC334">
        <f>3.062*(4.19 * 50)</f>
        <v>641.48900000000003</v>
      </c>
      <c r="AD334">
        <f>3.114*(4.19 * 50)</f>
        <v>652.38300000000004</v>
      </c>
      <c r="AE334">
        <f>3.135*(4.19 * 50)</f>
        <v>656.78250000000003</v>
      </c>
      <c r="AF334">
        <f>3.108*(4.19 * 50)</f>
        <v>651.12600000000009</v>
      </c>
      <c r="AG334">
        <f>3.065*(4.19 * 50)</f>
        <v>642.11750000000006</v>
      </c>
    </row>
    <row r="335" spans="1:33" x14ac:dyDescent="0.3">
      <c r="A335" t="s">
        <v>378</v>
      </c>
      <c r="B335">
        <v>358014.359375</v>
      </c>
      <c r="C335">
        <v>6668576.0664060004</v>
      </c>
      <c r="D335" t="s">
        <v>540</v>
      </c>
      <c r="E335">
        <v>100</v>
      </c>
      <c r="F335">
        <v>14.666999816894499</v>
      </c>
      <c r="G335">
        <v>7.0009545665367531E-2</v>
      </c>
      <c r="H335">
        <f t="shared" si="11"/>
        <v>28.493999816894501</v>
      </c>
      <c r="I335">
        <f t="shared" si="10"/>
        <v>209.50000000000003</v>
      </c>
      <c r="J335">
        <f>0.064*(4.19 * 50)</f>
        <v>13.408000000000001</v>
      </c>
      <c r="K335">
        <f>0.063*(4.19 * 50)</f>
        <v>13.198500000000001</v>
      </c>
      <c r="L335">
        <f>0.063*(4.19 * 50)</f>
        <v>13.198500000000001</v>
      </c>
      <c r="M335">
        <f>0.063*(4.19 * 50)</f>
        <v>13.198500000000001</v>
      </c>
      <c r="N335">
        <f>0.063*(4.19 * 50)</f>
        <v>13.198500000000001</v>
      </c>
      <c r="O335">
        <f>0.064*(4.19 * 50)</f>
        <v>13.408000000000001</v>
      </c>
      <c r="P335">
        <f>0.066*(4.19 * 50)</f>
        <v>13.827000000000002</v>
      </c>
      <c r="Q335">
        <f>0.067*(4.19 * 50)</f>
        <v>14.036500000000002</v>
      </c>
      <c r="R335">
        <f>0.067*(4.19 * 50)</f>
        <v>14.036500000000002</v>
      </c>
      <c r="S335">
        <f>0.065*(4.19 * 50)</f>
        <v>13.617500000000001</v>
      </c>
      <c r="T335">
        <f>0.065*(4.19 * 50)</f>
        <v>13.617500000000001</v>
      </c>
      <c r="U335">
        <f>0.062*(4.19 * 50)</f>
        <v>12.989000000000003</v>
      </c>
      <c r="V335">
        <f>0.062*(4.19 * 50)</f>
        <v>12.989000000000003</v>
      </c>
      <c r="W335">
        <f>0.061*(4.19 * 50)</f>
        <v>12.779500000000002</v>
      </c>
      <c r="X335">
        <f>0.061*(4.19 * 50)</f>
        <v>12.779500000000002</v>
      </c>
      <c r="Y335">
        <f>0.061*(4.19 * 50)</f>
        <v>12.779500000000002</v>
      </c>
      <c r="Z335">
        <f>0.061*(4.19 * 50)</f>
        <v>12.779500000000002</v>
      </c>
      <c r="AA335">
        <f>0.062*(4.19 * 50)</f>
        <v>12.989000000000003</v>
      </c>
      <c r="AB335">
        <f>0.063*(4.19 * 50)</f>
        <v>13.198500000000001</v>
      </c>
      <c r="AC335">
        <f>0.064*(4.19 * 50)</f>
        <v>13.408000000000001</v>
      </c>
      <c r="AD335">
        <f>0.066*(4.19 * 50)</f>
        <v>13.827000000000002</v>
      </c>
      <c r="AE335">
        <f>0.066*(4.19 * 50)</f>
        <v>13.827000000000002</v>
      </c>
      <c r="AF335">
        <f>0.065*(4.19 * 50)</f>
        <v>13.617500000000001</v>
      </c>
      <c r="AG335">
        <f>0.065*(4.19 * 50)</f>
        <v>13.617500000000001</v>
      </c>
    </row>
    <row r="336" spans="1:33" x14ac:dyDescent="0.3">
      <c r="A336" t="s">
        <v>379</v>
      </c>
      <c r="B336">
        <v>356957.503906</v>
      </c>
      <c r="C336">
        <v>6667309.5742189996</v>
      </c>
      <c r="D336" t="s">
        <v>541</v>
      </c>
      <c r="E336">
        <v>100</v>
      </c>
      <c r="F336">
        <v>56.333000183105398</v>
      </c>
      <c r="G336">
        <v>0.26889260230599232</v>
      </c>
      <c r="H336">
        <f t="shared" si="11"/>
        <v>109.12700018310539</v>
      </c>
      <c r="I336">
        <f t="shared" si="10"/>
        <v>209.50000000000003</v>
      </c>
      <c r="J336">
        <f>0.245*(4.19 * 50)</f>
        <v>51.327500000000008</v>
      </c>
      <c r="K336">
        <f>0.243*(4.19 * 50)</f>
        <v>50.908500000000004</v>
      </c>
      <c r="L336">
        <f>0.242*(4.19 * 50)</f>
        <v>50.699000000000005</v>
      </c>
      <c r="M336">
        <f>0.241*(4.19 * 50)</f>
        <v>50.489500000000007</v>
      </c>
      <c r="N336">
        <f>0.242*(4.19 * 50)</f>
        <v>50.699000000000005</v>
      </c>
      <c r="O336">
        <f>0.245*(4.19 * 50)</f>
        <v>51.327500000000008</v>
      </c>
      <c r="P336">
        <f>0.252*(4.19 * 50)</f>
        <v>52.794000000000004</v>
      </c>
      <c r="Q336">
        <f>0.259*(4.19 * 50)</f>
        <v>54.260500000000008</v>
      </c>
      <c r="R336">
        <f>0.257*(4.19 * 50)</f>
        <v>53.841500000000011</v>
      </c>
      <c r="S336">
        <f>0.251*(4.19 * 50)</f>
        <v>52.584500000000006</v>
      </c>
      <c r="T336">
        <f>0.25*(4.19 * 50)</f>
        <v>52.375000000000007</v>
      </c>
      <c r="U336">
        <f>0.24*(4.19 * 50)</f>
        <v>50.280000000000008</v>
      </c>
      <c r="V336">
        <f>0.236*(4.19 * 50)</f>
        <v>49.442000000000007</v>
      </c>
      <c r="W336">
        <f>0.233*(4.19 * 50)</f>
        <v>48.813500000000012</v>
      </c>
      <c r="X336">
        <f>0.232*(4.19 * 50)</f>
        <v>48.604000000000006</v>
      </c>
      <c r="Y336">
        <f>0.233*(4.19 * 50)</f>
        <v>48.813500000000012</v>
      </c>
      <c r="Z336">
        <f>0.235*(4.19 * 50)</f>
        <v>49.232500000000002</v>
      </c>
      <c r="AA336">
        <f>0.24*(4.19 * 50)</f>
        <v>50.280000000000008</v>
      </c>
      <c r="AB336">
        <f>0.243*(4.19 * 50)</f>
        <v>50.908500000000004</v>
      </c>
      <c r="AC336">
        <f>0.248*(4.19 * 50)</f>
        <v>51.95600000000001</v>
      </c>
      <c r="AD336">
        <f>0.252*(4.19 * 50)</f>
        <v>52.794000000000004</v>
      </c>
      <c r="AE336">
        <f>0.254*(4.19 * 50)</f>
        <v>53.213000000000008</v>
      </c>
      <c r="AF336">
        <f>0.251*(4.19 * 50)</f>
        <v>52.584500000000006</v>
      </c>
      <c r="AG336">
        <f>0.248*(4.19 * 50)</f>
        <v>51.95600000000001</v>
      </c>
    </row>
    <row r="337" spans="1:33" x14ac:dyDescent="0.3">
      <c r="A337" t="s">
        <v>380</v>
      </c>
      <c r="B337">
        <v>363373.117188</v>
      </c>
      <c r="C337">
        <v>6672405.9492189996</v>
      </c>
      <c r="D337" t="s">
        <v>547</v>
      </c>
      <c r="E337">
        <v>100</v>
      </c>
      <c r="F337">
        <v>83</v>
      </c>
      <c r="G337">
        <v>0.39618138424820998</v>
      </c>
      <c r="H337">
        <f t="shared" si="11"/>
        <v>160.93400000000003</v>
      </c>
      <c r="I337">
        <f t="shared" si="10"/>
        <v>209.50000000000003</v>
      </c>
      <c r="J337">
        <f>0.361*(4.19 * 50)</f>
        <v>75.629500000000007</v>
      </c>
      <c r="K337">
        <f>0.358*(4.19 * 50)</f>
        <v>75.001000000000005</v>
      </c>
      <c r="L337">
        <f>0.356*(4.19 * 50)</f>
        <v>74.582000000000008</v>
      </c>
      <c r="M337">
        <f>0.355*(4.19 * 50)</f>
        <v>74.372500000000002</v>
      </c>
      <c r="N337">
        <f>0.356*(4.19 * 50)</f>
        <v>74.582000000000008</v>
      </c>
      <c r="O337">
        <f>0.361*(4.19 * 50)</f>
        <v>75.629500000000007</v>
      </c>
      <c r="P337">
        <f>0.372*(4.19 * 50)</f>
        <v>77.934000000000012</v>
      </c>
      <c r="Q337">
        <f>0.381*(4.19 * 50)</f>
        <v>79.819500000000005</v>
      </c>
      <c r="R337">
        <f>0.378*(4.19 * 50)</f>
        <v>79.191000000000017</v>
      </c>
      <c r="S337">
        <f>0.37*(4.19 * 50)</f>
        <v>77.515000000000015</v>
      </c>
      <c r="T337">
        <f>0.369*(4.19 * 50)</f>
        <v>77.305500000000009</v>
      </c>
      <c r="U337">
        <f>0.353*(4.19 * 50)</f>
        <v>73.953500000000005</v>
      </c>
      <c r="V337">
        <f>0.348*(4.19 * 50)</f>
        <v>72.906000000000006</v>
      </c>
      <c r="W337">
        <f>0.344*(4.19 * 50)</f>
        <v>72.067999999999998</v>
      </c>
      <c r="X337">
        <f>0.342*(4.19 * 50)</f>
        <v>71.649000000000015</v>
      </c>
      <c r="Y337">
        <f>0.343*(4.19 * 50)</f>
        <v>71.858500000000021</v>
      </c>
      <c r="Z337">
        <f>0.347*(4.19 * 50)</f>
        <v>72.6965</v>
      </c>
      <c r="AA337">
        <f>0.353*(4.19 * 50)</f>
        <v>73.953500000000005</v>
      </c>
      <c r="AB337">
        <f>0.358*(4.19 * 50)</f>
        <v>75.001000000000005</v>
      </c>
      <c r="AC337">
        <f>0.365*(4.19 * 50)</f>
        <v>76.467500000000015</v>
      </c>
      <c r="AD337">
        <f>0.371*(4.19 * 50)</f>
        <v>77.724500000000006</v>
      </c>
      <c r="AE337">
        <f>0.374*(4.19 * 50)</f>
        <v>78.353000000000009</v>
      </c>
      <c r="AF337">
        <f>0.37*(4.19 * 50)</f>
        <v>77.515000000000015</v>
      </c>
      <c r="AG337">
        <f>0.365*(4.19 * 50)</f>
        <v>76.467500000000015</v>
      </c>
    </row>
    <row r="338" spans="1:33" x14ac:dyDescent="0.3">
      <c r="A338" t="s">
        <v>381</v>
      </c>
      <c r="B338">
        <v>357806.628906</v>
      </c>
      <c r="C338">
        <v>6667760.78125</v>
      </c>
      <c r="D338" t="s">
        <v>542</v>
      </c>
      <c r="E338">
        <v>100</v>
      </c>
      <c r="F338">
        <v>150.33299255371</v>
      </c>
      <c r="G338">
        <v>0.71757991672415267</v>
      </c>
      <c r="H338">
        <f t="shared" si="11"/>
        <v>291.32649255371007</v>
      </c>
      <c r="I338">
        <f t="shared" si="10"/>
        <v>209.50000000000003</v>
      </c>
      <c r="J338">
        <f>0.654*(4.19 * 50)</f>
        <v>137.01300000000003</v>
      </c>
      <c r="K338">
        <f>0.649*(4.19 * 50)</f>
        <v>135.96550000000002</v>
      </c>
      <c r="L338">
        <f>0.645*(4.19 * 50)</f>
        <v>135.12750000000003</v>
      </c>
      <c r="M338">
        <f>0.643*(4.19 * 50)</f>
        <v>134.70850000000002</v>
      </c>
      <c r="N338">
        <f>0.645*(4.19 * 50)</f>
        <v>135.12750000000003</v>
      </c>
      <c r="O338">
        <f>0.654*(4.19 * 50)</f>
        <v>137.01300000000003</v>
      </c>
      <c r="P338">
        <f>0.673*(4.19 * 50)</f>
        <v>140.99350000000004</v>
      </c>
      <c r="Q338">
        <f>0.691*(4.19 * 50)</f>
        <v>144.7645</v>
      </c>
      <c r="R338">
        <f>0.685*(4.19 * 50)</f>
        <v>143.50750000000002</v>
      </c>
      <c r="S338">
        <f>0.671*(4.19 * 50)</f>
        <v>140.57450000000003</v>
      </c>
      <c r="T338">
        <f>0.668*(4.19 * 50)</f>
        <v>139.94600000000003</v>
      </c>
      <c r="U338">
        <f>0.64*(4.19 * 50)</f>
        <v>134.08000000000001</v>
      </c>
      <c r="V338">
        <f>0.631*(4.19 * 50)</f>
        <v>132.19450000000001</v>
      </c>
      <c r="W338">
        <f>0.622*(4.19 * 50)</f>
        <v>130.30900000000003</v>
      </c>
      <c r="X338">
        <f>0.62*(4.19 * 50)</f>
        <v>129.89000000000001</v>
      </c>
      <c r="Y338">
        <f>0.622*(4.19 * 50)</f>
        <v>130.30900000000003</v>
      </c>
      <c r="Z338">
        <f>0.628*(4.19 * 50)</f>
        <v>131.56600000000003</v>
      </c>
      <c r="AA338">
        <f>0.64*(4.19 * 50)</f>
        <v>134.08000000000001</v>
      </c>
      <c r="AB338">
        <f>0.649*(4.19 * 50)</f>
        <v>135.96550000000002</v>
      </c>
      <c r="AC338">
        <f>0.661*(4.19 * 50)</f>
        <v>138.47950000000003</v>
      </c>
      <c r="AD338">
        <f>0.672*(4.19 * 50)</f>
        <v>140.78400000000002</v>
      </c>
      <c r="AE338">
        <f>0.677*(4.19 * 50)</f>
        <v>141.83150000000003</v>
      </c>
      <c r="AF338">
        <f>0.671*(4.19 * 50)</f>
        <v>140.57450000000003</v>
      </c>
      <c r="AG338">
        <f>0.661*(4.19 * 50)</f>
        <v>138.47950000000003</v>
      </c>
    </row>
    <row r="339" spans="1:33" x14ac:dyDescent="0.3">
      <c r="A339" t="s">
        <v>382</v>
      </c>
      <c r="B339">
        <v>357007.292969</v>
      </c>
      <c r="C339">
        <v>6665737.0507810004</v>
      </c>
      <c r="D339" t="s">
        <v>541</v>
      </c>
      <c r="E339">
        <v>100</v>
      </c>
      <c r="F339">
        <v>89</v>
      </c>
      <c r="G339">
        <v>0.42482100238663478</v>
      </c>
      <c r="H339">
        <f t="shared" si="11"/>
        <v>172.59050000000002</v>
      </c>
      <c r="I339">
        <f t="shared" si="10"/>
        <v>209.50000000000003</v>
      </c>
      <c r="J339">
        <f>0.387*(4.19 * 50)</f>
        <v>81.07650000000001</v>
      </c>
      <c r="K339">
        <f>0.384*(4.19 * 50)</f>
        <v>80.448000000000008</v>
      </c>
      <c r="L339">
        <f>0.382*(4.19 * 50)</f>
        <v>80.029000000000011</v>
      </c>
      <c r="M339">
        <f>0.38*(4.19 * 50)</f>
        <v>79.610000000000014</v>
      </c>
      <c r="N339">
        <f>0.382*(4.19 * 50)</f>
        <v>80.029000000000011</v>
      </c>
      <c r="O339">
        <f>0.387*(4.19 * 50)</f>
        <v>81.07650000000001</v>
      </c>
      <c r="P339">
        <f>0.399*(4.19 * 50)</f>
        <v>83.59050000000002</v>
      </c>
      <c r="Q339">
        <f>0.409*(4.19 * 50)</f>
        <v>85.685500000000005</v>
      </c>
      <c r="R339">
        <f>0.406*(4.19 * 50)</f>
        <v>85.057000000000016</v>
      </c>
      <c r="S339">
        <f>0.397*(4.19 * 50)</f>
        <v>83.171500000000009</v>
      </c>
      <c r="T339">
        <f>0.395*(4.19 * 50)</f>
        <v>82.752500000000012</v>
      </c>
      <c r="U339">
        <f>0.379*(4.19 * 50)</f>
        <v>79.400500000000008</v>
      </c>
      <c r="V339">
        <f>0.373*(4.19 * 50)</f>
        <v>78.143500000000017</v>
      </c>
      <c r="W339">
        <f>0.368*(4.19 * 50)</f>
        <v>77.096000000000004</v>
      </c>
      <c r="X339">
        <f>0.367*(4.19 * 50)</f>
        <v>76.886500000000012</v>
      </c>
      <c r="Y339">
        <f>0.368*(4.19 * 50)</f>
        <v>77.096000000000004</v>
      </c>
      <c r="Z339">
        <f>0.372*(4.19 * 50)</f>
        <v>77.934000000000012</v>
      </c>
      <c r="AA339">
        <f>0.379*(4.19 * 50)</f>
        <v>79.400500000000008</v>
      </c>
      <c r="AB339">
        <f>0.384*(4.19 * 50)</f>
        <v>80.448000000000008</v>
      </c>
      <c r="AC339">
        <f>0.391*(4.19 * 50)</f>
        <v>81.914500000000018</v>
      </c>
      <c r="AD339">
        <f>0.398*(4.19 * 50)</f>
        <v>83.381000000000014</v>
      </c>
      <c r="AE339">
        <f>0.401*(4.19 * 50)</f>
        <v>84.009500000000017</v>
      </c>
      <c r="AF339">
        <f>0.397*(4.19 * 50)</f>
        <v>83.171500000000009</v>
      </c>
      <c r="AG339">
        <f>0.392*(4.19 * 50)</f>
        <v>82.124000000000009</v>
      </c>
    </row>
    <row r="340" spans="1:33" x14ac:dyDescent="0.3">
      <c r="A340" t="s">
        <v>383</v>
      </c>
      <c r="B340">
        <v>363037.925781</v>
      </c>
      <c r="C340">
        <v>6671358.1875</v>
      </c>
      <c r="D340" t="s">
        <v>542</v>
      </c>
      <c r="E340">
        <v>100</v>
      </c>
      <c r="F340">
        <v>68</v>
      </c>
      <c r="G340">
        <v>0.32458233890214788</v>
      </c>
      <c r="H340">
        <f t="shared" si="11"/>
        <v>131.89750000000001</v>
      </c>
      <c r="I340">
        <f t="shared" si="10"/>
        <v>209.50000000000003</v>
      </c>
      <c r="J340">
        <f>0.296*(4.19 * 50)</f>
        <v>62.012000000000008</v>
      </c>
      <c r="K340">
        <f>0.294*(4.19 * 50)</f>
        <v>61.593000000000004</v>
      </c>
      <c r="L340">
        <f>0.292*(4.19 * 50)</f>
        <v>61.174000000000007</v>
      </c>
      <c r="M340">
        <f>0.291*(4.19 * 50)</f>
        <v>60.964500000000001</v>
      </c>
      <c r="N340">
        <f>0.292*(4.19 * 50)</f>
        <v>61.174000000000007</v>
      </c>
      <c r="O340">
        <f>0.296*(4.19 * 50)</f>
        <v>62.012000000000008</v>
      </c>
      <c r="P340">
        <f>0.305*(4.19 * 50)</f>
        <v>63.897500000000008</v>
      </c>
      <c r="Q340">
        <f>0.313*(4.19 * 50)</f>
        <v>65.57350000000001</v>
      </c>
      <c r="R340">
        <f>0.31*(4.19 * 50)</f>
        <v>64.945000000000007</v>
      </c>
      <c r="S340">
        <f>0.303*(4.19 * 50)</f>
        <v>63.478500000000004</v>
      </c>
      <c r="T340">
        <f>0.302*(4.19 * 50)</f>
        <v>63.269000000000005</v>
      </c>
      <c r="U340">
        <f>0.289*(4.19 * 50)</f>
        <v>60.545500000000004</v>
      </c>
      <c r="V340">
        <f>0.285*(4.19 * 50)</f>
        <v>59.707500000000003</v>
      </c>
      <c r="W340">
        <f>0.281*(4.19 * 50)</f>
        <v>58.869500000000016</v>
      </c>
      <c r="X340">
        <f>0.281*(4.19 * 50)</f>
        <v>58.869500000000016</v>
      </c>
      <c r="Y340">
        <f>0.281*(4.19 * 50)</f>
        <v>58.869500000000016</v>
      </c>
      <c r="Z340">
        <f>0.284*(4.19 * 50)</f>
        <v>59.498000000000005</v>
      </c>
      <c r="AA340">
        <f>0.289*(4.19 * 50)</f>
        <v>60.545500000000004</v>
      </c>
      <c r="AB340">
        <f>0.294*(4.19 * 50)</f>
        <v>61.593000000000004</v>
      </c>
      <c r="AC340">
        <f>0.299*(4.19 * 50)</f>
        <v>62.640500000000003</v>
      </c>
      <c r="AD340">
        <f>0.304*(4.19 * 50)</f>
        <v>63.688000000000009</v>
      </c>
      <c r="AE340">
        <f>0.306*(4.19 * 50)</f>
        <v>64.107000000000014</v>
      </c>
      <c r="AF340">
        <f>0.303*(4.19 * 50)</f>
        <v>63.478500000000004</v>
      </c>
      <c r="AG340">
        <f>0.299*(4.19 * 50)</f>
        <v>62.640500000000003</v>
      </c>
    </row>
    <row r="341" spans="1:33" x14ac:dyDescent="0.3">
      <c r="A341" t="s">
        <v>384</v>
      </c>
      <c r="B341">
        <v>356977.421875</v>
      </c>
      <c r="C341">
        <v>6665881.9101560004</v>
      </c>
      <c r="D341" t="s">
        <v>541</v>
      </c>
      <c r="E341">
        <v>100</v>
      </c>
      <c r="F341">
        <v>140</v>
      </c>
      <c r="G341">
        <v>0.66825775656324571</v>
      </c>
      <c r="H341">
        <f t="shared" si="11"/>
        <v>271.35649999999998</v>
      </c>
      <c r="I341">
        <f t="shared" si="10"/>
        <v>209.50000000000003</v>
      </c>
      <c r="J341">
        <f>0.609*(4.19 * 50)</f>
        <v>127.58550000000001</v>
      </c>
      <c r="K341">
        <f>0.604*(4.19 * 50)</f>
        <v>126.53800000000001</v>
      </c>
      <c r="L341">
        <f>0.601*(4.19 * 50)</f>
        <v>125.90950000000001</v>
      </c>
      <c r="M341">
        <f>0.598*(4.19 * 50)</f>
        <v>125.28100000000001</v>
      </c>
      <c r="N341">
        <f>0.601*(4.19 * 50)</f>
        <v>125.90950000000001</v>
      </c>
      <c r="O341">
        <f>0.609*(4.19 * 50)</f>
        <v>127.58550000000001</v>
      </c>
      <c r="P341">
        <f>0.627*(4.19 * 50)</f>
        <v>131.35650000000001</v>
      </c>
      <c r="Q341">
        <f>0.643*(4.19 * 50)</f>
        <v>134.70850000000002</v>
      </c>
      <c r="R341">
        <f>0.638*(4.19 * 50)</f>
        <v>133.66100000000003</v>
      </c>
      <c r="S341">
        <f>0.625*(4.19 * 50)</f>
        <v>130.93750000000003</v>
      </c>
      <c r="T341">
        <f>0.622*(4.19 * 50)</f>
        <v>130.30900000000003</v>
      </c>
      <c r="U341">
        <f>0.596*(4.19 * 50)</f>
        <v>124.86200000000001</v>
      </c>
      <c r="V341">
        <f>0.587*(4.19 * 50)</f>
        <v>122.97650000000002</v>
      </c>
      <c r="W341">
        <f>0.58*(4.19 * 50)</f>
        <v>121.51</v>
      </c>
      <c r="X341">
        <f>0.578*(4.19 * 50)</f>
        <v>121.09100000000001</v>
      </c>
      <c r="Y341">
        <f>0.579*(4.19 * 50)</f>
        <v>121.30050000000001</v>
      </c>
      <c r="Z341">
        <f>0.585*(4.19 * 50)</f>
        <v>122.5575</v>
      </c>
      <c r="AA341">
        <f>0.596*(4.19 * 50)</f>
        <v>124.86200000000001</v>
      </c>
      <c r="AB341">
        <f>0.604*(4.19 * 50)</f>
        <v>126.53800000000001</v>
      </c>
      <c r="AC341">
        <f>0.615*(4.19 * 50)</f>
        <v>128.84250000000003</v>
      </c>
      <c r="AD341">
        <f>0.626*(4.19 * 50)</f>
        <v>131.14700000000002</v>
      </c>
      <c r="AE341">
        <f>0.63*(4.19 * 50)</f>
        <v>131.98500000000001</v>
      </c>
      <c r="AF341">
        <f>0.625*(4.19 * 50)</f>
        <v>130.93750000000003</v>
      </c>
      <c r="AG341">
        <f>0.616*(4.19 * 50)</f>
        <v>129.05200000000002</v>
      </c>
    </row>
    <row r="342" spans="1:33" x14ac:dyDescent="0.3">
      <c r="A342" t="s">
        <v>385</v>
      </c>
      <c r="B342">
        <v>358086.617188</v>
      </c>
      <c r="C342">
        <v>6667520.9648439996</v>
      </c>
      <c r="D342" t="s">
        <v>542</v>
      </c>
      <c r="E342">
        <v>100</v>
      </c>
      <c r="F342">
        <v>58</v>
      </c>
      <c r="G342">
        <v>0.27684964200477319</v>
      </c>
      <c r="H342">
        <f t="shared" si="11"/>
        <v>112.47</v>
      </c>
      <c r="I342">
        <f t="shared" si="10"/>
        <v>209.50000000000003</v>
      </c>
      <c r="J342">
        <f>0.252*(4.19 * 50)</f>
        <v>52.794000000000004</v>
      </c>
      <c r="K342">
        <f>0.25*(4.19 * 50)</f>
        <v>52.375000000000007</v>
      </c>
      <c r="L342">
        <f>0.249*(4.19 * 50)</f>
        <v>52.165500000000009</v>
      </c>
      <c r="M342">
        <f>0.248*(4.19 * 50)</f>
        <v>51.95600000000001</v>
      </c>
      <c r="N342">
        <f>0.249*(4.19 * 50)</f>
        <v>52.165500000000009</v>
      </c>
      <c r="O342">
        <f>0.252*(4.19 * 50)</f>
        <v>52.794000000000004</v>
      </c>
      <c r="P342">
        <f>0.26*(4.19 * 50)</f>
        <v>54.470000000000006</v>
      </c>
      <c r="Q342">
        <f>0.267*(4.19 * 50)</f>
        <v>55.936500000000009</v>
      </c>
      <c r="R342">
        <f>0.264*(4.19 * 50)</f>
        <v>55.308000000000007</v>
      </c>
      <c r="S342">
        <f>0.259*(4.19 * 50)</f>
        <v>54.260500000000008</v>
      </c>
      <c r="T342">
        <f>0.258*(4.19 * 50)</f>
        <v>54.051000000000009</v>
      </c>
      <c r="U342">
        <f>0.247*(4.19 * 50)</f>
        <v>51.746500000000005</v>
      </c>
      <c r="V342">
        <f>0.243*(4.19 * 50)</f>
        <v>50.908500000000004</v>
      </c>
      <c r="W342">
        <f>0.24*(4.19 * 50)</f>
        <v>50.280000000000008</v>
      </c>
      <c r="X342">
        <f>0.239*(4.19 * 50)</f>
        <v>50.070500000000003</v>
      </c>
      <c r="Y342">
        <f>0.24*(4.19 * 50)</f>
        <v>50.280000000000008</v>
      </c>
      <c r="Z342">
        <f>0.242*(4.19 * 50)</f>
        <v>50.699000000000005</v>
      </c>
      <c r="AA342">
        <f>0.247*(4.19 * 50)</f>
        <v>51.746500000000005</v>
      </c>
      <c r="AB342">
        <f>0.25*(4.19 * 50)</f>
        <v>52.375000000000007</v>
      </c>
      <c r="AC342">
        <f>0.255*(4.19 * 50)</f>
        <v>53.422500000000007</v>
      </c>
      <c r="AD342">
        <f>0.259*(4.19 * 50)</f>
        <v>54.260500000000008</v>
      </c>
      <c r="AE342">
        <f>0.261*(4.19 * 50)</f>
        <v>54.679500000000012</v>
      </c>
      <c r="AF342">
        <f>0.259*(4.19 * 50)</f>
        <v>54.260500000000008</v>
      </c>
      <c r="AG342">
        <f>0.255*(4.19 * 50)</f>
        <v>53.422500000000007</v>
      </c>
    </row>
    <row r="343" spans="1:33" x14ac:dyDescent="0.3">
      <c r="A343" t="s">
        <v>386</v>
      </c>
      <c r="B343">
        <v>357963.671875</v>
      </c>
      <c r="C343">
        <v>6667804.59375</v>
      </c>
      <c r="D343" t="s">
        <v>542</v>
      </c>
      <c r="E343">
        <v>100</v>
      </c>
      <c r="F343">
        <v>82.333000183105398</v>
      </c>
      <c r="G343">
        <v>0.39299761423916652</v>
      </c>
      <c r="H343">
        <f t="shared" si="11"/>
        <v>159.63850018310541</v>
      </c>
      <c r="I343">
        <f t="shared" si="10"/>
        <v>209.50000000000003</v>
      </c>
      <c r="J343">
        <f>0.358*(4.19 * 50)</f>
        <v>75.001000000000005</v>
      </c>
      <c r="K343">
        <f>0.355*(4.19 * 50)</f>
        <v>74.372500000000002</v>
      </c>
      <c r="L343">
        <f>0.353*(4.19 * 50)</f>
        <v>73.953500000000005</v>
      </c>
      <c r="M343">
        <f>0.352*(4.19 * 50)</f>
        <v>73.744</v>
      </c>
      <c r="N343">
        <f>0.353*(4.19 * 50)</f>
        <v>73.953500000000005</v>
      </c>
      <c r="O343">
        <f>0.358*(4.19 * 50)</f>
        <v>75.001000000000005</v>
      </c>
      <c r="P343">
        <f>0.369*(4.19 * 50)</f>
        <v>77.305500000000009</v>
      </c>
      <c r="Q343">
        <f>0.378*(4.19 * 50)</f>
        <v>79.191000000000017</v>
      </c>
      <c r="R343">
        <f>0.375*(4.19 * 50)</f>
        <v>78.562500000000014</v>
      </c>
      <c r="S343">
        <f>0.367*(4.19 * 50)</f>
        <v>76.886500000000012</v>
      </c>
      <c r="T343">
        <f>0.366*(4.19 * 50)</f>
        <v>76.677000000000007</v>
      </c>
      <c r="U343">
        <f>0.35*(4.19 * 50)</f>
        <v>73.325000000000003</v>
      </c>
      <c r="V343">
        <f>0.345*(4.19 * 50)</f>
        <v>72.277500000000003</v>
      </c>
      <c r="W343">
        <f>0.341*(4.19 * 50)</f>
        <v>71.43950000000001</v>
      </c>
      <c r="X343">
        <f>0.34*(4.19 * 50)</f>
        <v>71.230000000000018</v>
      </c>
      <c r="Y343">
        <f>0.34*(4.19 * 50)</f>
        <v>71.230000000000018</v>
      </c>
      <c r="Z343">
        <f>0.344*(4.19 * 50)</f>
        <v>72.067999999999998</v>
      </c>
      <c r="AA343">
        <f>0.35*(4.19 * 50)</f>
        <v>73.325000000000003</v>
      </c>
      <c r="AB343">
        <f>0.355*(4.19 * 50)</f>
        <v>74.372500000000002</v>
      </c>
      <c r="AC343">
        <f>0.362*(4.19 * 50)</f>
        <v>75.839000000000013</v>
      </c>
      <c r="AD343">
        <f>0.368*(4.19 * 50)</f>
        <v>77.096000000000004</v>
      </c>
      <c r="AE343">
        <f>0.371*(4.19 * 50)</f>
        <v>77.724500000000006</v>
      </c>
      <c r="AF343">
        <f>0.367*(4.19 * 50)</f>
        <v>76.886500000000012</v>
      </c>
      <c r="AG343">
        <f>0.362*(4.19 * 50)</f>
        <v>75.839000000000013</v>
      </c>
    </row>
    <row r="344" spans="1:33" x14ac:dyDescent="0.3">
      <c r="A344" t="s">
        <v>387</v>
      </c>
      <c r="B344">
        <v>357848.484375</v>
      </c>
      <c r="C344">
        <v>6668408.1445310004</v>
      </c>
      <c r="D344" t="s">
        <v>540</v>
      </c>
      <c r="E344">
        <v>100</v>
      </c>
      <c r="F344">
        <v>21</v>
      </c>
      <c r="G344">
        <v>0.1002386634844869</v>
      </c>
      <c r="H344">
        <f t="shared" si="11"/>
        <v>40.692999999999998</v>
      </c>
      <c r="I344">
        <f t="shared" si="10"/>
        <v>209.50000000000003</v>
      </c>
      <c r="J344">
        <f>0.091*(4.19 * 50)</f>
        <v>19.064500000000002</v>
      </c>
      <c r="K344">
        <f>0.091*(4.19 * 50)</f>
        <v>19.064500000000002</v>
      </c>
      <c r="L344">
        <f>0.09*(4.19 * 50)</f>
        <v>18.855</v>
      </c>
      <c r="M344">
        <f>0.09*(4.19 * 50)</f>
        <v>18.855</v>
      </c>
      <c r="N344">
        <f>0.09*(4.19 * 50)</f>
        <v>18.855</v>
      </c>
      <c r="O344">
        <f>0.091*(4.19 * 50)</f>
        <v>19.064500000000002</v>
      </c>
      <c r="P344">
        <f>0.094*(4.19 * 50)</f>
        <v>19.693000000000001</v>
      </c>
      <c r="Q344">
        <f>0.097*(4.19 * 50)</f>
        <v>20.321500000000004</v>
      </c>
      <c r="R344">
        <f>0.096*(4.19 * 50)</f>
        <v>20.112000000000002</v>
      </c>
      <c r="S344">
        <f>0.094*(4.19 * 50)</f>
        <v>19.693000000000001</v>
      </c>
      <c r="T344">
        <f>0.093*(4.19 * 50)</f>
        <v>19.483500000000003</v>
      </c>
      <c r="U344">
        <f>0.089*(4.19 * 50)</f>
        <v>18.645500000000002</v>
      </c>
      <c r="V344">
        <f>0.088*(4.19 * 50)</f>
        <v>18.436</v>
      </c>
      <c r="W344">
        <f>0.087*(4.19 * 50)</f>
        <v>18.226500000000001</v>
      </c>
      <c r="X344">
        <f>0.087*(4.19 * 50)</f>
        <v>18.226500000000001</v>
      </c>
      <c r="Y344">
        <f>0.087*(4.19 * 50)</f>
        <v>18.226500000000001</v>
      </c>
      <c r="Z344">
        <f>0.088*(4.19 * 50)</f>
        <v>18.436</v>
      </c>
      <c r="AA344">
        <f>0.089*(4.19 * 50)</f>
        <v>18.645500000000002</v>
      </c>
      <c r="AB344">
        <f>0.091*(4.19 * 50)</f>
        <v>19.064500000000002</v>
      </c>
      <c r="AC344">
        <f>0.092*(4.19 * 50)</f>
        <v>19.274000000000001</v>
      </c>
      <c r="AD344">
        <f>0.094*(4.19 * 50)</f>
        <v>19.693000000000001</v>
      </c>
      <c r="AE344">
        <f>0.095*(4.19 * 50)</f>
        <v>19.902500000000003</v>
      </c>
      <c r="AF344">
        <f>0.094*(4.19 * 50)</f>
        <v>19.693000000000001</v>
      </c>
      <c r="AG344">
        <f>0.092*(4.19 * 50)</f>
        <v>19.274000000000001</v>
      </c>
    </row>
    <row r="345" spans="1:33" x14ac:dyDescent="0.3">
      <c r="A345" t="s">
        <v>388</v>
      </c>
      <c r="B345">
        <v>361391.078125</v>
      </c>
      <c r="C345">
        <v>6669063.796875</v>
      </c>
      <c r="D345" t="s">
        <v>541</v>
      </c>
      <c r="E345">
        <v>100</v>
      </c>
      <c r="F345">
        <v>199.66700744628901</v>
      </c>
      <c r="G345">
        <v>0.95306447468395694</v>
      </c>
      <c r="H345">
        <f t="shared" si="11"/>
        <v>386.96000744628907</v>
      </c>
      <c r="I345">
        <f t="shared" si="10"/>
        <v>209.50000000000003</v>
      </c>
      <c r="J345">
        <f>0.869*(4.19 * 50)</f>
        <v>182.05550000000002</v>
      </c>
      <c r="K345">
        <f>0.862*(4.19 * 50)</f>
        <v>180.58900000000003</v>
      </c>
      <c r="L345">
        <f>0.857*(4.19 * 50)</f>
        <v>179.54150000000001</v>
      </c>
      <c r="M345">
        <f>0.853*(4.19 * 50)</f>
        <v>178.70350000000002</v>
      </c>
      <c r="N345">
        <f>0.857*(4.19 * 50)</f>
        <v>179.54150000000001</v>
      </c>
      <c r="O345">
        <f>0.868*(4.19 * 50)</f>
        <v>181.84600000000003</v>
      </c>
      <c r="P345">
        <f>0.894*(4.19 * 50)</f>
        <v>187.29300000000003</v>
      </c>
      <c r="Q345">
        <f>0.918*(4.19 * 50)</f>
        <v>192.32100000000003</v>
      </c>
      <c r="R345">
        <f>0.91*(4.19 * 50)</f>
        <v>190.64500000000004</v>
      </c>
      <c r="S345">
        <f>0.891*(4.19 * 50)</f>
        <v>186.66450000000003</v>
      </c>
      <c r="T345">
        <f>0.887*(4.19 * 50)</f>
        <v>185.82650000000004</v>
      </c>
      <c r="U345">
        <f>0.85*(4.19 * 50)</f>
        <v>178.07500000000002</v>
      </c>
      <c r="V345">
        <f>0.838*(4.19 * 50)</f>
        <v>175.56100000000001</v>
      </c>
      <c r="W345">
        <f>0.827*(4.19 * 50)</f>
        <v>173.25650000000002</v>
      </c>
      <c r="X345">
        <f>0.824*(4.19 * 50)</f>
        <v>172.62800000000001</v>
      </c>
      <c r="Y345">
        <f>0.826*(4.19 * 50)</f>
        <v>173.04700000000003</v>
      </c>
      <c r="Z345">
        <f>0.834*(4.19 * 50)</f>
        <v>174.72300000000001</v>
      </c>
      <c r="AA345">
        <f>0.85*(4.19 * 50)</f>
        <v>178.07500000000002</v>
      </c>
      <c r="AB345">
        <f>0.862*(4.19 * 50)</f>
        <v>180.58900000000003</v>
      </c>
      <c r="AC345">
        <f>0.878*(4.19 * 50)</f>
        <v>183.94100000000003</v>
      </c>
      <c r="AD345">
        <f>0.892*(4.19 * 50)</f>
        <v>186.87400000000002</v>
      </c>
      <c r="AE345">
        <f>0.899*(4.19 * 50)</f>
        <v>188.34050000000002</v>
      </c>
      <c r="AF345">
        <f>0.891*(4.19 * 50)</f>
        <v>186.66450000000003</v>
      </c>
      <c r="AG345">
        <f>0.879*(4.19 * 50)</f>
        <v>184.15050000000002</v>
      </c>
    </row>
    <row r="346" spans="1:33" x14ac:dyDescent="0.3">
      <c r="A346" t="s">
        <v>389</v>
      </c>
      <c r="B346">
        <v>357882.652344</v>
      </c>
      <c r="C346">
        <v>6667890.5351560004</v>
      </c>
      <c r="D346" t="s">
        <v>542</v>
      </c>
      <c r="E346">
        <v>100</v>
      </c>
      <c r="F346">
        <v>144</v>
      </c>
      <c r="G346">
        <v>0.68735083532219565</v>
      </c>
      <c r="H346">
        <f t="shared" si="11"/>
        <v>279.12750000000005</v>
      </c>
      <c r="I346">
        <f t="shared" si="10"/>
        <v>209.50000000000003</v>
      </c>
      <c r="J346">
        <f>0.627*(4.19 * 50)</f>
        <v>131.35650000000001</v>
      </c>
      <c r="K346">
        <f>0.622*(4.19 * 50)</f>
        <v>130.30900000000003</v>
      </c>
      <c r="L346">
        <f>0.618*(4.19 * 50)</f>
        <v>129.471</v>
      </c>
      <c r="M346">
        <f>0.615*(4.19 * 50)</f>
        <v>128.84250000000003</v>
      </c>
      <c r="N346">
        <f>0.618*(4.19 * 50)</f>
        <v>129.471</v>
      </c>
      <c r="O346">
        <f>0.626*(4.19 * 50)</f>
        <v>131.14700000000002</v>
      </c>
      <c r="P346">
        <f>0.645*(4.19 * 50)</f>
        <v>135.12750000000003</v>
      </c>
      <c r="Q346">
        <f>0.662*(4.19 * 50)</f>
        <v>138.68900000000002</v>
      </c>
      <c r="R346">
        <f>0.656*(4.19 * 50)</f>
        <v>137.43200000000002</v>
      </c>
      <c r="S346">
        <f>0.642*(4.19 * 50)</f>
        <v>134.49900000000002</v>
      </c>
      <c r="T346">
        <f>0.64*(4.19 * 50)</f>
        <v>134.08000000000001</v>
      </c>
      <c r="U346">
        <f>0.613*(4.19 * 50)</f>
        <v>128.42350000000002</v>
      </c>
      <c r="V346">
        <f>0.604*(4.19 * 50)</f>
        <v>126.53800000000001</v>
      </c>
      <c r="W346">
        <f>0.596*(4.19 * 50)</f>
        <v>124.86200000000001</v>
      </c>
      <c r="X346">
        <f>0.594*(4.19 * 50)</f>
        <v>124.44300000000001</v>
      </c>
      <c r="Y346">
        <f>0.595*(4.19 * 50)</f>
        <v>124.65250000000002</v>
      </c>
      <c r="Z346">
        <f>0.602*(4.19 * 50)</f>
        <v>126.11900000000001</v>
      </c>
      <c r="AA346">
        <f>0.613*(4.19 * 50)</f>
        <v>128.42350000000002</v>
      </c>
      <c r="AB346">
        <f>0.622*(4.19 * 50)</f>
        <v>130.30900000000003</v>
      </c>
      <c r="AC346">
        <f>0.633*(4.19 * 50)</f>
        <v>132.61350000000002</v>
      </c>
      <c r="AD346">
        <f>0.644*(4.19 * 50)</f>
        <v>134.91800000000003</v>
      </c>
      <c r="AE346">
        <f>0.648*(4.19 * 50)</f>
        <v>135.75600000000003</v>
      </c>
      <c r="AF346">
        <f>0.642*(4.19 * 50)</f>
        <v>134.49900000000002</v>
      </c>
      <c r="AG346">
        <f>0.634*(4.19 * 50)</f>
        <v>132.82300000000001</v>
      </c>
    </row>
    <row r="347" spans="1:33" x14ac:dyDescent="0.3">
      <c r="A347" t="s">
        <v>390</v>
      </c>
      <c r="B347">
        <v>359860.855469</v>
      </c>
      <c r="C347">
        <v>6667602.5351560004</v>
      </c>
      <c r="D347" t="s">
        <v>542</v>
      </c>
      <c r="E347">
        <v>100</v>
      </c>
      <c r="F347">
        <v>96.666999816894503</v>
      </c>
      <c r="G347">
        <v>0.46141766022384012</v>
      </c>
      <c r="H347">
        <f t="shared" si="11"/>
        <v>187.38049981689451</v>
      </c>
      <c r="I347">
        <f t="shared" si="10"/>
        <v>209.50000000000003</v>
      </c>
      <c r="J347">
        <f>0.421*(4.19 * 50)</f>
        <v>88.199500000000015</v>
      </c>
      <c r="K347">
        <f>0.417*(4.19 * 50)</f>
        <v>87.361500000000007</v>
      </c>
      <c r="L347">
        <f>0.415*(4.19 * 50)</f>
        <v>86.94250000000001</v>
      </c>
      <c r="M347">
        <f>0.413*(4.19 * 50)</f>
        <v>86.523500000000013</v>
      </c>
      <c r="N347">
        <f>0.415*(4.19 * 50)</f>
        <v>86.94250000000001</v>
      </c>
      <c r="O347">
        <f>0.42*(4.19 * 50)</f>
        <v>87.990000000000009</v>
      </c>
      <c r="P347">
        <f>0.433*(4.19 * 50)</f>
        <v>90.71350000000001</v>
      </c>
      <c r="Q347">
        <f>0.444*(4.19 * 50)</f>
        <v>93.018000000000015</v>
      </c>
      <c r="R347">
        <f>0.44*(4.19 * 50)</f>
        <v>92.18</v>
      </c>
      <c r="S347">
        <f>0.431*(4.19 * 50)</f>
        <v>90.294500000000014</v>
      </c>
      <c r="T347">
        <f>0.43*(4.19 * 50)</f>
        <v>90.085000000000008</v>
      </c>
      <c r="U347">
        <f>0.411*(4.19 * 50)</f>
        <v>86.104500000000002</v>
      </c>
      <c r="V347">
        <f>0.406*(4.19 * 50)</f>
        <v>85.057000000000016</v>
      </c>
      <c r="W347">
        <f>0.4*(4.19 * 50)</f>
        <v>83.800000000000011</v>
      </c>
      <c r="X347">
        <f>0.399*(4.19 * 50)</f>
        <v>83.59050000000002</v>
      </c>
      <c r="Y347">
        <f>0.4*(4.19 * 50)</f>
        <v>83.800000000000011</v>
      </c>
      <c r="Z347">
        <f>0.404*(4.19 * 50)</f>
        <v>84.638000000000019</v>
      </c>
      <c r="AA347">
        <f>0.411*(4.19 * 50)</f>
        <v>86.104500000000002</v>
      </c>
      <c r="AB347">
        <f>0.417*(4.19 * 50)</f>
        <v>87.361500000000007</v>
      </c>
      <c r="AC347">
        <f>0.425*(4.19 * 50)</f>
        <v>89.037500000000009</v>
      </c>
      <c r="AD347">
        <f>0.432*(4.19 * 50)</f>
        <v>90.504000000000005</v>
      </c>
      <c r="AE347">
        <f>0.435*(4.19 * 50)</f>
        <v>91.132500000000007</v>
      </c>
      <c r="AF347">
        <f>0.431*(4.19 * 50)</f>
        <v>90.294500000000014</v>
      </c>
      <c r="AG347">
        <f>0.425*(4.19 * 50)</f>
        <v>89.037500000000009</v>
      </c>
    </row>
    <row r="348" spans="1:33" x14ac:dyDescent="0.3">
      <c r="A348" t="s">
        <v>391</v>
      </c>
      <c r="B348">
        <v>357129.910156</v>
      </c>
      <c r="C348">
        <v>6667903.9882810004</v>
      </c>
      <c r="D348" t="s">
        <v>542</v>
      </c>
      <c r="E348">
        <v>100</v>
      </c>
      <c r="F348">
        <v>56.333000183105398</v>
      </c>
      <c r="G348">
        <v>0.26889260230599232</v>
      </c>
      <c r="H348">
        <f t="shared" si="11"/>
        <v>109.12700018310539</v>
      </c>
      <c r="I348">
        <f t="shared" si="10"/>
        <v>209.50000000000003</v>
      </c>
      <c r="J348">
        <f>0.245*(4.19 * 50)</f>
        <v>51.327500000000008</v>
      </c>
      <c r="K348">
        <f>0.243*(4.19 * 50)</f>
        <v>50.908500000000004</v>
      </c>
      <c r="L348">
        <f>0.242*(4.19 * 50)</f>
        <v>50.699000000000005</v>
      </c>
      <c r="M348">
        <f>0.241*(4.19 * 50)</f>
        <v>50.489500000000007</v>
      </c>
      <c r="N348">
        <f>0.242*(4.19 * 50)</f>
        <v>50.699000000000005</v>
      </c>
      <c r="O348">
        <f>0.245*(4.19 * 50)</f>
        <v>51.327500000000008</v>
      </c>
      <c r="P348">
        <f>0.252*(4.19 * 50)</f>
        <v>52.794000000000004</v>
      </c>
      <c r="Q348">
        <f>0.259*(4.19 * 50)</f>
        <v>54.260500000000008</v>
      </c>
      <c r="R348">
        <f>0.257*(4.19 * 50)</f>
        <v>53.841500000000011</v>
      </c>
      <c r="S348">
        <f>0.251*(4.19 * 50)</f>
        <v>52.584500000000006</v>
      </c>
      <c r="T348">
        <f>0.25*(4.19 * 50)</f>
        <v>52.375000000000007</v>
      </c>
      <c r="U348">
        <f>0.24*(4.19 * 50)</f>
        <v>50.280000000000008</v>
      </c>
      <c r="V348">
        <f>0.236*(4.19 * 50)</f>
        <v>49.442000000000007</v>
      </c>
      <c r="W348">
        <f>0.233*(4.19 * 50)</f>
        <v>48.813500000000012</v>
      </c>
      <c r="X348">
        <f>0.232*(4.19 * 50)</f>
        <v>48.604000000000006</v>
      </c>
      <c r="Y348">
        <f>0.233*(4.19 * 50)</f>
        <v>48.813500000000012</v>
      </c>
      <c r="Z348">
        <f>0.235*(4.19 * 50)</f>
        <v>49.232500000000002</v>
      </c>
      <c r="AA348">
        <f>0.24*(4.19 * 50)</f>
        <v>50.280000000000008</v>
      </c>
      <c r="AB348">
        <f>0.243*(4.19 * 50)</f>
        <v>50.908500000000004</v>
      </c>
      <c r="AC348">
        <f>0.248*(4.19 * 50)</f>
        <v>51.95600000000001</v>
      </c>
      <c r="AD348">
        <f>0.252*(4.19 * 50)</f>
        <v>52.794000000000004</v>
      </c>
      <c r="AE348">
        <f>0.254*(4.19 * 50)</f>
        <v>53.213000000000008</v>
      </c>
      <c r="AF348">
        <f>0.251*(4.19 * 50)</f>
        <v>52.584500000000006</v>
      </c>
      <c r="AG348">
        <f>0.248*(4.19 * 50)</f>
        <v>51.95600000000001</v>
      </c>
    </row>
    <row r="349" spans="1:33" x14ac:dyDescent="0.3">
      <c r="A349" t="s">
        <v>392</v>
      </c>
      <c r="B349">
        <v>357830.988281</v>
      </c>
      <c r="C349">
        <v>6666392.25</v>
      </c>
      <c r="D349" t="s">
        <v>547</v>
      </c>
      <c r="E349">
        <v>100</v>
      </c>
      <c r="F349">
        <v>49.333000183105398</v>
      </c>
      <c r="G349">
        <v>0.23547971447783</v>
      </c>
      <c r="H349">
        <f t="shared" si="11"/>
        <v>95.632500183105407</v>
      </c>
      <c r="I349">
        <f t="shared" si="10"/>
        <v>209.50000000000003</v>
      </c>
      <c r="J349">
        <f>0.215*(4.19 * 50)</f>
        <v>45.042500000000004</v>
      </c>
      <c r="K349">
        <f>0.213*(4.19 * 50)</f>
        <v>44.623500000000007</v>
      </c>
      <c r="L349">
        <f>0.212*(4.19 * 50)</f>
        <v>44.414000000000001</v>
      </c>
      <c r="M349">
        <f>0.211*(4.19 * 50)</f>
        <v>44.204500000000003</v>
      </c>
      <c r="N349">
        <f>0.212*(4.19 * 50)</f>
        <v>44.414000000000001</v>
      </c>
      <c r="O349">
        <f>0.215*(4.19 * 50)</f>
        <v>45.042500000000004</v>
      </c>
      <c r="P349">
        <f>0.221*(4.19 * 50)</f>
        <v>46.299500000000009</v>
      </c>
      <c r="Q349">
        <f>0.227*(4.19 * 50)</f>
        <v>47.556500000000007</v>
      </c>
      <c r="R349">
        <f>0.225*(4.19 * 50)</f>
        <v>47.13750000000001</v>
      </c>
      <c r="S349">
        <f>0.22*(4.19 * 50)</f>
        <v>46.09</v>
      </c>
      <c r="T349">
        <f>0.219*(4.19 * 50)</f>
        <v>45.880500000000005</v>
      </c>
      <c r="U349">
        <f>0.21*(4.19 * 50)</f>
        <v>43.995000000000005</v>
      </c>
      <c r="V349">
        <f>0.207*(4.19 * 50)</f>
        <v>43.366500000000002</v>
      </c>
      <c r="W349">
        <f>0.204*(4.19 * 50)</f>
        <v>42.738</v>
      </c>
      <c r="X349">
        <f>0.204*(4.19 * 50)</f>
        <v>42.738</v>
      </c>
      <c r="Y349">
        <f>0.204*(4.19 * 50)</f>
        <v>42.738</v>
      </c>
      <c r="Z349">
        <f>0.206*(4.19 * 50)</f>
        <v>43.157000000000004</v>
      </c>
      <c r="AA349">
        <f>0.21*(4.19 * 50)</f>
        <v>43.995000000000005</v>
      </c>
      <c r="AB349">
        <f>0.213*(4.19 * 50)</f>
        <v>44.623500000000007</v>
      </c>
      <c r="AC349">
        <f>0.217*(4.19 * 50)</f>
        <v>45.461500000000008</v>
      </c>
      <c r="AD349">
        <f>0.221*(4.19 * 50)</f>
        <v>46.299500000000009</v>
      </c>
      <c r="AE349">
        <f>0.222*(4.19 * 50)</f>
        <v>46.509000000000007</v>
      </c>
      <c r="AF349">
        <f>0.22*(4.19 * 50)</f>
        <v>46.09</v>
      </c>
      <c r="AG349">
        <f>0.217*(4.19 * 50)</f>
        <v>45.461500000000008</v>
      </c>
    </row>
    <row r="350" spans="1:33" x14ac:dyDescent="0.3">
      <c r="A350" t="s">
        <v>393</v>
      </c>
      <c r="B350">
        <v>363130.703125</v>
      </c>
      <c r="C350">
        <v>6671264.1992189996</v>
      </c>
      <c r="D350" t="s">
        <v>542</v>
      </c>
      <c r="E350">
        <v>100</v>
      </c>
      <c r="F350">
        <v>111</v>
      </c>
      <c r="G350">
        <v>0.52983293556085909</v>
      </c>
      <c r="H350">
        <f t="shared" si="11"/>
        <v>215.12150000000003</v>
      </c>
      <c r="I350">
        <f t="shared" si="10"/>
        <v>209.50000000000003</v>
      </c>
      <c r="J350">
        <f>0.483*(4.19 * 50)</f>
        <v>101.1885</v>
      </c>
      <c r="K350">
        <f>0.479*(4.19 * 50)</f>
        <v>100.35050000000001</v>
      </c>
      <c r="L350">
        <f>0.476*(4.19 * 50)</f>
        <v>99.722000000000008</v>
      </c>
      <c r="M350">
        <f>0.474*(4.19 * 50)</f>
        <v>99.303000000000011</v>
      </c>
      <c r="N350">
        <f>0.476*(4.19 * 50)</f>
        <v>99.722000000000008</v>
      </c>
      <c r="O350">
        <f>0.483*(4.19 * 50)</f>
        <v>101.1885</v>
      </c>
      <c r="P350">
        <f>0.497*(4.19 * 50)</f>
        <v>104.12150000000001</v>
      </c>
      <c r="Q350">
        <f>0.51*(4.19 * 50)</f>
        <v>106.84500000000001</v>
      </c>
      <c r="R350">
        <f>0.506*(4.19 * 50)</f>
        <v>106.00700000000002</v>
      </c>
      <c r="S350">
        <f>0.495*(4.19 * 50)</f>
        <v>103.70250000000001</v>
      </c>
      <c r="T350">
        <f>0.493*(4.19 * 50)</f>
        <v>103.28350000000002</v>
      </c>
      <c r="U350">
        <f>0.473*(4.19 * 50)</f>
        <v>99.093500000000006</v>
      </c>
      <c r="V350">
        <f>0.466*(4.19 * 50)</f>
        <v>97.627000000000024</v>
      </c>
      <c r="W350">
        <f>0.459*(4.19 * 50)</f>
        <v>96.160500000000013</v>
      </c>
      <c r="X350">
        <f>0.458*(4.19 * 50)</f>
        <v>95.951000000000022</v>
      </c>
      <c r="Y350">
        <f>0.459*(4.19 * 50)</f>
        <v>96.160500000000013</v>
      </c>
      <c r="Z350">
        <f>0.464*(4.19 * 50)</f>
        <v>97.208000000000013</v>
      </c>
      <c r="AA350">
        <f>0.473*(4.19 * 50)</f>
        <v>99.093500000000006</v>
      </c>
      <c r="AB350">
        <f>0.479*(4.19 * 50)</f>
        <v>100.35050000000001</v>
      </c>
      <c r="AC350">
        <f>0.488*(4.19 * 50)</f>
        <v>102.23600000000002</v>
      </c>
      <c r="AD350">
        <f>0.496*(4.19 * 50)</f>
        <v>103.91200000000002</v>
      </c>
      <c r="AE350">
        <f>0.5*(4.19 * 50)</f>
        <v>104.75000000000001</v>
      </c>
      <c r="AF350">
        <f>0.495*(4.19 * 50)</f>
        <v>103.70250000000001</v>
      </c>
      <c r="AG350">
        <f>0.488*(4.19 * 50)</f>
        <v>102.23600000000002</v>
      </c>
    </row>
    <row r="351" spans="1:33" x14ac:dyDescent="0.3">
      <c r="A351" t="s">
        <v>394</v>
      </c>
      <c r="B351">
        <v>358514.855469</v>
      </c>
      <c r="C351">
        <v>6669506.0351560004</v>
      </c>
      <c r="D351" t="s">
        <v>542</v>
      </c>
      <c r="E351">
        <v>100</v>
      </c>
      <c r="F351">
        <v>123.333000183105</v>
      </c>
      <c r="G351">
        <v>0.58870167151840092</v>
      </c>
      <c r="H351">
        <f t="shared" si="11"/>
        <v>238.97700018310502</v>
      </c>
      <c r="I351">
        <f t="shared" si="10"/>
        <v>209.50000000000003</v>
      </c>
      <c r="J351">
        <f>0.537*(4.19 * 50)</f>
        <v>112.50150000000002</v>
      </c>
      <c r="K351">
        <f>0.533*(4.19 * 50)</f>
        <v>111.66350000000003</v>
      </c>
      <c r="L351">
        <f>0.529*(4.19 * 50)</f>
        <v>110.82550000000002</v>
      </c>
      <c r="M351">
        <f>0.527*(4.19 * 50)</f>
        <v>110.40650000000002</v>
      </c>
      <c r="N351">
        <f>0.529*(4.19 * 50)</f>
        <v>110.82550000000002</v>
      </c>
      <c r="O351">
        <f>0.536*(4.19 * 50)</f>
        <v>112.29200000000002</v>
      </c>
      <c r="P351">
        <f>0.552*(4.19 * 50)</f>
        <v>115.64400000000002</v>
      </c>
      <c r="Q351">
        <f>0.567*(4.19 * 50)</f>
        <v>118.7865</v>
      </c>
      <c r="R351">
        <f>0.562*(4.19 * 50)</f>
        <v>117.73900000000003</v>
      </c>
      <c r="S351">
        <f>0.55*(4.19 * 50)</f>
        <v>115.22500000000002</v>
      </c>
      <c r="T351">
        <f>0.548*(4.19 * 50)</f>
        <v>114.80600000000003</v>
      </c>
      <c r="U351">
        <f>0.525*(4.19 * 50)</f>
        <v>109.98750000000003</v>
      </c>
      <c r="V351">
        <f>0.518*(4.19 * 50)</f>
        <v>108.52100000000002</v>
      </c>
      <c r="W351">
        <f>0.511*(4.19 * 50)</f>
        <v>107.05450000000002</v>
      </c>
      <c r="X351">
        <f>0.509*(4.19 * 50)</f>
        <v>106.63550000000002</v>
      </c>
      <c r="Y351">
        <f>0.51*(4.19 * 50)</f>
        <v>106.84500000000001</v>
      </c>
      <c r="Z351">
        <f>0.515*(4.19 * 50)</f>
        <v>107.89250000000001</v>
      </c>
      <c r="AA351">
        <f>0.525*(4.19 * 50)</f>
        <v>109.98750000000003</v>
      </c>
      <c r="AB351">
        <f>0.533*(4.19 * 50)</f>
        <v>111.66350000000003</v>
      </c>
      <c r="AC351">
        <f>0.542*(4.19 * 50)</f>
        <v>113.54900000000002</v>
      </c>
      <c r="AD351">
        <f>0.551*(4.19 * 50)</f>
        <v>115.43450000000003</v>
      </c>
      <c r="AE351">
        <f>0.555*(4.19 * 50)</f>
        <v>116.27250000000002</v>
      </c>
      <c r="AF351">
        <f>0.55*(4.19 * 50)</f>
        <v>115.22500000000002</v>
      </c>
      <c r="AG351">
        <f>0.543*(4.19 * 50)</f>
        <v>113.75850000000003</v>
      </c>
    </row>
    <row r="352" spans="1:33" x14ac:dyDescent="0.3">
      <c r="A352" t="s">
        <v>395</v>
      </c>
      <c r="B352">
        <v>358370.210938</v>
      </c>
      <c r="C352">
        <v>6669176.9492189996</v>
      </c>
      <c r="D352" t="s">
        <v>542</v>
      </c>
      <c r="E352">
        <v>100</v>
      </c>
      <c r="F352">
        <v>92.333000183105398</v>
      </c>
      <c r="G352">
        <v>0.44073031113654121</v>
      </c>
      <c r="H352">
        <f t="shared" si="11"/>
        <v>178.85650018310542</v>
      </c>
      <c r="I352">
        <f t="shared" si="10"/>
        <v>209.50000000000003</v>
      </c>
      <c r="J352">
        <f>0.402*(4.19 * 50)</f>
        <v>84.219000000000023</v>
      </c>
      <c r="K352">
        <f>0.399*(4.19 * 50)</f>
        <v>83.59050000000002</v>
      </c>
      <c r="L352">
        <f>0.396*(4.19 * 50)</f>
        <v>82.962000000000018</v>
      </c>
      <c r="M352">
        <f>0.395*(4.19 * 50)</f>
        <v>82.752500000000012</v>
      </c>
      <c r="N352">
        <f>0.396*(4.19 * 50)</f>
        <v>82.962000000000018</v>
      </c>
      <c r="O352">
        <f>0.401*(4.19 * 50)</f>
        <v>84.009500000000017</v>
      </c>
      <c r="P352">
        <f>0.413*(4.19 * 50)</f>
        <v>86.523500000000013</v>
      </c>
      <c r="Q352">
        <f>0.424*(4.19 * 50)</f>
        <v>88.828000000000003</v>
      </c>
      <c r="R352">
        <f>0.421*(4.19 * 50)</f>
        <v>88.199500000000015</v>
      </c>
      <c r="S352">
        <f>0.412*(4.19 * 50)</f>
        <v>86.314000000000007</v>
      </c>
      <c r="T352">
        <f>0.41*(4.19 * 50)</f>
        <v>85.89500000000001</v>
      </c>
      <c r="U352">
        <f>0.393*(4.19 * 50)</f>
        <v>82.333500000000015</v>
      </c>
      <c r="V352">
        <f>0.387*(4.19 * 50)</f>
        <v>81.07650000000001</v>
      </c>
      <c r="W352">
        <f>0.382*(4.19 * 50)</f>
        <v>80.029000000000011</v>
      </c>
      <c r="X352">
        <f>0.381*(4.19 * 50)</f>
        <v>79.819500000000005</v>
      </c>
      <c r="Y352">
        <f>0.382*(4.19 * 50)</f>
        <v>80.029000000000011</v>
      </c>
      <c r="Z352">
        <f>0.386*(4.19 * 50)</f>
        <v>80.867000000000019</v>
      </c>
      <c r="AA352">
        <f>0.393*(4.19 * 50)</f>
        <v>82.333500000000015</v>
      </c>
      <c r="AB352">
        <f>0.399*(4.19 * 50)</f>
        <v>83.59050000000002</v>
      </c>
      <c r="AC352">
        <f>0.406*(4.19 * 50)</f>
        <v>85.057000000000016</v>
      </c>
      <c r="AD352">
        <f>0.413*(4.19 * 50)</f>
        <v>86.523500000000013</v>
      </c>
      <c r="AE352">
        <f>0.416*(4.19 * 50)</f>
        <v>87.152000000000001</v>
      </c>
      <c r="AF352">
        <f>0.412*(4.19 * 50)</f>
        <v>86.314000000000007</v>
      </c>
      <c r="AG352">
        <f>0.406*(4.19 * 50)</f>
        <v>85.057000000000016</v>
      </c>
    </row>
    <row r="353" spans="1:33" x14ac:dyDescent="0.3">
      <c r="A353" t="s">
        <v>396</v>
      </c>
      <c r="B353">
        <v>359573.375</v>
      </c>
      <c r="C353">
        <v>6667398.5859380001</v>
      </c>
      <c r="D353" t="s">
        <v>542</v>
      </c>
      <c r="E353">
        <v>100</v>
      </c>
      <c r="F353">
        <v>105.333000183105</v>
      </c>
      <c r="G353">
        <v>0.50278281710312644</v>
      </c>
      <c r="H353">
        <f t="shared" si="11"/>
        <v>204.21700018310503</v>
      </c>
      <c r="I353">
        <f t="shared" si="10"/>
        <v>209.50000000000003</v>
      </c>
      <c r="J353">
        <f>0.458*(4.19 * 50)</f>
        <v>95.951000000000022</v>
      </c>
      <c r="K353">
        <f>0.455*(4.19 * 50)</f>
        <v>95.322500000000019</v>
      </c>
      <c r="L353">
        <f>0.452*(4.19 * 50)</f>
        <v>94.694000000000017</v>
      </c>
      <c r="M353">
        <f>0.45*(4.19 * 50)</f>
        <v>94.27500000000002</v>
      </c>
      <c r="N353">
        <f>0.452*(4.19 * 50)</f>
        <v>94.694000000000017</v>
      </c>
      <c r="O353">
        <f>0.458*(4.19 * 50)</f>
        <v>95.951000000000022</v>
      </c>
      <c r="P353">
        <f>0.472*(4.19 * 50)</f>
        <v>98.884000000000015</v>
      </c>
      <c r="Q353">
        <f>0.484*(4.19 * 50)</f>
        <v>101.39800000000001</v>
      </c>
      <c r="R353">
        <f>0.48*(4.19 * 50)</f>
        <v>100.56000000000002</v>
      </c>
      <c r="S353">
        <f>0.47*(4.19 * 50)</f>
        <v>98.465000000000003</v>
      </c>
      <c r="T353">
        <f>0.468*(4.19 * 50)</f>
        <v>98.046000000000021</v>
      </c>
      <c r="U353">
        <f>0.448*(4.19 * 50)</f>
        <v>93.856000000000009</v>
      </c>
      <c r="V353">
        <f>0.442*(4.19 * 50)</f>
        <v>92.599000000000018</v>
      </c>
      <c r="W353">
        <f>0.436*(4.19 * 50)</f>
        <v>91.342000000000013</v>
      </c>
      <c r="X353">
        <f>0.435*(4.19 * 50)</f>
        <v>91.132500000000007</v>
      </c>
      <c r="Y353">
        <f>0.436*(4.19 * 50)</f>
        <v>91.342000000000013</v>
      </c>
      <c r="Z353">
        <f>0.44*(4.19 * 50)</f>
        <v>92.18</v>
      </c>
      <c r="AA353">
        <f>0.448*(4.19 * 50)</f>
        <v>93.856000000000009</v>
      </c>
      <c r="AB353">
        <f>0.455*(4.19 * 50)</f>
        <v>95.322500000000019</v>
      </c>
      <c r="AC353">
        <f>0.463*(4.19 * 50)</f>
        <v>96.998500000000021</v>
      </c>
      <c r="AD353">
        <f>0.471*(4.19 * 50)</f>
        <v>98.674500000000009</v>
      </c>
      <c r="AE353">
        <f>0.474*(4.19 * 50)</f>
        <v>99.303000000000011</v>
      </c>
      <c r="AF353">
        <f>0.47*(4.19 * 50)</f>
        <v>98.465000000000003</v>
      </c>
      <c r="AG353">
        <f>0.463*(4.19 * 50)</f>
        <v>96.998500000000021</v>
      </c>
    </row>
    <row r="354" spans="1:33" x14ac:dyDescent="0.3">
      <c r="A354" t="s">
        <v>397</v>
      </c>
      <c r="B354">
        <v>358405.203125</v>
      </c>
      <c r="C354">
        <v>6669234.5976560004</v>
      </c>
      <c r="D354" t="s">
        <v>542</v>
      </c>
      <c r="E354">
        <v>100</v>
      </c>
      <c r="F354">
        <v>136.66700744628901</v>
      </c>
      <c r="G354">
        <v>0.65234848423049641</v>
      </c>
      <c r="H354">
        <f t="shared" si="11"/>
        <v>264.881007446289</v>
      </c>
      <c r="I354">
        <f t="shared" si="10"/>
        <v>209.50000000000003</v>
      </c>
      <c r="J354">
        <f>0.595*(4.19 * 50)</f>
        <v>124.65250000000002</v>
      </c>
      <c r="K354">
        <f>0.59*(4.19 * 50)</f>
        <v>123.605</v>
      </c>
      <c r="L354">
        <f>0.587*(4.19 * 50)</f>
        <v>122.97650000000002</v>
      </c>
      <c r="M354">
        <f>0.584*(4.19 * 50)</f>
        <v>122.34800000000001</v>
      </c>
      <c r="N354">
        <f>0.587*(4.19 * 50)</f>
        <v>122.97650000000002</v>
      </c>
      <c r="O354">
        <f>0.594*(4.19 * 50)</f>
        <v>124.44300000000001</v>
      </c>
      <c r="P354">
        <f>0.612*(4.19 * 50)</f>
        <v>128.21400000000003</v>
      </c>
      <c r="Q354">
        <f>0.628*(4.19 * 50)</f>
        <v>131.56600000000003</v>
      </c>
      <c r="R354">
        <f>0.623*(4.19 * 50)</f>
        <v>130.51850000000002</v>
      </c>
      <c r="S354">
        <f>0.61*(4.19 * 50)</f>
        <v>127.79500000000002</v>
      </c>
      <c r="T354">
        <f>0.607*(4.19 * 50)</f>
        <v>127.16650000000001</v>
      </c>
      <c r="U354">
        <f>0.582*(4.19 * 50)</f>
        <v>121.929</v>
      </c>
      <c r="V354">
        <f>0.573*(4.19 * 50)</f>
        <v>120.04350000000001</v>
      </c>
      <c r="W354">
        <f>0.566*(4.19 * 50)</f>
        <v>118.577</v>
      </c>
      <c r="X354">
        <f>0.564*(4.19 * 50)</f>
        <v>118.158</v>
      </c>
      <c r="Y354">
        <f>0.565*(4.19 * 50)</f>
        <v>118.36750000000001</v>
      </c>
      <c r="Z354">
        <f>0.571*(4.19 * 50)</f>
        <v>119.62450000000001</v>
      </c>
      <c r="AA354">
        <f>0.582*(4.19 * 50)</f>
        <v>121.929</v>
      </c>
      <c r="AB354">
        <f>0.59*(4.19 * 50)</f>
        <v>123.605</v>
      </c>
      <c r="AC354">
        <f>0.601*(4.19 * 50)</f>
        <v>125.90950000000001</v>
      </c>
      <c r="AD354">
        <f>0.611*(4.19 * 50)</f>
        <v>128.00450000000001</v>
      </c>
      <c r="AE354">
        <f>0.615*(4.19 * 50)</f>
        <v>128.84250000000003</v>
      </c>
      <c r="AF354">
        <f>0.61*(4.19 * 50)</f>
        <v>127.79500000000002</v>
      </c>
      <c r="AG354">
        <f>0.601*(4.19 * 50)</f>
        <v>125.90950000000001</v>
      </c>
    </row>
    <row r="355" spans="1:33" x14ac:dyDescent="0.3">
      <c r="A355" t="s">
        <v>398</v>
      </c>
      <c r="B355">
        <v>363609.867188</v>
      </c>
      <c r="C355">
        <v>6671064.7539060004</v>
      </c>
      <c r="D355" t="s">
        <v>541</v>
      </c>
      <c r="E355">
        <v>100</v>
      </c>
      <c r="F355">
        <v>11.333000183105399</v>
      </c>
      <c r="G355">
        <v>5.4095466267806203E-2</v>
      </c>
      <c r="H355">
        <f t="shared" si="11"/>
        <v>22.017500183105398</v>
      </c>
      <c r="I355">
        <f t="shared" si="10"/>
        <v>209.50000000000003</v>
      </c>
      <c r="J355">
        <f>0.049*(4.19 * 50)</f>
        <v>10.265500000000001</v>
      </c>
      <c r="K355">
        <f>0.049*(4.19 * 50)</f>
        <v>10.265500000000001</v>
      </c>
      <c r="L355">
        <f>0.049*(4.19 * 50)</f>
        <v>10.265500000000001</v>
      </c>
      <c r="M355">
        <f>0.048*(4.19 * 50)</f>
        <v>10.056000000000001</v>
      </c>
      <c r="N355">
        <f>0.049*(4.19 * 50)</f>
        <v>10.265500000000001</v>
      </c>
      <c r="O355">
        <f>0.049*(4.19 * 50)</f>
        <v>10.265500000000001</v>
      </c>
      <c r="P355">
        <f>0.051*(4.19 * 50)</f>
        <v>10.6845</v>
      </c>
      <c r="Q355">
        <f>0.052*(4.19 * 50)</f>
        <v>10.894</v>
      </c>
      <c r="R355">
        <f>0.052*(4.19 * 50)</f>
        <v>10.894</v>
      </c>
      <c r="S355">
        <f>0.051*(4.19 * 50)</f>
        <v>10.6845</v>
      </c>
      <c r="T355">
        <f>0.05*(4.19 * 50)</f>
        <v>10.475000000000001</v>
      </c>
      <c r="U355">
        <f>0.048*(4.19 * 50)</f>
        <v>10.056000000000001</v>
      </c>
      <c r="V355">
        <f>0.048*(4.19 * 50)</f>
        <v>10.056000000000001</v>
      </c>
      <c r="W355">
        <f>0.047*(4.19 * 50)</f>
        <v>9.8465000000000007</v>
      </c>
      <c r="X355">
        <f>0.047*(4.19 * 50)</f>
        <v>9.8465000000000007</v>
      </c>
      <c r="Y355">
        <f>0.047*(4.19 * 50)</f>
        <v>9.8465000000000007</v>
      </c>
      <c r="Z355">
        <f>0.047*(4.19 * 50)</f>
        <v>9.8465000000000007</v>
      </c>
      <c r="AA355">
        <f>0.048*(4.19 * 50)</f>
        <v>10.056000000000001</v>
      </c>
      <c r="AB355">
        <f>0.049*(4.19 * 50)</f>
        <v>10.265500000000001</v>
      </c>
      <c r="AC355">
        <f>0.05*(4.19 * 50)</f>
        <v>10.475000000000001</v>
      </c>
      <c r="AD355">
        <f>0.051*(4.19 * 50)</f>
        <v>10.6845</v>
      </c>
      <c r="AE355">
        <f>0.051*(4.19 * 50)</f>
        <v>10.6845</v>
      </c>
      <c r="AF355">
        <f>0.051*(4.19 * 50)</f>
        <v>10.6845</v>
      </c>
      <c r="AG355">
        <f>0.05*(4.19 * 50)</f>
        <v>10.475000000000001</v>
      </c>
    </row>
    <row r="356" spans="1:33" x14ac:dyDescent="0.3">
      <c r="A356" t="s">
        <v>399</v>
      </c>
      <c r="B356">
        <v>357010.085938</v>
      </c>
      <c r="C356">
        <v>6669232.25</v>
      </c>
      <c r="D356" t="s">
        <v>561</v>
      </c>
      <c r="E356">
        <v>100</v>
      </c>
      <c r="F356">
        <v>109</v>
      </c>
      <c r="G356">
        <v>0.52028639618138417</v>
      </c>
      <c r="H356">
        <f t="shared" si="11"/>
        <v>211.23600000000002</v>
      </c>
      <c r="I356">
        <f t="shared" si="10"/>
        <v>209.50000000000003</v>
      </c>
      <c r="J356">
        <f>0.474*(4.19 * 50)</f>
        <v>99.303000000000011</v>
      </c>
      <c r="K356">
        <f>0.471*(4.19 * 50)</f>
        <v>98.674500000000009</v>
      </c>
      <c r="L356">
        <f>0.468*(4.19 * 50)</f>
        <v>98.046000000000021</v>
      </c>
      <c r="M356">
        <f>0.466*(4.19 * 50)</f>
        <v>97.627000000000024</v>
      </c>
      <c r="N356">
        <f>0.468*(4.19 * 50)</f>
        <v>98.046000000000021</v>
      </c>
      <c r="O356">
        <f>0.474*(4.19 * 50)</f>
        <v>99.303000000000011</v>
      </c>
      <c r="P356">
        <f>0.488*(4.19 * 50)</f>
        <v>102.23600000000002</v>
      </c>
      <c r="Q356">
        <f>0.501*(4.19 * 50)</f>
        <v>104.95950000000002</v>
      </c>
      <c r="R356">
        <f>0.497*(4.19 * 50)</f>
        <v>104.12150000000001</v>
      </c>
      <c r="S356">
        <f>0.486*(4.19 * 50)</f>
        <v>101.81700000000001</v>
      </c>
      <c r="T356">
        <f>0.484*(4.19 * 50)</f>
        <v>101.39800000000001</v>
      </c>
      <c r="U356">
        <f>0.464*(4.19 * 50)</f>
        <v>97.208000000000013</v>
      </c>
      <c r="V356">
        <f>0.457*(4.19 * 50)</f>
        <v>95.741500000000016</v>
      </c>
      <c r="W356">
        <f>0.451*(4.19 * 50)</f>
        <v>94.484500000000011</v>
      </c>
      <c r="X356">
        <f>0.45*(4.19 * 50)</f>
        <v>94.27500000000002</v>
      </c>
      <c r="Y356">
        <f>0.451*(4.19 * 50)</f>
        <v>94.484500000000011</v>
      </c>
      <c r="Z356">
        <f>0.455*(4.19 * 50)</f>
        <v>95.322500000000019</v>
      </c>
      <c r="AA356">
        <f>0.464*(4.19 * 50)</f>
        <v>97.208000000000013</v>
      </c>
      <c r="AB356">
        <f>0.471*(4.19 * 50)</f>
        <v>98.674500000000009</v>
      </c>
      <c r="AC356">
        <f>0.479*(4.19 * 50)</f>
        <v>100.35050000000001</v>
      </c>
      <c r="AD356">
        <f>0.487*(4.19 * 50)</f>
        <v>102.02650000000001</v>
      </c>
      <c r="AE356">
        <f>0.491*(4.19 * 50)</f>
        <v>102.86450000000001</v>
      </c>
      <c r="AF356">
        <f>0.486*(4.19 * 50)</f>
        <v>101.81700000000001</v>
      </c>
      <c r="AG356">
        <f>0.48*(4.19 * 50)</f>
        <v>100.56000000000002</v>
      </c>
    </row>
    <row r="357" spans="1:33" x14ac:dyDescent="0.3">
      <c r="A357" t="s">
        <v>400</v>
      </c>
      <c r="B357">
        <v>358584.246094</v>
      </c>
      <c r="C357">
        <v>6669438.796875</v>
      </c>
      <c r="D357" t="s">
        <v>542</v>
      </c>
      <c r="E357">
        <v>100</v>
      </c>
      <c r="F357">
        <v>59</v>
      </c>
      <c r="G357">
        <v>0.2816229116945107</v>
      </c>
      <c r="H357">
        <f t="shared" si="11"/>
        <v>114.30800000000001</v>
      </c>
      <c r="I357">
        <f t="shared" si="10"/>
        <v>209.50000000000003</v>
      </c>
      <c r="J357">
        <f>0.257*(4.19 * 50)</f>
        <v>53.841500000000011</v>
      </c>
      <c r="K357">
        <f>0.255*(4.19 * 50)</f>
        <v>53.422500000000007</v>
      </c>
      <c r="L357">
        <f>0.253*(4.19 * 50)</f>
        <v>53.00350000000001</v>
      </c>
      <c r="M357">
        <f>0.252*(4.19 * 50)</f>
        <v>52.794000000000004</v>
      </c>
      <c r="N357">
        <f>0.253*(4.19 * 50)</f>
        <v>53.00350000000001</v>
      </c>
      <c r="O357">
        <f>0.257*(4.19 * 50)</f>
        <v>53.841500000000011</v>
      </c>
      <c r="P357">
        <f>0.264*(4.19 * 50)</f>
        <v>55.308000000000007</v>
      </c>
      <c r="Q357">
        <f>0.271*(4.19 * 50)</f>
        <v>56.77450000000001</v>
      </c>
      <c r="R357">
        <f>0.269*(4.19 * 50)</f>
        <v>56.355500000000013</v>
      </c>
      <c r="S357">
        <f>0.263*(4.19 * 50)</f>
        <v>55.098500000000008</v>
      </c>
      <c r="T357">
        <f>0.262*(4.19 * 50)</f>
        <v>54.88900000000001</v>
      </c>
      <c r="U357">
        <f>0.251*(4.19 * 50)</f>
        <v>52.584500000000006</v>
      </c>
      <c r="V357">
        <f>0.248*(4.19 * 50)</f>
        <v>51.95600000000001</v>
      </c>
      <c r="W357">
        <f>0.244*(4.19 * 50)</f>
        <v>51.118000000000009</v>
      </c>
      <c r="X357">
        <f>0.243*(4.19 * 50)</f>
        <v>50.908500000000004</v>
      </c>
      <c r="Y357">
        <f>0.244*(4.19 * 50)</f>
        <v>51.118000000000009</v>
      </c>
      <c r="Z357">
        <f>0.247*(4.19 * 50)</f>
        <v>51.746500000000005</v>
      </c>
      <c r="AA357">
        <f>0.251*(4.19 * 50)</f>
        <v>52.584500000000006</v>
      </c>
      <c r="AB357">
        <f>0.255*(4.19 * 50)</f>
        <v>53.422500000000007</v>
      </c>
      <c r="AC357">
        <f>0.259*(4.19 * 50)</f>
        <v>54.260500000000008</v>
      </c>
      <c r="AD357">
        <f>0.264*(4.19 * 50)</f>
        <v>55.308000000000007</v>
      </c>
      <c r="AE357">
        <f>0.266*(4.19 * 50)</f>
        <v>55.727000000000011</v>
      </c>
      <c r="AF357">
        <f>0.263*(4.19 * 50)</f>
        <v>55.098500000000008</v>
      </c>
      <c r="AG357">
        <f>0.26*(4.19 * 50)</f>
        <v>54.470000000000006</v>
      </c>
    </row>
    <row r="358" spans="1:33" x14ac:dyDescent="0.3">
      <c r="A358" t="s">
        <v>401</v>
      </c>
      <c r="B358">
        <v>358548.808594</v>
      </c>
      <c r="C358">
        <v>6669499.0078130001</v>
      </c>
      <c r="D358" t="s">
        <v>542</v>
      </c>
      <c r="E358">
        <v>100</v>
      </c>
      <c r="F358">
        <v>89.666999816894503</v>
      </c>
      <c r="G358">
        <v>0.42800477239567769</v>
      </c>
      <c r="H358">
        <f t="shared" si="11"/>
        <v>173.88599981689453</v>
      </c>
      <c r="I358">
        <f t="shared" si="10"/>
        <v>209.50000000000003</v>
      </c>
      <c r="J358">
        <f>0.39*(4.19 * 50)</f>
        <v>81.705000000000013</v>
      </c>
      <c r="K358">
        <f>0.387*(4.19 * 50)</f>
        <v>81.07650000000001</v>
      </c>
      <c r="L358">
        <f>0.385*(4.19 * 50)</f>
        <v>80.657500000000013</v>
      </c>
      <c r="M358">
        <f>0.383*(4.19 * 50)</f>
        <v>80.238500000000016</v>
      </c>
      <c r="N358">
        <f>0.385*(4.19 * 50)</f>
        <v>80.657500000000013</v>
      </c>
      <c r="O358">
        <f>0.39*(4.19 * 50)</f>
        <v>81.705000000000013</v>
      </c>
      <c r="P358">
        <f>0.402*(4.19 * 50)</f>
        <v>84.219000000000023</v>
      </c>
      <c r="Q358">
        <f>0.412*(4.19 * 50)</f>
        <v>86.314000000000007</v>
      </c>
      <c r="R358">
        <f>0.409*(4.19 * 50)</f>
        <v>85.685500000000005</v>
      </c>
      <c r="S358">
        <f>0.4*(4.19 * 50)</f>
        <v>83.800000000000011</v>
      </c>
      <c r="T358">
        <f>0.398*(4.19 * 50)</f>
        <v>83.381000000000014</v>
      </c>
      <c r="U358">
        <f>0.382*(4.19 * 50)</f>
        <v>80.029000000000011</v>
      </c>
      <c r="V358">
        <f>0.376*(4.19 * 50)</f>
        <v>78.772000000000006</v>
      </c>
      <c r="W358">
        <f>0.371*(4.19 * 50)</f>
        <v>77.724500000000006</v>
      </c>
      <c r="X358">
        <f>0.37*(4.19 * 50)</f>
        <v>77.515000000000015</v>
      </c>
      <c r="Y358">
        <f>0.371*(4.19 * 50)</f>
        <v>77.724500000000006</v>
      </c>
      <c r="Z358">
        <f>0.375*(4.19 * 50)</f>
        <v>78.562500000000014</v>
      </c>
      <c r="AA358">
        <f>0.382*(4.19 * 50)</f>
        <v>80.029000000000011</v>
      </c>
      <c r="AB358">
        <f>0.387*(4.19 * 50)</f>
        <v>81.07650000000001</v>
      </c>
      <c r="AC358">
        <f>0.394*(4.19 * 50)</f>
        <v>82.543000000000021</v>
      </c>
      <c r="AD358">
        <f>0.401*(4.19 * 50)</f>
        <v>84.009500000000017</v>
      </c>
      <c r="AE358">
        <f>0.404*(4.19 * 50)</f>
        <v>84.638000000000019</v>
      </c>
      <c r="AF358">
        <f>0.4*(4.19 * 50)</f>
        <v>83.800000000000011</v>
      </c>
      <c r="AG358">
        <f>0.395*(4.19 * 50)</f>
        <v>82.752500000000012</v>
      </c>
    </row>
    <row r="359" spans="1:33" x14ac:dyDescent="0.3">
      <c r="A359" t="s">
        <v>402</v>
      </c>
      <c r="B359">
        <v>363085.023438</v>
      </c>
      <c r="C359">
        <v>6671267.4335939996</v>
      </c>
      <c r="D359" t="s">
        <v>542</v>
      </c>
      <c r="E359">
        <v>100</v>
      </c>
      <c r="F359">
        <v>44.333000183105398</v>
      </c>
      <c r="G359">
        <v>0.21161336602914271</v>
      </c>
      <c r="H359">
        <f t="shared" si="11"/>
        <v>86.023500183105398</v>
      </c>
      <c r="I359">
        <f t="shared" si="10"/>
        <v>209.50000000000003</v>
      </c>
      <c r="J359">
        <f>0.193*(4.19 * 50)</f>
        <v>40.433500000000009</v>
      </c>
      <c r="K359">
        <f>0.191*(4.19 * 50)</f>
        <v>40.014500000000005</v>
      </c>
      <c r="L359">
        <f>0.19*(4.19 * 50)</f>
        <v>39.805000000000007</v>
      </c>
      <c r="M359">
        <f>0.189*(4.19 * 50)</f>
        <v>39.595500000000008</v>
      </c>
      <c r="N359">
        <f>0.19*(4.19 * 50)</f>
        <v>39.805000000000007</v>
      </c>
      <c r="O359">
        <f>0.193*(4.19 * 50)</f>
        <v>40.433500000000009</v>
      </c>
      <c r="P359">
        <f>0.199*(4.19 * 50)</f>
        <v>41.690500000000007</v>
      </c>
      <c r="Q359">
        <f>0.204*(4.19 * 50)</f>
        <v>42.738</v>
      </c>
      <c r="R359">
        <f>0.202*(4.19 * 50)</f>
        <v>42.31900000000001</v>
      </c>
      <c r="S359">
        <f>0.198*(4.19 * 50)</f>
        <v>41.481000000000009</v>
      </c>
      <c r="T359">
        <f>0.197*(4.19 * 50)</f>
        <v>41.27150000000001</v>
      </c>
      <c r="U359">
        <f>0.189*(4.19 * 50)</f>
        <v>39.595500000000008</v>
      </c>
      <c r="V359">
        <f>0.186*(4.19 * 50)</f>
        <v>38.967000000000006</v>
      </c>
      <c r="W359">
        <f>0.184*(4.19 * 50)</f>
        <v>38.548000000000002</v>
      </c>
      <c r="X359">
        <f>0.183*(4.19 * 50)</f>
        <v>38.338500000000003</v>
      </c>
      <c r="Y359">
        <f>0.183*(4.19 * 50)</f>
        <v>38.338500000000003</v>
      </c>
      <c r="Z359">
        <f>0.185*(4.19 * 50)</f>
        <v>38.757500000000007</v>
      </c>
      <c r="AA359">
        <f>0.189*(4.19 * 50)</f>
        <v>39.595500000000008</v>
      </c>
      <c r="AB359">
        <f>0.191*(4.19 * 50)</f>
        <v>40.014500000000005</v>
      </c>
      <c r="AC359">
        <f>0.195*(4.19 * 50)</f>
        <v>40.852500000000006</v>
      </c>
      <c r="AD359">
        <f>0.198*(4.19 * 50)</f>
        <v>41.481000000000009</v>
      </c>
      <c r="AE359">
        <f>0.2*(4.19 * 50)</f>
        <v>41.900000000000006</v>
      </c>
      <c r="AF359">
        <f>0.198*(4.19 * 50)</f>
        <v>41.481000000000009</v>
      </c>
      <c r="AG359">
        <f>0.195*(4.19 * 50)</f>
        <v>40.852500000000006</v>
      </c>
    </row>
    <row r="360" spans="1:33" x14ac:dyDescent="0.3">
      <c r="A360" t="s">
        <v>403</v>
      </c>
      <c r="B360">
        <v>358520.960938</v>
      </c>
      <c r="C360">
        <v>6669379.7929689996</v>
      </c>
      <c r="D360" t="s">
        <v>542</v>
      </c>
      <c r="E360">
        <v>100</v>
      </c>
      <c r="F360">
        <v>257.3330078125</v>
      </c>
      <c r="G360">
        <v>1.2283198463603819</v>
      </c>
      <c r="H360">
        <f t="shared" si="11"/>
        <v>498.67700781250005</v>
      </c>
      <c r="I360">
        <f t="shared" si="10"/>
        <v>209.50000000000003</v>
      </c>
      <c r="J360">
        <f>1.12*(4.19 * 50)</f>
        <v>234.64000000000004</v>
      </c>
      <c r="K360">
        <f>1.111*(4.19 * 50)</f>
        <v>232.75450000000004</v>
      </c>
      <c r="L360">
        <f>1.104*(4.19 * 50)</f>
        <v>231.28800000000004</v>
      </c>
      <c r="M360">
        <f>1.1*(4.19 * 50)</f>
        <v>230.45000000000005</v>
      </c>
      <c r="N360">
        <f>1.104*(4.19 * 50)</f>
        <v>231.28800000000004</v>
      </c>
      <c r="O360">
        <f>1.119*(4.19 * 50)</f>
        <v>234.43050000000002</v>
      </c>
      <c r="P360">
        <f>1.152*(4.19 * 50)</f>
        <v>241.34400000000002</v>
      </c>
      <c r="Q360">
        <f>1.183*(4.19 * 50)</f>
        <v>247.83850000000004</v>
      </c>
      <c r="R360">
        <f>1.173*(4.19 * 50)</f>
        <v>245.74350000000004</v>
      </c>
      <c r="S360">
        <f>1.148*(4.19 * 50)</f>
        <v>240.506</v>
      </c>
      <c r="T360">
        <f>1.143*(4.19 * 50)</f>
        <v>239.45850000000004</v>
      </c>
      <c r="U360">
        <f>1.095*(4.19 * 50)</f>
        <v>229.40250000000003</v>
      </c>
      <c r="V360">
        <f>1.08*(4.19 * 50)</f>
        <v>226.26000000000005</v>
      </c>
      <c r="W360">
        <f>1.065*(4.19 * 50)</f>
        <v>223.11750000000001</v>
      </c>
      <c r="X360">
        <f>1.062*(4.19 * 50)</f>
        <v>222.48900000000003</v>
      </c>
      <c r="Y360">
        <f>1.064*(4.19 * 50)</f>
        <v>222.90800000000004</v>
      </c>
      <c r="Z360">
        <f>1.075*(4.19 * 50)</f>
        <v>225.21250000000003</v>
      </c>
      <c r="AA360">
        <f>1.095*(4.19 * 50)</f>
        <v>229.40250000000003</v>
      </c>
      <c r="AB360">
        <f>1.111*(4.19 * 50)</f>
        <v>232.75450000000004</v>
      </c>
      <c r="AC360">
        <f>1.131*(4.19 * 50)</f>
        <v>236.94450000000003</v>
      </c>
      <c r="AD360">
        <f>1.15*(4.19 * 50)</f>
        <v>240.92500000000001</v>
      </c>
      <c r="AE360">
        <f>1.158*(4.19 * 50)</f>
        <v>242.60100000000003</v>
      </c>
      <c r="AF360">
        <f>1.148*(4.19 * 50)</f>
        <v>240.506</v>
      </c>
      <c r="AG360">
        <f>1.132*(4.19 * 50)</f>
        <v>237.154</v>
      </c>
    </row>
    <row r="361" spans="1:33" x14ac:dyDescent="0.3">
      <c r="A361" t="s">
        <v>404</v>
      </c>
      <c r="B361">
        <v>358483.542969</v>
      </c>
      <c r="C361">
        <v>6669254.3671880001</v>
      </c>
      <c r="D361" t="s">
        <v>542</v>
      </c>
      <c r="E361">
        <v>100</v>
      </c>
      <c r="F361">
        <v>255.33299255371</v>
      </c>
      <c r="G361">
        <v>1.2187732341465869</v>
      </c>
      <c r="H361">
        <f t="shared" si="11"/>
        <v>494.79149255371004</v>
      </c>
      <c r="I361">
        <f t="shared" si="10"/>
        <v>209.50000000000003</v>
      </c>
      <c r="J361">
        <f>1.111*(4.19 * 50)</f>
        <v>232.75450000000004</v>
      </c>
      <c r="K361">
        <f>1.102*(4.19 * 50)</f>
        <v>230.86900000000006</v>
      </c>
      <c r="L361">
        <f>1.096*(4.19 * 50)</f>
        <v>229.61200000000005</v>
      </c>
      <c r="M361">
        <f>1.091*(4.19 * 50)</f>
        <v>228.56450000000004</v>
      </c>
      <c r="N361">
        <f>1.096*(4.19 * 50)</f>
        <v>229.61200000000005</v>
      </c>
      <c r="O361">
        <f>1.11*(4.19 * 50)</f>
        <v>232.54500000000004</v>
      </c>
      <c r="P361">
        <f>1.143*(4.19 * 50)</f>
        <v>239.45850000000004</v>
      </c>
      <c r="Q361">
        <f>1.173*(4.19 * 50)</f>
        <v>245.74350000000004</v>
      </c>
      <c r="R361">
        <f>1.163*(4.19 * 50)</f>
        <v>243.64850000000004</v>
      </c>
      <c r="S361">
        <f>1.139*(4.19 * 50)</f>
        <v>238.62050000000002</v>
      </c>
      <c r="T361">
        <f>1.135*(4.19 * 50)</f>
        <v>237.78250000000003</v>
      </c>
      <c r="U361">
        <f>1.087*(4.19 * 50)</f>
        <v>227.72650000000002</v>
      </c>
      <c r="V361">
        <f>1.071*(4.19 * 50)</f>
        <v>224.37450000000001</v>
      </c>
      <c r="W361">
        <f>1.057*(4.19 * 50)</f>
        <v>221.44150000000002</v>
      </c>
      <c r="X361">
        <f>1.054*(4.19 * 50)</f>
        <v>220.81300000000005</v>
      </c>
      <c r="Y361">
        <f>1.056*(4.19 * 50)</f>
        <v>221.23200000000003</v>
      </c>
      <c r="Z361">
        <f>1.067*(4.19 * 50)</f>
        <v>223.53650000000002</v>
      </c>
      <c r="AA361">
        <f>1.087*(4.19 * 50)</f>
        <v>227.72650000000002</v>
      </c>
      <c r="AB361">
        <f>1.102*(4.19 * 50)</f>
        <v>230.86900000000006</v>
      </c>
      <c r="AC361">
        <f>1.122*(4.19 * 50)</f>
        <v>235.05900000000005</v>
      </c>
      <c r="AD361">
        <f>1.141*(4.19 * 50)</f>
        <v>239.03950000000003</v>
      </c>
      <c r="AE361">
        <f>1.149*(4.19 * 50)</f>
        <v>240.71550000000005</v>
      </c>
      <c r="AF361">
        <f>1.139*(4.19 * 50)</f>
        <v>238.62050000000002</v>
      </c>
      <c r="AG361">
        <f>1.124*(4.19 * 50)</f>
        <v>235.47800000000007</v>
      </c>
    </row>
    <row r="362" spans="1:33" x14ac:dyDescent="0.3">
      <c r="A362" t="s">
        <v>405</v>
      </c>
      <c r="B362">
        <v>358489.835938</v>
      </c>
      <c r="C362">
        <v>6669276.390625</v>
      </c>
      <c r="D362" t="s">
        <v>542</v>
      </c>
      <c r="E362">
        <v>100</v>
      </c>
      <c r="F362">
        <v>129</v>
      </c>
      <c r="G362">
        <v>0.61575178997613356</v>
      </c>
      <c r="H362">
        <f t="shared" si="11"/>
        <v>250.09100000000001</v>
      </c>
      <c r="I362">
        <f t="shared" si="10"/>
        <v>209.50000000000003</v>
      </c>
      <c r="J362">
        <f>0.561*(4.19 * 50)</f>
        <v>117.52950000000003</v>
      </c>
      <c r="K362">
        <f>0.557*(4.19 * 50)</f>
        <v>116.69150000000003</v>
      </c>
      <c r="L362">
        <f>0.554*(4.19 * 50)</f>
        <v>116.06300000000003</v>
      </c>
      <c r="M362">
        <f>0.551*(4.19 * 50)</f>
        <v>115.43450000000003</v>
      </c>
      <c r="N362">
        <f>0.554*(4.19 * 50)</f>
        <v>116.06300000000003</v>
      </c>
      <c r="O362">
        <f>0.561*(4.19 * 50)</f>
        <v>117.52950000000003</v>
      </c>
      <c r="P362">
        <f>0.578*(4.19 * 50)</f>
        <v>121.09100000000001</v>
      </c>
      <c r="Q362">
        <f>0.593*(4.19 * 50)</f>
        <v>124.23350000000001</v>
      </c>
      <c r="R362">
        <f>0.588*(4.19 * 50)</f>
        <v>123.18600000000001</v>
      </c>
      <c r="S362">
        <f>0.575*(4.19 * 50)</f>
        <v>120.46250000000001</v>
      </c>
      <c r="T362">
        <f>0.573*(4.19 * 50)</f>
        <v>120.04350000000001</v>
      </c>
      <c r="U362">
        <f>0.549*(4.19 * 50)</f>
        <v>115.01550000000003</v>
      </c>
      <c r="V362">
        <f>0.541*(4.19 * 50)</f>
        <v>113.33950000000003</v>
      </c>
      <c r="W362">
        <f>0.534*(4.19 * 50)</f>
        <v>111.87300000000002</v>
      </c>
      <c r="X362">
        <f>0.532*(4.19 * 50)</f>
        <v>111.45400000000002</v>
      </c>
      <c r="Y362">
        <f>0.533*(4.19 * 50)</f>
        <v>111.66350000000003</v>
      </c>
      <c r="Z362">
        <f>0.539*(4.19 * 50)</f>
        <v>112.92050000000002</v>
      </c>
      <c r="AA362">
        <f>0.549*(4.19 * 50)</f>
        <v>115.01550000000003</v>
      </c>
      <c r="AB362">
        <f>0.557*(4.19 * 50)</f>
        <v>116.69150000000003</v>
      </c>
      <c r="AC362">
        <f>0.567*(4.19 * 50)</f>
        <v>118.7865</v>
      </c>
      <c r="AD362">
        <f>0.577*(4.19 * 50)</f>
        <v>120.8815</v>
      </c>
      <c r="AE362">
        <f>0.581*(4.19 * 50)</f>
        <v>121.71950000000001</v>
      </c>
      <c r="AF362">
        <f>0.575*(4.19 * 50)</f>
        <v>120.46250000000001</v>
      </c>
      <c r="AG362">
        <f>0.568*(4.19 * 50)</f>
        <v>118.99600000000001</v>
      </c>
    </row>
    <row r="363" spans="1:33" x14ac:dyDescent="0.3">
      <c r="A363" t="s">
        <v>406</v>
      </c>
      <c r="B363">
        <v>357949.710938</v>
      </c>
      <c r="C363">
        <v>6668577.1523439996</v>
      </c>
      <c r="D363" t="s">
        <v>541</v>
      </c>
      <c r="E363">
        <v>100</v>
      </c>
      <c r="F363">
        <v>61.333000183105398</v>
      </c>
      <c r="G363">
        <v>0.29275895075467973</v>
      </c>
      <c r="H363">
        <f t="shared" si="11"/>
        <v>118.94550018310541</v>
      </c>
      <c r="I363">
        <f t="shared" si="10"/>
        <v>209.50000000000003</v>
      </c>
      <c r="J363">
        <f>0.267*(4.19 * 50)</f>
        <v>55.936500000000009</v>
      </c>
      <c r="K363">
        <f>0.265*(4.19 * 50)</f>
        <v>55.517500000000013</v>
      </c>
      <c r="L363">
        <f>0.263*(4.19 * 50)</f>
        <v>55.098500000000008</v>
      </c>
      <c r="M363">
        <f>0.262*(4.19 * 50)</f>
        <v>54.88900000000001</v>
      </c>
      <c r="N363">
        <f>0.263*(4.19 * 50)</f>
        <v>55.098500000000008</v>
      </c>
      <c r="O363">
        <f>0.267*(4.19 * 50)</f>
        <v>55.936500000000009</v>
      </c>
      <c r="P363">
        <f>0.275*(4.19 * 50)</f>
        <v>57.612500000000011</v>
      </c>
      <c r="Q363">
        <f>0.282*(4.19 * 50)</f>
        <v>59.079000000000001</v>
      </c>
      <c r="R363">
        <f>0.279*(4.19 * 50)</f>
        <v>58.450500000000012</v>
      </c>
      <c r="S363">
        <f>0.274*(4.19 * 50)</f>
        <v>57.403000000000013</v>
      </c>
      <c r="T363">
        <f>0.273*(4.19 * 50)</f>
        <v>57.193500000000014</v>
      </c>
      <c r="U363">
        <f>0.261*(4.19 * 50)</f>
        <v>54.679500000000012</v>
      </c>
      <c r="V363">
        <f>0.257*(4.19 * 50)</f>
        <v>53.841500000000011</v>
      </c>
      <c r="W363">
        <f>0.254*(4.19 * 50)</f>
        <v>53.213000000000008</v>
      </c>
      <c r="X363">
        <f>0.253*(4.19 * 50)</f>
        <v>53.00350000000001</v>
      </c>
      <c r="Y363">
        <f>0.254*(4.19 * 50)</f>
        <v>53.213000000000008</v>
      </c>
      <c r="Z363">
        <f>0.256*(4.19 * 50)</f>
        <v>53.632000000000005</v>
      </c>
      <c r="AA363">
        <f>0.261*(4.19 * 50)</f>
        <v>54.679500000000012</v>
      </c>
      <c r="AB363">
        <f>0.265*(4.19 * 50)</f>
        <v>55.517500000000013</v>
      </c>
      <c r="AC363">
        <f>0.27*(4.19 * 50)</f>
        <v>56.565000000000012</v>
      </c>
      <c r="AD363">
        <f>0.274*(4.19 * 50)</f>
        <v>57.403000000000013</v>
      </c>
      <c r="AE363">
        <f>0.276*(4.19 * 50)</f>
        <v>57.82200000000001</v>
      </c>
      <c r="AF363">
        <f>0.274*(4.19 * 50)</f>
        <v>57.403000000000013</v>
      </c>
      <c r="AG363">
        <f>0.27*(4.19 * 50)</f>
        <v>56.565000000000012</v>
      </c>
    </row>
    <row r="364" spans="1:33" x14ac:dyDescent="0.3">
      <c r="A364" t="s">
        <v>407</v>
      </c>
      <c r="B364">
        <v>357950.363281</v>
      </c>
      <c r="C364">
        <v>6668577.6640630001</v>
      </c>
      <c r="D364" t="s">
        <v>541</v>
      </c>
      <c r="E364">
        <v>100</v>
      </c>
      <c r="F364">
        <v>84.666999816894503</v>
      </c>
      <c r="G364">
        <v>0.4041384239469904</v>
      </c>
      <c r="H364">
        <f t="shared" si="11"/>
        <v>164.0674998168945</v>
      </c>
      <c r="I364">
        <f t="shared" si="10"/>
        <v>209.50000000000003</v>
      </c>
      <c r="J364">
        <f>0.369*(4.19 * 50)</f>
        <v>77.305500000000009</v>
      </c>
      <c r="K364">
        <f>0.366*(4.19 * 50)</f>
        <v>76.677000000000007</v>
      </c>
      <c r="L364">
        <f>0.363*(4.19 * 50)</f>
        <v>76.048500000000004</v>
      </c>
      <c r="M364">
        <f>0.362*(4.19 * 50)</f>
        <v>75.839000000000013</v>
      </c>
      <c r="N364">
        <f>0.363*(4.19 * 50)</f>
        <v>76.048500000000004</v>
      </c>
      <c r="O364">
        <f>0.368*(4.19 * 50)</f>
        <v>77.096000000000004</v>
      </c>
      <c r="P364">
        <f>0.379*(4.19 * 50)</f>
        <v>79.400500000000008</v>
      </c>
      <c r="Q364">
        <f>0.389*(4.19 * 50)</f>
        <v>81.495500000000007</v>
      </c>
      <c r="R364">
        <f>0.386*(4.19 * 50)</f>
        <v>80.867000000000019</v>
      </c>
      <c r="S364">
        <f>0.378*(4.19 * 50)</f>
        <v>79.191000000000017</v>
      </c>
      <c r="T364">
        <f>0.376*(4.19 * 50)</f>
        <v>78.772000000000006</v>
      </c>
      <c r="U364">
        <f>0.36*(4.19 * 50)</f>
        <v>75.42</v>
      </c>
      <c r="V364">
        <f>0.355*(4.19 * 50)</f>
        <v>74.372500000000002</v>
      </c>
      <c r="W364">
        <f>0.35*(4.19 * 50)</f>
        <v>73.325000000000003</v>
      </c>
      <c r="X364">
        <f>0.349*(4.19 * 50)</f>
        <v>73.115500000000011</v>
      </c>
      <c r="Y364">
        <f>0.35*(4.19 * 50)</f>
        <v>73.325000000000003</v>
      </c>
      <c r="Z364">
        <f>0.354*(4.19 * 50)</f>
        <v>74.163000000000011</v>
      </c>
      <c r="AA364">
        <f>0.36*(4.19 * 50)</f>
        <v>75.42</v>
      </c>
      <c r="AB364">
        <f>0.366*(4.19 * 50)</f>
        <v>76.677000000000007</v>
      </c>
      <c r="AC364">
        <f>0.372*(4.19 * 50)</f>
        <v>77.934000000000012</v>
      </c>
      <c r="AD364">
        <f>0.378*(4.19 * 50)</f>
        <v>79.191000000000017</v>
      </c>
      <c r="AE364">
        <f>0.381*(4.19 * 50)</f>
        <v>79.819500000000005</v>
      </c>
      <c r="AF364">
        <f>0.378*(4.19 * 50)</f>
        <v>79.191000000000017</v>
      </c>
      <c r="AG364">
        <f>0.373*(4.19 * 50)</f>
        <v>78.143500000000017</v>
      </c>
    </row>
    <row r="365" spans="1:33" x14ac:dyDescent="0.3">
      <c r="A365" t="s">
        <v>408</v>
      </c>
      <c r="B365">
        <v>363633.371094</v>
      </c>
      <c r="C365">
        <v>6671123.9453130001</v>
      </c>
      <c r="D365" t="s">
        <v>542</v>
      </c>
      <c r="E365">
        <v>100</v>
      </c>
      <c r="F365">
        <v>113.333000183105</v>
      </c>
      <c r="G365">
        <v>0.54096897462102622</v>
      </c>
      <c r="H365">
        <f t="shared" si="11"/>
        <v>219.759000183105</v>
      </c>
      <c r="I365">
        <f t="shared" si="10"/>
        <v>209.50000000000003</v>
      </c>
      <c r="J365">
        <f>0.493*(4.19 * 50)</f>
        <v>103.28350000000002</v>
      </c>
      <c r="K365">
        <f>0.489*(4.19 * 50)</f>
        <v>102.44550000000001</v>
      </c>
      <c r="L365">
        <f>0.486*(4.19 * 50)</f>
        <v>101.81700000000001</v>
      </c>
      <c r="M365">
        <f>0.484*(4.19 * 50)</f>
        <v>101.39800000000001</v>
      </c>
      <c r="N365">
        <f>0.486*(4.19 * 50)</f>
        <v>101.81700000000001</v>
      </c>
      <c r="O365">
        <f>0.493*(4.19 * 50)</f>
        <v>103.28350000000002</v>
      </c>
      <c r="P365">
        <f>0.508*(4.19 * 50)</f>
        <v>106.42600000000002</v>
      </c>
      <c r="Q365">
        <f>0.521*(4.19 * 50)</f>
        <v>109.14950000000002</v>
      </c>
      <c r="R365">
        <f>0.516*(4.19 * 50)</f>
        <v>108.10200000000002</v>
      </c>
      <c r="S365">
        <f>0.506*(4.19 * 50)</f>
        <v>106.00700000000002</v>
      </c>
      <c r="T365">
        <f>0.504*(4.19 * 50)</f>
        <v>105.58800000000001</v>
      </c>
      <c r="U365">
        <f>0.482*(4.19 * 50)</f>
        <v>100.97900000000001</v>
      </c>
      <c r="V365">
        <f>0.476*(4.19 * 50)</f>
        <v>99.722000000000008</v>
      </c>
      <c r="W365">
        <f>0.469*(4.19 * 50)</f>
        <v>98.255500000000012</v>
      </c>
      <c r="X365">
        <f>0.468*(4.19 * 50)</f>
        <v>98.046000000000021</v>
      </c>
      <c r="Y365">
        <f>0.469*(4.19 * 50)</f>
        <v>98.255500000000012</v>
      </c>
      <c r="Z365">
        <f>0.474*(4.19 * 50)</f>
        <v>99.303000000000011</v>
      </c>
      <c r="AA365">
        <f>0.482*(4.19 * 50)</f>
        <v>100.97900000000001</v>
      </c>
      <c r="AB365">
        <f>0.489*(4.19 * 50)</f>
        <v>102.44550000000001</v>
      </c>
      <c r="AC365">
        <f>0.498*(4.19 * 50)</f>
        <v>104.33100000000002</v>
      </c>
      <c r="AD365">
        <f>0.507*(4.19 * 50)</f>
        <v>106.21650000000001</v>
      </c>
      <c r="AE365">
        <f>0.51*(4.19 * 50)</f>
        <v>106.84500000000001</v>
      </c>
      <c r="AF365">
        <f>0.506*(4.19 * 50)</f>
        <v>106.00700000000002</v>
      </c>
      <c r="AG365">
        <f>0.499*(4.19 * 50)</f>
        <v>104.54050000000001</v>
      </c>
    </row>
    <row r="366" spans="1:33" x14ac:dyDescent="0.3">
      <c r="A366" t="s">
        <v>409</v>
      </c>
      <c r="B366">
        <v>362977.847656</v>
      </c>
      <c r="C366">
        <v>6671251.7148439996</v>
      </c>
      <c r="D366" t="s">
        <v>542</v>
      </c>
      <c r="E366">
        <v>100</v>
      </c>
      <c r="F366">
        <v>58.333000183105398</v>
      </c>
      <c r="G366">
        <v>0.27843914168546718</v>
      </c>
      <c r="H366">
        <f t="shared" si="11"/>
        <v>113.0125001831054</v>
      </c>
      <c r="I366">
        <f t="shared" si="10"/>
        <v>209.50000000000003</v>
      </c>
      <c r="J366">
        <f>0.254*(4.19 * 50)</f>
        <v>53.213000000000008</v>
      </c>
      <c r="K366">
        <f>0.252*(4.19 * 50)</f>
        <v>52.794000000000004</v>
      </c>
      <c r="L366">
        <f>0.25*(4.19 * 50)</f>
        <v>52.375000000000007</v>
      </c>
      <c r="M366">
        <f>0.249*(4.19 * 50)</f>
        <v>52.165500000000009</v>
      </c>
      <c r="N366">
        <f>0.25*(4.19 * 50)</f>
        <v>52.375000000000007</v>
      </c>
      <c r="O366">
        <f>0.254*(4.19 * 50)</f>
        <v>53.213000000000008</v>
      </c>
      <c r="P366">
        <f>0.261*(4.19 * 50)</f>
        <v>54.679500000000012</v>
      </c>
      <c r="Q366">
        <f>0.268*(4.19 * 50)</f>
        <v>56.146000000000008</v>
      </c>
      <c r="R366">
        <f>0.266*(4.19 * 50)</f>
        <v>55.727000000000011</v>
      </c>
      <c r="S366">
        <f>0.26*(4.19 * 50)</f>
        <v>54.470000000000006</v>
      </c>
      <c r="T366">
        <f>0.259*(4.19 * 50)</f>
        <v>54.260500000000008</v>
      </c>
      <c r="U366">
        <f>0.248*(4.19 * 50)</f>
        <v>51.95600000000001</v>
      </c>
      <c r="V366">
        <f>0.245*(4.19 * 50)</f>
        <v>51.327500000000008</v>
      </c>
      <c r="W366">
        <f>0.241*(4.19 * 50)</f>
        <v>50.489500000000007</v>
      </c>
      <c r="X366">
        <f>0.241*(4.19 * 50)</f>
        <v>50.489500000000007</v>
      </c>
      <c r="Y366">
        <f>0.241*(4.19 * 50)</f>
        <v>50.489500000000007</v>
      </c>
      <c r="Z366">
        <f>0.244*(4.19 * 50)</f>
        <v>51.118000000000009</v>
      </c>
      <c r="AA366">
        <f>0.248*(4.19 * 50)</f>
        <v>51.95600000000001</v>
      </c>
      <c r="AB366">
        <f>0.252*(4.19 * 50)</f>
        <v>52.794000000000004</v>
      </c>
      <c r="AC366">
        <f>0.256*(4.19 * 50)</f>
        <v>53.632000000000005</v>
      </c>
      <c r="AD366">
        <f>0.261*(4.19 * 50)</f>
        <v>54.679500000000012</v>
      </c>
      <c r="AE366">
        <f>0.263*(4.19 * 50)</f>
        <v>55.098500000000008</v>
      </c>
      <c r="AF366">
        <f>0.26*(4.19 * 50)</f>
        <v>54.470000000000006</v>
      </c>
      <c r="AG366">
        <f>0.257*(4.19 * 50)</f>
        <v>53.841500000000011</v>
      </c>
    </row>
    <row r="367" spans="1:33" x14ac:dyDescent="0.3">
      <c r="A367" t="s">
        <v>410</v>
      </c>
      <c r="B367">
        <v>358190.496094</v>
      </c>
      <c r="C367">
        <v>6669099.8554689996</v>
      </c>
      <c r="D367" t="s">
        <v>541</v>
      </c>
      <c r="E367">
        <v>100</v>
      </c>
      <c r="F367">
        <v>109.66699981689401</v>
      </c>
      <c r="G367">
        <v>0.52347016619042475</v>
      </c>
      <c r="H367">
        <f t="shared" si="11"/>
        <v>212.53149981689401</v>
      </c>
      <c r="I367">
        <f t="shared" si="10"/>
        <v>209.50000000000003</v>
      </c>
      <c r="J367">
        <f>0.477*(4.19 * 50)</f>
        <v>99.931500000000014</v>
      </c>
      <c r="K367">
        <f>0.473*(4.19 * 50)</f>
        <v>99.093500000000006</v>
      </c>
      <c r="L367">
        <f>0.471*(4.19 * 50)</f>
        <v>98.674500000000009</v>
      </c>
      <c r="M367">
        <f>0.469*(4.19 * 50)</f>
        <v>98.255500000000012</v>
      </c>
      <c r="N367">
        <f>0.471*(4.19 * 50)</f>
        <v>98.674500000000009</v>
      </c>
      <c r="O367">
        <f>0.477*(4.19 * 50)</f>
        <v>99.931500000000014</v>
      </c>
      <c r="P367">
        <f>0.491*(4.19 * 50)</f>
        <v>102.86450000000001</v>
      </c>
      <c r="Q367">
        <f>0.504*(4.19 * 50)</f>
        <v>105.58800000000001</v>
      </c>
      <c r="R367">
        <f>0.5*(4.19 * 50)</f>
        <v>104.75000000000001</v>
      </c>
      <c r="S367">
        <f>0.489*(4.19 * 50)</f>
        <v>102.44550000000001</v>
      </c>
      <c r="T367">
        <f>0.487*(4.19 * 50)</f>
        <v>102.02650000000001</v>
      </c>
      <c r="U367">
        <f>0.467*(4.19 * 50)</f>
        <v>97.836500000000015</v>
      </c>
      <c r="V367">
        <f>0.46*(4.19 * 50)</f>
        <v>96.370000000000019</v>
      </c>
      <c r="W367">
        <f>0.454*(4.19 * 50)</f>
        <v>95.113000000000014</v>
      </c>
      <c r="X367">
        <f>0.453*(4.19 * 50)</f>
        <v>94.903500000000022</v>
      </c>
      <c r="Y367">
        <f>0.453*(4.19 * 50)</f>
        <v>94.903500000000022</v>
      </c>
      <c r="Z367">
        <f>0.458*(4.19 * 50)</f>
        <v>95.951000000000022</v>
      </c>
      <c r="AA367">
        <f>0.467*(4.19 * 50)</f>
        <v>97.836500000000015</v>
      </c>
      <c r="AB367">
        <f>0.473*(4.19 * 50)</f>
        <v>99.093500000000006</v>
      </c>
      <c r="AC367">
        <f>0.482*(4.19 * 50)</f>
        <v>100.97900000000001</v>
      </c>
      <c r="AD367">
        <f>0.49*(4.19 * 50)</f>
        <v>102.65500000000002</v>
      </c>
      <c r="AE367">
        <f>0.494*(4.19 * 50)</f>
        <v>103.49300000000001</v>
      </c>
      <c r="AF367">
        <f>0.489*(4.19 * 50)</f>
        <v>102.44550000000001</v>
      </c>
      <c r="AG367">
        <f>0.483*(4.19 * 50)</f>
        <v>101.1885</v>
      </c>
    </row>
    <row r="368" spans="1:33" x14ac:dyDescent="0.3">
      <c r="A368" t="s">
        <v>411</v>
      </c>
      <c r="B368">
        <v>358251.523438</v>
      </c>
      <c r="C368">
        <v>6669155.171875</v>
      </c>
      <c r="D368" t="s">
        <v>542</v>
      </c>
      <c r="E368">
        <v>100</v>
      </c>
      <c r="F368">
        <v>332</v>
      </c>
      <c r="G368">
        <v>1.5847255369928399</v>
      </c>
      <c r="H368">
        <f t="shared" si="11"/>
        <v>643.52650000000006</v>
      </c>
      <c r="I368">
        <f t="shared" si="10"/>
        <v>209.50000000000003</v>
      </c>
      <c r="J368">
        <f>1.445*(4.19 * 50)</f>
        <v>302.72750000000008</v>
      </c>
      <c r="K368">
        <f>1.433*(4.19 * 50)</f>
        <v>300.21350000000007</v>
      </c>
      <c r="L368">
        <f>1.425*(4.19 * 50)</f>
        <v>298.53750000000002</v>
      </c>
      <c r="M368">
        <f>1.419*(4.19 * 50)</f>
        <v>297.28050000000007</v>
      </c>
      <c r="N368">
        <f>1.425*(4.19 * 50)</f>
        <v>298.53750000000002</v>
      </c>
      <c r="O368">
        <f>1.444*(4.19 * 50)</f>
        <v>302.51800000000003</v>
      </c>
      <c r="P368">
        <f>1.487*(4.19 * 50)</f>
        <v>311.52650000000006</v>
      </c>
      <c r="Q368">
        <f>1.526*(4.19 * 50)</f>
        <v>319.69700000000006</v>
      </c>
      <c r="R368">
        <f>1.513*(4.19 * 50)</f>
        <v>316.9735</v>
      </c>
      <c r="S368">
        <f>1.481*(4.19 * 50)</f>
        <v>310.26950000000005</v>
      </c>
      <c r="T368">
        <f>1.475*(4.19 * 50)</f>
        <v>309.01250000000005</v>
      </c>
      <c r="U368">
        <f>1.413*(4.19 * 50)</f>
        <v>296.02350000000007</v>
      </c>
      <c r="V368">
        <f>1.393*(4.19 * 50)</f>
        <v>291.83350000000002</v>
      </c>
      <c r="W368">
        <f>1.374*(4.19 * 50)</f>
        <v>287.85300000000007</v>
      </c>
      <c r="X368">
        <f>1.37*(4.19 * 50)</f>
        <v>287.01500000000004</v>
      </c>
      <c r="Y368">
        <f>1.373*(4.19 * 50)</f>
        <v>287.64350000000002</v>
      </c>
      <c r="Z368">
        <f>1.387*(4.19 * 50)</f>
        <v>290.57650000000007</v>
      </c>
      <c r="AA368">
        <f>1.413*(4.19 * 50)</f>
        <v>296.02350000000007</v>
      </c>
      <c r="AB368">
        <f>1.433*(4.19 * 50)</f>
        <v>300.21350000000007</v>
      </c>
      <c r="AC368">
        <f>1.459*(4.19 * 50)</f>
        <v>305.66050000000007</v>
      </c>
      <c r="AD368">
        <f>1.484*(4.19 * 50)</f>
        <v>310.89800000000002</v>
      </c>
      <c r="AE368">
        <f>1.494*(4.19 * 50)</f>
        <v>312.99300000000005</v>
      </c>
      <c r="AF368">
        <f>1.481*(4.19 * 50)</f>
        <v>310.26950000000005</v>
      </c>
      <c r="AG368">
        <f>1.461*(4.19 * 50)</f>
        <v>306.07950000000005</v>
      </c>
    </row>
    <row r="369" spans="1:33" x14ac:dyDescent="0.3">
      <c r="A369" t="s">
        <v>412</v>
      </c>
      <c r="B369">
        <v>358316.636719</v>
      </c>
      <c r="C369">
        <v>6669285.7421880001</v>
      </c>
      <c r="D369" t="s">
        <v>542</v>
      </c>
      <c r="E369">
        <v>100</v>
      </c>
      <c r="F369">
        <v>59</v>
      </c>
      <c r="G369">
        <v>0.2816229116945107</v>
      </c>
      <c r="H369">
        <f t="shared" si="11"/>
        <v>114.30800000000001</v>
      </c>
      <c r="I369">
        <f t="shared" si="10"/>
        <v>209.50000000000003</v>
      </c>
      <c r="J369">
        <f>0.257*(4.19 * 50)</f>
        <v>53.841500000000011</v>
      </c>
      <c r="K369">
        <f>0.255*(4.19 * 50)</f>
        <v>53.422500000000007</v>
      </c>
      <c r="L369">
        <f>0.253*(4.19 * 50)</f>
        <v>53.00350000000001</v>
      </c>
      <c r="M369">
        <f>0.252*(4.19 * 50)</f>
        <v>52.794000000000004</v>
      </c>
      <c r="N369">
        <f>0.253*(4.19 * 50)</f>
        <v>53.00350000000001</v>
      </c>
      <c r="O369">
        <f>0.257*(4.19 * 50)</f>
        <v>53.841500000000011</v>
      </c>
      <c r="P369">
        <f>0.264*(4.19 * 50)</f>
        <v>55.308000000000007</v>
      </c>
      <c r="Q369">
        <f>0.271*(4.19 * 50)</f>
        <v>56.77450000000001</v>
      </c>
      <c r="R369">
        <f>0.269*(4.19 * 50)</f>
        <v>56.355500000000013</v>
      </c>
      <c r="S369">
        <f>0.263*(4.19 * 50)</f>
        <v>55.098500000000008</v>
      </c>
      <c r="T369">
        <f>0.262*(4.19 * 50)</f>
        <v>54.88900000000001</v>
      </c>
      <c r="U369">
        <f>0.251*(4.19 * 50)</f>
        <v>52.584500000000006</v>
      </c>
      <c r="V369">
        <f>0.248*(4.19 * 50)</f>
        <v>51.95600000000001</v>
      </c>
      <c r="W369">
        <f>0.244*(4.19 * 50)</f>
        <v>51.118000000000009</v>
      </c>
      <c r="X369">
        <f>0.243*(4.19 * 50)</f>
        <v>50.908500000000004</v>
      </c>
      <c r="Y369">
        <f>0.244*(4.19 * 50)</f>
        <v>51.118000000000009</v>
      </c>
      <c r="Z369">
        <f>0.247*(4.19 * 50)</f>
        <v>51.746500000000005</v>
      </c>
      <c r="AA369">
        <f>0.251*(4.19 * 50)</f>
        <v>52.584500000000006</v>
      </c>
      <c r="AB369">
        <f>0.255*(4.19 * 50)</f>
        <v>53.422500000000007</v>
      </c>
      <c r="AC369">
        <f>0.259*(4.19 * 50)</f>
        <v>54.260500000000008</v>
      </c>
      <c r="AD369">
        <f>0.264*(4.19 * 50)</f>
        <v>55.308000000000007</v>
      </c>
      <c r="AE369">
        <f>0.266*(4.19 * 50)</f>
        <v>55.727000000000011</v>
      </c>
      <c r="AF369">
        <f>0.263*(4.19 * 50)</f>
        <v>55.098500000000008</v>
      </c>
      <c r="AG369">
        <f>0.26*(4.19 * 50)</f>
        <v>54.470000000000006</v>
      </c>
    </row>
    <row r="370" spans="1:33" x14ac:dyDescent="0.3">
      <c r="A370" t="s">
        <v>413</v>
      </c>
      <c r="B370">
        <v>358340.769531</v>
      </c>
      <c r="C370">
        <v>6669338.5898439996</v>
      </c>
      <c r="D370" t="s">
        <v>542</v>
      </c>
      <c r="E370">
        <v>100</v>
      </c>
      <c r="F370">
        <v>192.33299255371</v>
      </c>
      <c r="G370">
        <v>0.91805724369312636</v>
      </c>
      <c r="H370">
        <f t="shared" si="11"/>
        <v>372.71249255371004</v>
      </c>
      <c r="I370">
        <f t="shared" si="10"/>
        <v>209.50000000000003</v>
      </c>
      <c r="J370">
        <f>0.837*(4.19 * 50)</f>
        <v>175.35150000000002</v>
      </c>
      <c r="K370">
        <f>0.83*(4.19 * 50)</f>
        <v>173.88500000000002</v>
      </c>
      <c r="L370">
        <f>0.825*(4.19 * 50)</f>
        <v>172.83750000000001</v>
      </c>
      <c r="M370">
        <f>0.822*(4.19 * 50)</f>
        <v>172.209</v>
      </c>
      <c r="N370">
        <f>0.825*(4.19 * 50)</f>
        <v>172.83750000000001</v>
      </c>
      <c r="O370">
        <f>0.836*(4.19 * 50)</f>
        <v>175.14200000000002</v>
      </c>
      <c r="P370">
        <f>0.861*(4.19 * 50)</f>
        <v>180.37950000000004</v>
      </c>
      <c r="Q370">
        <f>0.884*(4.19 * 50)</f>
        <v>185.19800000000004</v>
      </c>
      <c r="R370">
        <f>0.876*(4.19 * 50)</f>
        <v>183.52200000000002</v>
      </c>
      <c r="S370">
        <f>0.858*(4.19 * 50)</f>
        <v>179.75100000000003</v>
      </c>
      <c r="T370">
        <f>0.855*(4.19 * 50)</f>
        <v>179.12250000000003</v>
      </c>
      <c r="U370">
        <f>0.819*(4.19 * 50)</f>
        <v>171.5805</v>
      </c>
      <c r="V370">
        <f>0.807*(4.19 * 50)</f>
        <v>169.06650000000005</v>
      </c>
      <c r="W370">
        <f>0.796*(4.19 * 50)</f>
        <v>166.76200000000003</v>
      </c>
      <c r="X370">
        <f>0.794*(4.19 * 50)</f>
        <v>166.34300000000002</v>
      </c>
      <c r="Y370">
        <f>0.795*(4.19 * 50)</f>
        <v>166.55250000000004</v>
      </c>
      <c r="Z370">
        <f>0.804*(4.19 * 50)</f>
        <v>168.43800000000005</v>
      </c>
      <c r="AA370">
        <f>0.819*(4.19 * 50)</f>
        <v>171.5805</v>
      </c>
      <c r="AB370">
        <f>0.83*(4.19 * 50)</f>
        <v>173.88500000000002</v>
      </c>
      <c r="AC370">
        <f>0.845*(4.19 * 50)</f>
        <v>177.02750000000003</v>
      </c>
      <c r="AD370">
        <f>0.86*(4.19 * 50)</f>
        <v>180.17000000000002</v>
      </c>
      <c r="AE370">
        <f>0.866*(4.19 * 50)</f>
        <v>181.42700000000002</v>
      </c>
      <c r="AF370">
        <f>0.858*(4.19 * 50)</f>
        <v>179.75100000000003</v>
      </c>
      <c r="AG370">
        <f>0.846*(4.19 * 50)</f>
        <v>177.23700000000002</v>
      </c>
    </row>
    <row r="371" spans="1:33" x14ac:dyDescent="0.3">
      <c r="A371" t="s">
        <v>414</v>
      </c>
      <c r="B371">
        <v>357049.113281</v>
      </c>
      <c r="C371">
        <v>6667773.03125</v>
      </c>
      <c r="D371" t="s">
        <v>540</v>
      </c>
      <c r="E371">
        <v>100</v>
      </c>
      <c r="F371">
        <v>6</v>
      </c>
      <c r="G371">
        <v>2.8639618138424819E-2</v>
      </c>
      <c r="H371">
        <f t="shared" si="11"/>
        <v>11.656500000000001</v>
      </c>
      <c r="I371">
        <f t="shared" si="10"/>
        <v>209.50000000000003</v>
      </c>
      <c r="J371">
        <f>0.026*(4.19 * 50)</f>
        <v>5.4470000000000001</v>
      </c>
      <c r="K371">
        <f>0.026*(4.19 * 50)</f>
        <v>5.4470000000000001</v>
      </c>
      <c r="L371">
        <f>0.026*(4.19 * 50)</f>
        <v>5.4470000000000001</v>
      </c>
      <c r="M371">
        <f>0.026*(4.19 * 50)</f>
        <v>5.4470000000000001</v>
      </c>
      <c r="N371">
        <f>0.026*(4.19 * 50)</f>
        <v>5.4470000000000001</v>
      </c>
      <c r="O371">
        <f>0.026*(4.19 * 50)</f>
        <v>5.4470000000000001</v>
      </c>
      <c r="P371">
        <f>0.027*(4.19 * 50)</f>
        <v>5.6565000000000003</v>
      </c>
      <c r="Q371">
        <f>0.028*(4.19 * 50)</f>
        <v>5.8660000000000005</v>
      </c>
      <c r="R371">
        <f>0.027*(4.19 * 50)</f>
        <v>5.6565000000000003</v>
      </c>
      <c r="S371">
        <f>0.027*(4.19 * 50)</f>
        <v>5.6565000000000003</v>
      </c>
      <c r="T371">
        <f>0.027*(4.19 * 50)</f>
        <v>5.6565000000000003</v>
      </c>
      <c r="U371">
        <f>0.026*(4.19 * 50)</f>
        <v>5.4470000000000001</v>
      </c>
      <c r="V371">
        <f>0.025*(4.19 * 50)</f>
        <v>5.2375000000000007</v>
      </c>
      <c r="W371">
        <f>0.025*(4.19 * 50)</f>
        <v>5.2375000000000007</v>
      </c>
      <c r="X371">
        <f>0.025*(4.19 * 50)</f>
        <v>5.2375000000000007</v>
      </c>
      <c r="Y371">
        <f>0.025*(4.19 * 50)</f>
        <v>5.2375000000000007</v>
      </c>
      <c r="Z371">
        <f>0.025*(4.19 * 50)</f>
        <v>5.2375000000000007</v>
      </c>
      <c r="AA371">
        <f>0.026*(4.19 * 50)</f>
        <v>5.4470000000000001</v>
      </c>
      <c r="AB371">
        <f>0.026*(4.19 * 50)</f>
        <v>5.4470000000000001</v>
      </c>
      <c r="AC371">
        <f>0.026*(4.19 * 50)</f>
        <v>5.4470000000000001</v>
      </c>
      <c r="AD371">
        <f>0.027*(4.19 * 50)</f>
        <v>5.6565000000000003</v>
      </c>
      <c r="AE371">
        <f>0.027*(4.19 * 50)</f>
        <v>5.6565000000000003</v>
      </c>
      <c r="AF371">
        <f>0.027*(4.19 * 50)</f>
        <v>5.6565000000000003</v>
      </c>
      <c r="AG371">
        <f>0.026*(4.19 * 50)</f>
        <v>5.4470000000000001</v>
      </c>
    </row>
    <row r="372" spans="1:33" x14ac:dyDescent="0.3">
      <c r="A372" t="s">
        <v>415</v>
      </c>
      <c r="B372">
        <v>363167.824219</v>
      </c>
      <c r="C372">
        <v>6671366.3359380001</v>
      </c>
      <c r="D372" t="s">
        <v>542</v>
      </c>
      <c r="E372">
        <v>100</v>
      </c>
      <c r="F372">
        <v>53.333000183105398</v>
      </c>
      <c r="G372">
        <v>0.25457279323677989</v>
      </c>
      <c r="H372">
        <f t="shared" si="11"/>
        <v>103.40350018310539</v>
      </c>
      <c r="I372">
        <f t="shared" si="10"/>
        <v>209.50000000000003</v>
      </c>
      <c r="J372">
        <f>0.232*(4.19 * 50)</f>
        <v>48.604000000000006</v>
      </c>
      <c r="K372">
        <f>0.23*(4.19 * 50)</f>
        <v>48.185000000000009</v>
      </c>
      <c r="L372">
        <f>0.229*(4.19 * 50)</f>
        <v>47.975500000000011</v>
      </c>
      <c r="M372">
        <f>0.228*(4.19 * 50)</f>
        <v>47.766000000000005</v>
      </c>
      <c r="N372">
        <f>0.229*(4.19 * 50)</f>
        <v>47.975500000000011</v>
      </c>
      <c r="O372">
        <f>0.232*(4.19 * 50)</f>
        <v>48.604000000000006</v>
      </c>
      <c r="P372">
        <f>0.239*(4.19 * 50)</f>
        <v>50.070500000000003</v>
      </c>
      <c r="Q372">
        <f>0.245*(4.19 * 50)</f>
        <v>51.327500000000008</v>
      </c>
      <c r="R372">
        <f>0.243*(4.19 * 50)</f>
        <v>50.908500000000004</v>
      </c>
      <c r="S372">
        <f>0.238*(4.19 * 50)</f>
        <v>49.861000000000004</v>
      </c>
      <c r="T372">
        <f>0.237*(4.19 * 50)</f>
        <v>49.651500000000006</v>
      </c>
      <c r="U372">
        <f>0.227*(4.19 * 50)</f>
        <v>47.556500000000007</v>
      </c>
      <c r="V372">
        <f>0.224*(4.19 * 50)</f>
        <v>46.928000000000004</v>
      </c>
      <c r="W372">
        <f>0.221*(4.19 * 50)</f>
        <v>46.299500000000009</v>
      </c>
      <c r="X372">
        <f>0.22*(4.19 * 50)</f>
        <v>46.09</v>
      </c>
      <c r="Y372">
        <f>0.221*(4.19 * 50)</f>
        <v>46.299500000000009</v>
      </c>
      <c r="Z372">
        <f>0.223*(4.19 * 50)</f>
        <v>46.718500000000006</v>
      </c>
      <c r="AA372">
        <f>0.227*(4.19 * 50)</f>
        <v>47.556500000000007</v>
      </c>
      <c r="AB372">
        <f>0.23*(4.19 * 50)</f>
        <v>48.185000000000009</v>
      </c>
      <c r="AC372">
        <f>0.234*(4.19 * 50)</f>
        <v>49.02300000000001</v>
      </c>
      <c r="AD372">
        <f>0.238*(4.19 * 50)</f>
        <v>49.861000000000004</v>
      </c>
      <c r="AE372">
        <f>0.24*(4.19 * 50)</f>
        <v>50.280000000000008</v>
      </c>
      <c r="AF372">
        <f>0.238*(4.19 * 50)</f>
        <v>49.861000000000004</v>
      </c>
      <c r="AG372">
        <f>0.235*(4.19 * 50)</f>
        <v>49.232500000000002</v>
      </c>
    </row>
    <row r="373" spans="1:33" x14ac:dyDescent="0.3">
      <c r="A373" t="s">
        <v>416</v>
      </c>
      <c r="B373">
        <v>358141.417969</v>
      </c>
      <c r="C373">
        <v>6668440.3789060004</v>
      </c>
      <c r="D373" t="s">
        <v>569</v>
      </c>
      <c r="E373">
        <v>100</v>
      </c>
      <c r="F373">
        <v>523</v>
      </c>
      <c r="G373">
        <v>2.496420047732697</v>
      </c>
      <c r="H373">
        <f t="shared" si="11"/>
        <v>1013.6490000000001</v>
      </c>
      <c r="I373">
        <f t="shared" si="10"/>
        <v>209.50000000000003</v>
      </c>
      <c r="J373">
        <f>2.276*(4.19 * 50)</f>
        <v>476.822</v>
      </c>
      <c r="K373">
        <f>2.258*(4.19 * 50)</f>
        <v>473.05100000000004</v>
      </c>
      <c r="L373">
        <f>2.244*(4.19 * 50)</f>
        <v>470.11800000000011</v>
      </c>
      <c r="M373">
        <f>2.235*(4.19 * 50)</f>
        <v>468.23250000000002</v>
      </c>
      <c r="N373">
        <f>2.244*(4.19 * 50)</f>
        <v>470.11800000000011</v>
      </c>
      <c r="O373">
        <f>2.274*(4.19 * 50)</f>
        <v>476.40300000000008</v>
      </c>
      <c r="P373">
        <f>2.342*(4.19 * 50)</f>
        <v>490.64900000000006</v>
      </c>
      <c r="Q373">
        <f>2.404*(4.19 * 50)</f>
        <v>503.63800000000003</v>
      </c>
      <c r="R373">
        <f>2.383*(4.19 * 50)</f>
        <v>499.23850000000004</v>
      </c>
      <c r="S373">
        <f>2.333*(4.19 * 50)</f>
        <v>488.76350000000008</v>
      </c>
      <c r="T373">
        <f>2.324*(4.19 * 50)</f>
        <v>486.87800000000004</v>
      </c>
      <c r="U373">
        <f>2.226*(4.19 * 50)</f>
        <v>466.34700000000004</v>
      </c>
      <c r="V373">
        <f>2.195*(4.19 * 50)</f>
        <v>459.85250000000002</v>
      </c>
      <c r="W373">
        <f>2.165*(4.19 * 50)</f>
        <v>453.56750000000005</v>
      </c>
      <c r="X373">
        <f>2.158*(4.19 * 50)</f>
        <v>452.10100000000006</v>
      </c>
      <c r="Y373">
        <f>2.163*(4.19 * 50)</f>
        <v>453.14850000000001</v>
      </c>
      <c r="Z373">
        <f>2.185*(4.19 * 50)</f>
        <v>457.75750000000005</v>
      </c>
      <c r="AA373">
        <f>2.226*(4.19 * 50)</f>
        <v>466.34700000000004</v>
      </c>
      <c r="AB373">
        <f>2.258*(4.19 * 50)</f>
        <v>473.05100000000004</v>
      </c>
      <c r="AC373">
        <f>2.299*(4.19 * 50)</f>
        <v>481.64050000000003</v>
      </c>
      <c r="AD373">
        <f>2.338*(4.19 * 50)</f>
        <v>489.81100000000009</v>
      </c>
      <c r="AE373">
        <f>2.354*(4.19 * 50)</f>
        <v>493.16300000000007</v>
      </c>
      <c r="AF373">
        <f>2.333*(4.19 * 50)</f>
        <v>488.76350000000008</v>
      </c>
      <c r="AG373">
        <f>2.301*(4.19 * 50)</f>
        <v>482.05950000000007</v>
      </c>
    </row>
    <row r="374" spans="1:33" x14ac:dyDescent="0.3">
      <c r="A374" t="s">
        <v>417</v>
      </c>
      <c r="B374">
        <v>358084.390625</v>
      </c>
      <c r="C374">
        <v>6668270.0703130001</v>
      </c>
      <c r="D374" t="s">
        <v>570</v>
      </c>
      <c r="E374">
        <v>100</v>
      </c>
      <c r="F374">
        <v>221.66700744628901</v>
      </c>
      <c r="G374">
        <v>1.058076407858181</v>
      </c>
      <c r="H374">
        <f t="shared" si="11"/>
        <v>429.70050744628907</v>
      </c>
      <c r="I374">
        <f t="shared" si="10"/>
        <v>209.50000000000003</v>
      </c>
      <c r="J374">
        <f>0.965*(4.19 * 50)</f>
        <v>202.16750000000002</v>
      </c>
      <c r="K374">
        <f>0.957*(4.19 * 50)</f>
        <v>200.49150000000003</v>
      </c>
      <c r="L374">
        <f>0.951*(4.19 * 50)</f>
        <v>199.23450000000003</v>
      </c>
      <c r="M374">
        <f>0.947*(4.19 * 50)</f>
        <v>198.3965</v>
      </c>
      <c r="N374">
        <f>0.951*(4.19 * 50)</f>
        <v>199.23450000000003</v>
      </c>
      <c r="O374">
        <f>0.964*(4.19 * 50)</f>
        <v>201.95800000000003</v>
      </c>
      <c r="P374">
        <f>0.993*(4.19 * 50)</f>
        <v>208.03350000000003</v>
      </c>
      <c r="Q374">
        <f>1.019*(4.19 * 50)</f>
        <v>213.48050000000001</v>
      </c>
      <c r="R374">
        <f>1.01*(4.19 * 50)</f>
        <v>211.59500000000003</v>
      </c>
      <c r="S374">
        <f>0.989*(4.19 * 50)</f>
        <v>207.19550000000004</v>
      </c>
      <c r="T374">
        <f>0.985*(4.19 * 50)</f>
        <v>206.35750000000002</v>
      </c>
      <c r="U374">
        <f>0.944*(4.19 * 50)</f>
        <v>197.76800000000003</v>
      </c>
      <c r="V374">
        <f>0.93*(4.19 * 50)</f>
        <v>194.83500000000004</v>
      </c>
      <c r="W374">
        <f>0.918*(4.19 * 50)</f>
        <v>192.32100000000003</v>
      </c>
      <c r="X374">
        <f>0.915*(4.19 * 50)</f>
        <v>191.69250000000002</v>
      </c>
      <c r="Y374">
        <f>0.917*(4.19 * 50)</f>
        <v>192.11150000000004</v>
      </c>
      <c r="Z374">
        <f>0.926*(4.19 * 50)</f>
        <v>193.99700000000004</v>
      </c>
      <c r="AA374">
        <f>0.944*(4.19 * 50)</f>
        <v>197.76800000000003</v>
      </c>
      <c r="AB374">
        <f>0.957*(4.19 * 50)</f>
        <v>200.49150000000003</v>
      </c>
      <c r="AC374">
        <f>0.974*(4.19 * 50)</f>
        <v>204.05300000000003</v>
      </c>
      <c r="AD374">
        <f>0.991*(4.19 * 50)</f>
        <v>207.61450000000002</v>
      </c>
      <c r="AE374">
        <f>0.998*(4.19 * 50)</f>
        <v>209.08100000000002</v>
      </c>
      <c r="AF374">
        <f>0.989*(4.19 * 50)</f>
        <v>207.19550000000004</v>
      </c>
      <c r="AG374">
        <f>0.975*(4.19 * 50)</f>
        <v>204.26250000000002</v>
      </c>
    </row>
    <row r="375" spans="1:33" x14ac:dyDescent="0.3">
      <c r="A375" t="s">
        <v>418</v>
      </c>
      <c r="B375">
        <v>364377.5</v>
      </c>
      <c r="C375">
        <v>6671497.015625</v>
      </c>
      <c r="D375" t="s">
        <v>542</v>
      </c>
      <c r="E375">
        <v>100</v>
      </c>
      <c r="F375">
        <v>29.666999816894499</v>
      </c>
      <c r="G375">
        <v>0.14160859101142961</v>
      </c>
      <c r="H375">
        <f t="shared" si="11"/>
        <v>57.530499816894505</v>
      </c>
      <c r="I375">
        <f t="shared" si="10"/>
        <v>209.50000000000003</v>
      </c>
      <c r="J375">
        <f>0.129*(4.19 * 50)</f>
        <v>27.025500000000005</v>
      </c>
      <c r="K375">
        <f>0.128*(4.19 * 50)</f>
        <v>26.816000000000003</v>
      </c>
      <c r="L375">
        <f>0.127*(4.19 * 50)</f>
        <v>26.606500000000004</v>
      </c>
      <c r="M375">
        <f>0.127*(4.19 * 50)</f>
        <v>26.606500000000004</v>
      </c>
      <c r="N375">
        <f>0.127*(4.19 * 50)</f>
        <v>26.606500000000004</v>
      </c>
      <c r="O375">
        <f>0.129*(4.19 * 50)</f>
        <v>27.025500000000005</v>
      </c>
      <c r="P375">
        <f>0.133*(4.19 * 50)</f>
        <v>27.863500000000005</v>
      </c>
      <c r="Q375">
        <f>0.136*(4.19 * 50)</f>
        <v>28.492000000000004</v>
      </c>
      <c r="R375">
        <f>0.135*(4.19 * 50)</f>
        <v>28.282500000000006</v>
      </c>
      <c r="S375">
        <f>0.132*(4.19 * 50)</f>
        <v>27.654000000000003</v>
      </c>
      <c r="T375">
        <f>0.132*(4.19 * 50)</f>
        <v>27.654000000000003</v>
      </c>
      <c r="U375">
        <f>0.126*(4.19 * 50)</f>
        <v>26.397000000000002</v>
      </c>
      <c r="V375">
        <f>0.124*(4.19 * 50)</f>
        <v>25.978000000000005</v>
      </c>
      <c r="W375">
        <f>0.123*(4.19 * 50)</f>
        <v>25.768500000000003</v>
      </c>
      <c r="X375">
        <f>0.122*(4.19 * 50)</f>
        <v>25.559000000000005</v>
      </c>
      <c r="Y375">
        <f>0.123*(4.19 * 50)</f>
        <v>25.768500000000003</v>
      </c>
      <c r="Z375">
        <f>0.124*(4.19 * 50)</f>
        <v>25.978000000000005</v>
      </c>
      <c r="AA375">
        <f>0.126*(4.19 * 50)</f>
        <v>26.397000000000002</v>
      </c>
      <c r="AB375">
        <f>0.128*(4.19 * 50)</f>
        <v>26.816000000000003</v>
      </c>
      <c r="AC375">
        <f>0.13*(4.19 * 50)</f>
        <v>27.235000000000003</v>
      </c>
      <c r="AD375">
        <f>0.133*(4.19 * 50)</f>
        <v>27.863500000000005</v>
      </c>
      <c r="AE375">
        <f>0.134*(4.19 * 50)</f>
        <v>28.073000000000004</v>
      </c>
      <c r="AF375">
        <f>0.132*(4.19 * 50)</f>
        <v>27.654000000000003</v>
      </c>
      <c r="AG375">
        <f>0.131*(4.19 * 50)</f>
        <v>27.444500000000005</v>
      </c>
    </row>
    <row r="376" spans="1:33" x14ac:dyDescent="0.3">
      <c r="A376" t="s">
        <v>419</v>
      </c>
      <c r="B376">
        <v>357188.15625</v>
      </c>
      <c r="C376">
        <v>6667929.4101560004</v>
      </c>
      <c r="D376" t="s">
        <v>542</v>
      </c>
      <c r="E376">
        <v>100</v>
      </c>
      <c r="F376">
        <v>76.333000183105398</v>
      </c>
      <c r="G376">
        <v>0.36435799610074171</v>
      </c>
      <c r="H376">
        <f t="shared" si="11"/>
        <v>147.98200018310541</v>
      </c>
      <c r="I376">
        <f t="shared" si="10"/>
        <v>209.50000000000003</v>
      </c>
      <c r="J376">
        <f>0.332*(4.19 * 50)</f>
        <v>69.554000000000016</v>
      </c>
      <c r="K376">
        <f>0.33*(4.19 * 50)</f>
        <v>69.135000000000019</v>
      </c>
      <c r="L376">
        <f>0.328*(4.19 * 50)</f>
        <v>68.716000000000008</v>
      </c>
      <c r="M376">
        <f>0.326*(4.19 * 50)</f>
        <v>68.297000000000011</v>
      </c>
      <c r="N376">
        <f>0.328*(4.19 * 50)</f>
        <v>68.716000000000008</v>
      </c>
      <c r="O376">
        <f>0.332*(4.19 * 50)</f>
        <v>69.554000000000016</v>
      </c>
      <c r="P376">
        <f>0.342*(4.19 * 50)</f>
        <v>71.649000000000015</v>
      </c>
      <c r="Q376">
        <f>0.351*(4.19 * 50)</f>
        <v>73.534500000000008</v>
      </c>
      <c r="R376">
        <f>0.348*(4.19 * 50)</f>
        <v>72.906000000000006</v>
      </c>
      <c r="S376">
        <f>0.341*(4.19 * 50)</f>
        <v>71.43950000000001</v>
      </c>
      <c r="T376">
        <f>0.339*(4.19 * 50)</f>
        <v>71.020500000000013</v>
      </c>
      <c r="U376">
        <f>0.325*(4.19 * 50)</f>
        <v>68.087500000000006</v>
      </c>
      <c r="V376">
        <f>0.32*(4.19 * 50)</f>
        <v>67.040000000000006</v>
      </c>
      <c r="W376">
        <f>0.316*(4.19 * 50)</f>
        <v>66.202000000000012</v>
      </c>
      <c r="X376">
        <f>0.315*(4.19 * 50)</f>
        <v>65.992500000000007</v>
      </c>
      <c r="Y376">
        <f>0.316*(4.19 * 50)</f>
        <v>66.202000000000012</v>
      </c>
      <c r="Z376">
        <f>0.319*(4.19 * 50)</f>
        <v>66.830500000000015</v>
      </c>
      <c r="AA376">
        <f>0.325*(4.19 * 50)</f>
        <v>68.087500000000006</v>
      </c>
      <c r="AB376">
        <f>0.33*(4.19 * 50)</f>
        <v>69.135000000000019</v>
      </c>
      <c r="AC376">
        <f>0.336*(4.19 * 50)</f>
        <v>70.39200000000001</v>
      </c>
      <c r="AD376">
        <f>0.341*(4.19 * 50)</f>
        <v>71.43950000000001</v>
      </c>
      <c r="AE376">
        <f>0.344*(4.19 * 50)</f>
        <v>72.067999999999998</v>
      </c>
      <c r="AF376">
        <f>0.341*(4.19 * 50)</f>
        <v>71.43950000000001</v>
      </c>
      <c r="AG376">
        <f>0.336*(4.19 * 50)</f>
        <v>70.39200000000001</v>
      </c>
    </row>
    <row r="377" spans="1:33" x14ac:dyDescent="0.3">
      <c r="A377" t="s">
        <v>420</v>
      </c>
      <c r="B377">
        <v>356012.808594</v>
      </c>
      <c r="C377">
        <v>6663568.4101560004</v>
      </c>
      <c r="D377" t="s">
        <v>541</v>
      </c>
      <c r="E377">
        <v>100</v>
      </c>
      <c r="F377">
        <v>41</v>
      </c>
      <c r="G377">
        <v>0.19570405727923629</v>
      </c>
      <c r="H377">
        <f t="shared" si="11"/>
        <v>79.548000000000002</v>
      </c>
      <c r="I377">
        <f t="shared" si="10"/>
        <v>209.50000000000003</v>
      </c>
      <c r="J377">
        <f>0.178*(4.19 * 50)</f>
        <v>37.291000000000004</v>
      </c>
      <c r="K377">
        <f>0.177*(4.19 * 50)</f>
        <v>37.081500000000005</v>
      </c>
      <c r="L377">
        <f>0.176*(4.19 * 50)</f>
        <v>36.872</v>
      </c>
      <c r="M377">
        <f>0.175*(4.19 * 50)</f>
        <v>36.662500000000001</v>
      </c>
      <c r="N377">
        <f>0.176*(4.19 * 50)</f>
        <v>36.872</v>
      </c>
      <c r="O377">
        <f>0.178*(4.19 * 50)</f>
        <v>37.291000000000004</v>
      </c>
      <c r="P377">
        <f>0.184*(4.19 * 50)</f>
        <v>38.548000000000002</v>
      </c>
      <c r="Q377">
        <f>0.188*(4.19 * 50)</f>
        <v>39.386000000000003</v>
      </c>
      <c r="R377">
        <f>0.187*(4.19 * 50)</f>
        <v>39.176500000000004</v>
      </c>
      <c r="S377">
        <f>0.183*(4.19 * 50)</f>
        <v>38.338500000000003</v>
      </c>
      <c r="T377">
        <f>0.182*(4.19 * 50)</f>
        <v>38.129000000000005</v>
      </c>
      <c r="U377">
        <f>0.175*(4.19 * 50)</f>
        <v>36.662500000000001</v>
      </c>
      <c r="V377">
        <f>0.172*(4.19 * 50)</f>
        <v>36.033999999999999</v>
      </c>
      <c r="W377">
        <f>0.17*(4.19 * 50)</f>
        <v>35.615000000000009</v>
      </c>
      <c r="X377">
        <f>0.169*(4.19 * 50)</f>
        <v>35.405500000000011</v>
      </c>
      <c r="Y377">
        <f>0.17*(4.19 * 50)</f>
        <v>35.615000000000009</v>
      </c>
      <c r="Z377">
        <f>0.171*(4.19 * 50)</f>
        <v>35.824500000000008</v>
      </c>
      <c r="AA377">
        <f>0.175*(4.19 * 50)</f>
        <v>36.662500000000001</v>
      </c>
      <c r="AB377">
        <f>0.177*(4.19 * 50)</f>
        <v>37.081500000000005</v>
      </c>
      <c r="AC377">
        <f>0.18*(4.19 * 50)</f>
        <v>37.71</v>
      </c>
      <c r="AD377">
        <f>0.183*(4.19 * 50)</f>
        <v>38.338500000000003</v>
      </c>
      <c r="AE377">
        <f>0.185*(4.19 * 50)</f>
        <v>38.757500000000007</v>
      </c>
      <c r="AF377">
        <f>0.183*(4.19 * 50)</f>
        <v>38.338500000000003</v>
      </c>
      <c r="AG377">
        <f>0.18*(4.19 * 50)</f>
        <v>37.71</v>
      </c>
    </row>
    <row r="378" spans="1:33" x14ac:dyDescent="0.3">
      <c r="A378" t="s">
        <v>421</v>
      </c>
      <c r="B378">
        <v>355411.617188</v>
      </c>
      <c r="C378">
        <v>6664621.4257810004</v>
      </c>
      <c r="D378" t="s">
        <v>541</v>
      </c>
      <c r="E378">
        <v>100</v>
      </c>
      <c r="F378">
        <v>90.666999816894503</v>
      </c>
      <c r="G378">
        <v>0.4327780420854152</v>
      </c>
      <c r="H378">
        <f t="shared" si="11"/>
        <v>175.72399981689452</v>
      </c>
      <c r="I378">
        <f t="shared" si="10"/>
        <v>209.50000000000003</v>
      </c>
      <c r="J378">
        <f>0.395*(4.19 * 50)</f>
        <v>82.752500000000012</v>
      </c>
      <c r="K378">
        <f>0.391*(4.19 * 50)</f>
        <v>81.914500000000018</v>
      </c>
      <c r="L378">
        <f>0.389*(4.19 * 50)</f>
        <v>81.495500000000007</v>
      </c>
      <c r="M378">
        <f>0.388*(4.19 * 50)</f>
        <v>81.286000000000016</v>
      </c>
      <c r="N378">
        <f>0.389*(4.19 * 50)</f>
        <v>81.495500000000007</v>
      </c>
      <c r="O378">
        <f>0.394*(4.19 * 50)</f>
        <v>82.543000000000021</v>
      </c>
      <c r="P378">
        <f>0.406*(4.19 * 50)</f>
        <v>85.057000000000016</v>
      </c>
      <c r="Q378">
        <f>0.417*(4.19 * 50)</f>
        <v>87.361500000000007</v>
      </c>
      <c r="R378">
        <f>0.413*(4.19 * 50)</f>
        <v>86.523500000000013</v>
      </c>
      <c r="S378">
        <f>0.404*(4.19 * 50)</f>
        <v>84.638000000000019</v>
      </c>
      <c r="T378">
        <f>0.403*(4.19 * 50)</f>
        <v>84.428500000000014</v>
      </c>
      <c r="U378">
        <f>0.386*(4.19 * 50)</f>
        <v>80.867000000000019</v>
      </c>
      <c r="V378">
        <f>0.38*(4.19 * 50)</f>
        <v>79.610000000000014</v>
      </c>
      <c r="W378">
        <f>0.375*(4.19 * 50)</f>
        <v>78.562500000000014</v>
      </c>
      <c r="X378">
        <f>0.374*(4.19 * 50)</f>
        <v>78.353000000000009</v>
      </c>
      <c r="Y378">
        <f>0.375*(4.19 * 50)</f>
        <v>78.562500000000014</v>
      </c>
      <c r="Z378">
        <f>0.379*(4.19 * 50)</f>
        <v>79.400500000000008</v>
      </c>
      <c r="AA378">
        <f>0.386*(4.19 * 50)</f>
        <v>80.867000000000019</v>
      </c>
      <c r="AB378">
        <f>0.391*(4.19 * 50)</f>
        <v>81.914500000000018</v>
      </c>
      <c r="AC378">
        <f>0.399*(4.19 * 50)</f>
        <v>83.59050000000002</v>
      </c>
      <c r="AD378">
        <f>0.405*(4.19 * 50)</f>
        <v>84.847500000000011</v>
      </c>
      <c r="AE378">
        <f>0.408*(4.19 * 50)</f>
        <v>85.475999999999999</v>
      </c>
      <c r="AF378">
        <f>0.404*(4.19 * 50)</f>
        <v>84.638000000000019</v>
      </c>
      <c r="AG378">
        <f>0.399*(4.19 * 50)</f>
        <v>83.59050000000002</v>
      </c>
    </row>
    <row r="379" spans="1:33" x14ac:dyDescent="0.3">
      <c r="A379" t="s">
        <v>422</v>
      </c>
      <c r="B379">
        <v>363009.855469</v>
      </c>
      <c r="C379">
        <v>6671314.4335939996</v>
      </c>
      <c r="D379" t="s">
        <v>542</v>
      </c>
      <c r="E379">
        <v>100</v>
      </c>
      <c r="F379">
        <v>69</v>
      </c>
      <c r="G379">
        <v>0.3293556085918854</v>
      </c>
      <c r="H379">
        <f t="shared" si="11"/>
        <v>133.7355</v>
      </c>
      <c r="I379">
        <f t="shared" si="10"/>
        <v>209.50000000000003</v>
      </c>
      <c r="J379">
        <f>0.3*(4.19 * 50)</f>
        <v>62.850000000000009</v>
      </c>
      <c r="K379">
        <f>0.298*(4.19 * 50)</f>
        <v>62.431000000000004</v>
      </c>
      <c r="L379">
        <f>0.296*(4.19 * 50)</f>
        <v>62.012000000000008</v>
      </c>
      <c r="M379">
        <f>0.295*(4.19 * 50)</f>
        <v>61.802500000000002</v>
      </c>
      <c r="N379">
        <f>0.296*(4.19 * 50)</f>
        <v>62.012000000000008</v>
      </c>
      <c r="O379">
        <f>0.3*(4.19 * 50)</f>
        <v>62.850000000000009</v>
      </c>
      <c r="P379">
        <f>0.309*(4.19 * 50)</f>
        <v>64.735500000000002</v>
      </c>
      <c r="Q379">
        <f>0.317*(4.19 * 50)</f>
        <v>66.411500000000004</v>
      </c>
      <c r="R379">
        <f>0.314*(4.19 * 50)</f>
        <v>65.783000000000015</v>
      </c>
      <c r="S379">
        <f>0.308*(4.19 * 50)</f>
        <v>64.52600000000001</v>
      </c>
      <c r="T379">
        <f>0.307*(4.19 * 50)</f>
        <v>64.316500000000005</v>
      </c>
      <c r="U379">
        <f>0.294*(4.19 * 50)</f>
        <v>61.593000000000004</v>
      </c>
      <c r="V379">
        <f>0.29*(4.19 * 50)</f>
        <v>60.755000000000003</v>
      </c>
      <c r="W379">
        <f>0.286*(4.19 * 50)</f>
        <v>59.917000000000002</v>
      </c>
      <c r="X379">
        <f>0.285*(4.19 * 50)</f>
        <v>59.707500000000003</v>
      </c>
      <c r="Y379">
        <f>0.285*(4.19 * 50)</f>
        <v>59.707500000000003</v>
      </c>
      <c r="Z379">
        <f>0.288*(4.19 * 50)</f>
        <v>60.336000000000006</v>
      </c>
      <c r="AA379">
        <f>0.294*(4.19 * 50)</f>
        <v>61.593000000000004</v>
      </c>
      <c r="AB379">
        <f>0.298*(4.19 * 50)</f>
        <v>62.431000000000004</v>
      </c>
      <c r="AC379">
        <f>0.303*(4.19 * 50)</f>
        <v>63.478500000000004</v>
      </c>
      <c r="AD379">
        <f>0.308*(4.19 * 50)</f>
        <v>64.52600000000001</v>
      </c>
      <c r="AE379">
        <f>0.311*(4.19 * 50)</f>
        <v>65.154500000000013</v>
      </c>
      <c r="AF379">
        <f>0.308*(4.19 * 50)</f>
        <v>64.52600000000001</v>
      </c>
      <c r="AG379">
        <f>0.304*(4.19 * 50)</f>
        <v>63.688000000000009</v>
      </c>
    </row>
    <row r="380" spans="1:33" x14ac:dyDescent="0.3">
      <c r="A380" t="s">
        <v>423</v>
      </c>
      <c r="B380">
        <v>362900.855469</v>
      </c>
      <c r="C380">
        <v>6671311.8789060004</v>
      </c>
      <c r="D380" t="s">
        <v>545</v>
      </c>
      <c r="E380">
        <v>100</v>
      </c>
      <c r="F380">
        <v>104</v>
      </c>
      <c r="G380">
        <v>0.49642004773269682</v>
      </c>
      <c r="H380">
        <f t="shared" si="11"/>
        <v>201.62700000000001</v>
      </c>
      <c r="I380">
        <f t="shared" si="10"/>
        <v>209.50000000000003</v>
      </c>
      <c r="J380">
        <f>0.453*(4.19 * 50)</f>
        <v>94.903500000000022</v>
      </c>
      <c r="K380">
        <f>0.449*(4.19 * 50)</f>
        <v>94.065500000000014</v>
      </c>
      <c r="L380">
        <f>0.446*(4.19 * 50)</f>
        <v>93.437000000000012</v>
      </c>
      <c r="M380">
        <f>0.445*(4.19 * 50)</f>
        <v>93.22750000000002</v>
      </c>
      <c r="N380">
        <f>0.446*(4.19 * 50)</f>
        <v>93.437000000000012</v>
      </c>
      <c r="O380">
        <f>0.452*(4.19 * 50)</f>
        <v>94.694000000000017</v>
      </c>
      <c r="P380">
        <f>0.466*(4.19 * 50)</f>
        <v>97.627000000000024</v>
      </c>
      <c r="Q380">
        <f>0.478*(4.19 * 50)</f>
        <v>100.14100000000001</v>
      </c>
      <c r="R380">
        <f>0.474*(4.19 * 50)</f>
        <v>99.303000000000011</v>
      </c>
      <c r="S380">
        <f>0.464*(4.19 * 50)</f>
        <v>97.208000000000013</v>
      </c>
      <c r="T380">
        <f>0.462*(4.19 * 50)</f>
        <v>96.789000000000016</v>
      </c>
      <c r="U380">
        <f>0.443*(4.19 * 50)</f>
        <v>92.808500000000009</v>
      </c>
      <c r="V380">
        <f>0.436*(4.19 * 50)</f>
        <v>91.342000000000013</v>
      </c>
      <c r="W380">
        <f>0.431*(4.19 * 50)</f>
        <v>90.294500000000014</v>
      </c>
      <c r="X380">
        <f>0.429*(4.19 * 50)</f>
        <v>89.875500000000017</v>
      </c>
      <c r="Y380">
        <f>0.43*(4.19 * 50)</f>
        <v>90.085000000000008</v>
      </c>
      <c r="Z380">
        <f>0.435*(4.19 * 50)</f>
        <v>91.132500000000007</v>
      </c>
      <c r="AA380">
        <f>0.443*(4.19 * 50)</f>
        <v>92.808500000000009</v>
      </c>
      <c r="AB380">
        <f>0.449*(4.19 * 50)</f>
        <v>94.065500000000014</v>
      </c>
      <c r="AC380">
        <f>0.457*(4.19 * 50)</f>
        <v>95.741500000000016</v>
      </c>
      <c r="AD380">
        <f>0.465*(4.19 * 50)</f>
        <v>97.417500000000018</v>
      </c>
      <c r="AE380">
        <f>0.468*(4.19 * 50)</f>
        <v>98.046000000000021</v>
      </c>
      <c r="AF380">
        <f>0.464*(4.19 * 50)</f>
        <v>97.208000000000013</v>
      </c>
      <c r="AG380">
        <f>0.458*(4.19 * 50)</f>
        <v>95.951000000000022</v>
      </c>
    </row>
    <row r="381" spans="1:33" x14ac:dyDescent="0.3">
      <c r="A381" t="s">
        <v>424</v>
      </c>
      <c r="B381">
        <v>357827.503906</v>
      </c>
      <c r="C381">
        <v>6667826.8359380001</v>
      </c>
      <c r="D381" t="s">
        <v>542</v>
      </c>
      <c r="E381">
        <v>100</v>
      </c>
      <c r="F381">
        <v>112.66699981689401</v>
      </c>
      <c r="G381">
        <v>0.53778997525963723</v>
      </c>
      <c r="H381">
        <f t="shared" si="11"/>
        <v>218.46449981689403</v>
      </c>
      <c r="I381">
        <f t="shared" si="10"/>
        <v>209.50000000000003</v>
      </c>
      <c r="J381">
        <f>0.49*(4.19 * 50)</f>
        <v>102.65500000000002</v>
      </c>
      <c r="K381">
        <f>0.486*(4.19 * 50)</f>
        <v>101.81700000000001</v>
      </c>
      <c r="L381">
        <f>0.484*(4.19 * 50)</f>
        <v>101.39800000000001</v>
      </c>
      <c r="M381">
        <f>0.482*(4.19 * 50)</f>
        <v>100.97900000000001</v>
      </c>
      <c r="N381">
        <f>0.484*(4.19 * 50)</f>
        <v>101.39800000000001</v>
      </c>
      <c r="O381">
        <f>0.49*(4.19 * 50)</f>
        <v>102.65500000000002</v>
      </c>
      <c r="P381">
        <f>0.505*(4.19 * 50)</f>
        <v>105.79750000000001</v>
      </c>
      <c r="Q381">
        <f>0.518*(4.19 * 50)</f>
        <v>108.52100000000002</v>
      </c>
      <c r="R381">
        <f>0.513*(4.19 * 50)</f>
        <v>107.47350000000002</v>
      </c>
      <c r="S381">
        <f>0.503*(4.19 * 50)</f>
        <v>105.37850000000002</v>
      </c>
      <c r="T381">
        <f>0.501*(4.19 * 50)</f>
        <v>104.95950000000002</v>
      </c>
      <c r="U381">
        <f>0.48*(4.19 * 50)</f>
        <v>100.56000000000002</v>
      </c>
      <c r="V381">
        <f>0.473*(4.19 * 50)</f>
        <v>99.093500000000006</v>
      </c>
      <c r="W381">
        <f>0.466*(4.19 * 50)</f>
        <v>97.627000000000024</v>
      </c>
      <c r="X381">
        <f>0.465*(4.19 * 50)</f>
        <v>97.417500000000018</v>
      </c>
      <c r="Y381">
        <f>0.466*(4.19 * 50)</f>
        <v>97.627000000000024</v>
      </c>
      <c r="Z381">
        <f>0.471*(4.19 * 50)</f>
        <v>98.674500000000009</v>
      </c>
      <c r="AA381">
        <f>0.48*(4.19 * 50)</f>
        <v>100.56000000000002</v>
      </c>
      <c r="AB381">
        <f>0.486*(4.19 * 50)</f>
        <v>101.81700000000001</v>
      </c>
      <c r="AC381">
        <f>0.495*(4.19 * 50)</f>
        <v>103.70250000000001</v>
      </c>
      <c r="AD381">
        <f>0.504*(4.19 * 50)</f>
        <v>105.58800000000001</v>
      </c>
      <c r="AE381">
        <f>0.507*(4.19 * 50)</f>
        <v>106.21650000000001</v>
      </c>
      <c r="AF381">
        <f>0.503*(4.19 * 50)</f>
        <v>105.37850000000002</v>
      </c>
      <c r="AG381">
        <f>0.496*(4.19 * 50)</f>
        <v>103.91200000000002</v>
      </c>
    </row>
    <row r="382" spans="1:33" x14ac:dyDescent="0.3">
      <c r="A382" t="s">
        <v>425</v>
      </c>
      <c r="B382">
        <v>363301.398438</v>
      </c>
      <c r="C382">
        <v>6672539.9296880001</v>
      </c>
      <c r="D382" t="s">
        <v>545</v>
      </c>
      <c r="E382">
        <v>100</v>
      </c>
      <c r="F382">
        <v>236.66700744628901</v>
      </c>
      <c r="G382">
        <v>1.129675453204243</v>
      </c>
      <c r="H382">
        <f t="shared" si="11"/>
        <v>458.73700744628906</v>
      </c>
      <c r="I382">
        <f t="shared" si="10"/>
        <v>209.50000000000003</v>
      </c>
      <c r="J382">
        <f>1.03*(4.19 * 50)</f>
        <v>215.78500000000003</v>
      </c>
      <c r="K382">
        <f>1.022*(4.19 * 50)</f>
        <v>214.10900000000004</v>
      </c>
      <c r="L382">
        <f>1.016*(4.19 * 50)</f>
        <v>212.85200000000003</v>
      </c>
      <c r="M382">
        <f>1.012*(4.19 * 50)</f>
        <v>212.01400000000004</v>
      </c>
      <c r="N382">
        <f>1.016*(4.19 * 50)</f>
        <v>212.85200000000003</v>
      </c>
      <c r="O382">
        <f>1.029*(4.19 * 50)</f>
        <v>215.57550000000001</v>
      </c>
      <c r="P382">
        <f>1.06*(4.19 * 50)</f>
        <v>222.07000000000005</v>
      </c>
      <c r="Q382">
        <f>1.088*(4.19 * 50)</f>
        <v>227.93600000000004</v>
      </c>
      <c r="R382">
        <f>1.078*(4.19 * 50)</f>
        <v>225.84100000000004</v>
      </c>
      <c r="S382">
        <f>1.056*(4.19 * 50)</f>
        <v>221.23200000000003</v>
      </c>
      <c r="T382">
        <f>1.052*(4.19 * 50)</f>
        <v>220.39400000000003</v>
      </c>
      <c r="U382">
        <f>1.007*(4.19 * 50)</f>
        <v>210.9665</v>
      </c>
      <c r="V382">
        <f>0.993*(4.19 * 50)</f>
        <v>208.03350000000003</v>
      </c>
      <c r="W382">
        <f>0.98*(4.19 * 50)</f>
        <v>205.31000000000003</v>
      </c>
      <c r="X382">
        <f>0.977*(4.19 * 50)</f>
        <v>204.68150000000003</v>
      </c>
      <c r="Y382">
        <f>0.979*(4.19 * 50)</f>
        <v>205.10050000000001</v>
      </c>
      <c r="Z382">
        <f>0.989*(4.19 * 50)</f>
        <v>207.19550000000004</v>
      </c>
      <c r="AA382">
        <f>1.007*(4.19 * 50)</f>
        <v>210.9665</v>
      </c>
      <c r="AB382">
        <f>1.022*(4.19 * 50)</f>
        <v>214.10900000000004</v>
      </c>
      <c r="AC382">
        <f>1.04*(4.19 * 50)</f>
        <v>217.88000000000002</v>
      </c>
      <c r="AD382">
        <f>1.058*(4.19 * 50)</f>
        <v>221.65100000000004</v>
      </c>
      <c r="AE382">
        <f>1.065*(4.19 * 50)</f>
        <v>223.11750000000001</v>
      </c>
      <c r="AF382">
        <f>1.056*(4.19 * 50)</f>
        <v>221.23200000000003</v>
      </c>
      <c r="AG382">
        <f>1.041*(4.19 * 50)</f>
        <v>218.08950000000002</v>
      </c>
    </row>
    <row r="383" spans="1:33" x14ac:dyDescent="0.3">
      <c r="A383" t="s">
        <v>426</v>
      </c>
      <c r="B383">
        <v>359531.394531</v>
      </c>
      <c r="C383">
        <v>6667403.9335939996</v>
      </c>
      <c r="D383" t="s">
        <v>564</v>
      </c>
      <c r="E383">
        <v>100</v>
      </c>
      <c r="F383">
        <v>30</v>
      </c>
      <c r="G383">
        <v>0.14319809069212411</v>
      </c>
      <c r="H383">
        <f t="shared" si="11"/>
        <v>58.073000000000008</v>
      </c>
      <c r="I383">
        <f t="shared" si="10"/>
        <v>209.50000000000003</v>
      </c>
      <c r="J383">
        <f>0.131*(4.19 * 50)</f>
        <v>27.444500000000005</v>
      </c>
      <c r="K383">
        <f>0.13*(4.19 * 50)</f>
        <v>27.235000000000003</v>
      </c>
      <c r="L383">
        <f>0.129*(4.19 * 50)</f>
        <v>27.025500000000005</v>
      </c>
      <c r="M383">
        <f>0.128*(4.19 * 50)</f>
        <v>26.816000000000003</v>
      </c>
      <c r="N383">
        <f>0.129*(4.19 * 50)</f>
        <v>27.025500000000005</v>
      </c>
      <c r="O383">
        <f>0.13*(4.19 * 50)</f>
        <v>27.235000000000003</v>
      </c>
      <c r="P383">
        <f>0.134*(4.19 * 50)</f>
        <v>28.073000000000004</v>
      </c>
      <c r="Q383">
        <f>0.138*(4.19 * 50)</f>
        <v>28.911000000000005</v>
      </c>
      <c r="R383">
        <f>0.137*(4.19 * 50)</f>
        <v>28.701500000000006</v>
      </c>
      <c r="S383">
        <f>0.134*(4.19 * 50)</f>
        <v>28.073000000000004</v>
      </c>
      <c r="T383">
        <f>0.133*(4.19 * 50)</f>
        <v>27.863500000000005</v>
      </c>
      <c r="U383">
        <f>0.128*(4.19 * 50)</f>
        <v>26.816000000000003</v>
      </c>
      <c r="V383">
        <f>0.126*(4.19 * 50)</f>
        <v>26.397000000000002</v>
      </c>
      <c r="W383">
        <f>0.124*(4.19 * 50)</f>
        <v>25.978000000000005</v>
      </c>
      <c r="X383">
        <f>0.124*(4.19 * 50)</f>
        <v>25.978000000000005</v>
      </c>
      <c r="Y383">
        <f>0.124*(4.19 * 50)</f>
        <v>25.978000000000005</v>
      </c>
      <c r="Z383">
        <f>0.125*(4.19 * 50)</f>
        <v>26.187500000000004</v>
      </c>
      <c r="AA383">
        <f>0.128*(4.19 * 50)</f>
        <v>26.816000000000003</v>
      </c>
      <c r="AB383">
        <f>0.13*(4.19 * 50)</f>
        <v>27.235000000000003</v>
      </c>
      <c r="AC383">
        <f>0.132*(4.19 * 50)</f>
        <v>27.654000000000003</v>
      </c>
      <c r="AD383">
        <f>0.134*(4.19 * 50)</f>
        <v>28.073000000000004</v>
      </c>
      <c r="AE383">
        <f>0.135*(4.19 * 50)</f>
        <v>28.282500000000006</v>
      </c>
      <c r="AF383">
        <f>0.134*(4.19 * 50)</f>
        <v>28.073000000000004</v>
      </c>
      <c r="AG383">
        <f>0.132*(4.19 * 50)</f>
        <v>27.654000000000003</v>
      </c>
    </row>
    <row r="384" spans="1:33" x14ac:dyDescent="0.3">
      <c r="A384" t="s">
        <v>427</v>
      </c>
      <c r="B384">
        <v>359283.246094</v>
      </c>
      <c r="C384">
        <v>6668394.3398439996</v>
      </c>
      <c r="D384" t="s">
        <v>545</v>
      </c>
      <c r="E384">
        <v>100</v>
      </c>
      <c r="F384">
        <v>134.33299255371</v>
      </c>
      <c r="G384">
        <v>0.64120760168835311</v>
      </c>
      <c r="H384">
        <f t="shared" si="11"/>
        <v>260.45199255371</v>
      </c>
      <c r="I384">
        <f t="shared" si="10"/>
        <v>209.50000000000003</v>
      </c>
      <c r="J384">
        <f>0.585*(4.19 * 50)</f>
        <v>122.5575</v>
      </c>
      <c r="K384">
        <f>0.58*(4.19 * 50)</f>
        <v>121.51</v>
      </c>
      <c r="L384">
        <f>0.576*(4.19 * 50)</f>
        <v>120.67200000000001</v>
      </c>
      <c r="M384">
        <f>0.574*(4.19 * 50)</f>
        <v>120.253</v>
      </c>
      <c r="N384">
        <f>0.576*(4.19 * 50)</f>
        <v>120.67200000000001</v>
      </c>
      <c r="O384">
        <f>0.584*(4.19 * 50)</f>
        <v>122.34800000000001</v>
      </c>
      <c r="P384">
        <f>0.602*(4.19 * 50)</f>
        <v>126.11900000000001</v>
      </c>
      <c r="Q384">
        <f>0.617*(4.19 * 50)</f>
        <v>129.26150000000001</v>
      </c>
      <c r="R384">
        <f>0.612*(4.19 * 50)</f>
        <v>128.21400000000003</v>
      </c>
      <c r="S384">
        <f>0.599*(4.19 * 50)</f>
        <v>125.49050000000001</v>
      </c>
      <c r="T384">
        <f>0.597*(4.19 * 50)</f>
        <v>125.07150000000001</v>
      </c>
      <c r="U384">
        <f>0.572*(4.19 * 50)</f>
        <v>119.834</v>
      </c>
      <c r="V384">
        <f>0.564*(4.19 * 50)</f>
        <v>118.158</v>
      </c>
      <c r="W384">
        <f>0.556*(4.19 * 50)</f>
        <v>116.48200000000003</v>
      </c>
      <c r="X384">
        <f>0.554*(4.19 * 50)</f>
        <v>116.06300000000003</v>
      </c>
      <c r="Y384">
        <f>0.555*(4.19 * 50)</f>
        <v>116.27250000000002</v>
      </c>
      <c r="Z384">
        <f>0.561*(4.19 * 50)</f>
        <v>117.52950000000003</v>
      </c>
      <c r="AA384">
        <f>0.572*(4.19 * 50)</f>
        <v>119.834</v>
      </c>
      <c r="AB384">
        <f>0.58*(4.19 * 50)</f>
        <v>121.51</v>
      </c>
      <c r="AC384">
        <f>0.591*(4.19 * 50)</f>
        <v>123.81450000000001</v>
      </c>
      <c r="AD384">
        <f>0.6*(4.19 * 50)</f>
        <v>125.70000000000002</v>
      </c>
      <c r="AE384">
        <f>0.605*(4.19 * 50)</f>
        <v>126.74750000000002</v>
      </c>
      <c r="AF384">
        <f>0.599*(4.19 * 50)</f>
        <v>125.49050000000001</v>
      </c>
      <c r="AG384">
        <f>0.591*(4.19 * 50)</f>
        <v>123.81450000000001</v>
      </c>
    </row>
    <row r="385" spans="1:33" x14ac:dyDescent="0.3">
      <c r="A385" t="s">
        <v>428</v>
      </c>
      <c r="B385">
        <v>357016.789063</v>
      </c>
      <c r="C385">
        <v>6668781.0664060004</v>
      </c>
      <c r="D385" t="s">
        <v>564</v>
      </c>
      <c r="E385">
        <v>100</v>
      </c>
      <c r="F385">
        <v>50</v>
      </c>
      <c r="G385">
        <v>0.2386634844868735</v>
      </c>
      <c r="H385">
        <f t="shared" si="11"/>
        <v>96.927999999999997</v>
      </c>
      <c r="I385">
        <f t="shared" si="10"/>
        <v>209.50000000000003</v>
      </c>
      <c r="J385">
        <f>0.218*(4.19 * 50)</f>
        <v>45.671000000000006</v>
      </c>
      <c r="K385">
        <f>0.216*(4.19 * 50)</f>
        <v>45.252000000000002</v>
      </c>
      <c r="L385">
        <f>0.215*(4.19 * 50)</f>
        <v>45.042500000000004</v>
      </c>
      <c r="M385">
        <f>0.214*(4.19 * 50)</f>
        <v>44.833000000000006</v>
      </c>
      <c r="N385">
        <f>0.215*(4.19 * 50)</f>
        <v>45.042500000000004</v>
      </c>
      <c r="O385">
        <f>0.217*(4.19 * 50)</f>
        <v>45.461500000000008</v>
      </c>
      <c r="P385">
        <f>0.224*(4.19 * 50)</f>
        <v>46.928000000000004</v>
      </c>
      <c r="Q385">
        <f>0.23*(4.19 * 50)</f>
        <v>48.185000000000009</v>
      </c>
      <c r="R385">
        <f>0.228*(4.19 * 50)</f>
        <v>47.766000000000005</v>
      </c>
      <c r="S385">
        <f>0.223*(4.19 * 50)</f>
        <v>46.718500000000006</v>
      </c>
      <c r="T385">
        <f>0.222*(4.19 * 50)</f>
        <v>46.509000000000007</v>
      </c>
      <c r="U385">
        <f>0.213*(4.19 * 50)</f>
        <v>44.623500000000007</v>
      </c>
      <c r="V385">
        <f>0.21*(4.19 * 50)</f>
        <v>43.995000000000005</v>
      </c>
      <c r="W385">
        <f>0.207*(4.19 * 50)</f>
        <v>43.366500000000002</v>
      </c>
      <c r="X385">
        <f>0.206*(4.19 * 50)</f>
        <v>43.157000000000004</v>
      </c>
      <c r="Y385">
        <f>0.207*(4.19 * 50)</f>
        <v>43.366500000000002</v>
      </c>
      <c r="Z385">
        <f>0.209*(4.19 * 50)</f>
        <v>43.785500000000006</v>
      </c>
      <c r="AA385">
        <f>0.213*(4.19 * 50)</f>
        <v>44.623500000000007</v>
      </c>
      <c r="AB385">
        <f>0.216*(4.19 * 50)</f>
        <v>45.252000000000002</v>
      </c>
      <c r="AC385">
        <f>0.22*(4.19 * 50)</f>
        <v>46.09</v>
      </c>
      <c r="AD385">
        <f>0.223*(4.19 * 50)</f>
        <v>46.718500000000006</v>
      </c>
      <c r="AE385">
        <f>0.225*(4.19 * 50)</f>
        <v>47.13750000000001</v>
      </c>
      <c r="AF385">
        <f>0.223*(4.19 * 50)</f>
        <v>46.718500000000006</v>
      </c>
      <c r="AG385">
        <f>0.22*(4.19 * 50)</f>
        <v>46.09</v>
      </c>
    </row>
    <row r="386" spans="1:33" x14ac:dyDescent="0.3">
      <c r="A386" t="s">
        <v>429</v>
      </c>
      <c r="B386">
        <v>357135.816406</v>
      </c>
      <c r="C386">
        <v>6665676.6992189996</v>
      </c>
      <c r="D386" t="s">
        <v>542</v>
      </c>
      <c r="E386">
        <v>100</v>
      </c>
      <c r="F386">
        <v>143.33299255371</v>
      </c>
      <c r="G386">
        <v>0.68416702889599035</v>
      </c>
      <c r="H386">
        <f t="shared" si="11"/>
        <v>277.83199255371005</v>
      </c>
      <c r="I386">
        <f t="shared" si="10"/>
        <v>209.50000000000003</v>
      </c>
      <c r="J386">
        <f>0.624*(4.19 * 50)</f>
        <v>130.72800000000001</v>
      </c>
      <c r="K386">
        <f>0.619*(4.19 * 50)</f>
        <v>129.68050000000002</v>
      </c>
      <c r="L386">
        <f>0.615*(4.19 * 50)</f>
        <v>128.84250000000003</v>
      </c>
      <c r="M386">
        <f>0.613*(4.19 * 50)</f>
        <v>128.42350000000002</v>
      </c>
      <c r="N386">
        <f>0.615*(4.19 * 50)</f>
        <v>128.84250000000003</v>
      </c>
      <c r="O386">
        <f>0.623*(4.19 * 50)</f>
        <v>130.51850000000002</v>
      </c>
      <c r="P386">
        <f>0.642*(4.19 * 50)</f>
        <v>134.49900000000002</v>
      </c>
      <c r="Q386">
        <f>0.659*(4.19 * 50)</f>
        <v>138.06050000000002</v>
      </c>
      <c r="R386">
        <f>0.653*(4.19 * 50)</f>
        <v>136.80350000000001</v>
      </c>
      <c r="S386">
        <f>0.639*(4.19 * 50)</f>
        <v>133.87050000000002</v>
      </c>
      <c r="T386">
        <f>0.637*(4.19 * 50)</f>
        <v>133.45150000000001</v>
      </c>
      <c r="U386">
        <f>0.61*(4.19 * 50)</f>
        <v>127.79500000000002</v>
      </c>
      <c r="V386">
        <f>0.601*(4.19 * 50)</f>
        <v>125.90950000000001</v>
      </c>
      <c r="W386">
        <f>0.593*(4.19 * 50)</f>
        <v>124.23350000000001</v>
      </c>
      <c r="X386">
        <f>0.591*(4.19 * 50)</f>
        <v>123.81450000000001</v>
      </c>
      <c r="Y386">
        <f>0.593*(4.19 * 50)</f>
        <v>124.23350000000001</v>
      </c>
      <c r="Z386">
        <f>0.599*(4.19 * 50)</f>
        <v>125.49050000000001</v>
      </c>
      <c r="AA386">
        <f>0.61*(4.19 * 50)</f>
        <v>127.79500000000002</v>
      </c>
      <c r="AB386">
        <f>0.619*(4.19 * 50)</f>
        <v>129.68050000000002</v>
      </c>
      <c r="AC386">
        <f>0.63*(4.19 * 50)</f>
        <v>131.98500000000001</v>
      </c>
      <c r="AD386">
        <f>0.641*(4.19 * 50)</f>
        <v>134.28950000000003</v>
      </c>
      <c r="AE386">
        <f>0.645*(4.19 * 50)</f>
        <v>135.12750000000003</v>
      </c>
      <c r="AF386">
        <f>0.639*(4.19 * 50)</f>
        <v>133.87050000000002</v>
      </c>
      <c r="AG386">
        <f>0.631*(4.19 * 50)</f>
        <v>132.19450000000001</v>
      </c>
    </row>
    <row r="387" spans="1:33" x14ac:dyDescent="0.3">
      <c r="A387" t="s">
        <v>430</v>
      </c>
      <c r="B387">
        <v>355987.933594</v>
      </c>
      <c r="C387">
        <v>6663853.515625</v>
      </c>
      <c r="D387" t="s">
        <v>547</v>
      </c>
      <c r="E387">
        <v>100</v>
      </c>
      <c r="F387">
        <v>96.666999816894503</v>
      </c>
      <c r="G387">
        <v>0.46141766022384012</v>
      </c>
      <c r="H387">
        <f t="shared" si="11"/>
        <v>187.38049981689451</v>
      </c>
      <c r="I387">
        <f t="shared" ref="I387:I450" si="12">4.19 * 50</f>
        <v>209.50000000000003</v>
      </c>
      <c r="J387">
        <f>0.421*(4.19 * 50)</f>
        <v>88.199500000000015</v>
      </c>
      <c r="K387">
        <f>0.417*(4.19 * 50)</f>
        <v>87.361500000000007</v>
      </c>
      <c r="L387">
        <f>0.415*(4.19 * 50)</f>
        <v>86.94250000000001</v>
      </c>
      <c r="M387">
        <f>0.413*(4.19 * 50)</f>
        <v>86.523500000000013</v>
      </c>
      <c r="N387">
        <f>0.415*(4.19 * 50)</f>
        <v>86.94250000000001</v>
      </c>
      <c r="O387">
        <f>0.42*(4.19 * 50)</f>
        <v>87.990000000000009</v>
      </c>
      <c r="P387">
        <f>0.433*(4.19 * 50)</f>
        <v>90.71350000000001</v>
      </c>
      <c r="Q387">
        <f>0.444*(4.19 * 50)</f>
        <v>93.018000000000015</v>
      </c>
      <c r="R387">
        <f>0.44*(4.19 * 50)</f>
        <v>92.18</v>
      </c>
      <c r="S387">
        <f>0.431*(4.19 * 50)</f>
        <v>90.294500000000014</v>
      </c>
      <c r="T387">
        <f>0.43*(4.19 * 50)</f>
        <v>90.085000000000008</v>
      </c>
      <c r="U387">
        <f>0.411*(4.19 * 50)</f>
        <v>86.104500000000002</v>
      </c>
      <c r="V387">
        <f>0.406*(4.19 * 50)</f>
        <v>85.057000000000016</v>
      </c>
      <c r="W387">
        <f>0.4*(4.19 * 50)</f>
        <v>83.800000000000011</v>
      </c>
      <c r="X387">
        <f>0.399*(4.19 * 50)</f>
        <v>83.59050000000002</v>
      </c>
      <c r="Y387">
        <f>0.4*(4.19 * 50)</f>
        <v>83.800000000000011</v>
      </c>
      <c r="Z387">
        <f>0.404*(4.19 * 50)</f>
        <v>84.638000000000019</v>
      </c>
      <c r="AA387">
        <f>0.411*(4.19 * 50)</f>
        <v>86.104500000000002</v>
      </c>
      <c r="AB387">
        <f>0.417*(4.19 * 50)</f>
        <v>87.361500000000007</v>
      </c>
      <c r="AC387">
        <f>0.425*(4.19 * 50)</f>
        <v>89.037500000000009</v>
      </c>
      <c r="AD387">
        <f>0.432*(4.19 * 50)</f>
        <v>90.504000000000005</v>
      </c>
      <c r="AE387">
        <f>0.435*(4.19 * 50)</f>
        <v>91.132500000000007</v>
      </c>
      <c r="AF387">
        <f>0.431*(4.19 * 50)</f>
        <v>90.294500000000014</v>
      </c>
      <c r="AG387">
        <f>0.425*(4.19 * 50)</f>
        <v>89.037500000000009</v>
      </c>
    </row>
    <row r="388" spans="1:33" x14ac:dyDescent="0.3">
      <c r="A388" t="s">
        <v>431</v>
      </c>
      <c r="B388">
        <v>356982.644531</v>
      </c>
      <c r="C388">
        <v>6667762.4921880001</v>
      </c>
      <c r="D388" t="s">
        <v>540</v>
      </c>
      <c r="E388">
        <v>100</v>
      </c>
      <c r="F388">
        <v>7</v>
      </c>
      <c r="G388">
        <v>3.3412887828162277E-2</v>
      </c>
      <c r="H388">
        <f t="shared" ref="H388:H451" si="13">F388+P388</f>
        <v>13.494500000000002</v>
      </c>
      <c r="I388">
        <f t="shared" si="12"/>
        <v>209.50000000000003</v>
      </c>
      <c r="J388">
        <f>0.03*(4.19 * 50)</f>
        <v>6.285000000000001</v>
      </c>
      <c r="K388">
        <f>0.03*(4.19 * 50)</f>
        <v>6.285000000000001</v>
      </c>
      <c r="L388">
        <f>0.03*(4.19 * 50)</f>
        <v>6.285000000000001</v>
      </c>
      <c r="M388">
        <f>0.03*(4.19 * 50)</f>
        <v>6.285000000000001</v>
      </c>
      <c r="N388">
        <f>0.03*(4.19 * 50)</f>
        <v>6.285000000000001</v>
      </c>
      <c r="O388">
        <f>0.03*(4.19 * 50)</f>
        <v>6.285000000000001</v>
      </c>
      <c r="P388">
        <f>0.031*(4.19 * 50)</f>
        <v>6.4945000000000013</v>
      </c>
      <c r="Q388">
        <f>0.032*(4.19 * 50)</f>
        <v>6.7040000000000006</v>
      </c>
      <c r="R388">
        <f>0.032*(4.19 * 50)</f>
        <v>6.7040000000000006</v>
      </c>
      <c r="S388">
        <f>0.031*(4.19 * 50)</f>
        <v>6.4945000000000013</v>
      </c>
      <c r="T388">
        <f>0.031*(4.19 * 50)</f>
        <v>6.4945000000000013</v>
      </c>
      <c r="U388">
        <f>0.03*(4.19 * 50)</f>
        <v>6.285000000000001</v>
      </c>
      <c r="V388">
        <f>0.029*(4.19 * 50)</f>
        <v>6.0755000000000008</v>
      </c>
      <c r="W388">
        <f>0.029*(4.19 * 50)</f>
        <v>6.0755000000000008</v>
      </c>
      <c r="X388">
        <f>0.029*(4.19 * 50)</f>
        <v>6.0755000000000008</v>
      </c>
      <c r="Y388">
        <f>0.029*(4.19 * 50)</f>
        <v>6.0755000000000008</v>
      </c>
      <c r="Z388">
        <f>0.029*(4.19 * 50)</f>
        <v>6.0755000000000008</v>
      </c>
      <c r="AA388">
        <f>0.03*(4.19 * 50)</f>
        <v>6.285000000000001</v>
      </c>
      <c r="AB388">
        <f>0.03*(4.19 * 50)</f>
        <v>6.285000000000001</v>
      </c>
      <c r="AC388">
        <f>0.031*(4.19 * 50)</f>
        <v>6.4945000000000013</v>
      </c>
      <c r="AD388">
        <f>0.031*(4.19 * 50)</f>
        <v>6.4945000000000013</v>
      </c>
      <c r="AE388">
        <f>0.032*(4.19 * 50)</f>
        <v>6.7040000000000006</v>
      </c>
      <c r="AF388">
        <f>0.031*(4.19 * 50)</f>
        <v>6.4945000000000013</v>
      </c>
      <c r="AG388">
        <f>0.031*(4.19 * 50)</f>
        <v>6.4945000000000013</v>
      </c>
    </row>
    <row r="389" spans="1:33" x14ac:dyDescent="0.3">
      <c r="A389" t="s">
        <v>432</v>
      </c>
      <c r="B389">
        <v>356973.609375</v>
      </c>
      <c r="C389">
        <v>6667774.015625</v>
      </c>
      <c r="D389" t="s">
        <v>540</v>
      </c>
      <c r="E389">
        <v>100</v>
      </c>
      <c r="F389">
        <v>4</v>
      </c>
      <c r="G389">
        <v>1.9093078758949882E-2</v>
      </c>
      <c r="H389">
        <f t="shared" si="13"/>
        <v>7.7710000000000008</v>
      </c>
      <c r="I389">
        <f t="shared" si="12"/>
        <v>209.50000000000003</v>
      </c>
      <c r="J389">
        <f>0.017*(4.19 * 50)</f>
        <v>3.5615000000000006</v>
      </c>
      <c r="K389">
        <f>0.017*(4.19 * 50)</f>
        <v>3.5615000000000006</v>
      </c>
      <c r="L389">
        <f>0.017*(4.19 * 50)</f>
        <v>3.5615000000000006</v>
      </c>
      <c r="M389">
        <f>0.017*(4.19 * 50)</f>
        <v>3.5615000000000006</v>
      </c>
      <c r="N389">
        <f>0.017*(4.19 * 50)</f>
        <v>3.5615000000000006</v>
      </c>
      <c r="O389">
        <f>0.017*(4.19 * 50)</f>
        <v>3.5615000000000006</v>
      </c>
      <c r="P389">
        <f>0.018*(4.19 * 50)</f>
        <v>3.7710000000000004</v>
      </c>
      <c r="Q389">
        <f>0.018*(4.19 * 50)</f>
        <v>3.7710000000000004</v>
      </c>
      <c r="R389">
        <f>0.018*(4.19 * 50)</f>
        <v>3.7710000000000004</v>
      </c>
      <c r="S389">
        <f>0.018*(4.19 * 50)</f>
        <v>3.7710000000000004</v>
      </c>
      <c r="T389">
        <f>0.018*(4.19 * 50)</f>
        <v>3.7710000000000004</v>
      </c>
      <c r="U389">
        <f>0.017*(4.19 * 50)</f>
        <v>3.5615000000000006</v>
      </c>
      <c r="V389">
        <f>0.017*(4.19 * 50)</f>
        <v>3.5615000000000006</v>
      </c>
      <c r="W389">
        <f>0.017*(4.19 * 50)</f>
        <v>3.5615000000000006</v>
      </c>
      <c r="X389">
        <f>0.017*(4.19 * 50)</f>
        <v>3.5615000000000006</v>
      </c>
      <c r="Y389">
        <f>0.017*(4.19 * 50)</f>
        <v>3.5615000000000006</v>
      </c>
      <c r="Z389">
        <f>0.017*(4.19 * 50)</f>
        <v>3.5615000000000006</v>
      </c>
      <c r="AA389">
        <f>0.017*(4.19 * 50)</f>
        <v>3.5615000000000006</v>
      </c>
      <c r="AB389">
        <f>0.017*(4.19 * 50)</f>
        <v>3.5615000000000006</v>
      </c>
      <c r="AC389">
        <f>0.018*(4.19 * 50)</f>
        <v>3.7710000000000004</v>
      </c>
      <c r="AD389">
        <f>0.018*(4.19 * 50)</f>
        <v>3.7710000000000004</v>
      </c>
      <c r="AE389">
        <f>0.018*(4.19 * 50)</f>
        <v>3.7710000000000004</v>
      </c>
      <c r="AF389">
        <f>0.018*(4.19 * 50)</f>
        <v>3.7710000000000004</v>
      </c>
      <c r="AG389">
        <f>0.018*(4.19 * 50)</f>
        <v>3.7710000000000004</v>
      </c>
    </row>
    <row r="390" spans="1:33" x14ac:dyDescent="0.3">
      <c r="A390" t="s">
        <v>433</v>
      </c>
      <c r="B390">
        <v>357015.117188</v>
      </c>
      <c r="C390">
        <v>6667754.953125</v>
      </c>
      <c r="D390" t="s">
        <v>540</v>
      </c>
      <c r="E390">
        <v>100</v>
      </c>
      <c r="F390">
        <v>7</v>
      </c>
      <c r="G390">
        <v>3.3412887828162277E-2</v>
      </c>
      <c r="H390">
        <f t="shared" si="13"/>
        <v>13.494500000000002</v>
      </c>
      <c r="I390">
        <f t="shared" si="12"/>
        <v>209.50000000000003</v>
      </c>
      <c r="J390">
        <f>0.03*(4.19 * 50)</f>
        <v>6.285000000000001</v>
      </c>
      <c r="K390">
        <f>0.03*(4.19 * 50)</f>
        <v>6.285000000000001</v>
      </c>
      <c r="L390">
        <f>0.03*(4.19 * 50)</f>
        <v>6.285000000000001</v>
      </c>
      <c r="M390">
        <f>0.03*(4.19 * 50)</f>
        <v>6.285000000000001</v>
      </c>
      <c r="N390">
        <f>0.03*(4.19 * 50)</f>
        <v>6.285000000000001</v>
      </c>
      <c r="O390">
        <f>0.03*(4.19 * 50)</f>
        <v>6.285000000000001</v>
      </c>
      <c r="P390">
        <f>0.031*(4.19 * 50)</f>
        <v>6.4945000000000013</v>
      </c>
      <c r="Q390">
        <f>0.032*(4.19 * 50)</f>
        <v>6.7040000000000006</v>
      </c>
      <c r="R390">
        <f>0.032*(4.19 * 50)</f>
        <v>6.7040000000000006</v>
      </c>
      <c r="S390">
        <f>0.031*(4.19 * 50)</f>
        <v>6.4945000000000013</v>
      </c>
      <c r="T390">
        <f>0.031*(4.19 * 50)</f>
        <v>6.4945000000000013</v>
      </c>
      <c r="U390">
        <f>0.03*(4.19 * 50)</f>
        <v>6.285000000000001</v>
      </c>
      <c r="V390">
        <f>0.029*(4.19 * 50)</f>
        <v>6.0755000000000008</v>
      </c>
      <c r="W390">
        <f>0.029*(4.19 * 50)</f>
        <v>6.0755000000000008</v>
      </c>
      <c r="X390">
        <f>0.029*(4.19 * 50)</f>
        <v>6.0755000000000008</v>
      </c>
      <c r="Y390">
        <f>0.029*(4.19 * 50)</f>
        <v>6.0755000000000008</v>
      </c>
      <c r="Z390">
        <f>0.029*(4.19 * 50)</f>
        <v>6.0755000000000008</v>
      </c>
      <c r="AA390">
        <f>0.03*(4.19 * 50)</f>
        <v>6.285000000000001</v>
      </c>
      <c r="AB390">
        <f>0.03*(4.19 * 50)</f>
        <v>6.285000000000001</v>
      </c>
      <c r="AC390">
        <f>0.031*(4.19 * 50)</f>
        <v>6.4945000000000013</v>
      </c>
      <c r="AD390">
        <f>0.031*(4.19 * 50)</f>
        <v>6.4945000000000013</v>
      </c>
      <c r="AE390">
        <f>0.032*(4.19 * 50)</f>
        <v>6.7040000000000006</v>
      </c>
      <c r="AF390">
        <f>0.031*(4.19 * 50)</f>
        <v>6.4945000000000013</v>
      </c>
      <c r="AG390">
        <f>0.031*(4.19 * 50)</f>
        <v>6.4945000000000013</v>
      </c>
    </row>
    <row r="391" spans="1:33" x14ac:dyDescent="0.3">
      <c r="A391" t="s">
        <v>434</v>
      </c>
      <c r="B391">
        <v>363121.039063</v>
      </c>
      <c r="C391">
        <v>6671387.75</v>
      </c>
      <c r="D391" t="s">
        <v>542</v>
      </c>
      <c r="E391">
        <v>100</v>
      </c>
      <c r="F391">
        <v>55</v>
      </c>
      <c r="G391">
        <v>0.26252983293556081</v>
      </c>
      <c r="H391">
        <f t="shared" si="13"/>
        <v>106.53700000000001</v>
      </c>
      <c r="I391">
        <f t="shared" si="12"/>
        <v>209.50000000000003</v>
      </c>
      <c r="J391">
        <f>0.239*(4.19 * 50)</f>
        <v>50.070500000000003</v>
      </c>
      <c r="K391">
        <f>0.237*(4.19 * 50)</f>
        <v>49.651500000000006</v>
      </c>
      <c r="L391">
        <f>0.236*(4.19 * 50)</f>
        <v>49.442000000000007</v>
      </c>
      <c r="M391">
        <f>0.235*(4.19 * 50)</f>
        <v>49.232500000000002</v>
      </c>
      <c r="N391">
        <f>0.236*(4.19 * 50)</f>
        <v>49.442000000000007</v>
      </c>
      <c r="O391">
        <f>0.239*(4.19 * 50)</f>
        <v>50.070500000000003</v>
      </c>
      <c r="P391">
        <f>0.246*(4.19 * 50)</f>
        <v>51.537000000000006</v>
      </c>
      <c r="Q391">
        <f>0.253*(4.19 * 50)</f>
        <v>53.00350000000001</v>
      </c>
      <c r="R391">
        <f>0.251*(4.19 * 50)</f>
        <v>52.584500000000006</v>
      </c>
      <c r="S391">
        <f>0.245*(4.19 * 50)</f>
        <v>51.327500000000008</v>
      </c>
      <c r="T391">
        <f>0.244*(4.19 * 50)</f>
        <v>51.118000000000009</v>
      </c>
      <c r="U391">
        <f>0.234*(4.19 * 50)</f>
        <v>49.02300000000001</v>
      </c>
      <c r="V391">
        <f>0.231*(4.19 * 50)</f>
        <v>48.394500000000008</v>
      </c>
      <c r="W391">
        <f>0.228*(4.19 * 50)</f>
        <v>47.766000000000005</v>
      </c>
      <c r="X391">
        <f>0.227*(4.19 * 50)</f>
        <v>47.556500000000007</v>
      </c>
      <c r="Y391">
        <f>0.227*(4.19 * 50)</f>
        <v>47.556500000000007</v>
      </c>
      <c r="Z391">
        <f>0.23*(4.19 * 50)</f>
        <v>48.185000000000009</v>
      </c>
      <c r="AA391">
        <f>0.234*(4.19 * 50)</f>
        <v>49.02300000000001</v>
      </c>
      <c r="AB391">
        <f>0.237*(4.19 * 50)</f>
        <v>49.651500000000006</v>
      </c>
      <c r="AC391">
        <f>0.242*(4.19 * 50)</f>
        <v>50.699000000000005</v>
      </c>
      <c r="AD391">
        <f>0.246*(4.19 * 50)</f>
        <v>51.537000000000006</v>
      </c>
      <c r="AE391">
        <f>0.248*(4.19 * 50)</f>
        <v>51.95600000000001</v>
      </c>
      <c r="AF391">
        <f>0.245*(4.19 * 50)</f>
        <v>51.327500000000008</v>
      </c>
      <c r="AG391">
        <f>0.242*(4.19 * 50)</f>
        <v>50.699000000000005</v>
      </c>
    </row>
    <row r="392" spans="1:33" x14ac:dyDescent="0.3">
      <c r="A392" t="s">
        <v>435</v>
      </c>
      <c r="B392">
        <v>357293.761719</v>
      </c>
      <c r="C392">
        <v>6667479.7617189996</v>
      </c>
      <c r="D392" t="s">
        <v>563</v>
      </c>
      <c r="E392">
        <v>100</v>
      </c>
      <c r="F392">
        <v>167.33299255371</v>
      </c>
      <c r="G392">
        <v>0.79872550144968968</v>
      </c>
      <c r="H392">
        <f t="shared" si="13"/>
        <v>324.24849255370998</v>
      </c>
      <c r="I392">
        <f t="shared" si="12"/>
        <v>209.50000000000003</v>
      </c>
      <c r="J392">
        <f>0.728*(4.19 * 50)</f>
        <v>152.51600000000002</v>
      </c>
      <c r="K392">
        <f>0.722*(4.19 * 50)</f>
        <v>151.25900000000001</v>
      </c>
      <c r="L392">
        <f>0.718*(4.19 * 50)</f>
        <v>150.42100000000002</v>
      </c>
      <c r="M392">
        <f>0.715*(4.19 * 50)</f>
        <v>149.79250000000002</v>
      </c>
      <c r="N392">
        <f>0.718*(4.19 * 50)</f>
        <v>150.42100000000002</v>
      </c>
      <c r="O392">
        <f>0.728*(4.19 * 50)</f>
        <v>152.51600000000002</v>
      </c>
      <c r="P392">
        <f>0.749*(4.19 * 50)</f>
        <v>156.91550000000001</v>
      </c>
      <c r="Q392">
        <f>0.769*(4.19 * 50)</f>
        <v>161.10550000000003</v>
      </c>
      <c r="R392">
        <f>0.762*(4.19 * 50)</f>
        <v>159.63900000000001</v>
      </c>
      <c r="S392">
        <f>0.746*(4.19 * 50)</f>
        <v>156.28700000000003</v>
      </c>
      <c r="T392">
        <f>0.744*(4.19 * 50)</f>
        <v>155.86800000000002</v>
      </c>
      <c r="U392">
        <f>0.712*(4.19 * 50)</f>
        <v>149.16400000000002</v>
      </c>
      <c r="V392">
        <f>0.702*(4.19 * 50)</f>
        <v>147.06900000000002</v>
      </c>
      <c r="W392">
        <f>0.693*(4.19 * 50)</f>
        <v>145.18350000000001</v>
      </c>
      <c r="X392">
        <f>0.69*(4.19 * 50)</f>
        <v>144.55500000000001</v>
      </c>
      <c r="Y392">
        <f>0.692*(4.19 * 50)</f>
        <v>144.97400000000002</v>
      </c>
      <c r="Z392">
        <f>0.699*(4.19 * 50)</f>
        <v>146.44050000000001</v>
      </c>
      <c r="AA392">
        <f>0.712*(4.19 * 50)</f>
        <v>149.16400000000002</v>
      </c>
      <c r="AB392">
        <f>0.722*(4.19 * 50)</f>
        <v>151.25900000000001</v>
      </c>
      <c r="AC392">
        <f>0.736*(4.19 * 50)</f>
        <v>154.19200000000001</v>
      </c>
      <c r="AD392">
        <f>0.748*(4.19 * 50)</f>
        <v>156.70600000000002</v>
      </c>
      <c r="AE392">
        <f>0.753*(4.19 * 50)</f>
        <v>157.75350000000003</v>
      </c>
      <c r="AF392">
        <f>0.746*(4.19 * 50)</f>
        <v>156.28700000000003</v>
      </c>
      <c r="AG392">
        <f>0.736*(4.19 * 50)</f>
        <v>154.19200000000001</v>
      </c>
    </row>
    <row r="393" spans="1:33" x14ac:dyDescent="0.3">
      <c r="A393" t="s">
        <v>436</v>
      </c>
      <c r="B393">
        <v>359674.695313</v>
      </c>
      <c r="C393">
        <v>6667556.890625</v>
      </c>
      <c r="D393" t="s">
        <v>542</v>
      </c>
      <c r="E393">
        <v>100</v>
      </c>
      <c r="F393">
        <v>80</v>
      </c>
      <c r="G393">
        <v>0.38186157517899749</v>
      </c>
      <c r="H393">
        <f t="shared" si="13"/>
        <v>155.001</v>
      </c>
      <c r="I393">
        <f t="shared" si="12"/>
        <v>209.50000000000003</v>
      </c>
      <c r="J393">
        <f>0.348*(4.19 * 50)</f>
        <v>72.906000000000006</v>
      </c>
      <c r="K393">
        <f>0.345*(4.19 * 50)</f>
        <v>72.277500000000003</v>
      </c>
      <c r="L393">
        <f>0.343*(4.19 * 50)</f>
        <v>71.858500000000021</v>
      </c>
      <c r="M393">
        <f>0.342*(4.19 * 50)</f>
        <v>71.649000000000015</v>
      </c>
      <c r="N393">
        <f>0.343*(4.19 * 50)</f>
        <v>71.858500000000021</v>
      </c>
      <c r="O393">
        <f>0.348*(4.19 * 50)</f>
        <v>72.906000000000006</v>
      </c>
      <c r="P393">
        <f>0.358*(4.19 * 50)</f>
        <v>75.001000000000005</v>
      </c>
      <c r="Q393">
        <f>0.368*(4.19 * 50)</f>
        <v>77.096000000000004</v>
      </c>
      <c r="R393">
        <f>0.365*(4.19 * 50)</f>
        <v>76.467500000000015</v>
      </c>
      <c r="S393">
        <f>0.357*(4.19 * 50)</f>
        <v>74.791500000000013</v>
      </c>
      <c r="T393">
        <f>0.355*(4.19 * 50)</f>
        <v>74.372500000000002</v>
      </c>
      <c r="U393">
        <f>0.341*(4.19 * 50)</f>
        <v>71.43950000000001</v>
      </c>
      <c r="V393">
        <f>0.336*(4.19 * 50)</f>
        <v>70.39200000000001</v>
      </c>
      <c r="W393">
        <f>0.331*(4.19 * 50)</f>
        <v>69.344500000000011</v>
      </c>
      <c r="X393">
        <f>0.33*(4.19 * 50)</f>
        <v>69.135000000000019</v>
      </c>
      <c r="Y393">
        <f>0.331*(4.19 * 50)</f>
        <v>69.344500000000011</v>
      </c>
      <c r="Z393">
        <f>0.334*(4.19 * 50)</f>
        <v>69.973000000000013</v>
      </c>
      <c r="AA393">
        <f>0.341*(4.19 * 50)</f>
        <v>71.43950000000001</v>
      </c>
      <c r="AB393">
        <f>0.345*(4.19 * 50)</f>
        <v>72.277500000000003</v>
      </c>
      <c r="AC393">
        <f>0.352*(4.19 * 50)</f>
        <v>73.744</v>
      </c>
      <c r="AD393">
        <f>0.358*(4.19 * 50)</f>
        <v>75.001000000000005</v>
      </c>
      <c r="AE393">
        <f>0.36*(4.19 * 50)</f>
        <v>75.42</v>
      </c>
      <c r="AF393">
        <f>0.357*(4.19 * 50)</f>
        <v>74.791500000000013</v>
      </c>
      <c r="AG393">
        <f>0.352*(4.19 * 50)</f>
        <v>73.744</v>
      </c>
    </row>
    <row r="394" spans="1:33" x14ac:dyDescent="0.3">
      <c r="A394" t="s">
        <v>437</v>
      </c>
      <c r="B394">
        <v>357182.164063</v>
      </c>
      <c r="C394">
        <v>6667500.09375</v>
      </c>
      <c r="D394" t="s">
        <v>563</v>
      </c>
      <c r="E394">
        <v>100</v>
      </c>
      <c r="F394">
        <v>70.333000183105398</v>
      </c>
      <c r="G394">
        <v>0.33571837796231691</v>
      </c>
      <c r="H394">
        <f t="shared" si="13"/>
        <v>136.32550018310542</v>
      </c>
      <c r="I394">
        <f t="shared" si="12"/>
        <v>209.50000000000003</v>
      </c>
      <c r="J394">
        <f>0.306*(4.19 * 50)</f>
        <v>64.107000000000014</v>
      </c>
      <c r="K394">
        <f>0.304*(4.19 * 50)</f>
        <v>63.688000000000009</v>
      </c>
      <c r="L394">
        <f>0.302*(4.19 * 50)</f>
        <v>63.269000000000005</v>
      </c>
      <c r="M394">
        <f>0.301*(4.19 * 50)</f>
        <v>63.059500000000007</v>
      </c>
      <c r="N394">
        <f>0.302*(4.19 * 50)</f>
        <v>63.269000000000005</v>
      </c>
      <c r="O394">
        <f>0.306*(4.19 * 50)</f>
        <v>64.107000000000014</v>
      </c>
      <c r="P394">
        <f>0.315*(4.19 * 50)</f>
        <v>65.992500000000007</v>
      </c>
      <c r="Q394">
        <f>0.323*(4.19 * 50)</f>
        <v>67.668500000000009</v>
      </c>
      <c r="R394">
        <f>0.32*(4.19 * 50)</f>
        <v>67.040000000000006</v>
      </c>
      <c r="S394">
        <f>0.314*(4.19 * 50)</f>
        <v>65.783000000000015</v>
      </c>
      <c r="T394">
        <f>0.313*(4.19 * 50)</f>
        <v>65.57350000000001</v>
      </c>
      <c r="U394">
        <f>0.299*(4.19 * 50)</f>
        <v>62.640500000000003</v>
      </c>
      <c r="V394">
        <f>0.295*(4.19 * 50)</f>
        <v>61.802500000000002</v>
      </c>
      <c r="W394">
        <f>0.291*(4.19 * 50)</f>
        <v>60.964500000000001</v>
      </c>
      <c r="X394">
        <f>0.29*(4.19 * 50)</f>
        <v>60.755000000000003</v>
      </c>
      <c r="Y394">
        <f>0.291*(4.19 * 50)</f>
        <v>60.964500000000001</v>
      </c>
      <c r="Z394">
        <f>0.294*(4.19 * 50)</f>
        <v>61.593000000000004</v>
      </c>
      <c r="AA394">
        <f>0.299*(4.19 * 50)</f>
        <v>62.640500000000003</v>
      </c>
      <c r="AB394">
        <f>0.304*(4.19 * 50)</f>
        <v>63.688000000000009</v>
      </c>
      <c r="AC394">
        <f>0.309*(4.19 * 50)</f>
        <v>64.735500000000002</v>
      </c>
      <c r="AD394">
        <f>0.314*(4.19 * 50)</f>
        <v>65.783000000000015</v>
      </c>
      <c r="AE394">
        <f>0.317*(4.19 * 50)</f>
        <v>66.411500000000004</v>
      </c>
      <c r="AF394">
        <f>0.314*(4.19 * 50)</f>
        <v>65.783000000000015</v>
      </c>
      <c r="AG394">
        <f>0.309*(4.19 * 50)</f>
        <v>64.735500000000002</v>
      </c>
    </row>
    <row r="395" spans="1:33" x14ac:dyDescent="0.3">
      <c r="A395" t="s">
        <v>438</v>
      </c>
      <c r="B395">
        <v>357234.609375</v>
      </c>
      <c r="C395">
        <v>6666028.0039060004</v>
      </c>
      <c r="D395" t="s">
        <v>542</v>
      </c>
      <c r="E395">
        <v>100</v>
      </c>
      <c r="F395">
        <v>69.467002868652301</v>
      </c>
      <c r="G395">
        <v>0.33158473922984388</v>
      </c>
      <c r="H395">
        <f t="shared" si="13"/>
        <v>134.62150286865233</v>
      </c>
      <c r="I395">
        <f t="shared" si="12"/>
        <v>209.50000000000003</v>
      </c>
      <c r="J395">
        <f>0.302*(4.19 * 50)</f>
        <v>63.269000000000005</v>
      </c>
      <c r="K395">
        <f>0.3*(4.19 * 50)</f>
        <v>62.850000000000009</v>
      </c>
      <c r="L395">
        <f>0.298*(4.19 * 50)</f>
        <v>62.431000000000004</v>
      </c>
      <c r="M395">
        <f>0.297*(4.19 * 50)</f>
        <v>62.221500000000006</v>
      </c>
      <c r="N395">
        <f>0.298*(4.19 * 50)</f>
        <v>62.431000000000004</v>
      </c>
      <c r="O395">
        <f>0.302*(4.19 * 50)</f>
        <v>63.269000000000005</v>
      </c>
      <c r="P395">
        <f>0.311*(4.19 * 50)</f>
        <v>65.154500000000013</v>
      </c>
      <c r="Q395">
        <f>0.319*(4.19 * 50)</f>
        <v>66.830500000000015</v>
      </c>
      <c r="R395">
        <f>0.317*(4.19 * 50)</f>
        <v>66.411500000000004</v>
      </c>
      <c r="S395">
        <f>0.31*(4.19 * 50)</f>
        <v>64.945000000000007</v>
      </c>
      <c r="T395">
        <f>0.309*(4.19 * 50)</f>
        <v>64.735500000000002</v>
      </c>
      <c r="U395">
        <f>0.296*(4.19 * 50)</f>
        <v>62.012000000000008</v>
      </c>
      <c r="V395">
        <f>0.291*(4.19 * 50)</f>
        <v>60.964500000000001</v>
      </c>
      <c r="W395">
        <f>0.288*(4.19 * 50)</f>
        <v>60.336000000000006</v>
      </c>
      <c r="X395">
        <f>0.287*(4.19 * 50)</f>
        <v>60.1265</v>
      </c>
      <c r="Y395">
        <f>0.287*(4.19 * 50)</f>
        <v>60.1265</v>
      </c>
      <c r="Z395">
        <f>0.29*(4.19 * 50)</f>
        <v>60.755000000000003</v>
      </c>
      <c r="AA395">
        <f>0.296*(4.19 * 50)</f>
        <v>62.012000000000008</v>
      </c>
      <c r="AB395">
        <f>0.3*(4.19 * 50)</f>
        <v>62.850000000000009</v>
      </c>
      <c r="AC395">
        <f>0.305*(4.19 * 50)</f>
        <v>63.897500000000008</v>
      </c>
      <c r="AD395">
        <f>0.31*(4.19 * 50)</f>
        <v>64.945000000000007</v>
      </c>
      <c r="AE395">
        <f>0.313*(4.19 * 50)</f>
        <v>65.57350000000001</v>
      </c>
      <c r="AF395">
        <f>0.31*(4.19 * 50)</f>
        <v>64.945000000000007</v>
      </c>
      <c r="AG395">
        <f>0.306*(4.19 * 50)</f>
        <v>64.107000000000014</v>
      </c>
    </row>
    <row r="396" spans="1:33" x14ac:dyDescent="0.3">
      <c r="A396" t="s">
        <v>439</v>
      </c>
      <c r="B396">
        <v>357490.007813</v>
      </c>
      <c r="C396">
        <v>6666465.8007810004</v>
      </c>
      <c r="D396" t="s">
        <v>541</v>
      </c>
      <c r="E396">
        <v>100</v>
      </c>
      <c r="F396">
        <v>88.133003234863196</v>
      </c>
      <c r="G396">
        <v>0.42068259300650679</v>
      </c>
      <c r="H396">
        <f t="shared" si="13"/>
        <v>170.88550323486322</v>
      </c>
      <c r="I396">
        <f t="shared" si="12"/>
        <v>209.50000000000003</v>
      </c>
      <c r="J396">
        <f>0.384*(4.19 * 50)</f>
        <v>80.448000000000008</v>
      </c>
      <c r="K396">
        <f>0.381*(4.19 * 50)</f>
        <v>79.819500000000005</v>
      </c>
      <c r="L396">
        <f>0.378*(4.19 * 50)</f>
        <v>79.191000000000017</v>
      </c>
      <c r="M396">
        <f>0.377*(4.19 * 50)</f>
        <v>78.981500000000011</v>
      </c>
      <c r="N396">
        <f>0.378*(4.19 * 50)</f>
        <v>79.191000000000017</v>
      </c>
      <c r="O396">
        <f>0.383*(4.19 * 50)</f>
        <v>80.238500000000016</v>
      </c>
      <c r="P396">
        <f>0.395*(4.19 * 50)</f>
        <v>82.752500000000012</v>
      </c>
      <c r="Q396">
        <f>0.405*(4.19 * 50)</f>
        <v>84.847500000000011</v>
      </c>
      <c r="R396">
        <f>0.402*(4.19 * 50)</f>
        <v>84.219000000000023</v>
      </c>
      <c r="S396">
        <f>0.393*(4.19 * 50)</f>
        <v>82.333500000000015</v>
      </c>
      <c r="T396">
        <f>0.392*(4.19 * 50)</f>
        <v>82.124000000000009</v>
      </c>
      <c r="U396">
        <f>0.375*(4.19 * 50)</f>
        <v>78.562500000000014</v>
      </c>
      <c r="V396">
        <f>0.37*(4.19 * 50)</f>
        <v>77.515000000000015</v>
      </c>
      <c r="W396">
        <f>0.365*(4.19 * 50)</f>
        <v>76.467500000000015</v>
      </c>
      <c r="X396">
        <f>0.364*(4.19 * 50)</f>
        <v>76.25800000000001</v>
      </c>
      <c r="Y396">
        <f>0.364*(4.19 * 50)</f>
        <v>76.25800000000001</v>
      </c>
      <c r="Z396">
        <f>0.368*(4.19 * 50)</f>
        <v>77.096000000000004</v>
      </c>
      <c r="AA396">
        <f>0.375*(4.19 * 50)</f>
        <v>78.562500000000014</v>
      </c>
      <c r="AB396">
        <f>0.381*(4.19 * 50)</f>
        <v>79.819500000000005</v>
      </c>
      <c r="AC396">
        <f>0.387*(4.19 * 50)</f>
        <v>81.07650000000001</v>
      </c>
      <c r="AD396">
        <f>0.394*(4.19 * 50)</f>
        <v>82.543000000000021</v>
      </c>
      <c r="AE396">
        <f>0.397*(4.19 * 50)</f>
        <v>83.171500000000009</v>
      </c>
      <c r="AF396">
        <f>0.393*(4.19 * 50)</f>
        <v>82.333500000000015</v>
      </c>
      <c r="AG396">
        <f>0.388*(4.19 * 50)</f>
        <v>81.286000000000016</v>
      </c>
    </row>
    <row r="397" spans="1:33" x14ac:dyDescent="0.3">
      <c r="A397" t="s">
        <v>440</v>
      </c>
      <c r="B397">
        <v>357080.179688</v>
      </c>
      <c r="C397">
        <v>6667488.09375</v>
      </c>
      <c r="D397" t="s">
        <v>550</v>
      </c>
      <c r="E397">
        <v>100</v>
      </c>
      <c r="F397">
        <v>21.333000183105401</v>
      </c>
      <c r="G397">
        <v>0.1018281631651809</v>
      </c>
      <c r="H397">
        <f t="shared" si="13"/>
        <v>41.445000183105407</v>
      </c>
      <c r="I397">
        <f t="shared" si="12"/>
        <v>209.50000000000003</v>
      </c>
      <c r="J397">
        <f>0.093*(4.19 * 50)</f>
        <v>19.483500000000003</v>
      </c>
      <c r="K397">
        <f>0.092*(4.19 * 50)</f>
        <v>19.274000000000001</v>
      </c>
      <c r="L397">
        <f>0.092*(4.19 * 50)</f>
        <v>19.274000000000001</v>
      </c>
      <c r="M397">
        <f>0.091*(4.19 * 50)</f>
        <v>19.064500000000002</v>
      </c>
      <c r="N397">
        <f>0.092*(4.19 * 50)</f>
        <v>19.274000000000001</v>
      </c>
      <c r="O397">
        <f>0.093*(4.19 * 50)</f>
        <v>19.483500000000003</v>
      </c>
      <c r="P397">
        <f>0.096*(4.19 * 50)</f>
        <v>20.112000000000002</v>
      </c>
      <c r="Q397">
        <f>0.098*(4.19 * 50)</f>
        <v>20.531000000000002</v>
      </c>
      <c r="R397">
        <f>0.097*(4.19 * 50)</f>
        <v>20.321500000000004</v>
      </c>
      <c r="S397">
        <f>0.095*(4.19 * 50)</f>
        <v>19.902500000000003</v>
      </c>
      <c r="T397">
        <f>0.095*(4.19 * 50)</f>
        <v>19.902500000000003</v>
      </c>
      <c r="U397">
        <f>0.091*(4.19 * 50)</f>
        <v>19.064500000000002</v>
      </c>
      <c r="V397">
        <f>0.09*(4.19 * 50)</f>
        <v>18.855</v>
      </c>
      <c r="W397">
        <f>0.088*(4.19 * 50)</f>
        <v>18.436</v>
      </c>
      <c r="X397">
        <f>0.088*(4.19 * 50)</f>
        <v>18.436</v>
      </c>
      <c r="Y397">
        <f>0.088*(4.19 * 50)</f>
        <v>18.436</v>
      </c>
      <c r="Z397">
        <f>0.089*(4.19 * 50)</f>
        <v>18.645500000000002</v>
      </c>
      <c r="AA397">
        <f>0.091*(4.19 * 50)</f>
        <v>19.064500000000002</v>
      </c>
      <c r="AB397">
        <f>0.092*(4.19 * 50)</f>
        <v>19.274000000000001</v>
      </c>
      <c r="AC397">
        <f>0.094*(4.19 * 50)</f>
        <v>19.693000000000001</v>
      </c>
      <c r="AD397">
        <f>0.095*(4.19 * 50)</f>
        <v>19.902500000000003</v>
      </c>
      <c r="AE397">
        <f>0.096*(4.19 * 50)</f>
        <v>20.112000000000002</v>
      </c>
      <c r="AF397">
        <f>0.095*(4.19 * 50)</f>
        <v>19.902500000000003</v>
      </c>
      <c r="AG397">
        <f>0.094*(4.19 * 50)</f>
        <v>19.693000000000001</v>
      </c>
    </row>
    <row r="398" spans="1:33" x14ac:dyDescent="0.3">
      <c r="A398" t="s">
        <v>441</v>
      </c>
      <c r="B398">
        <v>362670.886719</v>
      </c>
      <c r="C398">
        <v>6671072.3359380001</v>
      </c>
      <c r="D398" t="s">
        <v>541</v>
      </c>
      <c r="E398">
        <v>100</v>
      </c>
      <c r="F398">
        <v>108</v>
      </c>
      <c r="G398">
        <v>0.51551312649164671</v>
      </c>
      <c r="H398">
        <f t="shared" si="13"/>
        <v>209.39800000000002</v>
      </c>
      <c r="I398">
        <f t="shared" si="12"/>
        <v>209.50000000000003</v>
      </c>
      <c r="J398">
        <f>0.47*(4.19 * 50)</f>
        <v>98.465000000000003</v>
      </c>
      <c r="K398">
        <f>0.466*(4.19 * 50)</f>
        <v>97.627000000000024</v>
      </c>
      <c r="L398">
        <f>0.463*(4.19 * 50)</f>
        <v>96.998500000000021</v>
      </c>
      <c r="M398">
        <f>0.462*(4.19 * 50)</f>
        <v>96.789000000000016</v>
      </c>
      <c r="N398">
        <f>0.463*(4.19 * 50)</f>
        <v>96.998500000000021</v>
      </c>
      <c r="O398">
        <f>0.47*(4.19 * 50)</f>
        <v>98.465000000000003</v>
      </c>
      <c r="P398">
        <f>0.484*(4.19 * 50)</f>
        <v>101.39800000000001</v>
      </c>
      <c r="Q398">
        <f>0.496*(4.19 * 50)</f>
        <v>103.91200000000002</v>
      </c>
      <c r="R398">
        <f>0.492*(4.19 * 50)</f>
        <v>103.07400000000001</v>
      </c>
      <c r="S398">
        <f>0.482*(4.19 * 50)</f>
        <v>100.97900000000001</v>
      </c>
      <c r="T398">
        <f>0.48*(4.19 * 50)</f>
        <v>100.56000000000002</v>
      </c>
      <c r="U398">
        <f>0.46*(4.19 * 50)</f>
        <v>96.370000000000019</v>
      </c>
      <c r="V398">
        <f>0.453*(4.19 * 50)</f>
        <v>94.903500000000022</v>
      </c>
      <c r="W398">
        <f>0.447*(4.19 * 50)</f>
        <v>93.646500000000017</v>
      </c>
      <c r="X398">
        <f>0.446*(4.19 * 50)</f>
        <v>93.437000000000012</v>
      </c>
      <c r="Y398">
        <f>0.447*(4.19 * 50)</f>
        <v>93.646500000000017</v>
      </c>
      <c r="Z398">
        <f>0.451*(4.19 * 50)</f>
        <v>94.484500000000011</v>
      </c>
      <c r="AA398">
        <f>0.46*(4.19 * 50)</f>
        <v>96.370000000000019</v>
      </c>
      <c r="AB398">
        <f>0.466*(4.19 * 50)</f>
        <v>97.627000000000024</v>
      </c>
      <c r="AC398">
        <f>0.475*(4.19 * 50)</f>
        <v>99.512500000000003</v>
      </c>
      <c r="AD398">
        <f>0.483*(4.19 * 50)</f>
        <v>101.1885</v>
      </c>
      <c r="AE398">
        <f>0.486*(4.19 * 50)</f>
        <v>101.81700000000001</v>
      </c>
      <c r="AF398">
        <f>0.482*(4.19 * 50)</f>
        <v>100.97900000000001</v>
      </c>
      <c r="AG398">
        <f>0.475*(4.19 * 50)</f>
        <v>99.512500000000003</v>
      </c>
    </row>
    <row r="399" spans="1:33" x14ac:dyDescent="0.3">
      <c r="A399" t="s">
        <v>442</v>
      </c>
      <c r="B399">
        <v>358355.179688</v>
      </c>
      <c r="C399">
        <v>6667642.4960939996</v>
      </c>
      <c r="D399" t="s">
        <v>551</v>
      </c>
      <c r="E399">
        <v>100</v>
      </c>
      <c r="F399">
        <v>42.666999816894503</v>
      </c>
      <c r="G399">
        <v>0.20366109697801671</v>
      </c>
      <c r="H399">
        <f t="shared" si="13"/>
        <v>82.681499816894501</v>
      </c>
      <c r="I399">
        <f t="shared" si="12"/>
        <v>209.50000000000003</v>
      </c>
      <c r="J399">
        <f>0.186*(4.19 * 50)</f>
        <v>38.967000000000006</v>
      </c>
      <c r="K399">
        <f>0.184*(4.19 * 50)</f>
        <v>38.548000000000002</v>
      </c>
      <c r="L399">
        <f>0.183*(4.19 * 50)</f>
        <v>38.338500000000003</v>
      </c>
      <c r="M399">
        <f>0.182*(4.19 * 50)</f>
        <v>38.129000000000005</v>
      </c>
      <c r="N399">
        <f>0.183*(4.19 * 50)</f>
        <v>38.338500000000003</v>
      </c>
      <c r="O399">
        <f>0.186*(4.19 * 50)</f>
        <v>38.967000000000006</v>
      </c>
      <c r="P399">
        <f>0.191*(4.19 * 50)</f>
        <v>40.014500000000005</v>
      </c>
      <c r="Q399">
        <f>0.196*(4.19 * 50)</f>
        <v>41.062000000000005</v>
      </c>
      <c r="R399">
        <f>0.194*(4.19 * 50)</f>
        <v>40.643000000000008</v>
      </c>
      <c r="S399">
        <f>0.19*(4.19 * 50)</f>
        <v>39.805000000000007</v>
      </c>
      <c r="T399">
        <f>0.19*(4.19 * 50)</f>
        <v>39.805000000000007</v>
      </c>
      <c r="U399">
        <f>0.182*(4.19 * 50)</f>
        <v>38.129000000000005</v>
      </c>
      <c r="V399">
        <f>0.179*(4.19 * 50)</f>
        <v>37.500500000000002</v>
      </c>
      <c r="W399">
        <f>0.177*(4.19 * 50)</f>
        <v>37.081500000000005</v>
      </c>
      <c r="X399">
        <f>0.176*(4.19 * 50)</f>
        <v>36.872</v>
      </c>
      <c r="Y399">
        <f>0.176*(4.19 * 50)</f>
        <v>36.872</v>
      </c>
      <c r="Z399">
        <f>0.178*(4.19 * 50)</f>
        <v>37.291000000000004</v>
      </c>
      <c r="AA399">
        <f>0.182*(4.19 * 50)</f>
        <v>38.129000000000005</v>
      </c>
      <c r="AB399">
        <f>0.184*(4.19 * 50)</f>
        <v>38.548000000000002</v>
      </c>
      <c r="AC399">
        <f>0.188*(4.19 * 50)</f>
        <v>39.386000000000003</v>
      </c>
      <c r="AD399">
        <f>0.191*(4.19 * 50)</f>
        <v>40.014500000000005</v>
      </c>
      <c r="AE399">
        <f>0.192*(4.19 * 50)</f>
        <v>40.224000000000004</v>
      </c>
      <c r="AF399">
        <f>0.19*(4.19 * 50)</f>
        <v>39.805000000000007</v>
      </c>
      <c r="AG399">
        <f>0.188*(4.19 * 50)</f>
        <v>39.386000000000003</v>
      </c>
    </row>
    <row r="400" spans="1:33" x14ac:dyDescent="0.3">
      <c r="A400" t="s">
        <v>443</v>
      </c>
      <c r="B400">
        <v>359775.761719</v>
      </c>
      <c r="C400">
        <v>6667641.3945310004</v>
      </c>
      <c r="D400" t="s">
        <v>542</v>
      </c>
      <c r="E400">
        <v>100</v>
      </c>
      <c r="F400">
        <v>160</v>
      </c>
      <c r="G400">
        <v>0.7637231503579951</v>
      </c>
      <c r="H400">
        <f t="shared" si="13"/>
        <v>310.2115</v>
      </c>
      <c r="I400">
        <f t="shared" si="12"/>
        <v>209.50000000000003</v>
      </c>
      <c r="J400">
        <f>0.696*(4.19 * 50)</f>
        <v>145.81200000000001</v>
      </c>
      <c r="K400">
        <f>0.691*(4.19 * 50)</f>
        <v>144.7645</v>
      </c>
      <c r="L400">
        <f>0.687*(4.19 * 50)</f>
        <v>143.92650000000003</v>
      </c>
      <c r="M400">
        <f>0.684*(4.19 * 50)</f>
        <v>143.29800000000003</v>
      </c>
      <c r="N400">
        <f>0.687*(4.19 * 50)</f>
        <v>143.92650000000003</v>
      </c>
      <c r="O400">
        <f>0.696*(4.19 * 50)</f>
        <v>145.81200000000001</v>
      </c>
      <c r="P400">
        <f>0.717*(4.19 * 50)</f>
        <v>150.2115</v>
      </c>
      <c r="Q400">
        <f>0.735*(4.19 * 50)</f>
        <v>153.98250000000002</v>
      </c>
      <c r="R400">
        <f>0.729*(4.19 * 50)</f>
        <v>152.72550000000001</v>
      </c>
      <c r="S400">
        <f>0.714*(4.19 * 50)</f>
        <v>149.58300000000003</v>
      </c>
      <c r="T400">
        <f>0.711*(4.19 * 50)</f>
        <v>148.95450000000002</v>
      </c>
      <c r="U400">
        <f>0.681*(4.19 * 50)</f>
        <v>142.66950000000003</v>
      </c>
      <c r="V400">
        <f>0.671*(4.19 * 50)</f>
        <v>140.57450000000003</v>
      </c>
      <c r="W400">
        <f>0.662*(4.19 * 50)</f>
        <v>138.68900000000002</v>
      </c>
      <c r="X400">
        <f>0.66*(4.19 * 50)</f>
        <v>138.27000000000004</v>
      </c>
      <c r="Y400">
        <f>0.662*(4.19 * 50)</f>
        <v>138.68900000000002</v>
      </c>
      <c r="Z400">
        <f>0.669*(4.19 * 50)</f>
        <v>140.15550000000002</v>
      </c>
      <c r="AA400">
        <f>0.681*(4.19 * 50)</f>
        <v>142.66950000000003</v>
      </c>
      <c r="AB400">
        <f>0.691*(4.19 * 50)</f>
        <v>144.7645</v>
      </c>
      <c r="AC400">
        <f>0.703*(4.19 * 50)</f>
        <v>147.27850000000001</v>
      </c>
      <c r="AD400">
        <f>0.715*(4.19 * 50)</f>
        <v>149.79250000000002</v>
      </c>
      <c r="AE400">
        <f>0.72*(4.19 * 50)</f>
        <v>150.84</v>
      </c>
      <c r="AF400">
        <f>0.714*(4.19 * 50)</f>
        <v>149.58300000000003</v>
      </c>
      <c r="AG400">
        <f>0.704*(4.19 * 50)</f>
        <v>147.488</v>
      </c>
    </row>
    <row r="401" spans="1:33" x14ac:dyDescent="0.3">
      <c r="A401" t="s">
        <v>444</v>
      </c>
      <c r="B401">
        <v>356014.855469</v>
      </c>
      <c r="C401">
        <v>6663694.6835939996</v>
      </c>
      <c r="D401" t="s">
        <v>560</v>
      </c>
      <c r="E401">
        <v>100</v>
      </c>
      <c r="F401">
        <v>67</v>
      </c>
      <c r="G401">
        <v>0.31980906921241048</v>
      </c>
      <c r="H401">
        <f t="shared" si="13"/>
        <v>129.85000000000002</v>
      </c>
      <c r="I401">
        <f t="shared" si="12"/>
        <v>209.50000000000003</v>
      </c>
      <c r="J401">
        <f>0.292*(4.19 * 50)</f>
        <v>61.174000000000007</v>
      </c>
      <c r="K401">
        <f>0.289*(4.19 * 50)</f>
        <v>60.545500000000004</v>
      </c>
      <c r="L401">
        <f>0.288*(4.19 * 50)</f>
        <v>60.336000000000006</v>
      </c>
      <c r="M401">
        <f>0.286*(4.19 * 50)</f>
        <v>59.917000000000002</v>
      </c>
      <c r="N401">
        <f>0.288*(4.19 * 50)</f>
        <v>60.336000000000006</v>
      </c>
      <c r="O401">
        <f>0.291*(4.19 * 50)</f>
        <v>60.964500000000001</v>
      </c>
      <c r="P401">
        <f>0.3*(4.19 * 50)</f>
        <v>62.850000000000009</v>
      </c>
      <c r="Q401">
        <f>0.308*(4.19 * 50)</f>
        <v>64.52600000000001</v>
      </c>
      <c r="R401">
        <f>0.305*(4.19 * 50)</f>
        <v>63.897500000000008</v>
      </c>
      <c r="S401">
        <f>0.299*(4.19 * 50)</f>
        <v>62.640500000000003</v>
      </c>
      <c r="T401">
        <f>0.298*(4.19 * 50)</f>
        <v>62.431000000000004</v>
      </c>
      <c r="U401">
        <f>0.285*(4.19 * 50)</f>
        <v>59.707500000000003</v>
      </c>
      <c r="V401">
        <f>0.281*(4.19 * 50)</f>
        <v>58.869500000000016</v>
      </c>
      <c r="W401">
        <f>0.277*(4.19 * 50)</f>
        <v>58.031500000000015</v>
      </c>
      <c r="X401">
        <f>0.276*(4.19 * 50)</f>
        <v>57.82200000000001</v>
      </c>
      <c r="Y401">
        <f>0.277*(4.19 * 50)</f>
        <v>58.031500000000015</v>
      </c>
      <c r="Z401">
        <f>0.28*(4.19 * 50)</f>
        <v>58.660000000000011</v>
      </c>
      <c r="AA401">
        <f>0.285*(4.19 * 50)</f>
        <v>59.707500000000003</v>
      </c>
      <c r="AB401">
        <f>0.289*(4.19 * 50)</f>
        <v>60.545500000000004</v>
      </c>
      <c r="AC401">
        <f>0.295*(4.19 * 50)</f>
        <v>61.802500000000002</v>
      </c>
      <c r="AD401">
        <f>0.299*(4.19 * 50)</f>
        <v>62.640500000000003</v>
      </c>
      <c r="AE401">
        <f>0.302*(4.19 * 50)</f>
        <v>63.269000000000005</v>
      </c>
      <c r="AF401">
        <f>0.299*(4.19 * 50)</f>
        <v>62.640500000000003</v>
      </c>
      <c r="AG401">
        <f>0.295*(4.19 * 50)</f>
        <v>61.802500000000002</v>
      </c>
    </row>
    <row r="402" spans="1:33" x14ac:dyDescent="0.3">
      <c r="A402" t="s">
        <v>445</v>
      </c>
      <c r="B402">
        <v>357338.097656</v>
      </c>
      <c r="C402">
        <v>6668615.90625</v>
      </c>
      <c r="D402" t="s">
        <v>542</v>
      </c>
      <c r="E402">
        <v>100</v>
      </c>
      <c r="F402">
        <v>82</v>
      </c>
      <c r="G402">
        <v>0.39140811455847252</v>
      </c>
      <c r="H402">
        <f t="shared" si="13"/>
        <v>158.88650000000001</v>
      </c>
      <c r="I402">
        <f t="shared" si="12"/>
        <v>209.50000000000003</v>
      </c>
      <c r="J402">
        <f>0.357*(4.19 * 50)</f>
        <v>74.791500000000013</v>
      </c>
      <c r="K402">
        <f>0.354*(4.19 * 50)</f>
        <v>74.163000000000011</v>
      </c>
      <c r="L402">
        <f>0.352*(4.19 * 50)</f>
        <v>73.744</v>
      </c>
      <c r="M402">
        <f>0.35*(4.19 * 50)</f>
        <v>73.325000000000003</v>
      </c>
      <c r="N402">
        <f>0.352*(4.19 * 50)</f>
        <v>73.744</v>
      </c>
      <c r="O402">
        <f>0.357*(4.19 * 50)</f>
        <v>74.791500000000013</v>
      </c>
      <c r="P402">
        <f>0.367*(4.19 * 50)</f>
        <v>76.886500000000012</v>
      </c>
      <c r="Q402">
        <f>0.377*(4.19 * 50)</f>
        <v>78.981500000000011</v>
      </c>
      <c r="R402">
        <f>0.374*(4.19 * 50)</f>
        <v>78.353000000000009</v>
      </c>
      <c r="S402">
        <f>0.366*(4.19 * 50)</f>
        <v>76.677000000000007</v>
      </c>
      <c r="T402">
        <f>0.364*(4.19 * 50)</f>
        <v>76.25800000000001</v>
      </c>
      <c r="U402">
        <f>0.349*(4.19 * 50)</f>
        <v>73.115500000000011</v>
      </c>
      <c r="V402">
        <f>0.344*(4.19 * 50)</f>
        <v>72.067999999999998</v>
      </c>
      <c r="W402">
        <f>0.339*(4.19 * 50)</f>
        <v>71.020500000000013</v>
      </c>
      <c r="X402">
        <f>0.338*(4.19 * 50)</f>
        <v>70.811000000000021</v>
      </c>
      <c r="Y402">
        <f>0.339*(4.19 * 50)</f>
        <v>71.020500000000013</v>
      </c>
      <c r="Z402">
        <f>0.343*(4.19 * 50)</f>
        <v>71.858500000000021</v>
      </c>
      <c r="AA402">
        <f>0.349*(4.19 * 50)</f>
        <v>73.115500000000011</v>
      </c>
      <c r="AB402">
        <f>0.354*(4.19 * 50)</f>
        <v>74.163000000000011</v>
      </c>
      <c r="AC402">
        <f>0.36*(4.19 * 50)</f>
        <v>75.42</v>
      </c>
      <c r="AD402">
        <f>0.367*(4.19 * 50)</f>
        <v>76.886500000000012</v>
      </c>
      <c r="AE402">
        <f>0.369*(4.19 * 50)</f>
        <v>77.305500000000009</v>
      </c>
      <c r="AF402">
        <f>0.366*(4.19 * 50)</f>
        <v>76.677000000000007</v>
      </c>
      <c r="AG402">
        <f>0.361*(4.19 * 50)</f>
        <v>75.629500000000007</v>
      </c>
    </row>
    <row r="403" spans="1:33" x14ac:dyDescent="0.3">
      <c r="A403" t="s">
        <v>446</v>
      </c>
      <c r="B403">
        <v>363060.691406</v>
      </c>
      <c r="C403">
        <v>6671435.6015630001</v>
      </c>
      <c r="D403" t="s">
        <v>542</v>
      </c>
      <c r="E403">
        <v>100</v>
      </c>
      <c r="F403">
        <v>57.333000183105398</v>
      </c>
      <c r="G403">
        <v>0.27366587199572978</v>
      </c>
      <c r="H403">
        <f t="shared" si="13"/>
        <v>111.17450018310541</v>
      </c>
      <c r="I403">
        <f t="shared" si="12"/>
        <v>209.50000000000003</v>
      </c>
      <c r="J403">
        <f>0.25*(4.19 * 50)</f>
        <v>52.375000000000007</v>
      </c>
      <c r="K403">
        <f>0.248*(4.19 * 50)</f>
        <v>51.95600000000001</v>
      </c>
      <c r="L403">
        <f>0.246*(4.19 * 50)</f>
        <v>51.537000000000006</v>
      </c>
      <c r="M403">
        <f>0.245*(4.19 * 50)</f>
        <v>51.327500000000008</v>
      </c>
      <c r="N403">
        <f>0.246*(4.19 * 50)</f>
        <v>51.537000000000006</v>
      </c>
      <c r="O403">
        <f>0.249*(4.19 * 50)</f>
        <v>52.165500000000009</v>
      </c>
      <c r="P403">
        <f>0.257*(4.19 * 50)</f>
        <v>53.841500000000011</v>
      </c>
      <c r="Q403">
        <f>0.263*(4.19 * 50)</f>
        <v>55.098500000000008</v>
      </c>
      <c r="R403">
        <f>0.261*(4.19 * 50)</f>
        <v>54.679500000000012</v>
      </c>
      <c r="S403">
        <f>0.256*(4.19 * 50)</f>
        <v>53.632000000000005</v>
      </c>
      <c r="T403">
        <f>0.255*(4.19 * 50)</f>
        <v>53.422500000000007</v>
      </c>
      <c r="U403">
        <f>0.244*(4.19 * 50)</f>
        <v>51.118000000000009</v>
      </c>
      <c r="V403">
        <f>0.241*(4.19 * 50)</f>
        <v>50.489500000000007</v>
      </c>
      <c r="W403">
        <f>0.237*(4.19 * 50)</f>
        <v>49.651500000000006</v>
      </c>
      <c r="X403">
        <f>0.237*(4.19 * 50)</f>
        <v>49.651500000000006</v>
      </c>
      <c r="Y403">
        <f>0.237*(4.19 * 50)</f>
        <v>49.651500000000006</v>
      </c>
      <c r="Z403">
        <f>0.24*(4.19 * 50)</f>
        <v>50.280000000000008</v>
      </c>
      <c r="AA403">
        <f>0.244*(4.19 * 50)</f>
        <v>51.118000000000009</v>
      </c>
      <c r="AB403">
        <f>0.248*(4.19 * 50)</f>
        <v>51.95600000000001</v>
      </c>
      <c r="AC403">
        <f>0.252*(4.19 * 50)</f>
        <v>52.794000000000004</v>
      </c>
      <c r="AD403">
        <f>0.256*(4.19 * 50)</f>
        <v>53.632000000000005</v>
      </c>
      <c r="AE403">
        <f>0.258*(4.19 * 50)</f>
        <v>54.051000000000009</v>
      </c>
      <c r="AF403">
        <f>0.256*(4.19 * 50)</f>
        <v>53.632000000000005</v>
      </c>
      <c r="AG403">
        <f>0.252*(4.19 * 50)</f>
        <v>52.794000000000004</v>
      </c>
    </row>
    <row r="404" spans="1:33" x14ac:dyDescent="0.3">
      <c r="A404" t="s">
        <v>447</v>
      </c>
      <c r="B404">
        <v>365593.835938</v>
      </c>
      <c r="C404">
        <v>6670132.0234380001</v>
      </c>
      <c r="D404" t="s">
        <v>542</v>
      </c>
      <c r="E404">
        <v>100</v>
      </c>
      <c r="F404">
        <v>113.333000183105</v>
      </c>
      <c r="G404">
        <v>0.54096897462102622</v>
      </c>
      <c r="H404">
        <f t="shared" si="13"/>
        <v>219.759000183105</v>
      </c>
      <c r="I404">
        <f t="shared" si="12"/>
        <v>209.50000000000003</v>
      </c>
      <c r="J404">
        <f>0.493*(4.19 * 50)</f>
        <v>103.28350000000002</v>
      </c>
      <c r="K404">
        <f>0.489*(4.19 * 50)</f>
        <v>102.44550000000001</v>
      </c>
      <c r="L404">
        <f>0.486*(4.19 * 50)</f>
        <v>101.81700000000001</v>
      </c>
      <c r="M404">
        <f>0.484*(4.19 * 50)</f>
        <v>101.39800000000001</v>
      </c>
      <c r="N404">
        <f>0.486*(4.19 * 50)</f>
        <v>101.81700000000001</v>
      </c>
      <c r="O404">
        <f>0.493*(4.19 * 50)</f>
        <v>103.28350000000002</v>
      </c>
      <c r="P404">
        <f>0.508*(4.19 * 50)</f>
        <v>106.42600000000002</v>
      </c>
      <c r="Q404">
        <f>0.521*(4.19 * 50)</f>
        <v>109.14950000000002</v>
      </c>
      <c r="R404">
        <f>0.516*(4.19 * 50)</f>
        <v>108.10200000000002</v>
      </c>
      <c r="S404">
        <f>0.506*(4.19 * 50)</f>
        <v>106.00700000000002</v>
      </c>
      <c r="T404">
        <f>0.504*(4.19 * 50)</f>
        <v>105.58800000000001</v>
      </c>
      <c r="U404">
        <f>0.482*(4.19 * 50)</f>
        <v>100.97900000000001</v>
      </c>
      <c r="V404">
        <f>0.476*(4.19 * 50)</f>
        <v>99.722000000000008</v>
      </c>
      <c r="W404">
        <f>0.469*(4.19 * 50)</f>
        <v>98.255500000000012</v>
      </c>
      <c r="X404">
        <f>0.468*(4.19 * 50)</f>
        <v>98.046000000000021</v>
      </c>
      <c r="Y404">
        <f>0.469*(4.19 * 50)</f>
        <v>98.255500000000012</v>
      </c>
      <c r="Z404">
        <f>0.474*(4.19 * 50)</f>
        <v>99.303000000000011</v>
      </c>
      <c r="AA404">
        <f>0.482*(4.19 * 50)</f>
        <v>100.97900000000001</v>
      </c>
      <c r="AB404">
        <f>0.489*(4.19 * 50)</f>
        <v>102.44550000000001</v>
      </c>
      <c r="AC404">
        <f>0.498*(4.19 * 50)</f>
        <v>104.33100000000002</v>
      </c>
      <c r="AD404">
        <f>0.507*(4.19 * 50)</f>
        <v>106.21650000000001</v>
      </c>
      <c r="AE404">
        <f>0.51*(4.19 * 50)</f>
        <v>106.84500000000001</v>
      </c>
      <c r="AF404">
        <f>0.506*(4.19 * 50)</f>
        <v>106.00700000000002</v>
      </c>
      <c r="AG404">
        <f>0.499*(4.19 * 50)</f>
        <v>104.54050000000001</v>
      </c>
    </row>
    <row r="405" spans="1:33" x14ac:dyDescent="0.3">
      <c r="A405" t="s">
        <v>448</v>
      </c>
      <c r="B405">
        <v>364329.660156</v>
      </c>
      <c r="C405">
        <v>6671743.1640630001</v>
      </c>
      <c r="D405" t="s">
        <v>540</v>
      </c>
      <c r="E405">
        <v>100</v>
      </c>
      <c r="F405">
        <v>120.333000183105</v>
      </c>
      <c r="G405">
        <v>0.57438186244918843</v>
      </c>
      <c r="H405">
        <f t="shared" si="13"/>
        <v>233.25350018310502</v>
      </c>
      <c r="I405">
        <f t="shared" si="12"/>
        <v>209.50000000000003</v>
      </c>
      <c r="J405">
        <f>0.524*(4.19 * 50)</f>
        <v>109.77800000000002</v>
      </c>
      <c r="K405">
        <f>0.52*(4.19 * 50)</f>
        <v>108.94000000000001</v>
      </c>
      <c r="L405">
        <f>0.516*(4.19 * 50)</f>
        <v>108.10200000000002</v>
      </c>
      <c r="M405">
        <f>0.514*(4.19 * 50)</f>
        <v>107.68300000000002</v>
      </c>
      <c r="N405">
        <f>0.516*(4.19 * 50)</f>
        <v>108.10200000000002</v>
      </c>
      <c r="O405">
        <f>0.523*(4.19 * 50)</f>
        <v>109.56850000000001</v>
      </c>
      <c r="P405">
        <f>0.539*(4.19 * 50)</f>
        <v>112.92050000000002</v>
      </c>
      <c r="Q405">
        <f>0.553*(4.19 * 50)</f>
        <v>115.85350000000003</v>
      </c>
      <c r="R405">
        <f>0.548*(4.19 * 50)</f>
        <v>114.80600000000003</v>
      </c>
      <c r="S405">
        <f>0.537*(4.19 * 50)</f>
        <v>112.50150000000002</v>
      </c>
      <c r="T405">
        <f>0.535*(4.19 * 50)</f>
        <v>112.08250000000002</v>
      </c>
      <c r="U405">
        <f>0.512*(4.19 * 50)</f>
        <v>107.26400000000001</v>
      </c>
      <c r="V405">
        <f>0.505*(4.19 * 50)</f>
        <v>105.79750000000001</v>
      </c>
      <c r="W405">
        <f>0.498*(4.19 * 50)</f>
        <v>104.33100000000002</v>
      </c>
      <c r="X405">
        <f>0.497*(4.19 * 50)</f>
        <v>104.12150000000001</v>
      </c>
      <c r="Y405">
        <f>0.498*(4.19 * 50)</f>
        <v>104.33100000000002</v>
      </c>
      <c r="Z405">
        <f>0.503*(4.19 * 50)</f>
        <v>105.37850000000002</v>
      </c>
      <c r="AA405">
        <f>0.512*(4.19 * 50)</f>
        <v>107.26400000000001</v>
      </c>
      <c r="AB405">
        <f>0.52*(4.19 * 50)</f>
        <v>108.94000000000001</v>
      </c>
      <c r="AC405">
        <f>0.529*(4.19 * 50)</f>
        <v>110.82550000000002</v>
      </c>
      <c r="AD405">
        <f>0.538*(4.19 * 50)</f>
        <v>112.71100000000003</v>
      </c>
      <c r="AE405">
        <f>0.542*(4.19 * 50)</f>
        <v>113.54900000000002</v>
      </c>
      <c r="AF405">
        <f>0.537*(4.19 * 50)</f>
        <v>112.50150000000002</v>
      </c>
      <c r="AG405">
        <f>0.529*(4.19 * 50)</f>
        <v>110.82550000000002</v>
      </c>
    </row>
    <row r="406" spans="1:33" x14ac:dyDescent="0.3">
      <c r="A406" t="s">
        <v>449</v>
      </c>
      <c r="B406">
        <v>358238.554688</v>
      </c>
      <c r="C406">
        <v>6668730.2617189996</v>
      </c>
      <c r="D406" t="s">
        <v>568</v>
      </c>
      <c r="E406">
        <v>100</v>
      </c>
      <c r="F406">
        <v>623</v>
      </c>
      <c r="G406">
        <v>2.9737470167064441</v>
      </c>
      <c r="H406">
        <f t="shared" si="13"/>
        <v>1207.5050000000001</v>
      </c>
      <c r="I406">
        <f t="shared" si="12"/>
        <v>209.50000000000003</v>
      </c>
      <c r="J406">
        <f>2.712*(4.19 * 50)</f>
        <v>568.1640000000001</v>
      </c>
      <c r="K406">
        <f>2.69*(4.19 * 50)</f>
        <v>563.55500000000006</v>
      </c>
      <c r="L406">
        <f>2.674*(4.19 * 50)</f>
        <v>560.20300000000009</v>
      </c>
      <c r="M406">
        <f>2.663*(4.19 * 50)</f>
        <v>557.89850000000001</v>
      </c>
      <c r="N406">
        <f>2.674*(4.19 * 50)</f>
        <v>560.20300000000009</v>
      </c>
      <c r="O406">
        <f>2.709*(4.19 * 50)</f>
        <v>567.53550000000007</v>
      </c>
      <c r="P406">
        <f>2.79*(4.19 * 50)</f>
        <v>584.50500000000011</v>
      </c>
      <c r="Q406">
        <f>2.863*(4.19 * 50)</f>
        <v>599.7985000000001</v>
      </c>
      <c r="R406">
        <f>2.839*(4.19 * 50)</f>
        <v>594.77050000000008</v>
      </c>
      <c r="S406">
        <f>2.779*(4.19 * 50)</f>
        <v>582.20050000000003</v>
      </c>
      <c r="T406">
        <f>2.768*(4.19 * 50)</f>
        <v>579.89600000000007</v>
      </c>
      <c r="U406">
        <f>2.652*(4.19 * 50)</f>
        <v>555.59400000000005</v>
      </c>
      <c r="V406">
        <f>2.614*(4.19 * 50)</f>
        <v>547.63300000000004</v>
      </c>
      <c r="W406">
        <f>2.579*(4.19 * 50)</f>
        <v>540.30050000000006</v>
      </c>
      <c r="X406">
        <f>2.571*(4.19 * 50)</f>
        <v>538.62450000000013</v>
      </c>
      <c r="Y406">
        <f>2.576*(4.19 * 50)</f>
        <v>539.67200000000014</v>
      </c>
      <c r="Z406">
        <f>2.603*(4.19 * 50)</f>
        <v>545.32850000000008</v>
      </c>
      <c r="AA406">
        <f>2.652*(4.19 * 50)</f>
        <v>555.59400000000005</v>
      </c>
      <c r="AB406">
        <f>2.69*(4.19 * 50)</f>
        <v>563.55500000000006</v>
      </c>
      <c r="AC406">
        <f>2.739*(4.19 * 50)</f>
        <v>573.82050000000004</v>
      </c>
      <c r="AD406">
        <f>2.785*(4.19 * 50)</f>
        <v>583.4575000000001</v>
      </c>
      <c r="AE406">
        <f>2.804*(4.19 * 50)</f>
        <v>587.43799999999999</v>
      </c>
      <c r="AF406">
        <f>2.779*(4.19 * 50)</f>
        <v>582.20050000000003</v>
      </c>
      <c r="AG406">
        <f>2.741*(4.19 * 50)</f>
        <v>574.23950000000013</v>
      </c>
    </row>
    <row r="407" spans="1:33" x14ac:dyDescent="0.3">
      <c r="A407" t="s">
        <v>450</v>
      </c>
      <c r="B407">
        <v>364443.410156</v>
      </c>
      <c r="C407">
        <v>6671399.171875</v>
      </c>
      <c r="D407" t="s">
        <v>541</v>
      </c>
      <c r="E407">
        <v>100</v>
      </c>
      <c r="F407">
        <v>86.333000183105398</v>
      </c>
      <c r="G407">
        <v>0.4120906929981164</v>
      </c>
      <c r="H407">
        <f t="shared" si="13"/>
        <v>167.40950018310542</v>
      </c>
      <c r="I407">
        <f t="shared" si="12"/>
        <v>209.50000000000003</v>
      </c>
      <c r="J407">
        <f>0.376*(4.19 * 50)</f>
        <v>78.772000000000006</v>
      </c>
      <c r="K407">
        <f>0.373*(4.19 * 50)</f>
        <v>78.143500000000017</v>
      </c>
      <c r="L407">
        <f>0.371*(4.19 * 50)</f>
        <v>77.724500000000006</v>
      </c>
      <c r="M407">
        <f>0.369*(4.19 * 50)</f>
        <v>77.305500000000009</v>
      </c>
      <c r="N407">
        <f>0.371*(4.19 * 50)</f>
        <v>77.724500000000006</v>
      </c>
      <c r="O407">
        <f>0.375*(4.19 * 50)</f>
        <v>78.562500000000014</v>
      </c>
      <c r="P407">
        <f>0.387*(4.19 * 50)</f>
        <v>81.07650000000001</v>
      </c>
      <c r="Q407">
        <f>0.397*(4.19 * 50)</f>
        <v>83.171500000000009</v>
      </c>
      <c r="R407">
        <f>0.393*(4.19 * 50)</f>
        <v>82.333500000000015</v>
      </c>
      <c r="S407">
        <f>0.385*(4.19 * 50)</f>
        <v>80.657500000000013</v>
      </c>
      <c r="T407">
        <f>0.384*(4.19 * 50)</f>
        <v>80.448000000000008</v>
      </c>
      <c r="U407">
        <f>0.368*(4.19 * 50)</f>
        <v>77.096000000000004</v>
      </c>
      <c r="V407">
        <f>0.362*(4.19 * 50)</f>
        <v>75.839000000000013</v>
      </c>
      <c r="W407">
        <f>0.357*(4.19 * 50)</f>
        <v>74.791500000000013</v>
      </c>
      <c r="X407">
        <f>0.356*(4.19 * 50)</f>
        <v>74.582000000000008</v>
      </c>
      <c r="Y407">
        <f>0.357*(4.19 * 50)</f>
        <v>74.791500000000013</v>
      </c>
      <c r="Z407">
        <f>0.361*(4.19 * 50)</f>
        <v>75.629500000000007</v>
      </c>
      <c r="AA407">
        <f>0.368*(4.19 * 50)</f>
        <v>77.096000000000004</v>
      </c>
      <c r="AB407">
        <f>0.373*(4.19 * 50)</f>
        <v>78.143500000000017</v>
      </c>
      <c r="AC407">
        <f>0.38*(4.19 * 50)</f>
        <v>79.610000000000014</v>
      </c>
      <c r="AD407">
        <f>0.386*(4.19 * 50)</f>
        <v>80.867000000000019</v>
      </c>
      <c r="AE407">
        <f>0.389*(4.19 * 50)</f>
        <v>81.495500000000007</v>
      </c>
      <c r="AF407">
        <f>0.385*(4.19 * 50)</f>
        <v>80.657500000000013</v>
      </c>
      <c r="AG407">
        <f>0.38*(4.19 * 50)</f>
        <v>79.610000000000014</v>
      </c>
    </row>
    <row r="408" spans="1:33" x14ac:dyDescent="0.3">
      <c r="A408" t="s">
        <v>451</v>
      </c>
      <c r="B408">
        <v>363377.449219</v>
      </c>
      <c r="C408">
        <v>6671944.0742189996</v>
      </c>
      <c r="D408" t="s">
        <v>542</v>
      </c>
      <c r="E408">
        <v>100</v>
      </c>
      <c r="F408">
        <v>151.13299560546801</v>
      </c>
      <c r="G408">
        <v>0.72139854704280659</v>
      </c>
      <c r="H408">
        <f t="shared" si="13"/>
        <v>292.96449560546807</v>
      </c>
      <c r="I408">
        <f t="shared" si="12"/>
        <v>209.50000000000003</v>
      </c>
      <c r="J408">
        <f>0.658*(4.19 * 50)</f>
        <v>137.85100000000003</v>
      </c>
      <c r="K408">
        <f>0.653*(4.19 * 50)</f>
        <v>136.80350000000001</v>
      </c>
      <c r="L408">
        <f>0.649*(4.19 * 50)</f>
        <v>135.96550000000002</v>
      </c>
      <c r="M408">
        <f>0.646*(4.19 * 50)</f>
        <v>135.33700000000002</v>
      </c>
      <c r="N408">
        <f>0.649*(4.19 * 50)</f>
        <v>135.96550000000002</v>
      </c>
      <c r="O408">
        <f>0.657*(4.19 * 50)</f>
        <v>137.64150000000004</v>
      </c>
      <c r="P408">
        <f>0.677*(4.19 * 50)</f>
        <v>141.83150000000003</v>
      </c>
      <c r="Q408">
        <f>0.695*(4.19 * 50)</f>
        <v>145.60250000000002</v>
      </c>
      <c r="R408">
        <f>0.689*(4.19 * 50)</f>
        <v>144.34550000000002</v>
      </c>
      <c r="S408">
        <f>0.674*(4.19 * 50)</f>
        <v>141.20300000000003</v>
      </c>
      <c r="T408">
        <f>0.672*(4.19 * 50)</f>
        <v>140.78400000000002</v>
      </c>
      <c r="U408">
        <f>0.643*(4.19 * 50)</f>
        <v>134.70850000000002</v>
      </c>
      <c r="V408">
        <f>0.634*(4.19 * 50)</f>
        <v>132.82300000000001</v>
      </c>
      <c r="W408">
        <f>0.626*(4.19 * 50)</f>
        <v>131.14700000000002</v>
      </c>
      <c r="X408">
        <f>0.624*(4.19 * 50)</f>
        <v>130.72800000000001</v>
      </c>
      <c r="Y408">
        <f>0.625*(4.19 * 50)</f>
        <v>130.93750000000003</v>
      </c>
      <c r="Z408">
        <f>0.632*(4.19 * 50)</f>
        <v>132.40400000000002</v>
      </c>
      <c r="AA408">
        <f>0.643*(4.19 * 50)</f>
        <v>134.70850000000002</v>
      </c>
      <c r="AB408">
        <f>0.653*(4.19 * 50)</f>
        <v>136.80350000000001</v>
      </c>
      <c r="AC408">
        <f>0.664*(4.19 * 50)</f>
        <v>139.10800000000003</v>
      </c>
      <c r="AD408">
        <f>0.676*(4.19 * 50)</f>
        <v>141.62200000000004</v>
      </c>
      <c r="AE408">
        <f>0.68*(4.19 * 50)</f>
        <v>142.46000000000004</v>
      </c>
      <c r="AF408">
        <f>0.674*(4.19 * 50)</f>
        <v>141.20300000000003</v>
      </c>
      <c r="AG408">
        <f>0.665*(4.19 * 50)</f>
        <v>139.31750000000002</v>
      </c>
    </row>
    <row r="409" spans="1:33" x14ac:dyDescent="0.3">
      <c r="A409" t="s">
        <v>452</v>
      </c>
      <c r="B409">
        <v>357024.796875</v>
      </c>
      <c r="C409">
        <v>6665770.6640630001</v>
      </c>
      <c r="D409" t="s">
        <v>541</v>
      </c>
      <c r="E409">
        <v>100</v>
      </c>
      <c r="F409">
        <v>90.333000183105398</v>
      </c>
      <c r="G409">
        <v>0.43118377175706629</v>
      </c>
      <c r="H409">
        <f t="shared" si="13"/>
        <v>175.18050018310541</v>
      </c>
      <c r="I409">
        <f t="shared" si="12"/>
        <v>209.50000000000003</v>
      </c>
      <c r="J409">
        <f>0.393*(4.19 * 50)</f>
        <v>82.333500000000015</v>
      </c>
      <c r="K409">
        <f>0.39*(4.19 * 50)</f>
        <v>81.705000000000013</v>
      </c>
      <c r="L409">
        <f>0.388*(4.19 * 50)</f>
        <v>81.286000000000016</v>
      </c>
      <c r="M409">
        <f>0.386*(4.19 * 50)</f>
        <v>80.867000000000019</v>
      </c>
      <c r="N409">
        <f>0.388*(4.19 * 50)</f>
        <v>81.286000000000016</v>
      </c>
      <c r="O409">
        <f>0.393*(4.19 * 50)</f>
        <v>82.333500000000015</v>
      </c>
      <c r="P409">
        <f>0.405*(4.19 * 50)</f>
        <v>84.847500000000011</v>
      </c>
      <c r="Q409">
        <f>0.415*(4.19 * 50)</f>
        <v>86.94250000000001</v>
      </c>
      <c r="R409">
        <f>0.412*(4.19 * 50)</f>
        <v>86.314000000000007</v>
      </c>
      <c r="S409">
        <f>0.403*(4.19 * 50)</f>
        <v>84.428500000000014</v>
      </c>
      <c r="T409">
        <f>0.401*(4.19 * 50)</f>
        <v>84.009500000000017</v>
      </c>
      <c r="U409">
        <f>0.385*(4.19 * 50)</f>
        <v>80.657500000000013</v>
      </c>
      <c r="V409">
        <f>0.379*(4.19 * 50)</f>
        <v>79.400500000000008</v>
      </c>
      <c r="W409">
        <f>0.374*(4.19 * 50)</f>
        <v>78.353000000000009</v>
      </c>
      <c r="X409">
        <f>0.373*(4.19 * 50)</f>
        <v>78.143500000000017</v>
      </c>
      <c r="Y409">
        <f>0.374*(4.19 * 50)</f>
        <v>78.353000000000009</v>
      </c>
      <c r="Z409">
        <f>0.377*(4.19 * 50)</f>
        <v>78.981500000000011</v>
      </c>
      <c r="AA409">
        <f>0.385*(4.19 * 50)</f>
        <v>80.657500000000013</v>
      </c>
      <c r="AB409">
        <f>0.39*(4.19 * 50)</f>
        <v>81.705000000000013</v>
      </c>
      <c r="AC409">
        <f>0.397*(4.19 * 50)</f>
        <v>83.171500000000009</v>
      </c>
      <c r="AD409">
        <f>0.404*(4.19 * 50)</f>
        <v>84.638000000000019</v>
      </c>
      <c r="AE409">
        <f>0.407*(4.19 * 50)</f>
        <v>85.266500000000008</v>
      </c>
      <c r="AF409">
        <f>0.403*(4.19 * 50)</f>
        <v>84.428500000000014</v>
      </c>
      <c r="AG409">
        <f>0.397*(4.19 * 50)</f>
        <v>83.171500000000009</v>
      </c>
    </row>
    <row r="410" spans="1:33" x14ac:dyDescent="0.3">
      <c r="A410" t="s">
        <v>453</v>
      </c>
      <c r="B410">
        <v>359709.714844</v>
      </c>
      <c r="C410">
        <v>6667475.9726560004</v>
      </c>
      <c r="D410" t="s">
        <v>542</v>
      </c>
      <c r="E410">
        <v>100</v>
      </c>
      <c r="F410">
        <v>100</v>
      </c>
      <c r="G410">
        <v>0.47732696897374688</v>
      </c>
      <c r="H410">
        <f t="shared" si="13"/>
        <v>193.85599999999999</v>
      </c>
      <c r="I410">
        <f t="shared" si="12"/>
        <v>209.50000000000003</v>
      </c>
      <c r="J410">
        <f>0.435*(4.19 * 50)</f>
        <v>91.132500000000007</v>
      </c>
      <c r="K410">
        <f>0.432*(4.19 * 50)</f>
        <v>90.504000000000005</v>
      </c>
      <c r="L410">
        <f>0.429*(4.19 * 50)</f>
        <v>89.875500000000017</v>
      </c>
      <c r="M410">
        <f>0.427*(4.19 * 50)</f>
        <v>89.456500000000005</v>
      </c>
      <c r="N410">
        <f>0.429*(4.19 * 50)</f>
        <v>89.875500000000017</v>
      </c>
      <c r="O410">
        <f>0.435*(4.19 * 50)</f>
        <v>91.132500000000007</v>
      </c>
      <c r="P410">
        <f>0.448*(4.19 * 50)</f>
        <v>93.856000000000009</v>
      </c>
      <c r="Q410">
        <f>0.46*(4.19 * 50)</f>
        <v>96.370000000000019</v>
      </c>
      <c r="R410">
        <f>0.456*(4.19 * 50)</f>
        <v>95.532000000000011</v>
      </c>
      <c r="S410">
        <f>0.446*(4.19 * 50)</f>
        <v>93.437000000000012</v>
      </c>
      <c r="T410">
        <f>0.444*(4.19 * 50)</f>
        <v>93.018000000000015</v>
      </c>
      <c r="U410">
        <f>0.426*(4.19 * 50)</f>
        <v>89.247000000000014</v>
      </c>
      <c r="V410">
        <f>0.42*(4.19 * 50)</f>
        <v>87.990000000000009</v>
      </c>
      <c r="W410">
        <f>0.414*(4.19 * 50)</f>
        <v>86.733000000000004</v>
      </c>
      <c r="X410">
        <f>0.413*(4.19 * 50)</f>
        <v>86.523500000000013</v>
      </c>
      <c r="Y410">
        <f>0.414*(4.19 * 50)</f>
        <v>86.733000000000004</v>
      </c>
      <c r="Z410">
        <f>0.418*(4.19 * 50)</f>
        <v>87.571000000000012</v>
      </c>
      <c r="AA410">
        <f>0.426*(4.19 * 50)</f>
        <v>89.247000000000014</v>
      </c>
      <c r="AB410">
        <f>0.432*(4.19 * 50)</f>
        <v>90.504000000000005</v>
      </c>
      <c r="AC410">
        <f>0.44*(4.19 * 50)</f>
        <v>92.18</v>
      </c>
      <c r="AD410">
        <f>0.447*(4.19 * 50)</f>
        <v>93.646500000000017</v>
      </c>
      <c r="AE410">
        <f>0.45*(4.19 * 50)</f>
        <v>94.27500000000002</v>
      </c>
      <c r="AF410">
        <f>0.446*(4.19 * 50)</f>
        <v>93.437000000000012</v>
      </c>
      <c r="AG410">
        <f>0.44*(4.19 * 50)</f>
        <v>92.18</v>
      </c>
    </row>
    <row r="411" spans="1:33" x14ac:dyDescent="0.3">
      <c r="A411" t="s">
        <v>454</v>
      </c>
      <c r="B411">
        <v>357904.699219</v>
      </c>
      <c r="C411">
        <v>6667789.7460939996</v>
      </c>
      <c r="D411" t="s">
        <v>542</v>
      </c>
      <c r="E411">
        <v>100</v>
      </c>
      <c r="F411">
        <v>68.666999816894503</v>
      </c>
      <c r="G411">
        <v>0.3277661089111909</v>
      </c>
      <c r="H411">
        <f t="shared" si="13"/>
        <v>133.19299981689451</v>
      </c>
      <c r="I411">
        <f t="shared" si="12"/>
        <v>209.50000000000003</v>
      </c>
      <c r="J411">
        <f>0.299*(4.19 * 50)</f>
        <v>62.640500000000003</v>
      </c>
      <c r="K411">
        <f>0.296*(4.19 * 50)</f>
        <v>62.012000000000008</v>
      </c>
      <c r="L411">
        <f>0.295*(4.19 * 50)</f>
        <v>61.802500000000002</v>
      </c>
      <c r="M411">
        <f>0.293*(4.19 * 50)</f>
        <v>61.383500000000005</v>
      </c>
      <c r="N411">
        <f>0.295*(4.19 * 50)</f>
        <v>61.802500000000002</v>
      </c>
      <c r="O411">
        <f>0.299*(4.19 * 50)</f>
        <v>62.640500000000003</v>
      </c>
      <c r="P411">
        <f>0.308*(4.19 * 50)</f>
        <v>64.52600000000001</v>
      </c>
      <c r="Q411">
        <f>0.316*(4.19 * 50)</f>
        <v>66.202000000000012</v>
      </c>
      <c r="R411">
        <f>0.313*(4.19 * 50)</f>
        <v>65.57350000000001</v>
      </c>
      <c r="S411">
        <f>0.306*(4.19 * 50)</f>
        <v>64.107000000000014</v>
      </c>
      <c r="T411">
        <f>0.305*(4.19 * 50)</f>
        <v>63.897500000000008</v>
      </c>
      <c r="U411">
        <f>0.292*(4.19 * 50)</f>
        <v>61.174000000000007</v>
      </c>
      <c r="V411">
        <f>0.288*(4.19 * 50)</f>
        <v>60.336000000000006</v>
      </c>
      <c r="W411">
        <f>0.284*(4.19 * 50)</f>
        <v>59.498000000000005</v>
      </c>
      <c r="X411">
        <f>0.283*(4.19 * 50)</f>
        <v>59.288499999999999</v>
      </c>
      <c r="Y411">
        <f>0.284*(4.19 * 50)</f>
        <v>59.498000000000005</v>
      </c>
      <c r="Z411">
        <f>0.287*(4.19 * 50)</f>
        <v>60.1265</v>
      </c>
      <c r="AA411">
        <f>0.292*(4.19 * 50)</f>
        <v>61.174000000000007</v>
      </c>
      <c r="AB411">
        <f>0.296*(4.19 * 50)</f>
        <v>62.012000000000008</v>
      </c>
      <c r="AC411">
        <f>0.302*(4.19 * 50)</f>
        <v>63.269000000000005</v>
      </c>
      <c r="AD411">
        <f>0.307*(4.19 * 50)</f>
        <v>64.316500000000005</v>
      </c>
      <c r="AE411">
        <f>0.309*(4.19 * 50)</f>
        <v>64.735500000000002</v>
      </c>
      <c r="AF411">
        <f>0.306*(4.19 * 50)</f>
        <v>64.107000000000014</v>
      </c>
      <c r="AG411">
        <f>0.302*(4.19 * 50)</f>
        <v>63.269000000000005</v>
      </c>
    </row>
    <row r="412" spans="1:33" x14ac:dyDescent="0.3">
      <c r="A412" t="s">
        <v>455</v>
      </c>
      <c r="B412">
        <v>357909.320313</v>
      </c>
      <c r="C412">
        <v>6667642.7890630001</v>
      </c>
      <c r="D412" t="s">
        <v>563</v>
      </c>
      <c r="E412">
        <v>100</v>
      </c>
      <c r="F412">
        <v>383.3330078125</v>
      </c>
      <c r="G412">
        <v>1.829751827267303</v>
      </c>
      <c r="H412">
        <f t="shared" si="13"/>
        <v>743.04450781250011</v>
      </c>
      <c r="I412">
        <f t="shared" si="12"/>
        <v>209.50000000000003</v>
      </c>
      <c r="J412">
        <f>1.668*(4.19 * 50)</f>
        <v>349.44600000000003</v>
      </c>
      <c r="K412">
        <f>1.655*(4.19 * 50)</f>
        <v>346.72250000000003</v>
      </c>
      <c r="L412">
        <f>1.645*(4.19 * 50)</f>
        <v>344.62750000000005</v>
      </c>
      <c r="M412">
        <f>1.638*(4.19 * 50)</f>
        <v>343.161</v>
      </c>
      <c r="N412">
        <f>1.645*(4.19 * 50)</f>
        <v>344.62750000000005</v>
      </c>
      <c r="O412">
        <f>1.667*(4.19 * 50)</f>
        <v>349.23650000000004</v>
      </c>
      <c r="P412">
        <f>1.717*(4.19 * 50)</f>
        <v>359.71150000000006</v>
      </c>
      <c r="Q412">
        <f>1.762*(4.19 * 50)</f>
        <v>369.13900000000007</v>
      </c>
      <c r="R412">
        <f>1.747*(4.19 * 50)</f>
        <v>365.99650000000008</v>
      </c>
      <c r="S412">
        <f>1.71*(4.19 * 50)</f>
        <v>358.24500000000006</v>
      </c>
      <c r="T412">
        <f>1.703*(4.19 * 50)</f>
        <v>356.77850000000007</v>
      </c>
      <c r="U412">
        <f>1.632*(4.19 * 50)</f>
        <v>341.904</v>
      </c>
      <c r="V412">
        <f>1.608*(4.19 * 50)</f>
        <v>336.87600000000009</v>
      </c>
      <c r="W412">
        <f>1.587*(4.19 * 50)</f>
        <v>332.47650000000004</v>
      </c>
      <c r="X412">
        <f>1.582*(4.19 * 50)</f>
        <v>331.42900000000009</v>
      </c>
      <c r="Y412">
        <f>1.585*(4.19 * 50)</f>
        <v>332.05750000000006</v>
      </c>
      <c r="Z412">
        <f>1.602*(4.19 * 50)</f>
        <v>335.61900000000009</v>
      </c>
      <c r="AA412">
        <f>1.632*(4.19 * 50)</f>
        <v>341.904</v>
      </c>
      <c r="AB412">
        <f>1.655*(4.19 * 50)</f>
        <v>346.72250000000003</v>
      </c>
      <c r="AC412">
        <f>1.685*(4.19 * 50)</f>
        <v>353.00750000000005</v>
      </c>
      <c r="AD412">
        <f>1.713*(4.19 * 50)</f>
        <v>358.87350000000009</v>
      </c>
      <c r="AE412">
        <f>1.725*(4.19 * 50)</f>
        <v>361.38750000000005</v>
      </c>
      <c r="AF412">
        <f>1.71*(4.19 * 50)</f>
        <v>358.24500000000006</v>
      </c>
      <c r="AG412">
        <f>1.687*(4.19 * 50)</f>
        <v>353.42650000000003</v>
      </c>
    </row>
    <row r="413" spans="1:33" x14ac:dyDescent="0.3">
      <c r="A413" t="s">
        <v>456</v>
      </c>
      <c r="B413">
        <v>357911.269531</v>
      </c>
      <c r="C413">
        <v>6667641.3984380001</v>
      </c>
      <c r="D413" t="s">
        <v>562</v>
      </c>
      <c r="E413">
        <v>100</v>
      </c>
      <c r="F413">
        <v>0</v>
      </c>
      <c r="G413">
        <v>0</v>
      </c>
      <c r="H413">
        <f t="shared" si="13"/>
        <v>0</v>
      </c>
      <c r="I413">
        <f t="shared" si="12"/>
        <v>209.50000000000003</v>
      </c>
      <c r="J413">
        <f>0*(4.19 * 50)</f>
        <v>0</v>
      </c>
      <c r="K413">
        <f>0*(4.19 * 50)</f>
        <v>0</v>
      </c>
      <c r="L413">
        <f>0*(4.19 * 50)</f>
        <v>0</v>
      </c>
      <c r="M413">
        <f>0*(4.19 * 50)</f>
        <v>0</v>
      </c>
      <c r="N413">
        <f>0*(4.19 * 50)</f>
        <v>0</v>
      </c>
      <c r="O413">
        <f>0*(4.19 * 50)</f>
        <v>0</v>
      </c>
      <c r="P413">
        <f>0*(4.19 * 50)</f>
        <v>0</v>
      </c>
      <c r="Q413">
        <f>0*(4.19 * 50)</f>
        <v>0</v>
      </c>
      <c r="R413">
        <f>0*(4.19 * 50)</f>
        <v>0</v>
      </c>
      <c r="S413">
        <f>0*(4.19 * 50)</f>
        <v>0</v>
      </c>
      <c r="T413">
        <f>0*(4.19 * 50)</f>
        <v>0</v>
      </c>
      <c r="U413">
        <f>0*(4.19 * 50)</f>
        <v>0</v>
      </c>
      <c r="V413">
        <f>0*(4.19 * 50)</f>
        <v>0</v>
      </c>
      <c r="W413">
        <f>0*(4.19 * 50)</f>
        <v>0</v>
      </c>
      <c r="X413">
        <f>0*(4.19 * 50)</f>
        <v>0</v>
      </c>
      <c r="Y413">
        <f>0*(4.19 * 50)</f>
        <v>0</v>
      </c>
      <c r="Z413">
        <f>0*(4.19 * 50)</f>
        <v>0</v>
      </c>
      <c r="AA413">
        <f>0*(4.19 * 50)</f>
        <v>0</v>
      </c>
      <c r="AB413">
        <f>0*(4.19 * 50)</f>
        <v>0</v>
      </c>
      <c r="AC413">
        <f>0*(4.19 * 50)</f>
        <v>0</v>
      </c>
      <c r="AD413">
        <f>0*(4.19 * 50)</f>
        <v>0</v>
      </c>
      <c r="AE413">
        <f>0*(4.19 * 50)</f>
        <v>0</v>
      </c>
      <c r="AF413">
        <f>0*(4.19 * 50)</f>
        <v>0</v>
      </c>
      <c r="AG413">
        <f>0*(4.19 * 50)</f>
        <v>0</v>
      </c>
    </row>
    <row r="414" spans="1:33" x14ac:dyDescent="0.3">
      <c r="A414" t="s">
        <v>457</v>
      </c>
      <c r="B414">
        <v>358066.238281</v>
      </c>
      <c r="C414">
        <v>6667591.703125</v>
      </c>
      <c r="D414" t="s">
        <v>542</v>
      </c>
      <c r="E414">
        <v>100</v>
      </c>
      <c r="F414">
        <v>64</v>
      </c>
      <c r="G414">
        <v>0.30548926014319799</v>
      </c>
      <c r="H414">
        <f t="shared" si="13"/>
        <v>124.12649999999999</v>
      </c>
      <c r="I414">
        <f t="shared" si="12"/>
        <v>209.50000000000003</v>
      </c>
      <c r="J414">
        <f>0.279*(4.19 * 50)</f>
        <v>58.450500000000012</v>
      </c>
      <c r="K414">
        <f>0.276*(4.19 * 50)</f>
        <v>57.82200000000001</v>
      </c>
      <c r="L414">
        <f>0.275*(4.19 * 50)</f>
        <v>57.612500000000011</v>
      </c>
      <c r="M414">
        <f>0.274*(4.19 * 50)</f>
        <v>57.403000000000013</v>
      </c>
      <c r="N414">
        <f>0.275*(4.19 * 50)</f>
        <v>57.612500000000011</v>
      </c>
      <c r="O414">
        <f>0.278*(4.19 * 50)</f>
        <v>58.241000000000014</v>
      </c>
      <c r="P414">
        <f>0.287*(4.19 * 50)</f>
        <v>60.1265</v>
      </c>
      <c r="Q414">
        <f>0.294*(4.19 * 50)</f>
        <v>61.593000000000004</v>
      </c>
      <c r="R414">
        <f>0.292*(4.19 * 50)</f>
        <v>61.174000000000007</v>
      </c>
      <c r="S414">
        <f>0.286*(4.19 * 50)</f>
        <v>59.917000000000002</v>
      </c>
      <c r="T414">
        <f>0.284*(4.19 * 50)</f>
        <v>59.498000000000005</v>
      </c>
      <c r="U414">
        <f>0.272*(4.19 * 50)</f>
        <v>56.984000000000009</v>
      </c>
      <c r="V414">
        <f>0.269*(4.19 * 50)</f>
        <v>56.355500000000013</v>
      </c>
      <c r="W414">
        <f>0.265*(4.19 * 50)</f>
        <v>55.517500000000013</v>
      </c>
      <c r="X414">
        <f>0.264*(4.19 * 50)</f>
        <v>55.308000000000007</v>
      </c>
      <c r="Y414">
        <f>0.265*(4.19 * 50)</f>
        <v>55.517500000000013</v>
      </c>
      <c r="Z414">
        <f>0.267*(4.19 * 50)</f>
        <v>55.936500000000009</v>
      </c>
      <c r="AA414">
        <f>0.272*(4.19 * 50)</f>
        <v>56.984000000000009</v>
      </c>
      <c r="AB414">
        <f>0.276*(4.19 * 50)</f>
        <v>57.82200000000001</v>
      </c>
      <c r="AC414">
        <f>0.281*(4.19 * 50)</f>
        <v>58.869500000000016</v>
      </c>
      <c r="AD414">
        <f>0.286*(4.19 * 50)</f>
        <v>59.917000000000002</v>
      </c>
      <c r="AE414">
        <f>0.288*(4.19 * 50)</f>
        <v>60.336000000000006</v>
      </c>
      <c r="AF414">
        <f>0.286*(4.19 * 50)</f>
        <v>59.917000000000002</v>
      </c>
      <c r="AG414">
        <f>0.282*(4.19 * 50)</f>
        <v>59.079000000000001</v>
      </c>
    </row>
    <row r="415" spans="1:33" x14ac:dyDescent="0.3">
      <c r="A415" t="s">
        <v>458</v>
      </c>
      <c r="B415">
        <v>358016.527344</v>
      </c>
      <c r="C415">
        <v>6668848.1015630001</v>
      </c>
      <c r="D415" t="s">
        <v>558</v>
      </c>
      <c r="E415">
        <v>100</v>
      </c>
      <c r="F415">
        <v>95</v>
      </c>
      <c r="G415">
        <v>0.45346062052505959</v>
      </c>
      <c r="H415">
        <f t="shared" si="13"/>
        <v>184.03750000000002</v>
      </c>
      <c r="I415">
        <f t="shared" si="12"/>
        <v>209.50000000000003</v>
      </c>
      <c r="J415">
        <f>0.413*(4.19 * 50)</f>
        <v>86.523500000000013</v>
      </c>
      <c r="K415">
        <f>0.41*(4.19 * 50)</f>
        <v>85.89500000000001</v>
      </c>
      <c r="L415">
        <f>0.408*(4.19 * 50)</f>
        <v>85.475999999999999</v>
      </c>
      <c r="M415">
        <f>0.406*(4.19 * 50)</f>
        <v>85.057000000000016</v>
      </c>
      <c r="N415">
        <f>0.408*(4.19 * 50)</f>
        <v>85.475999999999999</v>
      </c>
      <c r="O415">
        <f>0.413*(4.19 * 50)</f>
        <v>86.523500000000013</v>
      </c>
      <c r="P415">
        <f>0.425*(4.19 * 50)</f>
        <v>89.037500000000009</v>
      </c>
      <c r="Q415">
        <f>0.437*(4.19 * 50)</f>
        <v>91.551500000000019</v>
      </c>
      <c r="R415">
        <f>0.433*(4.19 * 50)</f>
        <v>90.71350000000001</v>
      </c>
      <c r="S415">
        <f>0.424*(4.19 * 50)</f>
        <v>88.828000000000003</v>
      </c>
      <c r="T415">
        <f>0.422*(4.19 * 50)</f>
        <v>88.409000000000006</v>
      </c>
      <c r="U415">
        <f>0.404*(4.19 * 50)</f>
        <v>84.638000000000019</v>
      </c>
      <c r="V415">
        <f>0.399*(4.19 * 50)</f>
        <v>83.59050000000002</v>
      </c>
      <c r="W415">
        <f>0.393*(4.19 * 50)</f>
        <v>82.333500000000015</v>
      </c>
      <c r="X415">
        <f>0.392*(4.19 * 50)</f>
        <v>82.124000000000009</v>
      </c>
      <c r="Y415">
        <f>0.393*(4.19 * 50)</f>
        <v>82.333500000000015</v>
      </c>
      <c r="Z415">
        <f>0.397*(4.19 * 50)</f>
        <v>83.171500000000009</v>
      </c>
      <c r="AA415">
        <f>0.404*(4.19 * 50)</f>
        <v>84.638000000000019</v>
      </c>
      <c r="AB415">
        <f>0.41*(4.19 * 50)</f>
        <v>85.89500000000001</v>
      </c>
      <c r="AC415">
        <f>0.418*(4.19 * 50)</f>
        <v>87.571000000000012</v>
      </c>
      <c r="AD415">
        <f>0.425*(4.19 * 50)</f>
        <v>89.037500000000009</v>
      </c>
      <c r="AE415">
        <f>0.428*(4.19 * 50)</f>
        <v>89.666000000000011</v>
      </c>
      <c r="AF415">
        <f>0.424*(4.19 * 50)</f>
        <v>88.828000000000003</v>
      </c>
      <c r="AG415">
        <f>0.418*(4.19 * 50)</f>
        <v>87.571000000000012</v>
      </c>
    </row>
    <row r="416" spans="1:33" x14ac:dyDescent="0.3">
      <c r="A416" t="s">
        <v>459</v>
      </c>
      <c r="B416">
        <v>363114.5625</v>
      </c>
      <c r="C416">
        <v>6671496.4804689996</v>
      </c>
      <c r="D416" t="s">
        <v>542</v>
      </c>
      <c r="E416">
        <v>100</v>
      </c>
      <c r="F416">
        <v>94.333000183105398</v>
      </c>
      <c r="G416">
        <v>0.45027685051601618</v>
      </c>
      <c r="H416">
        <f t="shared" si="13"/>
        <v>182.7420001831054</v>
      </c>
      <c r="I416">
        <f t="shared" si="12"/>
        <v>209.50000000000003</v>
      </c>
      <c r="J416">
        <f>0.411*(4.19 * 50)</f>
        <v>86.104500000000002</v>
      </c>
      <c r="K416">
        <f>0.407*(4.19 * 50)</f>
        <v>85.266500000000008</v>
      </c>
      <c r="L416">
        <f>0.405*(4.19 * 50)</f>
        <v>84.847500000000011</v>
      </c>
      <c r="M416">
        <f>0.403*(4.19 * 50)</f>
        <v>84.428500000000014</v>
      </c>
      <c r="N416">
        <f>0.405*(4.19 * 50)</f>
        <v>84.847500000000011</v>
      </c>
      <c r="O416">
        <f>0.41*(4.19 * 50)</f>
        <v>85.89500000000001</v>
      </c>
      <c r="P416">
        <f>0.422*(4.19 * 50)</f>
        <v>88.409000000000006</v>
      </c>
      <c r="Q416">
        <f>0.434*(4.19 * 50)</f>
        <v>90.923000000000016</v>
      </c>
      <c r="R416">
        <f>0.43*(4.19 * 50)</f>
        <v>90.085000000000008</v>
      </c>
      <c r="S416">
        <f>0.421*(4.19 * 50)</f>
        <v>88.199500000000015</v>
      </c>
      <c r="T416">
        <f>0.419*(4.19 * 50)</f>
        <v>87.780500000000004</v>
      </c>
      <c r="U416">
        <f>0.402*(4.19 * 50)</f>
        <v>84.219000000000023</v>
      </c>
      <c r="V416">
        <f>0.396*(4.19 * 50)</f>
        <v>82.962000000000018</v>
      </c>
      <c r="W416">
        <f>0.39*(4.19 * 50)</f>
        <v>81.705000000000013</v>
      </c>
      <c r="X416">
        <f>0.389*(4.19 * 50)</f>
        <v>81.495500000000007</v>
      </c>
      <c r="Y416">
        <f>0.39*(4.19 * 50)</f>
        <v>81.705000000000013</v>
      </c>
      <c r="Z416">
        <f>0.394*(4.19 * 50)</f>
        <v>82.543000000000021</v>
      </c>
      <c r="AA416">
        <f>0.402*(4.19 * 50)</f>
        <v>84.219000000000023</v>
      </c>
      <c r="AB416">
        <f>0.407*(4.19 * 50)</f>
        <v>85.266500000000008</v>
      </c>
      <c r="AC416">
        <f>0.415*(4.19 * 50)</f>
        <v>86.94250000000001</v>
      </c>
      <c r="AD416">
        <f>0.422*(4.19 * 50)</f>
        <v>88.409000000000006</v>
      </c>
      <c r="AE416">
        <f>0.425*(4.19 * 50)</f>
        <v>89.037500000000009</v>
      </c>
      <c r="AF416">
        <f>0.421*(4.19 * 50)</f>
        <v>88.199500000000015</v>
      </c>
      <c r="AG416">
        <f>0.415*(4.19 * 50)</f>
        <v>86.94250000000001</v>
      </c>
    </row>
    <row r="417" spans="1:33" x14ac:dyDescent="0.3">
      <c r="A417" t="s">
        <v>460</v>
      </c>
      <c r="B417">
        <v>363113.710938</v>
      </c>
      <c r="C417">
        <v>6671495.71875</v>
      </c>
      <c r="D417" t="s">
        <v>542</v>
      </c>
      <c r="E417">
        <v>100</v>
      </c>
      <c r="F417">
        <v>44.666999816894503</v>
      </c>
      <c r="G417">
        <v>0.2132076363574916</v>
      </c>
      <c r="H417">
        <f t="shared" si="13"/>
        <v>86.566999816894509</v>
      </c>
      <c r="I417">
        <f t="shared" si="12"/>
        <v>209.50000000000003</v>
      </c>
      <c r="J417">
        <f>0.194*(4.19 * 50)</f>
        <v>40.643000000000008</v>
      </c>
      <c r="K417">
        <f>0.193*(4.19 * 50)</f>
        <v>40.433500000000009</v>
      </c>
      <c r="L417">
        <f>0.192*(4.19 * 50)</f>
        <v>40.224000000000004</v>
      </c>
      <c r="M417">
        <f>0.191*(4.19 * 50)</f>
        <v>40.014500000000005</v>
      </c>
      <c r="N417">
        <f>0.192*(4.19 * 50)</f>
        <v>40.224000000000004</v>
      </c>
      <c r="O417">
        <f>0.194*(4.19 * 50)</f>
        <v>40.643000000000008</v>
      </c>
      <c r="P417">
        <f>0.2*(4.19 * 50)</f>
        <v>41.900000000000006</v>
      </c>
      <c r="Q417">
        <f>0.205*(4.19 * 50)</f>
        <v>42.947500000000005</v>
      </c>
      <c r="R417">
        <f>0.204*(4.19 * 50)</f>
        <v>42.738</v>
      </c>
      <c r="S417">
        <f>0.199*(4.19 * 50)</f>
        <v>41.690500000000007</v>
      </c>
      <c r="T417">
        <f>0.198*(4.19 * 50)</f>
        <v>41.481000000000009</v>
      </c>
      <c r="U417">
        <f>0.19*(4.19 * 50)</f>
        <v>39.805000000000007</v>
      </c>
      <c r="V417">
        <f>0.187*(4.19 * 50)</f>
        <v>39.176500000000004</v>
      </c>
      <c r="W417">
        <f>0.185*(4.19 * 50)</f>
        <v>38.757500000000007</v>
      </c>
      <c r="X417">
        <f>0.184*(4.19 * 50)</f>
        <v>38.548000000000002</v>
      </c>
      <c r="Y417">
        <f>0.185*(4.19 * 50)</f>
        <v>38.757500000000007</v>
      </c>
      <c r="Z417">
        <f>0.187*(4.19 * 50)</f>
        <v>39.176500000000004</v>
      </c>
      <c r="AA417">
        <f>0.19*(4.19 * 50)</f>
        <v>39.805000000000007</v>
      </c>
      <c r="AB417">
        <f>0.193*(4.19 * 50)</f>
        <v>40.433500000000009</v>
      </c>
      <c r="AC417">
        <f>0.196*(4.19 * 50)</f>
        <v>41.062000000000005</v>
      </c>
      <c r="AD417">
        <f>0.2*(4.19 * 50)</f>
        <v>41.900000000000006</v>
      </c>
      <c r="AE417">
        <f>0.201*(4.19 * 50)</f>
        <v>42.109500000000011</v>
      </c>
      <c r="AF417">
        <f>0.199*(4.19 * 50)</f>
        <v>41.690500000000007</v>
      </c>
      <c r="AG417">
        <f>0.197*(4.19 * 50)</f>
        <v>41.27150000000001</v>
      </c>
    </row>
    <row r="418" spans="1:33" x14ac:dyDescent="0.3">
      <c r="A418" t="s">
        <v>461</v>
      </c>
      <c r="B418">
        <v>357039.394531</v>
      </c>
      <c r="C418">
        <v>6667784.421875</v>
      </c>
      <c r="D418" t="s">
        <v>540</v>
      </c>
      <c r="E418">
        <v>100</v>
      </c>
      <c r="F418">
        <v>6</v>
      </c>
      <c r="G418">
        <v>2.8639618138424819E-2</v>
      </c>
      <c r="H418">
        <f t="shared" si="13"/>
        <v>11.656500000000001</v>
      </c>
      <c r="I418">
        <f t="shared" si="12"/>
        <v>209.50000000000003</v>
      </c>
      <c r="J418">
        <f>0.026*(4.19 * 50)</f>
        <v>5.4470000000000001</v>
      </c>
      <c r="K418">
        <f>0.026*(4.19 * 50)</f>
        <v>5.4470000000000001</v>
      </c>
      <c r="L418">
        <f>0.026*(4.19 * 50)</f>
        <v>5.4470000000000001</v>
      </c>
      <c r="M418">
        <f>0.026*(4.19 * 50)</f>
        <v>5.4470000000000001</v>
      </c>
      <c r="N418">
        <f>0.026*(4.19 * 50)</f>
        <v>5.4470000000000001</v>
      </c>
      <c r="O418">
        <f>0.026*(4.19 * 50)</f>
        <v>5.4470000000000001</v>
      </c>
      <c r="P418">
        <f>0.027*(4.19 * 50)</f>
        <v>5.6565000000000003</v>
      </c>
      <c r="Q418">
        <f>0.028*(4.19 * 50)</f>
        <v>5.8660000000000005</v>
      </c>
      <c r="R418">
        <f>0.027*(4.19 * 50)</f>
        <v>5.6565000000000003</v>
      </c>
      <c r="S418">
        <f>0.027*(4.19 * 50)</f>
        <v>5.6565000000000003</v>
      </c>
      <c r="T418">
        <f>0.027*(4.19 * 50)</f>
        <v>5.6565000000000003</v>
      </c>
      <c r="U418">
        <f>0.026*(4.19 * 50)</f>
        <v>5.4470000000000001</v>
      </c>
      <c r="V418">
        <f>0.025*(4.19 * 50)</f>
        <v>5.2375000000000007</v>
      </c>
      <c r="W418">
        <f>0.025*(4.19 * 50)</f>
        <v>5.2375000000000007</v>
      </c>
      <c r="X418">
        <f>0.025*(4.19 * 50)</f>
        <v>5.2375000000000007</v>
      </c>
      <c r="Y418">
        <f>0.025*(4.19 * 50)</f>
        <v>5.2375000000000007</v>
      </c>
      <c r="Z418">
        <f>0.025*(4.19 * 50)</f>
        <v>5.2375000000000007</v>
      </c>
      <c r="AA418">
        <f>0.026*(4.19 * 50)</f>
        <v>5.4470000000000001</v>
      </c>
      <c r="AB418">
        <f>0.026*(4.19 * 50)</f>
        <v>5.4470000000000001</v>
      </c>
      <c r="AC418">
        <f>0.026*(4.19 * 50)</f>
        <v>5.4470000000000001</v>
      </c>
      <c r="AD418">
        <f>0.027*(4.19 * 50)</f>
        <v>5.6565000000000003</v>
      </c>
      <c r="AE418">
        <f>0.027*(4.19 * 50)</f>
        <v>5.6565000000000003</v>
      </c>
      <c r="AF418">
        <f>0.027*(4.19 * 50)</f>
        <v>5.6565000000000003</v>
      </c>
      <c r="AG418">
        <f>0.026*(4.19 * 50)</f>
        <v>5.4470000000000001</v>
      </c>
    </row>
    <row r="419" spans="1:33" x14ac:dyDescent="0.3">
      <c r="A419" t="s">
        <v>462</v>
      </c>
      <c r="B419">
        <v>363216.8125</v>
      </c>
      <c r="C419">
        <v>6671740.28125</v>
      </c>
      <c r="D419" t="s">
        <v>564</v>
      </c>
      <c r="E419">
        <v>100</v>
      </c>
      <c r="F419">
        <v>63.666999816894503</v>
      </c>
      <c r="G419">
        <v>0.30389976046250361</v>
      </c>
      <c r="H419">
        <f t="shared" si="13"/>
        <v>123.37449981689451</v>
      </c>
      <c r="I419">
        <f t="shared" si="12"/>
        <v>209.50000000000003</v>
      </c>
      <c r="J419">
        <f>0.277*(4.19 * 50)</f>
        <v>58.031500000000015</v>
      </c>
      <c r="K419">
        <f>0.275*(4.19 * 50)</f>
        <v>57.612500000000011</v>
      </c>
      <c r="L419">
        <f>0.273*(4.19 * 50)</f>
        <v>57.193500000000014</v>
      </c>
      <c r="M419">
        <f>0.272*(4.19 * 50)</f>
        <v>56.984000000000009</v>
      </c>
      <c r="N419">
        <f>0.273*(4.19 * 50)</f>
        <v>57.193500000000014</v>
      </c>
      <c r="O419">
        <f>0.277*(4.19 * 50)</f>
        <v>58.031500000000015</v>
      </c>
      <c r="P419">
        <f>0.285*(4.19 * 50)</f>
        <v>59.707500000000003</v>
      </c>
      <c r="Q419">
        <f>0.293*(4.19 * 50)</f>
        <v>61.383500000000005</v>
      </c>
      <c r="R419">
        <f>0.29*(4.19 * 50)</f>
        <v>60.755000000000003</v>
      </c>
      <c r="S419">
        <f>0.284*(4.19 * 50)</f>
        <v>59.498000000000005</v>
      </c>
      <c r="T419">
        <f>0.283*(4.19 * 50)</f>
        <v>59.288499999999999</v>
      </c>
      <c r="U419">
        <f>0.271*(4.19 * 50)</f>
        <v>56.77450000000001</v>
      </c>
      <c r="V419">
        <f>0.267*(4.19 * 50)</f>
        <v>55.936500000000009</v>
      </c>
      <c r="W419">
        <f>0.264*(4.19 * 50)</f>
        <v>55.308000000000007</v>
      </c>
      <c r="X419">
        <f>0.263*(4.19 * 50)</f>
        <v>55.098500000000008</v>
      </c>
      <c r="Y419">
        <f>0.263*(4.19 * 50)</f>
        <v>55.098500000000008</v>
      </c>
      <c r="Z419">
        <f>0.266*(4.19 * 50)</f>
        <v>55.727000000000011</v>
      </c>
      <c r="AA419">
        <f>0.271*(4.19 * 50)</f>
        <v>56.77450000000001</v>
      </c>
      <c r="AB419">
        <f>0.275*(4.19 * 50)</f>
        <v>57.612500000000011</v>
      </c>
      <c r="AC419">
        <f>0.28*(4.19 * 50)</f>
        <v>58.660000000000011</v>
      </c>
      <c r="AD419">
        <f>0.285*(4.19 * 50)</f>
        <v>59.707500000000003</v>
      </c>
      <c r="AE419">
        <f>0.287*(4.19 * 50)</f>
        <v>60.1265</v>
      </c>
      <c r="AF419">
        <f>0.284*(4.19 * 50)</f>
        <v>59.498000000000005</v>
      </c>
      <c r="AG419">
        <f>0.28*(4.19 * 50)</f>
        <v>58.660000000000011</v>
      </c>
    </row>
    <row r="420" spans="1:33" x14ac:dyDescent="0.3">
      <c r="A420" t="s">
        <v>463</v>
      </c>
      <c r="B420">
        <v>362920.144531</v>
      </c>
      <c r="C420">
        <v>6671149.328125</v>
      </c>
      <c r="D420" t="s">
        <v>570</v>
      </c>
      <c r="E420">
        <v>100</v>
      </c>
      <c r="F420">
        <v>108.66699981689401</v>
      </c>
      <c r="G420">
        <v>0.51869689650068729</v>
      </c>
      <c r="H420">
        <f t="shared" si="13"/>
        <v>210.69349981689402</v>
      </c>
      <c r="I420">
        <f t="shared" si="12"/>
        <v>209.50000000000003</v>
      </c>
      <c r="J420">
        <f>0.473*(4.19 * 50)</f>
        <v>99.093500000000006</v>
      </c>
      <c r="K420">
        <f>0.469*(4.19 * 50)</f>
        <v>98.255500000000012</v>
      </c>
      <c r="L420">
        <f>0.466*(4.19 * 50)</f>
        <v>97.627000000000024</v>
      </c>
      <c r="M420">
        <f>0.464*(4.19 * 50)</f>
        <v>97.208000000000013</v>
      </c>
      <c r="N420">
        <f>0.466*(4.19 * 50)</f>
        <v>97.627000000000024</v>
      </c>
      <c r="O420">
        <f>0.472*(4.19 * 50)</f>
        <v>98.884000000000015</v>
      </c>
      <c r="P420">
        <f>0.487*(4.19 * 50)</f>
        <v>102.02650000000001</v>
      </c>
      <c r="Q420">
        <f>0.499*(4.19 * 50)</f>
        <v>104.54050000000001</v>
      </c>
      <c r="R420">
        <f>0.495*(4.19 * 50)</f>
        <v>103.70250000000001</v>
      </c>
      <c r="S420">
        <f>0.485*(4.19 * 50)</f>
        <v>101.60750000000002</v>
      </c>
      <c r="T420">
        <f>0.483*(4.19 * 50)</f>
        <v>101.1885</v>
      </c>
      <c r="U420">
        <f>0.463*(4.19 * 50)</f>
        <v>96.998500000000021</v>
      </c>
      <c r="V420">
        <f>0.456*(4.19 * 50)</f>
        <v>95.532000000000011</v>
      </c>
      <c r="W420">
        <f>0.45*(4.19 * 50)</f>
        <v>94.27500000000002</v>
      </c>
      <c r="X420">
        <f>0.448*(4.19 * 50)</f>
        <v>93.856000000000009</v>
      </c>
      <c r="Y420">
        <f>0.449*(4.19 * 50)</f>
        <v>94.065500000000014</v>
      </c>
      <c r="Z420">
        <f>0.454*(4.19 * 50)</f>
        <v>95.113000000000014</v>
      </c>
      <c r="AA420">
        <f>0.463*(4.19 * 50)</f>
        <v>96.998500000000021</v>
      </c>
      <c r="AB420">
        <f>0.469*(4.19 * 50)</f>
        <v>98.255500000000012</v>
      </c>
      <c r="AC420">
        <f>0.478*(4.19 * 50)</f>
        <v>100.14100000000001</v>
      </c>
      <c r="AD420">
        <f>0.486*(4.19 * 50)</f>
        <v>101.81700000000001</v>
      </c>
      <c r="AE420">
        <f>0.489*(4.19 * 50)</f>
        <v>102.44550000000001</v>
      </c>
      <c r="AF420">
        <f>0.485*(4.19 * 50)</f>
        <v>101.60750000000002</v>
      </c>
      <c r="AG420">
        <f>0.478*(4.19 * 50)</f>
        <v>100.14100000000001</v>
      </c>
    </row>
    <row r="421" spans="1:33" x14ac:dyDescent="0.3">
      <c r="A421" t="s">
        <v>464</v>
      </c>
      <c r="B421">
        <v>365973.277344</v>
      </c>
      <c r="C421">
        <v>6670138.0078130001</v>
      </c>
      <c r="D421" t="s">
        <v>541</v>
      </c>
      <c r="E421">
        <v>100</v>
      </c>
      <c r="F421">
        <v>36.666999816894503</v>
      </c>
      <c r="G421">
        <v>0.1750214788395919</v>
      </c>
      <c r="H421">
        <f t="shared" si="13"/>
        <v>71.024999816894507</v>
      </c>
      <c r="I421">
        <f t="shared" si="12"/>
        <v>209.50000000000003</v>
      </c>
      <c r="J421">
        <f>0.16*(4.19 * 50)</f>
        <v>33.520000000000003</v>
      </c>
      <c r="K421">
        <f>0.158*(4.19 * 50)</f>
        <v>33.101000000000006</v>
      </c>
      <c r="L421">
        <f>0.157*(4.19 * 50)</f>
        <v>32.891500000000008</v>
      </c>
      <c r="M421">
        <f>0.157*(4.19 * 50)</f>
        <v>32.891500000000008</v>
      </c>
      <c r="N421">
        <f>0.157*(4.19 * 50)</f>
        <v>32.891500000000008</v>
      </c>
      <c r="O421">
        <f>0.159*(4.19 * 50)</f>
        <v>33.310500000000005</v>
      </c>
      <c r="P421">
        <f>0.164*(4.19 * 50)</f>
        <v>34.358000000000004</v>
      </c>
      <c r="Q421">
        <f>0.169*(4.19 * 50)</f>
        <v>35.405500000000011</v>
      </c>
      <c r="R421">
        <f>0.167*(4.19 * 50)</f>
        <v>34.986500000000007</v>
      </c>
      <c r="S421">
        <f>0.164*(4.19 * 50)</f>
        <v>34.358000000000004</v>
      </c>
      <c r="T421">
        <f>0.163*(4.19 * 50)</f>
        <v>34.148500000000006</v>
      </c>
      <c r="U421">
        <f>0.156*(4.19 * 50)</f>
        <v>32.682000000000002</v>
      </c>
      <c r="V421">
        <f>0.154*(4.19 * 50)</f>
        <v>32.263000000000005</v>
      </c>
      <c r="W421">
        <f>0.152*(4.19 * 50)</f>
        <v>31.844000000000005</v>
      </c>
      <c r="X421">
        <f>0.151*(4.19 * 50)</f>
        <v>31.634500000000003</v>
      </c>
      <c r="Y421">
        <f>0.152*(4.19 * 50)</f>
        <v>31.844000000000005</v>
      </c>
      <c r="Z421">
        <f>0.153*(4.19 * 50)</f>
        <v>32.053500000000007</v>
      </c>
      <c r="AA421">
        <f>0.156*(4.19 * 50)</f>
        <v>32.682000000000002</v>
      </c>
      <c r="AB421">
        <f>0.158*(4.19 * 50)</f>
        <v>33.101000000000006</v>
      </c>
      <c r="AC421">
        <f>0.161*(4.19 * 50)</f>
        <v>33.729500000000009</v>
      </c>
      <c r="AD421">
        <f>0.164*(4.19 * 50)</f>
        <v>34.358000000000004</v>
      </c>
      <c r="AE421">
        <f>0.165*(4.19 * 50)</f>
        <v>34.56750000000001</v>
      </c>
      <c r="AF421">
        <f>0.164*(4.19 * 50)</f>
        <v>34.358000000000004</v>
      </c>
      <c r="AG421">
        <f>0.161*(4.19 * 50)</f>
        <v>33.729500000000009</v>
      </c>
    </row>
    <row r="422" spans="1:33" x14ac:dyDescent="0.3">
      <c r="A422" t="s">
        <v>465</v>
      </c>
      <c r="B422">
        <v>362067.828125</v>
      </c>
      <c r="C422">
        <v>6671879.1953130001</v>
      </c>
      <c r="D422" t="s">
        <v>560</v>
      </c>
      <c r="E422">
        <v>100</v>
      </c>
      <c r="F422">
        <v>33.666999816894503</v>
      </c>
      <c r="G422">
        <v>0.1607016697703795</v>
      </c>
      <c r="H422">
        <f t="shared" si="13"/>
        <v>65.301499816894506</v>
      </c>
      <c r="I422">
        <f t="shared" si="12"/>
        <v>209.50000000000003</v>
      </c>
      <c r="J422">
        <f>0.147*(4.19 * 50)</f>
        <v>30.796500000000002</v>
      </c>
      <c r="K422">
        <f>0.145*(4.19 * 50)</f>
        <v>30.377500000000001</v>
      </c>
      <c r="L422">
        <f>0.144*(4.19 * 50)</f>
        <v>30.168000000000003</v>
      </c>
      <c r="M422">
        <f>0.144*(4.19 * 50)</f>
        <v>30.168000000000003</v>
      </c>
      <c r="N422">
        <f>0.144*(4.19 * 50)</f>
        <v>30.168000000000003</v>
      </c>
      <c r="O422">
        <f>0.146*(4.19 * 50)</f>
        <v>30.587000000000003</v>
      </c>
      <c r="P422">
        <f>0.151*(4.19 * 50)</f>
        <v>31.634500000000003</v>
      </c>
      <c r="Q422">
        <f>0.155*(4.19 * 50)</f>
        <v>32.472500000000004</v>
      </c>
      <c r="R422">
        <f>0.153*(4.19 * 50)</f>
        <v>32.053500000000007</v>
      </c>
      <c r="S422">
        <f>0.15*(4.19 * 50)</f>
        <v>31.425000000000004</v>
      </c>
      <c r="T422">
        <f>0.15*(4.19 * 50)</f>
        <v>31.425000000000004</v>
      </c>
      <c r="U422">
        <f>0.143*(4.19 * 50)</f>
        <v>29.958500000000001</v>
      </c>
      <c r="V422">
        <f>0.141*(4.19 * 50)</f>
        <v>29.5395</v>
      </c>
      <c r="W422">
        <f>0.139*(4.19 * 50)</f>
        <v>29.120500000000007</v>
      </c>
      <c r="X422">
        <f>0.139*(4.19 * 50)</f>
        <v>29.120500000000007</v>
      </c>
      <c r="Y422">
        <f>0.139*(4.19 * 50)</f>
        <v>29.120500000000007</v>
      </c>
      <c r="Z422">
        <f>0.141*(4.19 * 50)</f>
        <v>29.5395</v>
      </c>
      <c r="AA422">
        <f>0.143*(4.19 * 50)</f>
        <v>29.958500000000001</v>
      </c>
      <c r="AB422">
        <f>0.145*(4.19 * 50)</f>
        <v>30.377500000000001</v>
      </c>
      <c r="AC422">
        <f>0.148*(4.19 * 50)</f>
        <v>31.006000000000004</v>
      </c>
      <c r="AD422">
        <f>0.15*(4.19 * 50)</f>
        <v>31.425000000000004</v>
      </c>
      <c r="AE422">
        <f>0.152*(4.19 * 50)</f>
        <v>31.844000000000005</v>
      </c>
      <c r="AF422">
        <f>0.15*(4.19 * 50)</f>
        <v>31.425000000000004</v>
      </c>
      <c r="AG422">
        <f>0.148*(4.19 * 50)</f>
        <v>31.006000000000004</v>
      </c>
    </row>
    <row r="423" spans="1:33" x14ac:dyDescent="0.3">
      <c r="A423" t="s">
        <v>466</v>
      </c>
      <c r="B423">
        <v>356957.964844</v>
      </c>
      <c r="C423">
        <v>6665836.2617189996</v>
      </c>
      <c r="D423" t="s">
        <v>540</v>
      </c>
      <c r="E423">
        <v>100</v>
      </c>
      <c r="F423">
        <v>8</v>
      </c>
      <c r="G423">
        <v>3.8186157517899763E-2</v>
      </c>
      <c r="H423">
        <f t="shared" si="13"/>
        <v>15.542000000000002</v>
      </c>
      <c r="I423">
        <f t="shared" si="12"/>
        <v>209.50000000000003</v>
      </c>
      <c r="J423">
        <f>0.035*(4.19 * 50)</f>
        <v>7.3325000000000014</v>
      </c>
      <c r="K423">
        <f>0.035*(4.19 * 50)</f>
        <v>7.3325000000000014</v>
      </c>
      <c r="L423">
        <f>0.034*(4.19 * 50)</f>
        <v>7.1230000000000011</v>
      </c>
      <c r="M423">
        <f>0.034*(4.19 * 50)</f>
        <v>7.1230000000000011</v>
      </c>
      <c r="N423">
        <f>0.034*(4.19 * 50)</f>
        <v>7.1230000000000011</v>
      </c>
      <c r="O423">
        <f>0.035*(4.19 * 50)</f>
        <v>7.3325000000000014</v>
      </c>
      <c r="P423">
        <f>0.036*(4.19 * 50)</f>
        <v>7.5420000000000007</v>
      </c>
      <c r="Q423">
        <f>0.037*(4.19 * 50)</f>
        <v>7.7515000000000009</v>
      </c>
      <c r="R423">
        <f>0.036*(4.19 * 50)</f>
        <v>7.5420000000000007</v>
      </c>
      <c r="S423">
        <f>0.036*(4.19 * 50)</f>
        <v>7.5420000000000007</v>
      </c>
      <c r="T423">
        <f>0.036*(4.19 * 50)</f>
        <v>7.5420000000000007</v>
      </c>
      <c r="U423">
        <f>0.034*(4.19 * 50)</f>
        <v>7.1230000000000011</v>
      </c>
      <c r="V423">
        <f>0.034*(4.19 * 50)</f>
        <v>7.1230000000000011</v>
      </c>
      <c r="W423">
        <f>0.033*(4.19 * 50)</f>
        <v>6.9135000000000009</v>
      </c>
      <c r="X423">
        <f>0.033*(4.19 * 50)</f>
        <v>6.9135000000000009</v>
      </c>
      <c r="Y423">
        <f>0.033*(4.19 * 50)</f>
        <v>6.9135000000000009</v>
      </c>
      <c r="Z423">
        <f>0.033*(4.19 * 50)</f>
        <v>6.9135000000000009</v>
      </c>
      <c r="AA423">
        <f>0.034*(4.19 * 50)</f>
        <v>7.1230000000000011</v>
      </c>
      <c r="AB423">
        <f>0.035*(4.19 * 50)</f>
        <v>7.3325000000000014</v>
      </c>
      <c r="AC423">
        <f>0.035*(4.19 * 50)</f>
        <v>7.3325000000000014</v>
      </c>
      <c r="AD423">
        <f>0.036*(4.19 * 50)</f>
        <v>7.5420000000000007</v>
      </c>
      <c r="AE423">
        <f>0.036*(4.19 * 50)</f>
        <v>7.5420000000000007</v>
      </c>
      <c r="AF423">
        <f>0.036*(4.19 * 50)</f>
        <v>7.5420000000000007</v>
      </c>
      <c r="AG423">
        <f>0.035*(4.19 * 50)</f>
        <v>7.3325000000000014</v>
      </c>
    </row>
    <row r="424" spans="1:33" x14ac:dyDescent="0.3">
      <c r="A424" t="s">
        <v>467</v>
      </c>
      <c r="B424">
        <v>363202.785156</v>
      </c>
      <c r="C424">
        <v>6671336.8359380001</v>
      </c>
      <c r="D424" t="s">
        <v>542</v>
      </c>
      <c r="E424">
        <v>100</v>
      </c>
      <c r="F424">
        <v>76.333000183105398</v>
      </c>
      <c r="G424">
        <v>0.36435799610074171</v>
      </c>
      <c r="H424">
        <f t="shared" si="13"/>
        <v>147.98200018310541</v>
      </c>
      <c r="I424">
        <f t="shared" si="12"/>
        <v>209.50000000000003</v>
      </c>
      <c r="J424">
        <f>0.332*(4.19 * 50)</f>
        <v>69.554000000000016</v>
      </c>
      <c r="K424">
        <f>0.33*(4.19 * 50)</f>
        <v>69.135000000000019</v>
      </c>
      <c r="L424">
        <f>0.328*(4.19 * 50)</f>
        <v>68.716000000000008</v>
      </c>
      <c r="M424">
        <f>0.326*(4.19 * 50)</f>
        <v>68.297000000000011</v>
      </c>
      <c r="N424">
        <f>0.328*(4.19 * 50)</f>
        <v>68.716000000000008</v>
      </c>
      <c r="O424">
        <f>0.332*(4.19 * 50)</f>
        <v>69.554000000000016</v>
      </c>
      <c r="P424">
        <f>0.342*(4.19 * 50)</f>
        <v>71.649000000000015</v>
      </c>
      <c r="Q424">
        <f>0.351*(4.19 * 50)</f>
        <v>73.534500000000008</v>
      </c>
      <c r="R424">
        <f>0.348*(4.19 * 50)</f>
        <v>72.906000000000006</v>
      </c>
      <c r="S424">
        <f>0.341*(4.19 * 50)</f>
        <v>71.43950000000001</v>
      </c>
      <c r="T424">
        <f>0.339*(4.19 * 50)</f>
        <v>71.020500000000013</v>
      </c>
      <c r="U424">
        <f>0.325*(4.19 * 50)</f>
        <v>68.087500000000006</v>
      </c>
      <c r="V424">
        <f>0.32*(4.19 * 50)</f>
        <v>67.040000000000006</v>
      </c>
      <c r="W424">
        <f>0.316*(4.19 * 50)</f>
        <v>66.202000000000012</v>
      </c>
      <c r="X424">
        <f>0.315*(4.19 * 50)</f>
        <v>65.992500000000007</v>
      </c>
      <c r="Y424">
        <f>0.316*(4.19 * 50)</f>
        <v>66.202000000000012</v>
      </c>
      <c r="Z424">
        <f>0.319*(4.19 * 50)</f>
        <v>66.830500000000015</v>
      </c>
      <c r="AA424">
        <f>0.325*(4.19 * 50)</f>
        <v>68.087500000000006</v>
      </c>
      <c r="AB424">
        <f>0.33*(4.19 * 50)</f>
        <v>69.135000000000019</v>
      </c>
      <c r="AC424">
        <f>0.336*(4.19 * 50)</f>
        <v>70.39200000000001</v>
      </c>
      <c r="AD424">
        <f>0.341*(4.19 * 50)</f>
        <v>71.43950000000001</v>
      </c>
      <c r="AE424">
        <f>0.344*(4.19 * 50)</f>
        <v>72.067999999999998</v>
      </c>
      <c r="AF424">
        <f>0.341*(4.19 * 50)</f>
        <v>71.43950000000001</v>
      </c>
      <c r="AG424">
        <f>0.336*(4.19 * 50)</f>
        <v>70.39200000000001</v>
      </c>
    </row>
    <row r="425" spans="1:33" x14ac:dyDescent="0.3">
      <c r="A425" t="s">
        <v>468</v>
      </c>
      <c r="B425">
        <v>363776.128906</v>
      </c>
      <c r="C425">
        <v>6671143.0351560004</v>
      </c>
      <c r="D425" t="s">
        <v>540</v>
      </c>
      <c r="E425">
        <v>100</v>
      </c>
      <c r="F425">
        <v>57.333000183105398</v>
      </c>
      <c r="G425">
        <v>0.27366587199572978</v>
      </c>
      <c r="H425">
        <f t="shared" si="13"/>
        <v>111.17450018310541</v>
      </c>
      <c r="I425">
        <f t="shared" si="12"/>
        <v>209.50000000000003</v>
      </c>
      <c r="J425">
        <f>0.25*(4.19 * 50)</f>
        <v>52.375000000000007</v>
      </c>
      <c r="K425">
        <f>0.248*(4.19 * 50)</f>
        <v>51.95600000000001</v>
      </c>
      <c r="L425">
        <f>0.246*(4.19 * 50)</f>
        <v>51.537000000000006</v>
      </c>
      <c r="M425">
        <f>0.245*(4.19 * 50)</f>
        <v>51.327500000000008</v>
      </c>
      <c r="N425">
        <f>0.246*(4.19 * 50)</f>
        <v>51.537000000000006</v>
      </c>
      <c r="O425">
        <f>0.249*(4.19 * 50)</f>
        <v>52.165500000000009</v>
      </c>
      <c r="P425">
        <f>0.257*(4.19 * 50)</f>
        <v>53.841500000000011</v>
      </c>
      <c r="Q425">
        <f>0.263*(4.19 * 50)</f>
        <v>55.098500000000008</v>
      </c>
      <c r="R425">
        <f>0.261*(4.19 * 50)</f>
        <v>54.679500000000012</v>
      </c>
      <c r="S425">
        <f>0.256*(4.19 * 50)</f>
        <v>53.632000000000005</v>
      </c>
      <c r="T425">
        <f>0.255*(4.19 * 50)</f>
        <v>53.422500000000007</v>
      </c>
      <c r="U425">
        <f>0.244*(4.19 * 50)</f>
        <v>51.118000000000009</v>
      </c>
      <c r="V425">
        <f>0.241*(4.19 * 50)</f>
        <v>50.489500000000007</v>
      </c>
      <c r="W425">
        <f>0.237*(4.19 * 50)</f>
        <v>49.651500000000006</v>
      </c>
      <c r="X425">
        <f>0.237*(4.19 * 50)</f>
        <v>49.651500000000006</v>
      </c>
      <c r="Y425">
        <f>0.237*(4.19 * 50)</f>
        <v>49.651500000000006</v>
      </c>
      <c r="Z425">
        <f>0.24*(4.19 * 50)</f>
        <v>50.280000000000008</v>
      </c>
      <c r="AA425">
        <f>0.244*(4.19 * 50)</f>
        <v>51.118000000000009</v>
      </c>
      <c r="AB425">
        <f>0.248*(4.19 * 50)</f>
        <v>51.95600000000001</v>
      </c>
      <c r="AC425">
        <f>0.252*(4.19 * 50)</f>
        <v>52.794000000000004</v>
      </c>
      <c r="AD425">
        <f>0.256*(4.19 * 50)</f>
        <v>53.632000000000005</v>
      </c>
      <c r="AE425">
        <f>0.258*(4.19 * 50)</f>
        <v>54.051000000000009</v>
      </c>
      <c r="AF425">
        <f>0.256*(4.19 * 50)</f>
        <v>53.632000000000005</v>
      </c>
      <c r="AG425">
        <f>0.252*(4.19 * 50)</f>
        <v>52.794000000000004</v>
      </c>
    </row>
    <row r="426" spans="1:33" x14ac:dyDescent="0.3">
      <c r="A426" t="s">
        <v>469</v>
      </c>
      <c r="B426">
        <v>363781.097656</v>
      </c>
      <c r="C426">
        <v>6671142.6210939996</v>
      </c>
      <c r="D426" t="s">
        <v>541</v>
      </c>
      <c r="E426">
        <v>100</v>
      </c>
      <c r="F426">
        <v>146.66700744628901</v>
      </c>
      <c r="G426">
        <v>0.7000811811278711</v>
      </c>
      <c r="H426">
        <f t="shared" si="13"/>
        <v>284.30850744628901</v>
      </c>
      <c r="I426">
        <f t="shared" si="12"/>
        <v>209.50000000000003</v>
      </c>
      <c r="J426">
        <f>0.638*(4.19 * 50)</f>
        <v>133.66100000000003</v>
      </c>
      <c r="K426">
        <f>0.633*(4.19 * 50)</f>
        <v>132.61350000000002</v>
      </c>
      <c r="L426">
        <f>0.629*(4.19 * 50)</f>
        <v>131.77550000000002</v>
      </c>
      <c r="M426">
        <f>0.627*(4.19 * 50)</f>
        <v>131.35650000000001</v>
      </c>
      <c r="N426">
        <f>0.629*(4.19 * 50)</f>
        <v>131.77550000000002</v>
      </c>
      <c r="O426">
        <f>0.638*(4.19 * 50)</f>
        <v>133.66100000000003</v>
      </c>
      <c r="P426">
        <f>0.657*(4.19 * 50)</f>
        <v>137.64150000000004</v>
      </c>
      <c r="Q426">
        <f>0.674*(4.19 * 50)</f>
        <v>141.20300000000003</v>
      </c>
      <c r="R426">
        <f>0.668*(4.19 * 50)</f>
        <v>139.94600000000003</v>
      </c>
      <c r="S426">
        <f>0.654*(4.19 * 50)</f>
        <v>137.01300000000003</v>
      </c>
      <c r="T426">
        <f>0.652*(4.19 * 50)</f>
        <v>136.59400000000002</v>
      </c>
      <c r="U426">
        <f>0.624*(4.19 * 50)</f>
        <v>130.72800000000001</v>
      </c>
      <c r="V426">
        <f>0.615*(4.19 * 50)</f>
        <v>128.84250000000003</v>
      </c>
      <c r="W426">
        <f>0.607*(4.19 * 50)</f>
        <v>127.16650000000001</v>
      </c>
      <c r="X426">
        <f>0.605*(4.19 * 50)</f>
        <v>126.74750000000002</v>
      </c>
      <c r="Y426">
        <f>0.606*(4.19 * 50)</f>
        <v>126.95700000000001</v>
      </c>
      <c r="Z426">
        <f>0.613*(4.19 * 50)</f>
        <v>128.42350000000002</v>
      </c>
      <c r="AA426">
        <f>0.624*(4.19 * 50)</f>
        <v>130.72800000000001</v>
      </c>
      <c r="AB426">
        <f>0.633*(4.19 * 50)</f>
        <v>132.61350000000002</v>
      </c>
      <c r="AC426">
        <f>0.645*(4.19 * 50)</f>
        <v>135.12750000000003</v>
      </c>
      <c r="AD426">
        <f>0.656*(4.19 * 50)</f>
        <v>137.43200000000002</v>
      </c>
      <c r="AE426">
        <f>0.66*(4.19 * 50)</f>
        <v>138.27000000000004</v>
      </c>
      <c r="AF426">
        <f>0.654*(4.19 * 50)</f>
        <v>137.01300000000003</v>
      </c>
      <c r="AG426">
        <f>0.645*(4.19 * 50)</f>
        <v>135.12750000000003</v>
      </c>
    </row>
    <row r="427" spans="1:33" x14ac:dyDescent="0.3">
      <c r="A427" t="s">
        <v>470</v>
      </c>
      <c r="B427">
        <v>357083.542969</v>
      </c>
      <c r="C427">
        <v>6668455.2773439996</v>
      </c>
      <c r="D427" t="s">
        <v>540</v>
      </c>
      <c r="E427">
        <v>100</v>
      </c>
      <c r="F427">
        <v>5</v>
      </c>
      <c r="G427">
        <v>2.386634844868735E-2</v>
      </c>
      <c r="H427">
        <f t="shared" si="13"/>
        <v>9.609</v>
      </c>
      <c r="I427">
        <f t="shared" si="12"/>
        <v>209.50000000000003</v>
      </c>
      <c r="J427">
        <f>0.022*(4.19 * 50)</f>
        <v>4.609</v>
      </c>
      <c r="K427">
        <f>0.022*(4.19 * 50)</f>
        <v>4.609</v>
      </c>
      <c r="L427">
        <f>0.021*(4.19 * 50)</f>
        <v>4.3995000000000006</v>
      </c>
      <c r="M427">
        <f>0.021*(4.19 * 50)</f>
        <v>4.3995000000000006</v>
      </c>
      <c r="N427">
        <f>0.021*(4.19 * 50)</f>
        <v>4.3995000000000006</v>
      </c>
      <c r="O427">
        <f>0.022*(4.19 * 50)</f>
        <v>4.609</v>
      </c>
      <c r="P427">
        <f>0.022*(4.19 * 50)</f>
        <v>4.609</v>
      </c>
      <c r="Q427">
        <f>0.023*(4.19 * 50)</f>
        <v>4.8185000000000002</v>
      </c>
      <c r="R427">
        <f>0.023*(4.19 * 50)</f>
        <v>4.8185000000000002</v>
      </c>
      <c r="S427">
        <f>0.022*(4.19 * 50)</f>
        <v>4.609</v>
      </c>
      <c r="T427">
        <f>0.022*(4.19 * 50)</f>
        <v>4.609</v>
      </c>
      <c r="U427">
        <f>0.021*(4.19 * 50)</f>
        <v>4.3995000000000006</v>
      </c>
      <c r="V427">
        <f>0.021*(4.19 * 50)</f>
        <v>4.3995000000000006</v>
      </c>
      <c r="W427">
        <f>0.021*(4.19 * 50)</f>
        <v>4.3995000000000006</v>
      </c>
      <c r="X427">
        <f>0.021*(4.19 * 50)</f>
        <v>4.3995000000000006</v>
      </c>
      <c r="Y427">
        <f>0.021*(4.19 * 50)</f>
        <v>4.3995000000000006</v>
      </c>
      <c r="Z427">
        <f>0.021*(4.19 * 50)</f>
        <v>4.3995000000000006</v>
      </c>
      <c r="AA427">
        <f>0.021*(4.19 * 50)</f>
        <v>4.3995000000000006</v>
      </c>
      <c r="AB427">
        <f>0.022*(4.19 * 50)</f>
        <v>4.609</v>
      </c>
      <c r="AC427">
        <f>0.022*(4.19 * 50)</f>
        <v>4.609</v>
      </c>
      <c r="AD427">
        <f>0.022*(4.19 * 50)</f>
        <v>4.609</v>
      </c>
      <c r="AE427">
        <f>0.023*(4.19 * 50)</f>
        <v>4.8185000000000002</v>
      </c>
      <c r="AF427">
        <f>0.022*(4.19 * 50)</f>
        <v>4.609</v>
      </c>
      <c r="AG427">
        <f>0.022*(4.19 * 50)</f>
        <v>4.609</v>
      </c>
    </row>
    <row r="428" spans="1:33" x14ac:dyDescent="0.3">
      <c r="A428" t="s">
        <v>471</v>
      </c>
      <c r="B428">
        <v>357072.328125</v>
      </c>
      <c r="C428">
        <v>6668481.9335939996</v>
      </c>
      <c r="D428" t="s">
        <v>540</v>
      </c>
      <c r="E428">
        <v>100</v>
      </c>
      <c r="F428">
        <v>7</v>
      </c>
      <c r="G428">
        <v>3.3412887828162277E-2</v>
      </c>
      <c r="H428">
        <f t="shared" si="13"/>
        <v>13.494500000000002</v>
      </c>
      <c r="I428">
        <f t="shared" si="12"/>
        <v>209.50000000000003</v>
      </c>
      <c r="J428">
        <f>0.03*(4.19 * 50)</f>
        <v>6.285000000000001</v>
      </c>
      <c r="K428">
        <f>0.03*(4.19 * 50)</f>
        <v>6.285000000000001</v>
      </c>
      <c r="L428">
        <f>0.03*(4.19 * 50)</f>
        <v>6.285000000000001</v>
      </c>
      <c r="M428">
        <f>0.03*(4.19 * 50)</f>
        <v>6.285000000000001</v>
      </c>
      <c r="N428">
        <f>0.03*(4.19 * 50)</f>
        <v>6.285000000000001</v>
      </c>
      <c r="O428">
        <f>0.03*(4.19 * 50)</f>
        <v>6.285000000000001</v>
      </c>
      <c r="P428">
        <f>0.031*(4.19 * 50)</f>
        <v>6.4945000000000013</v>
      </c>
      <c r="Q428">
        <f>0.032*(4.19 * 50)</f>
        <v>6.7040000000000006</v>
      </c>
      <c r="R428">
        <f>0.032*(4.19 * 50)</f>
        <v>6.7040000000000006</v>
      </c>
      <c r="S428">
        <f>0.031*(4.19 * 50)</f>
        <v>6.4945000000000013</v>
      </c>
      <c r="T428">
        <f>0.031*(4.19 * 50)</f>
        <v>6.4945000000000013</v>
      </c>
      <c r="U428">
        <f>0.03*(4.19 * 50)</f>
        <v>6.285000000000001</v>
      </c>
      <c r="V428">
        <f>0.029*(4.19 * 50)</f>
        <v>6.0755000000000008</v>
      </c>
      <c r="W428">
        <f>0.029*(4.19 * 50)</f>
        <v>6.0755000000000008</v>
      </c>
      <c r="X428">
        <f>0.029*(4.19 * 50)</f>
        <v>6.0755000000000008</v>
      </c>
      <c r="Y428">
        <f>0.029*(4.19 * 50)</f>
        <v>6.0755000000000008</v>
      </c>
      <c r="Z428">
        <f>0.029*(4.19 * 50)</f>
        <v>6.0755000000000008</v>
      </c>
      <c r="AA428">
        <f>0.03*(4.19 * 50)</f>
        <v>6.285000000000001</v>
      </c>
      <c r="AB428">
        <f>0.03*(4.19 * 50)</f>
        <v>6.285000000000001</v>
      </c>
      <c r="AC428">
        <f>0.031*(4.19 * 50)</f>
        <v>6.4945000000000013</v>
      </c>
      <c r="AD428">
        <f>0.031*(4.19 * 50)</f>
        <v>6.4945000000000013</v>
      </c>
      <c r="AE428">
        <f>0.032*(4.19 * 50)</f>
        <v>6.7040000000000006</v>
      </c>
      <c r="AF428">
        <f>0.031*(4.19 * 50)</f>
        <v>6.4945000000000013</v>
      </c>
      <c r="AG428">
        <f>0.031*(4.19 * 50)</f>
        <v>6.4945000000000013</v>
      </c>
    </row>
    <row r="429" spans="1:33" x14ac:dyDescent="0.3">
      <c r="A429" t="s">
        <v>472</v>
      </c>
      <c r="B429">
        <v>357029.796875</v>
      </c>
      <c r="C429">
        <v>6668532.9335939996</v>
      </c>
      <c r="D429" t="s">
        <v>540</v>
      </c>
      <c r="E429">
        <v>100</v>
      </c>
      <c r="F429">
        <v>5</v>
      </c>
      <c r="G429">
        <v>2.386634844868735E-2</v>
      </c>
      <c r="H429">
        <f t="shared" si="13"/>
        <v>9.609</v>
      </c>
      <c r="I429">
        <f t="shared" si="12"/>
        <v>209.50000000000003</v>
      </c>
      <c r="J429">
        <f>0.022*(4.19 * 50)</f>
        <v>4.609</v>
      </c>
      <c r="K429">
        <f>0.022*(4.19 * 50)</f>
        <v>4.609</v>
      </c>
      <c r="L429">
        <f>0.021*(4.19 * 50)</f>
        <v>4.3995000000000006</v>
      </c>
      <c r="M429">
        <f>0.021*(4.19 * 50)</f>
        <v>4.3995000000000006</v>
      </c>
      <c r="N429">
        <f>0.021*(4.19 * 50)</f>
        <v>4.3995000000000006</v>
      </c>
      <c r="O429">
        <f>0.022*(4.19 * 50)</f>
        <v>4.609</v>
      </c>
      <c r="P429">
        <f>0.022*(4.19 * 50)</f>
        <v>4.609</v>
      </c>
      <c r="Q429">
        <f>0.023*(4.19 * 50)</f>
        <v>4.8185000000000002</v>
      </c>
      <c r="R429">
        <f>0.023*(4.19 * 50)</f>
        <v>4.8185000000000002</v>
      </c>
      <c r="S429">
        <f>0.022*(4.19 * 50)</f>
        <v>4.609</v>
      </c>
      <c r="T429">
        <f>0.022*(4.19 * 50)</f>
        <v>4.609</v>
      </c>
      <c r="U429">
        <f>0.021*(4.19 * 50)</f>
        <v>4.3995000000000006</v>
      </c>
      <c r="V429">
        <f>0.021*(4.19 * 50)</f>
        <v>4.3995000000000006</v>
      </c>
      <c r="W429">
        <f>0.021*(4.19 * 50)</f>
        <v>4.3995000000000006</v>
      </c>
      <c r="X429">
        <f>0.021*(4.19 * 50)</f>
        <v>4.3995000000000006</v>
      </c>
      <c r="Y429">
        <f>0.021*(4.19 * 50)</f>
        <v>4.3995000000000006</v>
      </c>
      <c r="Z429">
        <f>0.021*(4.19 * 50)</f>
        <v>4.3995000000000006</v>
      </c>
      <c r="AA429">
        <f>0.021*(4.19 * 50)</f>
        <v>4.3995000000000006</v>
      </c>
      <c r="AB429">
        <f>0.022*(4.19 * 50)</f>
        <v>4.609</v>
      </c>
      <c r="AC429">
        <f>0.022*(4.19 * 50)</f>
        <v>4.609</v>
      </c>
      <c r="AD429">
        <f>0.022*(4.19 * 50)</f>
        <v>4.609</v>
      </c>
      <c r="AE429">
        <f>0.023*(4.19 * 50)</f>
        <v>4.8185000000000002</v>
      </c>
      <c r="AF429">
        <f>0.022*(4.19 * 50)</f>
        <v>4.609</v>
      </c>
      <c r="AG429">
        <f>0.022*(4.19 * 50)</f>
        <v>4.609</v>
      </c>
    </row>
    <row r="430" spans="1:33" x14ac:dyDescent="0.3">
      <c r="A430" t="s">
        <v>473</v>
      </c>
      <c r="B430">
        <v>357035.464844</v>
      </c>
      <c r="C430">
        <v>6668533.84375</v>
      </c>
      <c r="D430" t="s">
        <v>540</v>
      </c>
      <c r="E430">
        <v>100</v>
      </c>
      <c r="F430">
        <v>9</v>
      </c>
      <c r="G430">
        <v>4.2959427207637228E-2</v>
      </c>
      <c r="H430">
        <f t="shared" si="13"/>
        <v>17.380000000000003</v>
      </c>
      <c r="I430">
        <f t="shared" si="12"/>
        <v>209.50000000000003</v>
      </c>
      <c r="J430">
        <f>0.039*(4.19 * 50)</f>
        <v>8.1705000000000005</v>
      </c>
      <c r="K430">
        <f>0.039*(4.19 * 50)</f>
        <v>8.1705000000000005</v>
      </c>
      <c r="L430">
        <f>0.039*(4.19 * 50)</f>
        <v>8.1705000000000005</v>
      </c>
      <c r="M430">
        <f>0.038*(4.19 * 50)</f>
        <v>7.9610000000000012</v>
      </c>
      <c r="N430">
        <f>0.039*(4.19 * 50)</f>
        <v>8.1705000000000005</v>
      </c>
      <c r="O430">
        <f>0.039*(4.19 * 50)</f>
        <v>8.1705000000000005</v>
      </c>
      <c r="P430">
        <f>0.04*(4.19 * 50)</f>
        <v>8.3800000000000008</v>
      </c>
      <c r="Q430">
        <f>0.041*(4.19 * 50)</f>
        <v>8.589500000000001</v>
      </c>
      <c r="R430">
        <f>0.041*(4.19 * 50)</f>
        <v>8.589500000000001</v>
      </c>
      <c r="S430">
        <f>0.04*(4.19 * 50)</f>
        <v>8.3800000000000008</v>
      </c>
      <c r="T430">
        <f>0.04*(4.19 * 50)</f>
        <v>8.3800000000000008</v>
      </c>
      <c r="U430">
        <f>0.038*(4.19 * 50)</f>
        <v>7.9610000000000012</v>
      </c>
      <c r="V430">
        <f>0.038*(4.19 * 50)</f>
        <v>7.9610000000000012</v>
      </c>
      <c r="W430">
        <f>0.037*(4.19 * 50)</f>
        <v>7.7515000000000009</v>
      </c>
      <c r="X430">
        <f>0.037*(4.19 * 50)</f>
        <v>7.7515000000000009</v>
      </c>
      <c r="Y430">
        <f>0.037*(4.19 * 50)</f>
        <v>7.7515000000000009</v>
      </c>
      <c r="Z430">
        <f>0.038*(4.19 * 50)</f>
        <v>7.9610000000000012</v>
      </c>
      <c r="AA430">
        <f>0.038*(4.19 * 50)</f>
        <v>7.9610000000000012</v>
      </c>
      <c r="AB430">
        <f>0.039*(4.19 * 50)</f>
        <v>8.1705000000000005</v>
      </c>
      <c r="AC430">
        <f>0.04*(4.19 * 50)</f>
        <v>8.3800000000000008</v>
      </c>
      <c r="AD430">
        <f>0.04*(4.19 * 50)</f>
        <v>8.3800000000000008</v>
      </c>
      <c r="AE430">
        <f>0.041*(4.19 * 50)</f>
        <v>8.589500000000001</v>
      </c>
      <c r="AF430">
        <f>0.04*(4.19 * 50)</f>
        <v>8.3800000000000008</v>
      </c>
      <c r="AG430">
        <f>0.04*(4.19 * 50)</f>
        <v>8.3800000000000008</v>
      </c>
    </row>
    <row r="431" spans="1:33" x14ac:dyDescent="0.3">
      <c r="A431" t="s">
        <v>474</v>
      </c>
      <c r="B431">
        <v>357026.429688</v>
      </c>
      <c r="C431">
        <v>6668404.921875</v>
      </c>
      <c r="D431" t="s">
        <v>540</v>
      </c>
      <c r="E431">
        <v>100</v>
      </c>
      <c r="F431">
        <v>9</v>
      </c>
      <c r="G431">
        <v>4.2959427207637228E-2</v>
      </c>
      <c r="H431">
        <f t="shared" si="13"/>
        <v>17.380000000000003</v>
      </c>
      <c r="I431">
        <f t="shared" si="12"/>
        <v>209.50000000000003</v>
      </c>
      <c r="J431">
        <f>0.039*(4.19 * 50)</f>
        <v>8.1705000000000005</v>
      </c>
      <c r="K431">
        <f>0.039*(4.19 * 50)</f>
        <v>8.1705000000000005</v>
      </c>
      <c r="L431">
        <f>0.039*(4.19 * 50)</f>
        <v>8.1705000000000005</v>
      </c>
      <c r="M431">
        <f>0.038*(4.19 * 50)</f>
        <v>7.9610000000000012</v>
      </c>
      <c r="N431">
        <f>0.039*(4.19 * 50)</f>
        <v>8.1705000000000005</v>
      </c>
      <c r="O431">
        <f>0.039*(4.19 * 50)</f>
        <v>8.1705000000000005</v>
      </c>
      <c r="P431">
        <f>0.04*(4.19 * 50)</f>
        <v>8.3800000000000008</v>
      </c>
      <c r="Q431">
        <f>0.041*(4.19 * 50)</f>
        <v>8.589500000000001</v>
      </c>
      <c r="R431">
        <f>0.041*(4.19 * 50)</f>
        <v>8.589500000000001</v>
      </c>
      <c r="S431">
        <f>0.04*(4.19 * 50)</f>
        <v>8.3800000000000008</v>
      </c>
      <c r="T431">
        <f>0.04*(4.19 * 50)</f>
        <v>8.3800000000000008</v>
      </c>
      <c r="U431">
        <f>0.038*(4.19 * 50)</f>
        <v>7.9610000000000012</v>
      </c>
      <c r="V431">
        <f>0.038*(4.19 * 50)</f>
        <v>7.9610000000000012</v>
      </c>
      <c r="W431">
        <f>0.037*(4.19 * 50)</f>
        <v>7.7515000000000009</v>
      </c>
      <c r="X431">
        <f>0.037*(4.19 * 50)</f>
        <v>7.7515000000000009</v>
      </c>
      <c r="Y431">
        <f>0.037*(4.19 * 50)</f>
        <v>7.7515000000000009</v>
      </c>
      <c r="Z431">
        <f>0.038*(4.19 * 50)</f>
        <v>7.9610000000000012</v>
      </c>
      <c r="AA431">
        <f>0.038*(4.19 * 50)</f>
        <v>7.9610000000000012</v>
      </c>
      <c r="AB431">
        <f>0.039*(4.19 * 50)</f>
        <v>8.1705000000000005</v>
      </c>
      <c r="AC431">
        <f>0.04*(4.19 * 50)</f>
        <v>8.3800000000000008</v>
      </c>
      <c r="AD431">
        <f>0.04*(4.19 * 50)</f>
        <v>8.3800000000000008</v>
      </c>
      <c r="AE431">
        <f>0.041*(4.19 * 50)</f>
        <v>8.589500000000001</v>
      </c>
      <c r="AF431">
        <f>0.04*(4.19 * 50)</f>
        <v>8.3800000000000008</v>
      </c>
      <c r="AG431">
        <f>0.04*(4.19 * 50)</f>
        <v>8.3800000000000008</v>
      </c>
    </row>
    <row r="432" spans="1:33" x14ac:dyDescent="0.3">
      <c r="A432" t="s">
        <v>475</v>
      </c>
      <c r="B432">
        <v>357010.125</v>
      </c>
      <c r="C432">
        <v>6668403.2695310004</v>
      </c>
      <c r="D432" t="s">
        <v>540</v>
      </c>
      <c r="E432">
        <v>100</v>
      </c>
      <c r="F432">
        <v>8</v>
      </c>
      <c r="G432">
        <v>3.8186157517899763E-2</v>
      </c>
      <c r="H432">
        <f t="shared" si="13"/>
        <v>15.542000000000002</v>
      </c>
      <c r="I432">
        <f t="shared" si="12"/>
        <v>209.50000000000003</v>
      </c>
      <c r="J432">
        <f>0.035*(4.19 * 50)</f>
        <v>7.3325000000000014</v>
      </c>
      <c r="K432">
        <f>0.035*(4.19 * 50)</f>
        <v>7.3325000000000014</v>
      </c>
      <c r="L432">
        <f>0.034*(4.19 * 50)</f>
        <v>7.1230000000000011</v>
      </c>
      <c r="M432">
        <f>0.034*(4.19 * 50)</f>
        <v>7.1230000000000011</v>
      </c>
      <c r="N432">
        <f>0.034*(4.19 * 50)</f>
        <v>7.1230000000000011</v>
      </c>
      <c r="O432">
        <f>0.035*(4.19 * 50)</f>
        <v>7.3325000000000014</v>
      </c>
      <c r="P432">
        <f>0.036*(4.19 * 50)</f>
        <v>7.5420000000000007</v>
      </c>
      <c r="Q432">
        <f>0.037*(4.19 * 50)</f>
        <v>7.7515000000000009</v>
      </c>
      <c r="R432">
        <f>0.036*(4.19 * 50)</f>
        <v>7.5420000000000007</v>
      </c>
      <c r="S432">
        <f>0.036*(4.19 * 50)</f>
        <v>7.5420000000000007</v>
      </c>
      <c r="T432">
        <f>0.036*(4.19 * 50)</f>
        <v>7.5420000000000007</v>
      </c>
      <c r="U432">
        <f>0.034*(4.19 * 50)</f>
        <v>7.1230000000000011</v>
      </c>
      <c r="V432">
        <f>0.034*(4.19 * 50)</f>
        <v>7.1230000000000011</v>
      </c>
      <c r="W432">
        <f>0.033*(4.19 * 50)</f>
        <v>6.9135000000000009</v>
      </c>
      <c r="X432">
        <f>0.033*(4.19 * 50)</f>
        <v>6.9135000000000009</v>
      </c>
      <c r="Y432">
        <f>0.033*(4.19 * 50)</f>
        <v>6.9135000000000009</v>
      </c>
      <c r="Z432">
        <f>0.033*(4.19 * 50)</f>
        <v>6.9135000000000009</v>
      </c>
      <c r="AA432">
        <f>0.034*(4.19 * 50)</f>
        <v>7.1230000000000011</v>
      </c>
      <c r="AB432">
        <f>0.035*(4.19 * 50)</f>
        <v>7.3325000000000014</v>
      </c>
      <c r="AC432">
        <f>0.035*(4.19 * 50)</f>
        <v>7.3325000000000014</v>
      </c>
      <c r="AD432">
        <f>0.036*(4.19 * 50)</f>
        <v>7.5420000000000007</v>
      </c>
      <c r="AE432">
        <f>0.036*(4.19 * 50)</f>
        <v>7.5420000000000007</v>
      </c>
      <c r="AF432">
        <f>0.036*(4.19 * 50)</f>
        <v>7.5420000000000007</v>
      </c>
      <c r="AG432">
        <f>0.035*(4.19 * 50)</f>
        <v>7.3325000000000014</v>
      </c>
    </row>
    <row r="433" spans="1:33" x14ac:dyDescent="0.3">
      <c r="A433" t="s">
        <v>476</v>
      </c>
      <c r="B433">
        <v>356978.957031</v>
      </c>
      <c r="C433">
        <v>6668396.9804689996</v>
      </c>
      <c r="D433" t="s">
        <v>540</v>
      </c>
      <c r="E433">
        <v>100</v>
      </c>
      <c r="F433">
        <v>5</v>
      </c>
      <c r="G433">
        <v>2.386634844868735E-2</v>
      </c>
      <c r="H433">
        <f t="shared" si="13"/>
        <v>9.609</v>
      </c>
      <c r="I433">
        <f t="shared" si="12"/>
        <v>209.50000000000003</v>
      </c>
      <c r="J433">
        <f>0.022*(4.19 * 50)</f>
        <v>4.609</v>
      </c>
      <c r="K433">
        <f>0.022*(4.19 * 50)</f>
        <v>4.609</v>
      </c>
      <c r="L433">
        <f>0.021*(4.19 * 50)</f>
        <v>4.3995000000000006</v>
      </c>
      <c r="M433">
        <f>0.021*(4.19 * 50)</f>
        <v>4.3995000000000006</v>
      </c>
      <c r="N433">
        <f>0.021*(4.19 * 50)</f>
        <v>4.3995000000000006</v>
      </c>
      <c r="O433">
        <f>0.022*(4.19 * 50)</f>
        <v>4.609</v>
      </c>
      <c r="P433">
        <f>0.022*(4.19 * 50)</f>
        <v>4.609</v>
      </c>
      <c r="Q433">
        <f>0.023*(4.19 * 50)</f>
        <v>4.8185000000000002</v>
      </c>
      <c r="R433">
        <f>0.023*(4.19 * 50)</f>
        <v>4.8185000000000002</v>
      </c>
      <c r="S433">
        <f>0.022*(4.19 * 50)</f>
        <v>4.609</v>
      </c>
      <c r="T433">
        <f>0.022*(4.19 * 50)</f>
        <v>4.609</v>
      </c>
      <c r="U433">
        <f>0.021*(4.19 * 50)</f>
        <v>4.3995000000000006</v>
      </c>
      <c r="V433">
        <f>0.021*(4.19 * 50)</f>
        <v>4.3995000000000006</v>
      </c>
      <c r="W433">
        <f>0.021*(4.19 * 50)</f>
        <v>4.3995000000000006</v>
      </c>
      <c r="X433">
        <f>0.021*(4.19 * 50)</f>
        <v>4.3995000000000006</v>
      </c>
      <c r="Y433">
        <f>0.021*(4.19 * 50)</f>
        <v>4.3995000000000006</v>
      </c>
      <c r="Z433">
        <f>0.021*(4.19 * 50)</f>
        <v>4.3995000000000006</v>
      </c>
      <c r="AA433">
        <f>0.021*(4.19 * 50)</f>
        <v>4.3995000000000006</v>
      </c>
      <c r="AB433">
        <f>0.022*(4.19 * 50)</f>
        <v>4.609</v>
      </c>
      <c r="AC433">
        <f>0.022*(4.19 * 50)</f>
        <v>4.609</v>
      </c>
      <c r="AD433">
        <f>0.022*(4.19 * 50)</f>
        <v>4.609</v>
      </c>
      <c r="AE433">
        <f>0.023*(4.19 * 50)</f>
        <v>4.8185000000000002</v>
      </c>
      <c r="AF433">
        <f>0.022*(4.19 * 50)</f>
        <v>4.609</v>
      </c>
      <c r="AG433">
        <f>0.022*(4.19 * 50)</f>
        <v>4.609</v>
      </c>
    </row>
    <row r="434" spans="1:33" x14ac:dyDescent="0.3">
      <c r="A434" t="s">
        <v>477</v>
      </c>
      <c r="B434">
        <v>356963.507813</v>
      </c>
      <c r="C434">
        <v>6668392.546875</v>
      </c>
      <c r="D434" t="s">
        <v>540</v>
      </c>
      <c r="E434">
        <v>100</v>
      </c>
      <c r="F434">
        <v>4</v>
      </c>
      <c r="G434">
        <v>1.9093078758949882E-2</v>
      </c>
      <c r="H434">
        <f t="shared" si="13"/>
        <v>7.7710000000000008</v>
      </c>
      <c r="I434">
        <f t="shared" si="12"/>
        <v>209.50000000000003</v>
      </c>
      <c r="J434">
        <f>0.017*(4.19 * 50)</f>
        <v>3.5615000000000006</v>
      </c>
      <c r="K434">
        <f>0.017*(4.19 * 50)</f>
        <v>3.5615000000000006</v>
      </c>
      <c r="L434">
        <f>0.017*(4.19 * 50)</f>
        <v>3.5615000000000006</v>
      </c>
      <c r="M434">
        <f>0.017*(4.19 * 50)</f>
        <v>3.5615000000000006</v>
      </c>
      <c r="N434">
        <f>0.017*(4.19 * 50)</f>
        <v>3.5615000000000006</v>
      </c>
      <c r="O434">
        <f>0.017*(4.19 * 50)</f>
        <v>3.5615000000000006</v>
      </c>
      <c r="P434">
        <f>0.018*(4.19 * 50)</f>
        <v>3.7710000000000004</v>
      </c>
      <c r="Q434">
        <f>0.018*(4.19 * 50)</f>
        <v>3.7710000000000004</v>
      </c>
      <c r="R434">
        <f>0.018*(4.19 * 50)</f>
        <v>3.7710000000000004</v>
      </c>
      <c r="S434">
        <f>0.018*(4.19 * 50)</f>
        <v>3.7710000000000004</v>
      </c>
      <c r="T434">
        <f>0.018*(4.19 * 50)</f>
        <v>3.7710000000000004</v>
      </c>
      <c r="U434">
        <f>0.017*(4.19 * 50)</f>
        <v>3.5615000000000006</v>
      </c>
      <c r="V434">
        <f>0.017*(4.19 * 50)</f>
        <v>3.5615000000000006</v>
      </c>
      <c r="W434">
        <f>0.017*(4.19 * 50)</f>
        <v>3.5615000000000006</v>
      </c>
      <c r="X434">
        <f>0.017*(4.19 * 50)</f>
        <v>3.5615000000000006</v>
      </c>
      <c r="Y434">
        <f>0.017*(4.19 * 50)</f>
        <v>3.5615000000000006</v>
      </c>
      <c r="Z434">
        <f>0.017*(4.19 * 50)</f>
        <v>3.5615000000000006</v>
      </c>
      <c r="AA434">
        <f>0.017*(4.19 * 50)</f>
        <v>3.5615000000000006</v>
      </c>
      <c r="AB434">
        <f>0.017*(4.19 * 50)</f>
        <v>3.5615000000000006</v>
      </c>
      <c r="AC434">
        <f>0.018*(4.19 * 50)</f>
        <v>3.7710000000000004</v>
      </c>
      <c r="AD434">
        <f>0.018*(4.19 * 50)</f>
        <v>3.7710000000000004</v>
      </c>
      <c r="AE434">
        <f>0.018*(4.19 * 50)</f>
        <v>3.7710000000000004</v>
      </c>
      <c r="AF434">
        <f>0.018*(4.19 * 50)</f>
        <v>3.7710000000000004</v>
      </c>
      <c r="AG434">
        <f>0.018*(4.19 * 50)</f>
        <v>3.7710000000000004</v>
      </c>
    </row>
    <row r="435" spans="1:33" x14ac:dyDescent="0.3">
      <c r="A435" t="s">
        <v>478</v>
      </c>
      <c r="B435">
        <v>357014.972656</v>
      </c>
      <c r="C435">
        <v>6667868.0078130001</v>
      </c>
      <c r="D435" t="s">
        <v>540</v>
      </c>
      <c r="E435">
        <v>100</v>
      </c>
      <c r="F435">
        <v>5</v>
      </c>
      <c r="G435">
        <v>2.386634844868735E-2</v>
      </c>
      <c r="H435">
        <f t="shared" si="13"/>
        <v>9.609</v>
      </c>
      <c r="I435">
        <f t="shared" si="12"/>
        <v>209.50000000000003</v>
      </c>
      <c r="J435">
        <f>0.022*(4.19 * 50)</f>
        <v>4.609</v>
      </c>
      <c r="K435">
        <f>0.022*(4.19 * 50)</f>
        <v>4.609</v>
      </c>
      <c r="L435">
        <f>0.021*(4.19 * 50)</f>
        <v>4.3995000000000006</v>
      </c>
      <c r="M435">
        <f>0.021*(4.19 * 50)</f>
        <v>4.3995000000000006</v>
      </c>
      <c r="N435">
        <f>0.021*(4.19 * 50)</f>
        <v>4.3995000000000006</v>
      </c>
      <c r="O435">
        <f>0.022*(4.19 * 50)</f>
        <v>4.609</v>
      </c>
      <c r="P435">
        <f>0.022*(4.19 * 50)</f>
        <v>4.609</v>
      </c>
      <c r="Q435">
        <f>0.023*(4.19 * 50)</f>
        <v>4.8185000000000002</v>
      </c>
      <c r="R435">
        <f>0.023*(4.19 * 50)</f>
        <v>4.8185000000000002</v>
      </c>
      <c r="S435">
        <f>0.022*(4.19 * 50)</f>
        <v>4.609</v>
      </c>
      <c r="T435">
        <f>0.022*(4.19 * 50)</f>
        <v>4.609</v>
      </c>
      <c r="U435">
        <f>0.021*(4.19 * 50)</f>
        <v>4.3995000000000006</v>
      </c>
      <c r="V435">
        <f>0.021*(4.19 * 50)</f>
        <v>4.3995000000000006</v>
      </c>
      <c r="W435">
        <f>0.021*(4.19 * 50)</f>
        <v>4.3995000000000006</v>
      </c>
      <c r="X435">
        <f>0.021*(4.19 * 50)</f>
        <v>4.3995000000000006</v>
      </c>
      <c r="Y435">
        <f>0.021*(4.19 * 50)</f>
        <v>4.3995000000000006</v>
      </c>
      <c r="Z435">
        <f>0.021*(4.19 * 50)</f>
        <v>4.3995000000000006</v>
      </c>
      <c r="AA435">
        <f>0.021*(4.19 * 50)</f>
        <v>4.3995000000000006</v>
      </c>
      <c r="AB435">
        <f>0.022*(4.19 * 50)</f>
        <v>4.609</v>
      </c>
      <c r="AC435">
        <f>0.022*(4.19 * 50)</f>
        <v>4.609</v>
      </c>
      <c r="AD435">
        <f>0.022*(4.19 * 50)</f>
        <v>4.609</v>
      </c>
      <c r="AE435">
        <f>0.023*(4.19 * 50)</f>
        <v>4.8185000000000002</v>
      </c>
      <c r="AF435">
        <f>0.022*(4.19 * 50)</f>
        <v>4.609</v>
      </c>
      <c r="AG435">
        <f>0.022*(4.19 * 50)</f>
        <v>4.609</v>
      </c>
    </row>
    <row r="436" spans="1:33" x14ac:dyDescent="0.3">
      <c r="A436" t="s">
        <v>479</v>
      </c>
      <c r="B436">
        <v>357003.636719</v>
      </c>
      <c r="C436">
        <v>6667886.9492189996</v>
      </c>
      <c r="D436" t="s">
        <v>540</v>
      </c>
      <c r="E436">
        <v>100</v>
      </c>
      <c r="F436">
        <v>10</v>
      </c>
      <c r="G436">
        <v>4.7732696897374693E-2</v>
      </c>
      <c r="H436">
        <f t="shared" si="13"/>
        <v>19.427500000000002</v>
      </c>
      <c r="I436">
        <f t="shared" si="12"/>
        <v>209.50000000000003</v>
      </c>
      <c r="J436">
        <f>0.044*(4.19 * 50)</f>
        <v>9.218</v>
      </c>
      <c r="K436">
        <f>0.043*(4.19 * 50)</f>
        <v>9.0084999999999997</v>
      </c>
      <c r="L436">
        <f>0.043*(4.19 * 50)</f>
        <v>9.0084999999999997</v>
      </c>
      <c r="M436">
        <f>0.043*(4.19 * 50)</f>
        <v>9.0084999999999997</v>
      </c>
      <c r="N436">
        <f>0.043*(4.19 * 50)</f>
        <v>9.0084999999999997</v>
      </c>
      <c r="O436">
        <f>0.043*(4.19 * 50)</f>
        <v>9.0084999999999997</v>
      </c>
      <c r="P436">
        <f>0.045*(4.19 * 50)</f>
        <v>9.4275000000000002</v>
      </c>
      <c r="Q436">
        <f>0.046*(4.19 * 50)</f>
        <v>9.6370000000000005</v>
      </c>
      <c r="R436">
        <f>0.046*(4.19 * 50)</f>
        <v>9.6370000000000005</v>
      </c>
      <c r="S436">
        <f>0.045*(4.19 * 50)</f>
        <v>9.4275000000000002</v>
      </c>
      <c r="T436">
        <f>0.044*(4.19 * 50)</f>
        <v>9.218</v>
      </c>
      <c r="U436">
        <f>0.043*(4.19 * 50)</f>
        <v>9.0084999999999997</v>
      </c>
      <c r="V436">
        <f>0.042*(4.19 * 50)</f>
        <v>8.7990000000000013</v>
      </c>
      <c r="W436">
        <f>0.041*(4.19 * 50)</f>
        <v>8.589500000000001</v>
      </c>
      <c r="X436">
        <f>0.041*(4.19 * 50)</f>
        <v>8.589500000000001</v>
      </c>
      <c r="Y436">
        <f>0.041*(4.19 * 50)</f>
        <v>8.589500000000001</v>
      </c>
      <c r="Z436">
        <f>0.042*(4.19 * 50)</f>
        <v>8.7990000000000013</v>
      </c>
      <c r="AA436">
        <f>0.043*(4.19 * 50)</f>
        <v>9.0084999999999997</v>
      </c>
      <c r="AB436">
        <f>0.043*(4.19 * 50)</f>
        <v>9.0084999999999997</v>
      </c>
      <c r="AC436">
        <f>0.044*(4.19 * 50)</f>
        <v>9.218</v>
      </c>
      <c r="AD436">
        <f>0.045*(4.19 * 50)</f>
        <v>9.4275000000000002</v>
      </c>
      <c r="AE436">
        <f>0.045*(4.19 * 50)</f>
        <v>9.4275000000000002</v>
      </c>
      <c r="AF436">
        <f>0.045*(4.19 * 50)</f>
        <v>9.4275000000000002</v>
      </c>
      <c r="AG436">
        <f>0.044*(4.19 * 50)</f>
        <v>9.218</v>
      </c>
    </row>
    <row r="437" spans="1:33" x14ac:dyDescent="0.3">
      <c r="A437" t="s">
        <v>480</v>
      </c>
      <c r="B437">
        <v>356987.71875</v>
      </c>
      <c r="C437">
        <v>6667861.8554689996</v>
      </c>
      <c r="D437" t="s">
        <v>540</v>
      </c>
      <c r="E437">
        <v>100</v>
      </c>
      <c r="F437">
        <v>7</v>
      </c>
      <c r="G437">
        <v>3.3412887828162277E-2</v>
      </c>
      <c r="H437">
        <f t="shared" si="13"/>
        <v>13.494500000000002</v>
      </c>
      <c r="I437">
        <f t="shared" si="12"/>
        <v>209.50000000000003</v>
      </c>
      <c r="J437">
        <f>0.03*(4.19 * 50)</f>
        <v>6.285000000000001</v>
      </c>
      <c r="K437">
        <f>0.03*(4.19 * 50)</f>
        <v>6.285000000000001</v>
      </c>
      <c r="L437">
        <f>0.03*(4.19 * 50)</f>
        <v>6.285000000000001</v>
      </c>
      <c r="M437">
        <f>0.03*(4.19 * 50)</f>
        <v>6.285000000000001</v>
      </c>
      <c r="N437">
        <f>0.03*(4.19 * 50)</f>
        <v>6.285000000000001</v>
      </c>
      <c r="O437">
        <f>0.03*(4.19 * 50)</f>
        <v>6.285000000000001</v>
      </c>
      <c r="P437">
        <f>0.031*(4.19 * 50)</f>
        <v>6.4945000000000013</v>
      </c>
      <c r="Q437">
        <f>0.032*(4.19 * 50)</f>
        <v>6.7040000000000006</v>
      </c>
      <c r="R437">
        <f>0.032*(4.19 * 50)</f>
        <v>6.7040000000000006</v>
      </c>
      <c r="S437">
        <f>0.031*(4.19 * 50)</f>
        <v>6.4945000000000013</v>
      </c>
      <c r="T437">
        <f>0.031*(4.19 * 50)</f>
        <v>6.4945000000000013</v>
      </c>
      <c r="U437">
        <f>0.03*(4.19 * 50)</f>
        <v>6.285000000000001</v>
      </c>
      <c r="V437">
        <f>0.029*(4.19 * 50)</f>
        <v>6.0755000000000008</v>
      </c>
      <c r="W437">
        <f>0.029*(4.19 * 50)</f>
        <v>6.0755000000000008</v>
      </c>
      <c r="X437">
        <f>0.029*(4.19 * 50)</f>
        <v>6.0755000000000008</v>
      </c>
      <c r="Y437">
        <f>0.029*(4.19 * 50)</f>
        <v>6.0755000000000008</v>
      </c>
      <c r="Z437">
        <f>0.029*(4.19 * 50)</f>
        <v>6.0755000000000008</v>
      </c>
      <c r="AA437">
        <f>0.03*(4.19 * 50)</f>
        <v>6.285000000000001</v>
      </c>
      <c r="AB437">
        <f>0.03*(4.19 * 50)</f>
        <v>6.285000000000001</v>
      </c>
      <c r="AC437">
        <f>0.031*(4.19 * 50)</f>
        <v>6.4945000000000013</v>
      </c>
      <c r="AD437">
        <f>0.031*(4.19 * 50)</f>
        <v>6.4945000000000013</v>
      </c>
      <c r="AE437">
        <f>0.032*(4.19 * 50)</f>
        <v>6.7040000000000006</v>
      </c>
      <c r="AF437">
        <f>0.031*(4.19 * 50)</f>
        <v>6.4945000000000013</v>
      </c>
      <c r="AG437">
        <f>0.031*(4.19 * 50)</f>
        <v>6.4945000000000013</v>
      </c>
    </row>
    <row r="438" spans="1:33" x14ac:dyDescent="0.3">
      <c r="A438" t="s">
        <v>481</v>
      </c>
      <c r="B438">
        <v>357575.171875</v>
      </c>
      <c r="C438">
        <v>6667357.5234380001</v>
      </c>
      <c r="D438" t="s">
        <v>552</v>
      </c>
      <c r="E438">
        <v>100</v>
      </c>
      <c r="F438">
        <v>43</v>
      </c>
      <c r="G438">
        <v>0.2052505966587112</v>
      </c>
      <c r="H438">
        <f t="shared" si="13"/>
        <v>83.433500000000009</v>
      </c>
      <c r="I438">
        <f t="shared" si="12"/>
        <v>209.50000000000003</v>
      </c>
      <c r="J438">
        <f>0.187*(4.19 * 50)</f>
        <v>39.176500000000004</v>
      </c>
      <c r="K438">
        <f>0.186*(4.19 * 50)</f>
        <v>38.967000000000006</v>
      </c>
      <c r="L438">
        <f>0.185*(4.19 * 50)</f>
        <v>38.757500000000007</v>
      </c>
      <c r="M438">
        <f>0.184*(4.19 * 50)</f>
        <v>38.548000000000002</v>
      </c>
      <c r="N438">
        <f>0.185*(4.19 * 50)</f>
        <v>38.757500000000007</v>
      </c>
      <c r="O438">
        <f>0.187*(4.19 * 50)</f>
        <v>39.176500000000004</v>
      </c>
      <c r="P438">
        <f>0.193*(4.19 * 50)</f>
        <v>40.433500000000009</v>
      </c>
      <c r="Q438">
        <f>0.198*(4.19 * 50)</f>
        <v>41.481000000000009</v>
      </c>
      <c r="R438">
        <f>0.196*(4.19 * 50)</f>
        <v>41.062000000000005</v>
      </c>
      <c r="S438">
        <f>0.192*(4.19 * 50)</f>
        <v>40.224000000000004</v>
      </c>
      <c r="T438">
        <f>0.191*(4.19 * 50)</f>
        <v>40.014500000000005</v>
      </c>
      <c r="U438">
        <f>0.183*(4.19 * 50)</f>
        <v>38.338500000000003</v>
      </c>
      <c r="V438">
        <f>0.18*(4.19 * 50)</f>
        <v>37.71</v>
      </c>
      <c r="W438">
        <f>0.178*(4.19 * 50)</f>
        <v>37.291000000000004</v>
      </c>
      <c r="X438">
        <f>0.177*(4.19 * 50)</f>
        <v>37.081500000000005</v>
      </c>
      <c r="Y438">
        <f>0.178*(4.19 * 50)</f>
        <v>37.291000000000004</v>
      </c>
      <c r="Z438">
        <f>0.18*(4.19 * 50)</f>
        <v>37.71</v>
      </c>
      <c r="AA438">
        <f>0.183*(4.19 * 50)</f>
        <v>38.338500000000003</v>
      </c>
      <c r="AB438">
        <f>0.186*(4.19 * 50)</f>
        <v>38.967000000000006</v>
      </c>
      <c r="AC438">
        <f>0.189*(4.19 * 50)</f>
        <v>39.595500000000008</v>
      </c>
      <c r="AD438">
        <f>0.192*(4.19 * 50)</f>
        <v>40.224000000000004</v>
      </c>
      <c r="AE438">
        <f>0.194*(4.19 * 50)</f>
        <v>40.643000000000008</v>
      </c>
      <c r="AF438">
        <f>0.192*(4.19 * 50)</f>
        <v>40.224000000000004</v>
      </c>
      <c r="AG438">
        <f>0.189*(4.19 * 50)</f>
        <v>39.595500000000008</v>
      </c>
    </row>
    <row r="439" spans="1:33" x14ac:dyDescent="0.3">
      <c r="A439" t="s">
        <v>482</v>
      </c>
      <c r="B439">
        <v>357512.261719</v>
      </c>
      <c r="C439">
        <v>6667337.6054689996</v>
      </c>
      <c r="D439" t="s">
        <v>558</v>
      </c>
      <c r="E439">
        <v>100</v>
      </c>
      <c r="F439">
        <v>349.6669921875</v>
      </c>
      <c r="G439">
        <v>1.669054855310262</v>
      </c>
      <c r="H439">
        <f t="shared" si="13"/>
        <v>677.7439921875</v>
      </c>
      <c r="I439">
        <f t="shared" si="12"/>
        <v>209.50000000000003</v>
      </c>
      <c r="J439">
        <f>1.522*(4.19 * 50)</f>
        <v>318.85900000000004</v>
      </c>
      <c r="K439">
        <f>1.51*(4.19 * 50)</f>
        <v>316.34500000000003</v>
      </c>
      <c r="L439">
        <f>1.501*(4.19 * 50)</f>
        <v>314.45949999999999</v>
      </c>
      <c r="M439">
        <f>1.495*(4.19 * 50)</f>
        <v>313.20250000000004</v>
      </c>
      <c r="N439">
        <f>1.501*(4.19 * 50)</f>
        <v>314.45949999999999</v>
      </c>
      <c r="O439">
        <f>1.52*(4.19 * 50)</f>
        <v>318.44000000000005</v>
      </c>
      <c r="P439">
        <f>1.566*(4.19 * 50)</f>
        <v>328.07700000000006</v>
      </c>
      <c r="Q439">
        <f>1.607*(4.19 * 50)</f>
        <v>336.66650000000004</v>
      </c>
      <c r="R439">
        <f>1.593*(4.19 * 50)</f>
        <v>333.73350000000005</v>
      </c>
      <c r="S439">
        <f>1.56*(4.19 * 50)</f>
        <v>326.82000000000005</v>
      </c>
      <c r="T439">
        <f>1.554*(4.19 * 50)</f>
        <v>325.56300000000005</v>
      </c>
      <c r="U439">
        <f>1.488*(4.19 * 50)</f>
        <v>311.73600000000005</v>
      </c>
      <c r="V439">
        <f>1.467*(4.19 * 50)</f>
        <v>307.33650000000006</v>
      </c>
      <c r="W439">
        <f>1.447*(4.19 * 50)</f>
        <v>303.14650000000006</v>
      </c>
      <c r="X439">
        <f>1.443*(4.19 * 50)</f>
        <v>302.30850000000004</v>
      </c>
      <c r="Y439">
        <f>1.446*(4.19 * 50)</f>
        <v>302.93700000000001</v>
      </c>
      <c r="Z439">
        <f>1.461*(4.19 * 50)</f>
        <v>306.07950000000005</v>
      </c>
      <c r="AA439">
        <f>1.488*(4.19 * 50)</f>
        <v>311.73600000000005</v>
      </c>
      <c r="AB439">
        <f>1.51*(4.19 * 50)</f>
        <v>316.34500000000003</v>
      </c>
      <c r="AC439">
        <f>1.537*(4.19 * 50)</f>
        <v>322.00150000000002</v>
      </c>
      <c r="AD439">
        <f>1.563*(4.19 * 50)</f>
        <v>327.44850000000002</v>
      </c>
      <c r="AE439">
        <f>1.574*(4.19 * 50)</f>
        <v>329.75300000000004</v>
      </c>
      <c r="AF439">
        <f>1.56*(4.19 * 50)</f>
        <v>326.82000000000005</v>
      </c>
      <c r="AG439">
        <f>1.539*(4.19 * 50)</f>
        <v>322.4205</v>
      </c>
    </row>
    <row r="440" spans="1:33" x14ac:dyDescent="0.3">
      <c r="A440" t="s">
        <v>483</v>
      </c>
      <c r="B440">
        <v>357276.34375</v>
      </c>
      <c r="C440">
        <v>6668011.7578130001</v>
      </c>
      <c r="D440" t="s">
        <v>542</v>
      </c>
      <c r="E440">
        <v>100</v>
      </c>
      <c r="F440">
        <v>83.666999816894503</v>
      </c>
      <c r="G440">
        <v>0.39936515425725289</v>
      </c>
      <c r="H440">
        <f t="shared" si="13"/>
        <v>162.22949981689453</v>
      </c>
      <c r="I440">
        <f t="shared" si="12"/>
        <v>209.50000000000003</v>
      </c>
      <c r="J440">
        <f>0.364*(4.19 * 50)</f>
        <v>76.25800000000001</v>
      </c>
      <c r="K440">
        <f>0.361*(4.19 * 50)</f>
        <v>75.629500000000007</v>
      </c>
      <c r="L440">
        <f>0.359*(4.19 * 50)</f>
        <v>75.21050000000001</v>
      </c>
      <c r="M440">
        <f>0.358*(4.19 * 50)</f>
        <v>75.001000000000005</v>
      </c>
      <c r="N440">
        <f>0.359*(4.19 * 50)</f>
        <v>75.21050000000001</v>
      </c>
      <c r="O440">
        <f>0.364*(4.19 * 50)</f>
        <v>76.25800000000001</v>
      </c>
      <c r="P440">
        <f>0.375*(4.19 * 50)</f>
        <v>78.562500000000014</v>
      </c>
      <c r="Q440">
        <f>0.385*(4.19 * 50)</f>
        <v>80.657500000000013</v>
      </c>
      <c r="R440">
        <f>0.381*(4.19 * 50)</f>
        <v>79.819500000000005</v>
      </c>
      <c r="S440">
        <f>0.373*(4.19 * 50)</f>
        <v>78.143500000000017</v>
      </c>
      <c r="T440">
        <f>0.372*(4.19 * 50)</f>
        <v>77.934000000000012</v>
      </c>
      <c r="U440">
        <f>0.356*(4.19 * 50)</f>
        <v>74.582000000000008</v>
      </c>
      <c r="V440">
        <f>0.351*(4.19 * 50)</f>
        <v>73.534500000000008</v>
      </c>
      <c r="W440">
        <f>0.346*(4.19 * 50)</f>
        <v>72.487000000000009</v>
      </c>
      <c r="X440">
        <f>0.345*(4.19 * 50)</f>
        <v>72.277500000000003</v>
      </c>
      <c r="Y440">
        <f>0.346*(4.19 * 50)</f>
        <v>72.487000000000009</v>
      </c>
      <c r="Z440">
        <f>0.35*(4.19 * 50)</f>
        <v>73.325000000000003</v>
      </c>
      <c r="AA440">
        <f>0.356*(4.19 * 50)</f>
        <v>74.582000000000008</v>
      </c>
      <c r="AB440">
        <f>0.361*(4.19 * 50)</f>
        <v>75.629500000000007</v>
      </c>
      <c r="AC440">
        <f>0.368*(4.19 * 50)</f>
        <v>77.096000000000004</v>
      </c>
      <c r="AD440">
        <f>0.374*(4.19 * 50)</f>
        <v>78.353000000000009</v>
      </c>
      <c r="AE440">
        <f>0.377*(4.19 * 50)</f>
        <v>78.981500000000011</v>
      </c>
      <c r="AF440">
        <f>0.373*(4.19 * 50)</f>
        <v>78.143500000000017</v>
      </c>
      <c r="AG440">
        <f>0.368*(4.19 * 50)</f>
        <v>77.096000000000004</v>
      </c>
    </row>
    <row r="441" spans="1:33" x14ac:dyDescent="0.3">
      <c r="A441" t="s">
        <v>484</v>
      </c>
      <c r="B441">
        <v>356975.085938</v>
      </c>
      <c r="C441">
        <v>6668453.671875</v>
      </c>
      <c r="D441" t="s">
        <v>540</v>
      </c>
      <c r="E441">
        <v>100</v>
      </c>
      <c r="F441">
        <v>9</v>
      </c>
      <c r="G441">
        <v>4.2959427207637228E-2</v>
      </c>
      <c r="H441">
        <f t="shared" si="13"/>
        <v>17.380000000000003</v>
      </c>
      <c r="I441">
        <f t="shared" si="12"/>
        <v>209.50000000000003</v>
      </c>
      <c r="J441">
        <f>0.039*(4.19 * 50)</f>
        <v>8.1705000000000005</v>
      </c>
      <c r="K441">
        <f>0.039*(4.19 * 50)</f>
        <v>8.1705000000000005</v>
      </c>
      <c r="L441">
        <f>0.039*(4.19 * 50)</f>
        <v>8.1705000000000005</v>
      </c>
      <c r="M441">
        <f>0.038*(4.19 * 50)</f>
        <v>7.9610000000000012</v>
      </c>
      <c r="N441">
        <f>0.039*(4.19 * 50)</f>
        <v>8.1705000000000005</v>
      </c>
      <c r="O441">
        <f>0.039*(4.19 * 50)</f>
        <v>8.1705000000000005</v>
      </c>
      <c r="P441">
        <f>0.04*(4.19 * 50)</f>
        <v>8.3800000000000008</v>
      </c>
      <c r="Q441">
        <f>0.041*(4.19 * 50)</f>
        <v>8.589500000000001</v>
      </c>
      <c r="R441">
        <f>0.041*(4.19 * 50)</f>
        <v>8.589500000000001</v>
      </c>
      <c r="S441">
        <f>0.04*(4.19 * 50)</f>
        <v>8.3800000000000008</v>
      </c>
      <c r="T441">
        <f>0.04*(4.19 * 50)</f>
        <v>8.3800000000000008</v>
      </c>
      <c r="U441">
        <f>0.038*(4.19 * 50)</f>
        <v>7.9610000000000012</v>
      </c>
      <c r="V441">
        <f>0.038*(4.19 * 50)</f>
        <v>7.9610000000000012</v>
      </c>
      <c r="W441">
        <f>0.037*(4.19 * 50)</f>
        <v>7.7515000000000009</v>
      </c>
      <c r="X441">
        <f>0.037*(4.19 * 50)</f>
        <v>7.7515000000000009</v>
      </c>
      <c r="Y441">
        <f>0.037*(4.19 * 50)</f>
        <v>7.7515000000000009</v>
      </c>
      <c r="Z441">
        <f>0.038*(4.19 * 50)</f>
        <v>7.9610000000000012</v>
      </c>
      <c r="AA441">
        <f>0.038*(4.19 * 50)</f>
        <v>7.9610000000000012</v>
      </c>
      <c r="AB441">
        <f>0.039*(4.19 * 50)</f>
        <v>8.1705000000000005</v>
      </c>
      <c r="AC441">
        <f>0.04*(4.19 * 50)</f>
        <v>8.3800000000000008</v>
      </c>
      <c r="AD441">
        <f>0.04*(4.19 * 50)</f>
        <v>8.3800000000000008</v>
      </c>
      <c r="AE441">
        <f>0.041*(4.19 * 50)</f>
        <v>8.589500000000001</v>
      </c>
      <c r="AF441">
        <f>0.04*(4.19 * 50)</f>
        <v>8.3800000000000008</v>
      </c>
      <c r="AG441">
        <f>0.04*(4.19 * 50)</f>
        <v>8.3800000000000008</v>
      </c>
    </row>
    <row r="442" spans="1:33" x14ac:dyDescent="0.3">
      <c r="A442" t="s">
        <v>485</v>
      </c>
      <c r="B442">
        <v>356965.65625</v>
      </c>
      <c r="C442">
        <v>6668453.5898439996</v>
      </c>
      <c r="D442" t="s">
        <v>540</v>
      </c>
      <c r="E442">
        <v>100</v>
      </c>
      <c r="F442">
        <v>9</v>
      </c>
      <c r="G442">
        <v>4.2959427207637228E-2</v>
      </c>
      <c r="H442">
        <f t="shared" si="13"/>
        <v>17.380000000000003</v>
      </c>
      <c r="I442">
        <f t="shared" si="12"/>
        <v>209.50000000000003</v>
      </c>
      <c r="J442">
        <f>0.039*(4.19 * 50)</f>
        <v>8.1705000000000005</v>
      </c>
      <c r="K442">
        <f>0.039*(4.19 * 50)</f>
        <v>8.1705000000000005</v>
      </c>
      <c r="L442">
        <f>0.039*(4.19 * 50)</f>
        <v>8.1705000000000005</v>
      </c>
      <c r="M442">
        <f>0.038*(4.19 * 50)</f>
        <v>7.9610000000000012</v>
      </c>
      <c r="N442">
        <f>0.039*(4.19 * 50)</f>
        <v>8.1705000000000005</v>
      </c>
      <c r="O442">
        <f>0.039*(4.19 * 50)</f>
        <v>8.1705000000000005</v>
      </c>
      <c r="P442">
        <f>0.04*(4.19 * 50)</f>
        <v>8.3800000000000008</v>
      </c>
      <c r="Q442">
        <f>0.041*(4.19 * 50)</f>
        <v>8.589500000000001</v>
      </c>
      <c r="R442">
        <f>0.041*(4.19 * 50)</f>
        <v>8.589500000000001</v>
      </c>
      <c r="S442">
        <f>0.04*(4.19 * 50)</f>
        <v>8.3800000000000008</v>
      </c>
      <c r="T442">
        <f>0.04*(4.19 * 50)</f>
        <v>8.3800000000000008</v>
      </c>
      <c r="U442">
        <f>0.038*(4.19 * 50)</f>
        <v>7.9610000000000012</v>
      </c>
      <c r="V442">
        <f>0.038*(4.19 * 50)</f>
        <v>7.9610000000000012</v>
      </c>
      <c r="W442">
        <f>0.037*(4.19 * 50)</f>
        <v>7.7515000000000009</v>
      </c>
      <c r="X442">
        <f>0.037*(4.19 * 50)</f>
        <v>7.7515000000000009</v>
      </c>
      <c r="Y442">
        <f>0.037*(4.19 * 50)</f>
        <v>7.7515000000000009</v>
      </c>
      <c r="Z442">
        <f>0.038*(4.19 * 50)</f>
        <v>7.9610000000000012</v>
      </c>
      <c r="AA442">
        <f>0.038*(4.19 * 50)</f>
        <v>7.9610000000000012</v>
      </c>
      <c r="AB442">
        <f>0.039*(4.19 * 50)</f>
        <v>8.1705000000000005</v>
      </c>
      <c r="AC442">
        <f>0.04*(4.19 * 50)</f>
        <v>8.3800000000000008</v>
      </c>
      <c r="AD442">
        <f>0.04*(4.19 * 50)</f>
        <v>8.3800000000000008</v>
      </c>
      <c r="AE442">
        <f>0.041*(4.19 * 50)</f>
        <v>8.589500000000001</v>
      </c>
      <c r="AF442">
        <f>0.04*(4.19 * 50)</f>
        <v>8.3800000000000008</v>
      </c>
      <c r="AG442">
        <f>0.04*(4.19 * 50)</f>
        <v>8.3800000000000008</v>
      </c>
    </row>
    <row r="443" spans="1:33" x14ac:dyDescent="0.3">
      <c r="A443" t="s">
        <v>486</v>
      </c>
      <c r="B443">
        <v>356913.265625</v>
      </c>
      <c r="C443">
        <v>6668378.96875</v>
      </c>
      <c r="D443" t="s">
        <v>540</v>
      </c>
      <c r="E443">
        <v>100</v>
      </c>
      <c r="F443">
        <v>8</v>
      </c>
      <c r="G443">
        <v>3.8186157517899763E-2</v>
      </c>
      <c r="H443">
        <f t="shared" si="13"/>
        <v>15.542000000000002</v>
      </c>
      <c r="I443">
        <f t="shared" si="12"/>
        <v>209.50000000000003</v>
      </c>
      <c r="J443">
        <f>0.035*(4.19 * 50)</f>
        <v>7.3325000000000014</v>
      </c>
      <c r="K443">
        <f>0.035*(4.19 * 50)</f>
        <v>7.3325000000000014</v>
      </c>
      <c r="L443">
        <f>0.034*(4.19 * 50)</f>
        <v>7.1230000000000011</v>
      </c>
      <c r="M443">
        <f>0.034*(4.19 * 50)</f>
        <v>7.1230000000000011</v>
      </c>
      <c r="N443">
        <f>0.034*(4.19 * 50)</f>
        <v>7.1230000000000011</v>
      </c>
      <c r="O443">
        <f>0.035*(4.19 * 50)</f>
        <v>7.3325000000000014</v>
      </c>
      <c r="P443">
        <f>0.036*(4.19 * 50)</f>
        <v>7.5420000000000007</v>
      </c>
      <c r="Q443">
        <f>0.037*(4.19 * 50)</f>
        <v>7.7515000000000009</v>
      </c>
      <c r="R443">
        <f>0.036*(4.19 * 50)</f>
        <v>7.5420000000000007</v>
      </c>
      <c r="S443">
        <f>0.036*(4.19 * 50)</f>
        <v>7.5420000000000007</v>
      </c>
      <c r="T443">
        <f>0.036*(4.19 * 50)</f>
        <v>7.5420000000000007</v>
      </c>
      <c r="U443">
        <f>0.034*(4.19 * 50)</f>
        <v>7.1230000000000011</v>
      </c>
      <c r="V443">
        <f>0.034*(4.19 * 50)</f>
        <v>7.1230000000000011</v>
      </c>
      <c r="W443">
        <f>0.033*(4.19 * 50)</f>
        <v>6.9135000000000009</v>
      </c>
      <c r="X443">
        <f>0.033*(4.19 * 50)</f>
        <v>6.9135000000000009</v>
      </c>
      <c r="Y443">
        <f>0.033*(4.19 * 50)</f>
        <v>6.9135000000000009</v>
      </c>
      <c r="Z443">
        <f>0.033*(4.19 * 50)</f>
        <v>6.9135000000000009</v>
      </c>
      <c r="AA443">
        <f>0.034*(4.19 * 50)</f>
        <v>7.1230000000000011</v>
      </c>
      <c r="AB443">
        <f>0.035*(4.19 * 50)</f>
        <v>7.3325000000000014</v>
      </c>
      <c r="AC443">
        <f>0.035*(4.19 * 50)</f>
        <v>7.3325000000000014</v>
      </c>
      <c r="AD443">
        <f>0.036*(4.19 * 50)</f>
        <v>7.5420000000000007</v>
      </c>
      <c r="AE443">
        <f>0.036*(4.19 * 50)</f>
        <v>7.5420000000000007</v>
      </c>
      <c r="AF443">
        <f>0.036*(4.19 * 50)</f>
        <v>7.5420000000000007</v>
      </c>
      <c r="AG443">
        <f>0.035*(4.19 * 50)</f>
        <v>7.3325000000000014</v>
      </c>
    </row>
    <row r="444" spans="1:33" x14ac:dyDescent="0.3">
      <c r="A444" t="s">
        <v>487</v>
      </c>
      <c r="B444">
        <v>357029.652344</v>
      </c>
      <c r="C444">
        <v>6668430.1054689996</v>
      </c>
      <c r="D444" t="s">
        <v>540</v>
      </c>
      <c r="E444">
        <v>100</v>
      </c>
      <c r="F444">
        <v>4</v>
      </c>
      <c r="G444">
        <v>1.9093078758949882E-2</v>
      </c>
      <c r="H444">
        <f t="shared" si="13"/>
        <v>7.7710000000000008</v>
      </c>
      <c r="I444">
        <f t="shared" si="12"/>
        <v>209.50000000000003</v>
      </c>
      <c r="J444">
        <f>0.017*(4.19 * 50)</f>
        <v>3.5615000000000006</v>
      </c>
      <c r="K444">
        <f>0.017*(4.19 * 50)</f>
        <v>3.5615000000000006</v>
      </c>
      <c r="L444">
        <f>0.017*(4.19 * 50)</f>
        <v>3.5615000000000006</v>
      </c>
      <c r="M444">
        <f>0.017*(4.19 * 50)</f>
        <v>3.5615000000000006</v>
      </c>
      <c r="N444">
        <f>0.017*(4.19 * 50)</f>
        <v>3.5615000000000006</v>
      </c>
      <c r="O444">
        <f>0.017*(4.19 * 50)</f>
        <v>3.5615000000000006</v>
      </c>
      <c r="P444">
        <f>0.018*(4.19 * 50)</f>
        <v>3.7710000000000004</v>
      </c>
      <c r="Q444">
        <f>0.018*(4.19 * 50)</f>
        <v>3.7710000000000004</v>
      </c>
      <c r="R444">
        <f>0.018*(4.19 * 50)</f>
        <v>3.7710000000000004</v>
      </c>
      <c r="S444">
        <f>0.018*(4.19 * 50)</f>
        <v>3.7710000000000004</v>
      </c>
      <c r="T444">
        <f>0.018*(4.19 * 50)</f>
        <v>3.7710000000000004</v>
      </c>
      <c r="U444">
        <f>0.017*(4.19 * 50)</f>
        <v>3.5615000000000006</v>
      </c>
      <c r="V444">
        <f>0.017*(4.19 * 50)</f>
        <v>3.5615000000000006</v>
      </c>
      <c r="W444">
        <f>0.017*(4.19 * 50)</f>
        <v>3.5615000000000006</v>
      </c>
      <c r="X444">
        <f>0.017*(4.19 * 50)</f>
        <v>3.5615000000000006</v>
      </c>
      <c r="Y444">
        <f>0.017*(4.19 * 50)</f>
        <v>3.5615000000000006</v>
      </c>
      <c r="Z444">
        <f>0.017*(4.19 * 50)</f>
        <v>3.5615000000000006</v>
      </c>
      <c r="AA444">
        <f>0.017*(4.19 * 50)</f>
        <v>3.5615000000000006</v>
      </c>
      <c r="AB444">
        <f>0.017*(4.19 * 50)</f>
        <v>3.5615000000000006</v>
      </c>
      <c r="AC444">
        <f>0.018*(4.19 * 50)</f>
        <v>3.7710000000000004</v>
      </c>
      <c r="AD444">
        <f>0.018*(4.19 * 50)</f>
        <v>3.7710000000000004</v>
      </c>
      <c r="AE444">
        <f>0.018*(4.19 * 50)</f>
        <v>3.7710000000000004</v>
      </c>
      <c r="AF444">
        <f>0.018*(4.19 * 50)</f>
        <v>3.7710000000000004</v>
      </c>
      <c r="AG444">
        <f>0.018*(4.19 * 50)</f>
        <v>3.7710000000000004</v>
      </c>
    </row>
    <row r="445" spans="1:33" x14ac:dyDescent="0.3">
      <c r="A445" t="s">
        <v>488</v>
      </c>
      <c r="B445">
        <v>357059.675781</v>
      </c>
      <c r="C445">
        <v>6668417.5703130001</v>
      </c>
      <c r="D445" t="s">
        <v>540</v>
      </c>
      <c r="E445">
        <v>100</v>
      </c>
      <c r="F445">
        <v>6</v>
      </c>
      <c r="G445">
        <v>2.8639618138424819E-2</v>
      </c>
      <c r="H445">
        <f t="shared" si="13"/>
        <v>11.656500000000001</v>
      </c>
      <c r="I445">
        <f t="shared" si="12"/>
        <v>209.50000000000003</v>
      </c>
      <c r="J445">
        <f>0.026*(4.19 * 50)</f>
        <v>5.4470000000000001</v>
      </c>
      <c r="K445">
        <f>0.026*(4.19 * 50)</f>
        <v>5.4470000000000001</v>
      </c>
      <c r="L445">
        <f>0.026*(4.19 * 50)</f>
        <v>5.4470000000000001</v>
      </c>
      <c r="M445">
        <f>0.026*(4.19 * 50)</f>
        <v>5.4470000000000001</v>
      </c>
      <c r="N445">
        <f>0.026*(4.19 * 50)</f>
        <v>5.4470000000000001</v>
      </c>
      <c r="O445">
        <f>0.026*(4.19 * 50)</f>
        <v>5.4470000000000001</v>
      </c>
      <c r="P445">
        <f>0.027*(4.19 * 50)</f>
        <v>5.6565000000000003</v>
      </c>
      <c r="Q445">
        <f>0.028*(4.19 * 50)</f>
        <v>5.8660000000000005</v>
      </c>
      <c r="R445">
        <f>0.027*(4.19 * 50)</f>
        <v>5.6565000000000003</v>
      </c>
      <c r="S445">
        <f>0.027*(4.19 * 50)</f>
        <v>5.6565000000000003</v>
      </c>
      <c r="T445">
        <f>0.027*(4.19 * 50)</f>
        <v>5.6565000000000003</v>
      </c>
      <c r="U445">
        <f>0.026*(4.19 * 50)</f>
        <v>5.4470000000000001</v>
      </c>
      <c r="V445">
        <f>0.025*(4.19 * 50)</f>
        <v>5.2375000000000007</v>
      </c>
      <c r="W445">
        <f>0.025*(4.19 * 50)</f>
        <v>5.2375000000000007</v>
      </c>
      <c r="X445">
        <f>0.025*(4.19 * 50)</f>
        <v>5.2375000000000007</v>
      </c>
      <c r="Y445">
        <f>0.025*(4.19 * 50)</f>
        <v>5.2375000000000007</v>
      </c>
      <c r="Z445">
        <f>0.025*(4.19 * 50)</f>
        <v>5.2375000000000007</v>
      </c>
      <c r="AA445">
        <f>0.026*(4.19 * 50)</f>
        <v>5.4470000000000001</v>
      </c>
      <c r="AB445">
        <f>0.026*(4.19 * 50)</f>
        <v>5.4470000000000001</v>
      </c>
      <c r="AC445">
        <f>0.026*(4.19 * 50)</f>
        <v>5.4470000000000001</v>
      </c>
      <c r="AD445">
        <f>0.027*(4.19 * 50)</f>
        <v>5.6565000000000003</v>
      </c>
      <c r="AE445">
        <f>0.027*(4.19 * 50)</f>
        <v>5.6565000000000003</v>
      </c>
      <c r="AF445">
        <f>0.027*(4.19 * 50)</f>
        <v>5.6565000000000003</v>
      </c>
      <c r="AG445">
        <f>0.026*(4.19 * 50)</f>
        <v>5.4470000000000001</v>
      </c>
    </row>
    <row r="446" spans="1:33" x14ac:dyDescent="0.3">
      <c r="A446" t="s">
        <v>489</v>
      </c>
      <c r="B446">
        <v>357053.640625</v>
      </c>
      <c r="C446">
        <v>6668443.796875</v>
      </c>
      <c r="D446" t="s">
        <v>540</v>
      </c>
      <c r="E446">
        <v>100</v>
      </c>
      <c r="F446">
        <v>4</v>
      </c>
      <c r="G446">
        <v>1.9093078758949882E-2</v>
      </c>
      <c r="H446">
        <f t="shared" si="13"/>
        <v>7.7710000000000008</v>
      </c>
      <c r="I446">
        <f t="shared" si="12"/>
        <v>209.50000000000003</v>
      </c>
      <c r="J446">
        <f>0.017*(4.19 * 50)</f>
        <v>3.5615000000000006</v>
      </c>
      <c r="K446">
        <f>0.017*(4.19 * 50)</f>
        <v>3.5615000000000006</v>
      </c>
      <c r="L446">
        <f>0.017*(4.19 * 50)</f>
        <v>3.5615000000000006</v>
      </c>
      <c r="M446">
        <f>0.017*(4.19 * 50)</f>
        <v>3.5615000000000006</v>
      </c>
      <c r="N446">
        <f>0.017*(4.19 * 50)</f>
        <v>3.5615000000000006</v>
      </c>
      <c r="O446">
        <f>0.017*(4.19 * 50)</f>
        <v>3.5615000000000006</v>
      </c>
      <c r="P446">
        <f>0.018*(4.19 * 50)</f>
        <v>3.7710000000000004</v>
      </c>
      <c r="Q446">
        <f>0.018*(4.19 * 50)</f>
        <v>3.7710000000000004</v>
      </c>
      <c r="R446">
        <f>0.018*(4.19 * 50)</f>
        <v>3.7710000000000004</v>
      </c>
      <c r="S446">
        <f>0.018*(4.19 * 50)</f>
        <v>3.7710000000000004</v>
      </c>
      <c r="T446">
        <f>0.018*(4.19 * 50)</f>
        <v>3.7710000000000004</v>
      </c>
      <c r="U446">
        <f>0.017*(4.19 * 50)</f>
        <v>3.5615000000000006</v>
      </c>
      <c r="V446">
        <f>0.017*(4.19 * 50)</f>
        <v>3.5615000000000006</v>
      </c>
      <c r="W446">
        <f>0.017*(4.19 * 50)</f>
        <v>3.5615000000000006</v>
      </c>
      <c r="X446">
        <f>0.017*(4.19 * 50)</f>
        <v>3.5615000000000006</v>
      </c>
      <c r="Y446">
        <f>0.017*(4.19 * 50)</f>
        <v>3.5615000000000006</v>
      </c>
      <c r="Z446">
        <f>0.017*(4.19 * 50)</f>
        <v>3.5615000000000006</v>
      </c>
      <c r="AA446">
        <f>0.017*(4.19 * 50)</f>
        <v>3.5615000000000006</v>
      </c>
      <c r="AB446">
        <f>0.017*(4.19 * 50)</f>
        <v>3.5615000000000006</v>
      </c>
      <c r="AC446">
        <f>0.018*(4.19 * 50)</f>
        <v>3.7710000000000004</v>
      </c>
      <c r="AD446">
        <f>0.018*(4.19 * 50)</f>
        <v>3.7710000000000004</v>
      </c>
      <c r="AE446">
        <f>0.018*(4.19 * 50)</f>
        <v>3.7710000000000004</v>
      </c>
      <c r="AF446">
        <f>0.018*(4.19 * 50)</f>
        <v>3.7710000000000004</v>
      </c>
      <c r="AG446">
        <f>0.018*(4.19 * 50)</f>
        <v>3.7710000000000004</v>
      </c>
    </row>
    <row r="447" spans="1:33" x14ac:dyDescent="0.3">
      <c r="A447" t="s">
        <v>490</v>
      </c>
      <c r="B447">
        <v>356993.148438</v>
      </c>
      <c r="C447">
        <v>6668511.859375</v>
      </c>
      <c r="D447" t="s">
        <v>540</v>
      </c>
      <c r="E447">
        <v>100</v>
      </c>
      <c r="F447">
        <v>4</v>
      </c>
      <c r="G447">
        <v>1.9093078758949882E-2</v>
      </c>
      <c r="H447">
        <f t="shared" si="13"/>
        <v>7.7710000000000008</v>
      </c>
      <c r="I447">
        <f t="shared" si="12"/>
        <v>209.50000000000003</v>
      </c>
      <c r="J447">
        <f>0.017*(4.19 * 50)</f>
        <v>3.5615000000000006</v>
      </c>
      <c r="K447">
        <f>0.017*(4.19 * 50)</f>
        <v>3.5615000000000006</v>
      </c>
      <c r="L447">
        <f>0.017*(4.19 * 50)</f>
        <v>3.5615000000000006</v>
      </c>
      <c r="M447">
        <f>0.017*(4.19 * 50)</f>
        <v>3.5615000000000006</v>
      </c>
      <c r="N447">
        <f>0.017*(4.19 * 50)</f>
        <v>3.5615000000000006</v>
      </c>
      <c r="O447">
        <f>0.017*(4.19 * 50)</f>
        <v>3.5615000000000006</v>
      </c>
      <c r="P447">
        <f>0.018*(4.19 * 50)</f>
        <v>3.7710000000000004</v>
      </c>
      <c r="Q447">
        <f>0.018*(4.19 * 50)</f>
        <v>3.7710000000000004</v>
      </c>
      <c r="R447">
        <f>0.018*(4.19 * 50)</f>
        <v>3.7710000000000004</v>
      </c>
      <c r="S447">
        <f>0.018*(4.19 * 50)</f>
        <v>3.7710000000000004</v>
      </c>
      <c r="T447">
        <f>0.018*(4.19 * 50)</f>
        <v>3.7710000000000004</v>
      </c>
      <c r="U447">
        <f>0.017*(4.19 * 50)</f>
        <v>3.5615000000000006</v>
      </c>
      <c r="V447">
        <f>0.017*(4.19 * 50)</f>
        <v>3.5615000000000006</v>
      </c>
      <c r="W447">
        <f>0.017*(4.19 * 50)</f>
        <v>3.5615000000000006</v>
      </c>
      <c r="X447">
        <f>0.017*(4.19 * 50)</f>
        <v>3.5615000000000006</v>
      </c>
      <c r="Y447">
        <f>0.017*(4.19 * 50)</f>
        <v>3.5615000000000006</v>
      </c>
      <c r="Z447">
        <f>0.017*(4.19 * 50)</f>
        <v>3.5615000000000006</v>
      </c>
      <c r="AA447">
        <f>0.017*(4.19 * 50)</f>
        <v>3.5615000000000006</v>
      </c>
      <c r="AB447">
        <f>0.017*(4.19 * 50)</f>
        <v>3.5615000000000006</v>
      </c>
      <c r="AC447">
        <f>0.018*(4.19 * 50)</f>
        <v>3.7710000000000004</v>
      </c>
      <c r="AD447">
        <f>0.018*(4.19 * 50)</f>
        <v>3.7710000000000004</v>
      </c>
      <c r="AE447">
        <f>0.018*(4.19 * 50)</f>
        <v>3.7710000000000004</v>
      </c>
      <c r="AF447">
        <f>0.018*(4.19 * 50)</f>
        <v>3.7710000000000004</v>
      </c>
      <c r="AG447">
        <f>0.018*(4.19 * 50)</f>
        <v>3.7710000000000004</v>
      </c>
    </row>
    <row r="448" spans="1:33" x14ac:dyDescent="0.3">
      <c r="A448" t="s">
        <v>491</v>
      </c>
      <c r="B448">
        <v>356995.578125</v>
      </c>
      <c r="C448">
        <v>6668498.9375</v>
      </c>
      <c r="D448" t="s">
        <v>540</v>
      </c>
      <c r="E448">
        <v>100</v>
      </c>
      <c r="F448">
        <v>5</v>
      </c>
      <c r="G448">
        <v>2.386634844868735E-2</v>
      </c>
      <c r="H448">
        <f t="shared" si="13"/>
        <v>9.609</v>
      </c>
      <c r="I448">
        <f t="shared" si="12"/>
        <v>209.50000000000003</v>
      </c>
      <c r="J448">
        <f>0.022*(4.19 * 50)</f>
        <v>4.609</v>
      </c>
      <c r="K448">
        <f>0.022*(4.19 * 50)</f>
        <v>4.609</v>
      </c>
      <c r="L448">
        <f>0.021*(4.19 * 50)</f>
        <v>4.3995000000000006</v>
      </c>
      <c r="M448">
        <f>0.021*(4.19 * 50)</f>
        <v>4.3995000000000006</v>
      </c>
      <c r="N448">
        <f>0.021*(4.19 * 50)</f>
        <v>4.3995000000000006</v>
      </c>
      <c r="O448">
        <f>0.022*(4.19 * 50)</f>
        <v>4.609</v>
      </c>
      <c r="P448">
        <f>0.022*(4.19 * 50)</f>
        <v>4.609</v>
      </c>
      <c r="Q448">
        <f>0.023*(4.19 * 50)</f>
        <v>4.8185000000000002</v>
      </c>
      <c r="R448">
        <f>0.023*(4.19 * 50)</f>
        <v>4.8185000000000002</v>
      </c>
      <c r="S448">
        <f>0.022*(4.19 * 50)</f>
        <v>4.609</v>
      </c>
      <c r="T448">
        <f>0.022*(4.19 * 50)</f>
        <v>4.609</v>
      </c>
      <c r="U448">
        <f>0.021*(4.19 * 50)</f>
        <v>4.3995000000000006</v>
      </c>
      <c r="V448">
        <f>0.021*(4.19 * 50)</f>
        <v>4.3995000000000006</v>
      </c>
      <c r="W448">
        <f>0.021*(4.19 * 50)</f>
        <v>4.3995000000000006</v>
      </c>
      <c r="X448">
        <f>0.021*(4.19 * 50)</f>
        <v>4.3995000000000006</v>
      </c>
      <c r="Y448">
        <f>0.021*(4.19 * 50)</f>
        <v>4.3995000000000006</v>
      </c>
      <c r="Z448">
        <f>0.021*(4.19 * 50)</f>
        <v>4.3995000000000006</v>
      </c>
      <c r="AA448">
        <f>0.021*(4.19 * 50)</f>
        <v>4.3995000000000006</v>
      </c>
      <c r="AB448">
        <f>0.022*(4.19 * 50)</f>
        <v>4.609</v>
      </c>
      <c r="AC448">
        <f>0.022*(4.19 * 50)</f>
        <v>4.609</v>
      </c>
      <c r="AD448">
        <f>0.022*(4.19 * 50)</f>
        <v>4.609</v>
      </c>
      <c r="AE448">
        <f>0.023*(4.19 * 50)</f>
        <v>4.8185000000000002</v>
      </c>
      <c r="AF448">
        <f>0.022*(4.19 * 50)</f>
        <v>4.609</v>
      </c>
      <c r="AG448">
        <f>0.022*(4.19 * 50)</f>
        <v>4.609</v>
      </c>
    </row>
    <row r="449" spans="1:33" x14ac:dyDescent="0.3">
      <c r="A449" t="s">
        <v>492</v>
      </c>
      <c r="B449">
        <v>357005.972656</v>
      </c>
      <c r="C449">
        <v>6668514.921875</v>
      </c>
      <c r="D449" t="s">
        <v>540</v>
      </c>
      <c r="E449">
        <v>100</v>
      </c>
      <c r="F449">
        <v>6</v>
      </c>
      <c r="G449">
        <v>2.8639618138424819E-2</v>
      </c>
      <c r="H449">
        <f t="shared" si="13"/>
        <v>11.656500000000001</v>
      </c>
      <c r="I449">
        <f t="shared" si="12"/>
        <v>209.50000000000003</v>
      </c>
      <c r="J449">
        <f>0.026*(4.19 * 50)</f>
        <v>5.4470000000000001</v>
      </c>
      <c r="K449">
        <f>0.026*(4.19 * 50)</f>
        <v>5.4470000000000001</v>
      </c>
      <c r="L449">
        <f>0.026*(4.19 * 50)</f>
        <v>5.4470000000000001</v>
      </c>
      <c r="M449">
        <f>0.026*(4.19 * 50)</f>
        <v>5.4470000000000001</v>
      </c>
      <c r="N449">
        <f>0.026*(4.19 * 50)</f>
        <v>5.4470000000000001</v>
      </c>
      <c r="O449">
        <f>0.026*(4.19 * 50)</f>
        <v>5.4470000000000001</v>
      </c>
      <c r="P449">
        <f>0.027*(4.19 * 50)</f>
        <v>5.6565000000000003</v>
      </c>
      <c r="Q449">
        <f>0.028*(4.19 * 50)</f>
        <v>5.8660000000000005</v>
      </c>
      <c r="R449">
        <f>0.027*(4.19 * 50)</f>
        <v>5.6565000000000003</v>
      </c>
      <c r="S449">
        <f>0.027*(4.19 * 50)</f>
        <v>5.6565000000000003</v>
      </c>
      <c r="T449">
        <f>0.027*(4.19 * 50)</f>
        <v>5.6565000000000003</v>
      </c>
      <c r="U449">
        <f>0.026*(4.19 * 50)</f>
        <v>5.4470000000000001</v>
      </c>
      <c r="V449">
        <f>0.025*(4.19 * 50)</f>
        <v>5.2375000000000007</v>
      </c>
      <c r="W449">
        <f>0.025*(4.19 * 50)</f>
        <v>5.2375000000000007</v>
      </c>
      <c r="X449">
        <f>0.025*(4.19 * 50)</f>
        <v>5.2375000000000007</v>
      </c>
      <c r="Y449">
        <f>0.025*(4.19 * 50)</f>
        <v>5.2375000000000007</v>
      </c>
      <c r="Z449">
        <f>0.025*(4.19 * 50)</f>
        <v>5.2375000000000007</v>
      </c>
      <c r="AA449">
        <f>0.026*(4.19 * 50)</f>
        <v>5.4470000000000001</v>
      </c>
      <c r="AB449">
        <f>0.026*(4.19 * 50)</f>
        <v>5.4470000000000001</v>
      </c>
      <c r="AC449">
        <f>0.026*(4.19 * 50)</f>
        <v>5.4470000000000001</v>
      </c>
      <c r="AD449">
        <f>0.027*(4.19 * 50)</f>
        <v>5.6565000000000003</v>
      </c>
      <c r="AE449">
        <f>0.027*(4.19 * 50)</f>
        <v>5.6565000000000003</v>
      </c>
      <c r="AF449">
        <f>0.027*(4.19 * 50)</f>
        <v>5.6565000000000003</v>
      </c>
      <c r="AG449">
        <f>0.026*(4.19 * 50)</f>
        <v>5.4470000000000001</v>
      </c>
    </row>
    <row r="450" spans="1:33" x14ac:dyDescent="0.3">
      <c r="A450" t="s">
        <v>493</v>
      </c>
      <c r="B450">
        <v>357026.996094</v>
      </c>
      <c r="C450">
        <v>6668509.9726560004</v>
      </c>
      <c r="D450" t="s">
        <v>540</v>
      </c>
      <c r="E450">
        <v>100</v>
      </c>
      <c r="F450">
        <v>5</v>
      </c>
      <c r="G450">
        <v>2.386634844868735E-2</v>
      </c>
      <c r="H450">
        <f t="shared" si="13"/>
        <v>9.609</v>
      </c>
      <c r="I450">
        <f t="shared" si="12"/>
        <v>209.50000000000003</v>
      </c>
      <c r="J450">
        <f>0.022*(4.19 * 50)</f>
        <v>4.609</v>
      </c>
      <c r="K450">
        <f>0.022*(4.19 * 50)</f>
        <v>4.609</v>
      </c>
      <c r="L450">
        <f>0.021*(4.19 * 50)</f>
        <v>4.3995000000000006</v>
      </c>
      <c r="M450">
        <f>0.021*(4.19 * 50)</f>
        <v>4.3995000000000006</v>
      </c>
      <c r="N450">
        <f>0.021*(4.19 * 50)</f>
        <v>4.3995000000000006</v>
      </c>
      <c r="O450">
        <f>0.022*(4.19 * 50)</f>
        <v>4.609</v>
      </c>
      <c r="P450">
        <f>0.022*(4.19 * 50)</f>
        <v>4.609</v>
      </c>
      <c r="Q450">
        <f>0.023*(4.19 * 50)</f>
        <v>4.8185000000000002</v>
      </c>
      <c r="R450">
        <f>0.023*(4.19 * 50)</f>
        <v>4.8185000000000002</v>
      </c>
      <c r="S450">
        <f>0.022*(4.19 * 50)</f>
        <v>4.609</v>
      </c>
      <c r="T450">
        <f>0.022*(4.19 * 50)</f>
        <v>4.609</v>
      </c>
      <c r="U450">
        <f>0.021*(4.19 * 50)</f>
        <v>4.3995000000000006</v>
      </c>
      <c r="V450">
        <f>0.021*(4.19 * 50)</f>
        <v>4.3995000000000006</v>
      </c>
      <c r="W450">
        <f>0.021*(4.19 * 50)</f>
        <v>4.3995000000000006</v>
      </c>
      <c r="X450">
        <f>0.021*(4.19 * 50)</f>
        <v>4.3995000000000006</v>
      </c>
      <c r="Y450">
        <f>0.021*(4.19 * 50)</f>
        <v>4.3995000000000006</v>
      </c>
      <c r="Z450">
        <f>0.021*(4.19 * 50)</f>
        <v>4.3995000000000006</v>
      </c>
      <c r="AA450">
        <f>0.021*(4.19 * 50)</f>
        <v>4.3995000000000006</v>
      </c>
      <c r="AB450">
        <f>0.022*(4.19 * 50)</f>
        <v>4.609</v>
      </c>
      <c r="AC450">
        <f>0.022*(4.19 * 50)</f>
        <v>4.609</v>
      </c>
      <c r="AD450">
        <f>0.022*(4.19 * 50)</f>
        <v>4.609</v>
      </c>
      <c r="AE450">
        <f>0.023*(4.19 * 50)</f>
        <v>4.8185000000000002</v>
      </c>
      <c r="AF450">
        <f>0.022*(4.19 * 50)</f>
        <v>4.609</v>
      </c>
      <c r="AG450">
        <f>0.022*(4.19 * 50)</f>
        <v>4.609</v>
      </c>
    </row>
    <row r="451" spans="1:33" x14ac:dyDescent="0.3">
      <c r="A451" t="s">
        <v>494</v>
      </c>
      <c r="B451">
        <v>357069.011719</v>
      </c>
      <c r="C451">
        <v>6668519.1757810004</v>
      </c>
      <c r="D451" t="s">
        <v>540</v>
      </c>
      <c r="E451">
        <v>100</v>
      </c>
      <c r="F451">
        <v>6</v>
      </c>
      <c r="G451">
        <v>2.8639618138424819E-2</v>
      </c>
      <c r="H451">
        <f t="shared" si="13"/>
        <v>11.656500000000001</v>
      </c>
      <c r="I451">
        <f t="shared" ref="I451:I496" si="14">4.19 * 50</f>
        <v>209.50000000000003</v>
      </c>
      <c r="J451">
        <f>0.026*(4.19 * 50)</f>
        <v>5.4470000000000001</v>
      </c>
      <c r="K451">
        <f>0.026*(4.19 * 50)</f>
        <v>5.4470000000000001</v>
      </c>
      <c r="L451">
        <f>0.026*(4.19 * 50)</f>
        <v>5.4470000000000001</v>
      </c>
      <c r="M451">
        <f>0.026*(4.19 * 50)</f>
        <v>5.4470000000000001</v>
      </c>
      <c r="N451">
        <f>0.026*(4.19 * 50)</f>
        <v>5.4470000000000001</v>
      </c>
      <c r="O451">
        <f>0.026*(4.19 * 50)</f>
        <v>5.4470000000000001</v>
      </c>
      <c r="P451">
        <f>0.027*(4.19 * 50)</f>
        <v>5.6565000000000003</v>
      </c>
      <c r="Q451">
        <f>0.028*(4.19 * 50)</f>
        <v>5.8660000000000005</v>
      </c>
      <c r="R451">
        <f>0.027*(4.19 * 50)</f>
        <v>5.6565000000000003</v>
      </c>
      <c r="S451">
        <f>0.027*(4.19 * 50)</f>
        <v>5.6565000000000003</v>
      </c>
      <c r="T451">
        <f>0.027*(4.19 * 50)</f>
        <v>5.6565000000000003</v>
      </c>
      <c r="U451">
        <f>0.026*(4.19 * 50)</f>
        <v>5.4470000000000001</v>
      </c>
      <c r="V451">
        <f>0.025*(4.19 * 50)</f>
        <v>5.2375000000000007</v>
      </c>
      <c r="W451">
        <f>0.025*(4.19 * 50)</f>
        <v>5.2375000000000007</v>
      </c>
      <c r="X451">
        <f>0.025*(4.19 * 50)</f>
        <v>5.2375000000000007</v>
      </c>
      <c r="Y451">
        <f>0.025*(4.19 * 50)</f>
        <v>5.2375000000000007</v>
      </c>
      <c r="Z451">
        <f>0.025*(4.19 * 50)</f>
        <v>5.2375000000000007</v>
      </c>
      <c r="AA451">
        <f>0.026*(4.19 * 50)</f>
        <v>5.4470000000000001</v>
      </c>
      <c r="AB451">
        <f>0.026*(4.19 * 50)</f>
        <v>5.4470000000000001</v>
      </c>
      <c r="AC451">
        <f>0.026*(4.19 * 50)</f>
        <v>5.4470000000000001</v>
      </c>
      <c r="AD451">
        <f>0.027*(4.19 * 50)</f>
        <v>5.6565000000000003</v>
      </c>
      <c r="AE451">
        <f>0.027*(4.19 * 50)</f>
        <v>5.6565000000000003</v>
      </c>
      <c r="AF451">
        <f>0.027*(4.19 * 50)</f>
        <v>5.6565000000000003</v>
      </c>
      <c r="AG451">
        <f>0.026*(4.19 * 50)</f>
        <v>5.4470000000000001</v>
      </c>
    </row>
    <row r="452" spans="1:33" x14ac:dyDescent="0.3">
      <c r="A452" t="s">
        <v>495</v>
      </c>
      <c r="B452">
        <v>357031.652344</v>
      </c>
      <c r="C452">
        <v>6668479.5507810004</v>
      </c>
      <c r="D452" t="s">
        <v>540</v>
      </c>
      <c r="E452">
        <v>100</v>
      </c>
      <c r="F452">
        <v>7</v>
      </c>
      <c r="G452">
        <v>3.3412887828162277E-2</v>
      </c>
      <c r="H452">
        <f t="shared" ref="H452:H496" si="15">F452+P452</f>
        <v>13.494500000000002</v>
      </c>
      <c r="I452">
        <f t="shared" si="14"/>
        <v>209.50000000000003</v>
      </c>
      <c r="J452">
        <f>0.03*(4.19 * 50)</f>
        <v>6.285000000000001</v>
      </c>
      <c r="K452">
        <f>0.03*(4.19 * 50)</f>
        <v>6.285000000000001</v>
      </c>
      <c r="L452">
        <f>0.03*(4.19 * 50)</f>
        <v>6.285000000000001</v>
      </c>
      <c r="M452">
        <f>0.03*(4.19 * 50)</f>
        <v>6.285000000000001</v>
      </c>
      <c r="N452">
        <f>0.03*(4.19 * 50)</f>
        <v>6.285000000000001</v>
      </c>
      <c r="O452">
        <f>0.03*(4.19 * 50)</f>
        <v>6.285000000000001</v>
      </c>
      <c r="P452">
        <f>0.031*(4.19 * 50)</f>
        <v>6.4945000000000013</v>
      </c>
      <c r="Q452">
        <f>0.032*(4.19 * 50)</f>
        <v>6.7040000000000006</v>
      </c>
      <c r="R452">
        <f>0.032*(4.19 * 50)</f>
        <v>6.7040000000000006</v>
      </c>
      <c r="S452">
        <f>0.031*(4.19 * 50)</f>
        <v>6.4945000000000013</v>
      </c>
      <c r="T452">
        <f>0.031*(4.19 * 50)</f>
        <v>6.4945000000000013</v>
      </c>
      <c r="U452">
        <f>0.03*(4.19 * 50)</f>
        <v>6.285000000000001</v>
      </c>
      <c r="V452">
        <f>0.029*(4.19 * 50)</f>
        <v>6.0755000000000008</v>
      </c>
      <c r="W452">
        <f>0.029*(4.19 * 50)</f>
        <v>6.0755000000000008</v>
      </c>
      <c r="X452">
        <f>0.029*(4.19 * 50)</f>
        <v>6.0755000000000008</v>
      </c>
      <c r="Y452">
        <f>0.029*(4.19 * 50)</f>
        <v>6.0755000000000008</v>
      </c>
      <c r="Z452">
        <f>0.029*(4.19 * 50)</f>
        <v>6.0755000000000008</v>
      </c>
      <c r="AA452">
        <f>0.03*(4.19 * 50)</f>
        <v>6.285000000000001</v>
      </c>
      <c r="AB452">
        <f>0.03*(4.19 * 50)</f>
        <v>6.285000000000001</v>
      </c>
      <c r="AC452">
        <f>0.031*(4.19 * 50)</f>
        <v>6.4945000000000013</v>
      </c>
      <c r="AD452">
        <f>0.031*(4.19 * 50)</f>
        <v>6.4945000000000013</v>
      </c>
      <c r="AE452">
        <f>0.032*(4.19 * 50)</f>
        <v>6.7040000000000006</v>
      </c>
      <c r="AF452">
        <f>0.031*(4.19 * 50)</f>
        <v>6.4945000000000013</v>
      </c>
      <c r="AG452">
        <f>0.031*(4.19 * 50)</f>
        <v>6.4945000000000013</v>
      </c>
    </row>
    <row r="453" spans="1:33" x14ac:dyDescent="0.3">
      <c r="A453" t="s">
        <v>496</v>
      </c>
      <c r="B453">
        <v>357053.648438</v>
      </c>
      <c r="C453">
        <v>6668481.25</v>
      </c>
      <c r="D453" t="s">
        <v>540</v>
      </c>
      <c r="E453">
        <v>100</v>
      </c>
      <c r="F453">
        <v>5</v>
      </c>
      <c r="G453">
        <v>2.386634844868735E-2</v>
      </c>
      <c r="H453">
        <f t="shared" si="15"/>
        <v>9.609</v>
      </c>
      <c r="I453">
        <f t="shared" si="14"/>
        <v>209.50000000000003</v>
      </c>
      <c r="J453">
        <f>0.022*(4.19 * 50)</f>
        <v>4.609</v>
      </c>
      <c r="K453">
        <f>0.022*(4.19 * 50)</f>
        <v>4.609</v>
      </c>
      <c r="L453">
        <f>0.021*(4.19 * 50)</f>
        <v>4.3995000000000006</v>
      </c>
      <c r="M453">
        <f>0.021*(4.19 * 50)</f>
        <v>4.3995000000000006</v>
      </c>
      <c r="N453">
        <f>0.021*(4.19 * 50)</f>
        <v>4.3995000000000006</v>
      </c>
      <c r="O453">
        <f>0.022*(4.19 * 50)</f>
        <v>4.609</v>
      </c>
      <c r="P453">
        <f>0.022*(4.19 * 50)</f>
        <v>4.609</v>
      </c>
      <c r="Q453">
        <f>0.023*(4.19 * 50)</f>
        <v>4.8185000000000002</v>
      </c>
      <c r="R453">
        <f>0.023*(4.19 * 50)</f>
        <v>4.8185000000000002</v>
      </c>
      <c r="S453">
        <f>0.022*(4.19 * 50)</f>
        <v>4.609</v>
      </c>
      <c r="T453">
        <f>0.022*(4.19 * 50)</f>
        <v>4.609</v>
      </c>
      <c r="U453">
        <f>0.021*(4.19 * 50)</f>
        <v>4.3995000000000006</v>
      </c>
      <c r="V453">
        <f>0.021*(4.19 * 50)</f>
        <v>4.3995000000000006</v>
      </c>
      <c r="W453">
        <f>0.021*(4.19 * 50)</f>
        <v>4.3995000000000006</v>
      </c>
      <c r="X453">
        <f>0.021*(4.19 * 50)</f>
        <v>4.3995000000000006</v>
      </c>
      <c r="Y453">
        <f>0.021*(4.19 * 50)</f>
        <v>4.3995000000000006</v>
      </c>
      <c r="Z453">
        <f>0.021*(4.19 * 50)</f>
        <v>4.3995000000000006</v>
      </c>
      <c r="AA453">
        <f>0.021*(4.19 * 50)</f>
        <v>4.3995000000000006</v>
      </c>
      <c r="AB453">
        <f>0.022*(4.19 * 50)</f>
        <v>4.609</v>
      </c>
      <c r="AC453">
        <f>0.022*(4.19 * 50)</f>
        <v>4.609</v>
      </c>
      <c r="AD453">
        <f>0.022*(4.19 * 50)</f>
        <v>4.609</v>
      </c>
      <c r="AE453">
        <f>0.023*(4.19 * 50)</f>
        <v>4.8185000000000002</v>
      </c>
      <c r="AF453">
        <f>0.022*(4.19 * 50)</f>
        <v>4.609</v>
      </c>
      <c r="AG453">
        <f>0.022*(4.19 * 50)</f>
        <v>4.609</v>
      </c>
    </row>
    <row r="454" spans="1:33" x14ac:dyDescent="0.3">
      <c r="A454" t="s">
        <v>497</v>
      </c>
      <c r="B454">
        <v>356808.261719</v>
      </c>
      <c r="C454">
        <v>6668102.2617189996</v>
      </c>
      <c r="D454" t="s">
        <v>540</v>
      </c>
      <c r="E454">
        <v>100</v>
      </c>
      <c r="F454">
        <v>5</v>
      </c>
      <c r="G454">
        <v>2.386634844868735E-2</v>
      </c>
      <c r="H454">
        <f t="shared" si="15"/>
        <v>9.609</v>
      </c>
      <c r="I454">
        <f t="shared" si="14"/>
        <v>209.50000000000003</v>
      </c>
      <c r="J454">
        <f>0.022*(4.19 * 50)</f>
        <v>4.609</v>
      </c>
      <c r="K454">
        <f>0.022*(4.19 * 50)</f>
        <v>4.609</v>
      </c>
      <c r="L454">
        <f>0.021*(4.19 * 50)</f>
        <v>4.3995000000000006</v>
      </c>
      <c r="M454">
        <f>0.021*(4.19 * 50)</f>
        <v>4.3995000000000006</v>
      </c>
      <c r="N454">
        <f>0.021*(4.19 * 50)</f>
        <v>4.3995000000000006</v>
      </c>
      <c r="O454">
        <f>0.022*(4.19 * 50)</f>
        <v>4.609</v>
      </c>
      <c r="P454">
        <f>0.022*(4.19 * 50)</f>
        <v>4.609</v>
      </c>
      <c r="Q454">
        <f>0.023*(4.19 * 50)</f>
        <v>4.8185000000000002</v>
      </c>
      <c r="R454">
        <f>0.023*(4.19 * 50)</f>
        <v>4.8185000000000002</v>
      </c>
      <c r="S454">
        <f>0.022*(4.19 * 50)</f>
        <v>4.609</v>
      </c>
      <c r="T454">
        <f>0.022*(4.19 * 50)</f>
        <v>4.609</v>
      </c>
      <c r="U454">
        <f>0.021*(4.19 * 50)</f>
        <v>4.3995000000000006</v>
      </c>
      <c r="V454">
        <f>0.021*(4.19 * 50)</f>
        <v>4.3995000000000006</v>
      </c>
      <c r="W454">
        <f>0.021*(4.19 * 50)</f>
        <v>4.3995000000000006</v>
      </c>
      <c r="X454">
        <f>0.021*(4.19 * 50)</f>
        <v>4.3995000000000006</v>
      </c>
      <c r="Y454">
        <f>0.021*(4.19 * 50)</f>
        <v>4.3995000000000006</v>
      </c>
      <c r="Z454">
        <f>0.021*(4.19 * 50)</f>
        <v>4.3995000000000006</v>
      </c>
      <c r="AA454">
        <f>0.021*(4.19 * 50)</f>
        <v>4.3995000000000006</v>
      </c>
      <c r="AB454">
        <f>0.022*(4.19 * 50)</f>
        <v>4.609</v>
      </c>
      <c r="AC454">
        <f>0.022*(4.19 * 50)</f>
        <v>4.609</v>
      </c>
      <c r="AD454">
        <f>0.022*(4.19 * 50)</f>
        <v>4.609</v>
      </c>
      <c r="AE454">
        <f>0.023*(4.19 * 50)</f>
        <v>4.8185000000000002</v>
      </c>
      <c r="AF454">
        <f>0.022*(4.19 * 50)</f>
        <v>4.609</v>
      </c>
      <c r="AG454">
        <f>0.022*(4.19 * 50)</f>
        <v>4.609</v>
      </c>
    </row>
    <row r="455" spans="1:33" x14ac:dyDescent="0.3">
      <c r="A455" t="s">
        <v>498</v>
      </c>
      <c r="B455">
        <v>356809.09375</v>
      </c>
      <c r="C455">
        <v>6668085.578125</v>
      </c>
      <c r="D455" t="s">
        <v>540</v>
      </c>
      <c r="E455">
        <v>100</v>
      </c>
      <c r="F455">
        <v>6</v>
      </c>
      <c r="G455">
        <v>2.8639618138424819E-2</v>
      </c>
      <c r="H455">
        <f t="shared" si="15"/>
        <v>11.656500000000001</v>
      </c>
      <c r="I455">
        <f t="shared" si="14"/>
        <v>209.50000000000003</v>
      </c>
      <c r="J455">
        <f>0.026*(4.19 * 50)</f>
        <v>5.4470000000000001</v>
      </c>
      <c r="K455">
        <f>0.026*(4.19 * 50)</f>
        <v>5.4470000000000001</v>
      </c>
      <c r="L455">
        <f>0.026*(4.19 * 50)</f>
        <v>5.4470000000000001</v>
      </c>
      <c r="M455">
        <f>0.026*(4.19 * 50)</f>
        <v>5.4470000000000001</v>
      </c>
      <c r="N455">
        <f>0.026*(4.19 * 50)</f>
        <v>5.4470000000000001</v>
      </c>
      <c r="O455">
        <f>0.026*(4.19 * 50)</f>
        <v>5.4470000000000001</v>
      </c>
      <c r="P455">
        <f>0.027*(4.19 * 50)</f>
        <v>5.6565000000000003</v>
      </c>
      <c r="Q455">
        <f>0.028*(4.19 * 50)</f>
        <v>5.8660000000000005</v>
      </c>
      <c r="R455">
        <f>0.027*(4.19 * 50)</f>
        <v>5.6565000000000003</v>
      </c>
      <c r="S455">
        <f>0.027*(4.19 * 50)</f>
        <v>5.6565000000000003</v>
      </c>
      <c r="T455">
        <f>0.027*(4.19 * 50)</f>
        <v>5.6565000000000003</v>
      </c>
      <c r="U455">
        <f>0.026*(4.19 * 50)</f>
        <v>5.4470000000000001</v>
      </c>
      <c r="V455">
        <f>0.025*(4.19 * 50)</f>
        <v>5.2375000000000007</v>
      </c>
      <c r="W455">
        <f>0.025*(4.19 * 50)</f>
        <v>5.2375000000000007</v>
      </c>
      <c r="X455">
        <f>0.025*(4.19 * 50)</f>
        <v>5.2375000000000007</v>
      </c>
      <c r="Y455">
        <f>0.025*(4.19 * 50)</f>
        <v>5.2375000000000007</v>
      </c>
      <c r="Z455">
        <f>0.025*(4.19 * 50)</f>
        <v>5.2375000000000007</v>
      </c>
      <c r="AA455">
        <f>0.026*(4.19 * 50)</f>
        <v>5.4470000000000001</v>
      </c>
      <c r="AB455">
        <f>0.026*(4.19 * 50)</f>
        <v>5.4470000000000001</v>
      </c>
      <c r="AC455">
        <f>0.026*(4.19 * 50)</f>
        <v>5.4470000000000001</v>
      </c>
      <c r="AD455">
        <f>0.027*(4.19 * 50)</f>
        <v>5.6565000000000003</v>
      </c>
      <c r="AE455">
        <f>0.027*(4.19 * 50)</f>
        <v>5.6565000000000003</v>
      </c>
      <c r="AF455">
        <f>0.027*(4.19 * 50)</f>
        <v>5.6565000000000003</v>
      </c>
      <c r="AG455">
        <f>0.026*(4.19 * 50)</f>
        <v>5.4470000000000001</v>
      </c>
    </row>
    <row r="456" spans="1:33" x14ac:dyDescent="0.3">
      <c r="A456" t="s">
        <v>499</v>
      </c>
      <c r="B456">
        <v>356955.53125</v>
      </c>
      <c r="C456">
        <v>6667876.4921880001</v>
      </c>
      <c r="D456" t="s">
        <v>540</v>
      </c>
      <c r="E456">
        <v>100</v>
      </c>
      <c r="F456">
        <v>6</v>
      </c>
      <c r="G456">
        <v>2.8639618138424819E-2</v>
      </c>
      <c r="H456">
        <f t="shared" si="15"/>
        <v>11.656500000000001</v>
      </c>
      <c r="I456">
        <f t="shared" si="14"/>
        <v>209.50000000000003</v>
      </c>
      <c r="J456">
        <f>0.026*(4.19 * 50)</f>
        <v>5.4470000000000001</v>
      </c>
      <c r="K456">
        <f>0.026*(4.19 * 50)</f>
        <v>5.4470000000000001</v>
      </c>
      <c r="L456">
        <f>0.026*(4.19 * 50)</f>
        <v>5.4470000000000001</v>
      </c>
      <c r="M456">
        <f>0.026*(4.19 * 50)</f>
        <v>5.4470000000000001</v>
      </c>
      <c r="N456">
        <f>0.026*(4.19 * 50)</f>
        <v>5.4470000000000001</v>
      </c>
      <c r="O456">
        <f>0.026*(4.19 * 50)</f>
        <v>5.4470000000000001</v>
      </c>
      <c r="P456">
        <f>0.027*(4.19 * 50)</f>
        <v>5.6565000000000003</v>
      </c>
      <c r="Q456">
        <f>0.028*(4.19 * 50)</f>
        <v>5.8660000000000005</v>
      </c>
      <c r="R456">
        <f>0.027*(4.19 * 50)</f>
        <v>5.6565000000000003</v>
      </c>
      <c r="S456">
        <f>0.027*(4.19 * 50)</f>
        <v>5.6565000000000003</v>
      </c>
      <c r="T456">
        <f>0.027*(4.19 * 50)</f>
        <v>5.6565000000000003</v>
      </c>
      <c r="U456">
        <f>0.026*(4.19 * 50)</f>
        <v>5.4470000000000001</v>
      </c>
      <c r="V456">
        <f>0.025*(4.19 * 50)</f>
        <v>5.2375000000000007</v>
      </c>
      <c r="W456">
        <f>0.025*(4.19 * 50)</f>
        <v>5.2375000000000007</v>
      </c>
      <c r="X456">
        <f>0.025*(4.19 * 50)</f>
        <v>5.2375000000000007</v>
      </c>
      <c r="Y456">
        <f>0.025*(4.19 * 50)</f>
        <v>5.2375000000000007</v>
      </c>
      <c r="Z456">
        <f>0.025*(4.19 * 50)</f>
        <v>5.2375000000000007</v>
      </c>
      <c r="AA456">
        <f>0.026*(4.19 * 50)</f>
        <v>5.4470000000000001</v>
      </c>
      <c r="AB456">
        <f>0.026*(4.19 * 50)</f>
        <v>5.4470000000000001</v>
      </c>
      <c r="AC456">
        <f>0.026*(4.19 * 50)</f>
        <v>5.4470000000000001</v>
      </c>
      <c r="AD456">
        <f>0.027*(4.19 * 50)</f>
        <v>5.6565000000000003</v>
      </c>
      <c r="AE456">
        <f>0.027*(4.19 * 50)</f>
        <v>5.6565000000000003</v>
      </c>
      <c r="AF456">
        <f>0.027*(4.19 * 50)</f>
        <v>5.6565000000000003</v>
      </c>
      <c r="AG456">
        <f>0.026*(4.19 * 50)</f>
        <v>5.4470000000000001</v>
      </c>
    </row>
    <row r="457" spans="1:33" x14ac:dyDescent="0.3">
      <c r="A457" t="s">
        <v>500</v>
      </c>
      <c r="B457">
        <v>356952.921875</v>
      </c>
      <c r="C457">
        <v>6667899.6523439996</v>
      </c>
      <c r="D457" t="s">
        <v>540</v>
      </c>
      <c r="E457">
        <v>100</v>
      </c>
      <c r="F457">
        <v>6</v>
      </c>
      <c r="G457">
        <v>2.8639618138424819E-2</v>
      </c>
      <c r="H457">
        <f t="shared" si="15"/>
        <v>11.656500000000001</v>
      </c>
      <c r="I457">
        <f t="shared" si="14"/>
        <v>209.50000000000003</v>
      </c>
      <c r="J457">
        <f>0.026*(4.19 * 50)</f>
        <v>5.4470000000000001</v>
      </c>
      <c r="K457">
        <f>0.026*(4.19 * 50)</f>
        <v>5.4470000000000001</v>
      </c>
      <c r="L457">
        <f>0.026*(4.19 * 50)</f>
        <v>5.4470000000000001</v>
      </c>
      <c r="M457">
        <f>0.026*(4.19 * 50)</f>
        <v>5.4470000000000001</v>
      </c>
      <c r="N457">
        <f>0.026*(4.19 * 50)</f>
        <v>5.4470000000000001</v>
      </c>
      <c r="O457">
        <f>0.026*(4.19 * 50)</f>
        <v>5.4470000000000001</v>
      </c>
      <c r="P457">
        <f>0.027*(4.19 * 50)</f>
        <v>5.6565000000000003</v>
      </c>
      <c r="Q457">
        <f>0.028*(4.19 * 50)</f>
        <v>5.8660000000000005</v>
      </c>
      <c r="R457">
        <f>0.027*(4.19 * 50)</f>
        <v>5.6565000000000003</v>
      </c>
      <c r="S457">
        <f>0.027*(4.19 * 50)</f>
        <v>5.6565000000000003</v>
      </c>
      <c r="T457">
        <f>0.027*(4.19 * 50)</f>
        <v>5.6565000000000003</v>
      </c>
      <c r="U457">
        <f>0.026*(4.19 * 50)</f>
        <v>5.4470000000000001</v>
      </c>
      <c r="V457">
        <f>0.025*(4.19 * 50)</f>
        <v>5.2375000000000007</v>
      </c>
      <c r="W457">
        <f>0.025*(4.19 * 50)</f>
        <v>5.2375000000000007</v>
      </c>
      <c r="X457">
        <f>0.025*(4.19 * 50)</f>
        <v>5.2375000000000007</v>
      </c>
      <c r="Y457">
        <f>0.025*(4.19 * 50)</f>
        <v>5.2375000000000007</v>
      </c>
      <c r="Z457">
        <f>0.025*(4.19 * 50)</f>
        <v>5.2375000000000007</v>
      </c>
      <c r="AA457">
        <f>0.026*(4.19 * 50)</f>
        <v>5.4470000000000001</v>
      </c>
      <c r="AB457">
        <f>0.026*(4.19 * 50)</f>
        <v>5.4470000000000001</v>
      </c>
      <c r="AC457">
        <f>0.026*(4.19 * 50)</f>
        <v>5.4470000000000001</v>
      </c>
      <c r="AD457">
        <f>0.027*(4.19 * 50)</f>
        <v>5.6565000000000003</v>
      </c>
      <c r="AE457">
        <f>0.027*(4.19 * 50)</f>
        <v>5.6565000000000003</v>
      </c>
      <c r="AF457">
        <f>0.027*(4.19 * 50)</f>
        <v>5.6565000000000003</v>
      </c>
      <c r="AG457">
        <f>0.026*(4.19 * 50)</f>
        <v>5.4470000000000001</v>
      </c>
    </row>
    <row r="458" spans="1:33" x14ac:dyDescent="0.3">
      <c r="A458" t="s">
        <v>501</v>
      </c>
      <c r="B458">
        <v>356924.484375</v>
      </c>
      <c r="C458">
        <v>6667868.6601560004</v>
      </c>
      <c r="D458" t="s">
        <v>540</v>
      </c>
      <c r="E458">
        <v>100</v>
      </c>
      <c r="F458">
        <v>2</v>
      </c>
      <c r="G458">
        <v>9.546539379474939E-3</v>
      </c>
      <c r="H458">
        <f t="shared" si="15"/>
        <v>3.8855000000000004</v>
      </c>
      <c r="I458">
        <f t="shared" si="14"/>
        <v>209.50000000000003</v>
      </c>
      <c r="J458">
        <f>0.009*(4.19 * 50)</f>
        <v>1.8855000000000002</v>
      </c>
      <c r="K458">
        <f>0.009*(4.19 * 50)</f>
        <v>1.8855000000000002</v>
      </c>
      <c r="L458">
        <f>0.009*(4.19 * 50)</f>
        <v>1.8855000000000002</v>
      </c>
      <c r="M458">
        <f>0.009*(4.19 * 50)</f>
        <v>1.8855000000000002</v>
      </c>
      <c r="N458">
        <f>0.009*(4.19 * 50)</f>
        <v>1.8855000000000002</v>
      </c>
      <c r="O458">
        <f>0.009*(4.19 * 50)</f>
        <v>1.8855000000000002</v>
      </c>
      <c r="P458">
        <f>0.009*(4.19 * 50)</f>
        <v>1.8855000000000002</v>
      </c>
      <c r="Q458">
        <f>0.009*(4.19 * 50)</f>
        <v>1.8855000000000002</v>
      </c>
      <c r="R458">
        <f>0.009*(4.19 * 50)</f>
        <v>1.8855000000000002</v>
      </c>
      <c r="S458">
        <f>0.009*(4.19 * 50)</f>
        <v>1.8855000000000002</v>
      </c>
      <c r="T458">
        <f>0.009*(4.19 * 50)</f>
        <v>1.8855000000000002</v>
      </c>
      <c r="U458">
        <f>0.009*(4.19 * 50)</f>
        <v>1.8855000000000002</v>
      </c>
      <c r="V458">
        <f>0.008*(4.19 * 50)</f>
        <v>1.6760000000000002</v>
      </c>
      <c r="W458">
        <f>0.008*(4.19 * 50)</f>
        <v>1.6760000000000002</v>
      </c>
      <c r="X458">
        <f>0.008*(4.19 * 50)</f>
        <v>1.6760000000000002</v>
      </c>
      <c r="Y458">
        <f>0.008*(4.19 * 50)</f>
        <v>1.6760000000000002</v>
      </c>
      <c r="Z458">
        <f>0.008*(4.19 * 50)</f>
        <v>1.6760000000000002</v>
      </c>
      <c r="AA458">
        <f>0.009*(4.19 * 50)</f>
        <v>1.8855000000000002</v>
      </c>
      <c r="AB458">
        <f>0.009*(4.19 * 50)</f>
        <v>1.8855000000000002</v>
      </c>
      <c r="AC458">
        <f>0.009*(4.19 * 50)</f>
        <v>1.8855000000000002</v>
      </c>
      <c r="AD458">
        <f>0.009*(4.19 * 50)</f>
        <v>1.8855000000000002</v>
      </c>
      <c r="AE458">
        <f>0.009*(4.19 * 50)</f>
        <v>1.8855000000000002</v>
      </c>
      <c r="AF458">
        <f>0.009*(4.19 * 50)</f>
        <v>1.8855000000000002</v>
      </c>
      <c r="AG458">
        <f>0.009*(4.19 * 50)</f>
        <v>1.8855000000000002</v>
      </c>
    </row>
    <row r="459" spans="1:33" x14ac:dyDescent="0.3">
      <c r="A459" t="s">
        <v>502</v>
      </c>
      <c r="B459">
        <v>356903.464844</v>
      </c>
      <c r="C459">
        <v>6667839.6367189996</v>
      </c>
      <c r="D459" t="s">
        <v>540</v>
      </c>
      <c r="E459">
        <v>100</v>
      </c>
      <c r="F459">
        <v>10</v>
      </c>
      <c r="G459">
        <v>4.7732696897374693E-2</v>
      </c>
      <c r="H459">
        <f t="shared" si="15"/>
        <v>19.427500000000002</v>
      </c>
      <c r="I459">
        <f t="shared" si="14"/>
        <v>209.50000000000003</v>
      </c>
      <c r="J459">
        <f>0.044*(4.19 * 50)</f>
        <v>9.218</v>
      </c>
      <c r="K459">
        <f>0.043*(4.19 * 50)</f>
        <v>9.0084999999999997</v>
      </c>
      <c r="L459">
        <f>0.043*(4.19 * 50)</f>
        <v>9.0084999999999997</v>
      </c>
      <c r="M459">
        <f>0.043*(4.19 * 50)</f>
        <v>9.0084999999999997</v>
      </c>
      <c r="N459">
        <f>0.043*(4.19 * 50)</f>
        <v>9.0084999999999997</v>
      </c>
      <c r="O459">
        <f>0.043*(4.19 * 50)</f>
        <v>9.0084999999999997</v>
      </c>
      <c r="P459">
        <f>0.045*(4.19 * 50)</f>
        <v>9.4275000000000002</v>
      </c>
      <c r="Q459">
        <f>0.046*(4.19 * 50)</f>
        <v>9.6370000000000005</v>
      </c>
      <c r="R459">
        <f>0.046*(4.19 * 50)</f>
        <v>9.6370000000000005</v>
      </c>
      <c r="S459">
        <f>0.045*(4.19 * 50)</f>
        <v>9.4275000000000002</v>
      </c>
      <c r="T459">
        <f>0.044*(4.19 * 50)</f>
        <v>9.218</v>
      </c>
      <c r="U459">
        <f>0.043*(4.19 * 50)</f>
        <v>9.0084999999999997</v>
      </c>
      <c r="V459">
        <f>0.042*(4.19 * 50)</f>
        <v>8.7990000000000013</v>
      </c>
      <c r="W459">
        <f>0.041*(4.19 * 50)</f>
        <v>8.589500000000001</v>
      </c>
      <c r="X459">
        <f>0.041*(4.19 * 50)</f>
        <v>8.589500000000001</v>
      </c>
      <c r="Y459">
        <f>0.041*(4.19 * 50)</f>
        <v>8.589500000000001</v>
      </c>
      <c r="Z459">
        <f>0.042*(4.19 * 50)</f>
        <v>8.7990000000000013</v>
      </c>
      <c r="AA459">
        <f>0.043*(4.19 * 50)</f>
        <v>9.0084999999999997</v>
      </c>
      <c r="AB459">
        <f>0.043*(4.19 * 50)</f>
        <v>9.0084999999999997</v>
      </c>
      <c r="AC459">
        <f>0.044*(4.19 * 50)</f>
        <v>9.218</v>
      </c>
      <c r="AD459">
        <f>0.045*(4.19 * 50)</f>
        <v>9.4275000000000002</v>
      </c>
      <c r="AE459">
        <f>0.045*(4.19 * 50)</f>
        <v>9.4275000000000002</v>
      </c>
      <c r="AF459">
        <f>0.045*(4.19 * 50)</f>
        <v>9.4275000000000002</v>
      </c>
      <c r="AG459">
        <f>0.044*(4.19 * 50)</f>
        <v>9.218</v>
      </c>
    </row>
    <row r="460" spans="1:33" x14ac:dyDescent="0.3">
      <c r="A460" t="s">
        <v>503</v>
      </c>
      <c r="B460">
        <v>356889.191406</v>
      </c>
      <c r="C460">
        <v>6667851.296875</v>
      </c>
      <c r="D460" t="s">
        <v>540</v>
      </c>
      <c r="E460">
        <v>100</v>
      </c>
      <c r="F460">
        <v>10</v>
      </c>
      <c r="G460">
        <v>4.7732696897374693E-2</v>
      </c>
      <c r="H460">
        <f t="shared" si="15"/>
        <v>19.427500000000002</v>
      </c>
      <c r="I460">
        <f t="shared" si="14"/>
        <v>209.50000000000003</v>
      </c>
      <c r="J460">
        <f>0.044*(4.19 * 50)</f>
        <v>9.218</v>
      </c>
      <c r="K460">
        <f>0.043*(4.19 * 50)</f>
        <v>9.0084999999999997</v>
      </c>
      <c r="L460">
        <f>0.043*(4.19 * 50)</f>
        <v>9.0084999999999997</v>
      </c>
      <c r="M460">
        <f>0.043*(4.19 * 50)</f>
        <v>9.0084999999999997</v>
      </c>
      <c r="N460">
        <f>0.043*(4.19 * 50)</f>
        <v>9.0084999999999997</v>
      </c>
      <c r="O460">
        <f>0.043*(4.19 * 50)</f>
        <v>9.0084999999999997</v>
      </c>
      <c r="P460">
        <f>0.045*(4.19 * 50)</f>
        <v>9.4275000000000002</v>
      </c>
      <c r="Q460">
        <f>0.046*(4.19 * 50)</f>
        <v>9.6370000000000005</v>
      </c>
      <c r="R460">
        <f>0.046*(4.19 * 50)</f>
        <v>9.6370000000000005</v>
      </c>
      <c r="S460">
        <f>0.045*(4.19 * 50)</f>
        <v>9.4275000000000002</v>
      </c>
      <c r="T460">
        <f>0.044*(4.19 * 50)</f>
        <v>9.218</v>
      </c>
      <c r="U460">
        <f>0.043*(4.19 * 50)</f>
        <v>9.0084999999999997</v>
      </c>
      <c r="V460">
        <f>0.042*(4.19 * 50)</f>
        <v>8.7990000000000013</v>
      </c>
      <c r="W460">
        <f>0.041*(4.19 * 50)</f>
        <v>8.589500000000001</v>
      </c>
      <c r="X460">
        <f>0.041*(4.19 * 50)</f>
        <v>8.589500000000001</v>
      </c>
      <c r="Y460">
        <f>0.041*(4.19 * 50)</f>
        <v>8.589500000000001</v>
      </c>
      <c r="Z460">
        <f>0.042*(4.19 * 50)</f>
        <v>8.7990000000000013</v>
      </c>
      <c r="AA460">
        <f>0.043*(4.19 * 50)</f>
        <v>9.0084999999999997</v>
      </c>
      <c r="AB460">
        <f>0.043*(4.19 * 50)</f>
        <v>9.0084999999999997</v>
      </c>
      <c r="AC460">
        <f>0.044*(4.19 * 50)</f>
        <v>9.218</v>
      </c>
      <c r="AD460">
        <f>0.045*(4.19 * 50)</f>
        <v>9.4275000000000002</v>
      </c>
      <c r="AE460">
        <f>0.045*(4.19 * 50)</f>
        <v>9.4275000000000002</v>
      </c>
      <c r="AF460">
        <f>0.045*(4.19 * 50)</f>
        <v>9.4275000000000002</v>
      </c>
      <c r="AG460">
        <f>0.044*(4.19 * 50)</f>
        <v>9.218</v>
      </c>
    </row>
    <row r="461" spans="1:33" x14ac:dyDescent="0.3">
      <c r="A461" t="s">
        <v>504</v>
      </c>
      <c r="B461">
        <v>356877.300781</v>
      </c>
      <c r="C461">
        <v>6667880.8476560004</v>
      </c>
      <c r="D461" t="s">
        <v>540</v>
      </c>
      <c r="E461">
        <v>100</v>
      </c>
      <c r="F461">
        <v>3</v>
      </c>
      <c r="G461">
        <v>1.4319809069212409E-2</v>
      </c>
      <c r="H461">
        <f t="shared" si="15"/>
        <v>5.7234999999999996</v>
      </c>
      <c r="I461">
        <f t="shared" si="14"/>
        <v>209.50000000000003</v>
      </c>
      <c r="J461">
        <f>0.013*(4.19 * 50)</f>
        <v>2.7235</v>
      </c>
      <c r="K461">
        <f>0.013*(4.19 * 50)</f>
        <v>2.7235</v>
      </c>
      <c r="L461">
        <f>0.013*(4.19 * 50)</f>
        <v>2.7235</v>
      </c>
      <c r="M461">
        <f>0.013*(4.19 * 50)</f>
        <v>2.7235</v>
      </c>
      <c r="N461">
        <f>0.013*(4.19 * 50)</f>
        <v>2.7235</v>
      </c>
      <c r="O461">
        <f>0.013*(4.19 * 50)</f>
        <v>2.7235</v>
      </c>
      <c r="P461">
        <f>0.013*(4.19 * 50)</f>
        <v>2.7235</v>
      </c>
      <c r="Q461">
        <f>0.014*(4.19 * 50)</f>
        <v>2.9330000000000003</v>
      </c>
      <c r="R461">
        <f>0.014*(4.19 * 50)</f>
        <v>2.9330000000000003</v>
      </c>
      <c r="S461">
        <f>0.013*(4.19 * 50)</f>
        <v>2.7235</v>
      </c>
      <c r="T461">
        <f>0.013*(4.19 * 50)</f>
        <v>2.7235</v>
      </c>
      <c r="U461">
        <f>0.013*(4.19 * 50)</f>
        <v>2.7235</v>
      </c>
      <c r="V461">
        <f>0.013*(4.19 * 50)</f>
        <v>2.7235</v>
      </c>
      <c r="W461">
        <f>0.012*(4.19 * 50)</f>
        <v>2.5140000000000002</v>
      </c>
      <c r="X461">
        <f>0.012*(4.19 * 50)</f>
        <v>2.5140000000000002</v>
      </c>
      <c r="Y461">
        <f>0.012*(4.19 * 50)</f>
        <v>2.5140000000000002</v>
      </c>
      <c r="Z461">
        <f>0.013*(4.19 * 50)</f>
        <v>2.7235</v>
      </c>
      <c r="AA461">
        <f>0.013*(4.19 * 50)</f>
        <v>2.7235</v>
      </c>
      <c r="AB461">
        <f>0.013*(4.19 * 50)</f>
        <v>2.7235</v>
      </c>
      <c r="AC461">
        <f>0.013*(4.19 * 50)</f>
        <v>2.7235</v>
      </c>
      <c r="AD461">
        <f>0.013*(4.19 * 50)</f>
        <v>2.7235</v>
      </c>
      <c r="AE461">
        <f>0.014*(4.19 * 50)</f>
        <v>2.9330000000000003</v>
      </c>
      <c r="AF461">
        <f>0.013*(4.19 * 50)</f>
        <v>2.7235</v>
      </c>
      <c r="AG461">
        <f>0.013*(4.19 * 50)</f>
        <v>2.7235</v>
      </c>
    </row>
    <row r="462" spans="1:33" x14ac:dyDescent="0.3">
      <c r="A462" t="s">
        <v>505</v>
      </c>
      <c r="B462">
        <v>357087.453125</v>
      </c>
      <c r="C462">
        <v>6668411.9609380001</v>
      </c>
      <c r="D462" t="s">
        <v>540</v>
      </c>
      <c r="E462">
        <v>100</v>
      </c>
      <c r="F462">
        <v>4</v>
      </c>
      <c r="G462">
        <v>1.9093078758949882E-2</v>
      </c>
      <c r="H462">
        <f t="shared" si="15"/>
        <v>7.7710000000000008</v>
      </c>
      <c r="I462">
        <f t="shared" si="14"/>
        <v>209.50000000000003</v>
      </c>
      <c r="J462">
        <f>0.017*(4.19 * 50)</f>
        <v>3.5615000000000006</v>
      </c>
      <c r="K462">
        <f>0.017*(4.19 * 50)</f>
        <v>3.5615000000000006</v>
      </c>
      <c r="L462">
        <f>0.017*(4.19 * 50)</f>
        <v>3.5615000000000006</v>
      </c>
      <c r="M462">
        <f>0.017*(4.19 * 50)</f>
        <v>3.5615000000000006</v>
      </c>
      <c r="N462">
        <f>0.017*(4.19 * 50)</f>
        <v>3.5615000000000006</v>
      </c>
      <c r="O462">
        <f>0.017*(4.19 * 50)</f>
        <v>3.5615000000000006</v>
      </c>
      <c r="P462">
        <f>0.018*(4.19 * 50)</f>
        <v>3.7710000000000004</v>
      </c>
      <c r="Q462">
        <f>0.018*(4.19 * 50)</f>
        <v>3.7710000000000004</v>
      </c>
      <c r="R462">
        <f>0.018*(4.19 * 50)</f>
        <v>3.7710000000000004</v>
      </c>
      <c r="S462">
        <f>0.018*(4.19 * 50)</f>
        <v>3.7710000000000004</v>
      </c>
      <c r="T462">
        <f>0.018*(4.19 * 50)</f>
        <v>3.7710000000000004</v>
      </c>
      <c r="U462">
        <f>0.017*(4.19 * 50)</f>
        <v>3.5615000000000006</v>
      </c>
      <c r="V462">
        <f>0.017*(4.19 * 50)</f>
        <v>3.5615000000000006</v>
      </c>
      <c r="W462">
        <f>0.017*(4.19 * 50)</f>
        <v>3.5615000000000006</v>
      </c>
      <c r="X462">
        <f>0.017*(4.19 * 50)</f>
        <v>3.5615000000000006</v>
      </c>
      <c r="Y462">
        <f>0.017*(4.19 * 50)</f>
        <v>3.5615000000000006</v>
      </c>
      <c r="Z462">
        <f>0.017*(4.19 * 50)</f>
        <v>3.5615000000000006</v>
      </c>
      <c r="AA462">
        <f>0.017*(4.19 * 50)</f>
        <v>3.5615000000000006</v>
      </c>
      <c r="AB462">
        <f>0.017*(4.19 * 50)</f>
        <v>3.5615000000000006</v>
      </c>
      <c r="AC462">
        <f>0.018*(4.19 * 50)</f>
        <v>3.7710000000000004</v>
      </c>
      <c r="AD462">
        <f>0.018*(4.19 * 50)</f>
        <v>3.7710000000000004</v>
      </c>
      <c r="AE462">
        <f>0.018*(4.19 * 50)</f>
        <v>3.7710000000000004</v>
      </c>
      <c r="AF462">
        <f>0.018*(4.19 * 50)</f>
        <v>3.7710000000000004</v>
      </c>
      <c r="AG462">
        <f>0.018*(4.19 * 50)</f>
        <v>3.7710000000000004</v>
      </c>
    </row>
    <row r="463" spans="1:33" x14ac:dyDescent="0.3">
      <c r="A463" t="s">
        <v>506</v>
      </c>
      <c r="B463">
        <v>357293.601563</v>
      </c>
      <c r="C463">
        <v>6667631.6132810004</v>
      </c>
      <c r="D463" t="s">
        <v>542</v>
      </c>
      <c r="E463">
        <v>100</v>
      </c>
      <c r="F463">
        <v>83.333000183105398</v>
      </c>
      <c r="G463">
        <v>0.39777088392890397</v>
      </c>
      <c r="H463">
        <f t="shared" si="15"/>
        <v>161.47650018310543</v>
      </c>
      <c r="I463">
        <f t="shared" si="14"/>
        <v>209.50000000000003</v>
      </c>
      <c r="J463">
        <f>0.363*(4.19 * 50)</f>
        <v>76.048500000000004</v>
      </c>
      <c r="K463">
        <f>0.36*(4.19 * 50)</f>
        <v>75.42</v>
      </c>
      <c r="L463">
        <f>0.358*(4.19 * 50)</f>
        <v>75.001000000000005</v>
      </c>
      <c r="M463">
        <f>0.356*(4.19 * 50)</f>
        <v>74.582000000000008</v>
      </c>
      <c r="N463">
        <f>0.358*(4.19 * 50)</f>
        <v>75.001000000000005</v>
      </c>
      <c r="O463">
        <f>0.362*(4.19 * 50)</f>
        <v>75.839000000000013</v>
      </c>
      <c r="P463">
        <f>0.373*(4.19 * 50)</f>
        <v>78.143500000000017</v>
      </c>
      <c r="Q463">
        <f>0.383*(4.19 * 50)</f>
        <v>80.238500000000016</v>
      </c>
      <c r="R463">
        <f>0.38*(4.19 * 50)</f>
        <v>79.610000000000014</v>
      </c>
      <c r="S463">
        <f>0.372*(4.19 * 50)</f>
        <v>77.934000000000012</v>
      </c>
      <c r="T463">
        <f>0.37*(4.19 * 50)</f>
        <v>77.515000000000015</v>
      </c>
      <c r="U463">
        <f>0.355*(4.19 * 50)</f>
        <v>74.372500000000002</v>
      </c>
      <c r="V463">
        <f>0.35*(4.19 * 50)</f>
        <v>73.325000000000003</v>
      </c>
      <c r="W463">
        <f>0.345*(4.19 * 50)</f>
        <v>72.277500000000003</v>
      </c>
      <c r="X463">
        <f>0.344*(4.19 * 50)</f>
        <v>72.067999999999998</v>
      </c>
      <c r="Y463">
        <f>0.345*(4.19 * 50)</f>
        <v>72.277500000000003</v>
      </c>
      <c r="Z463">
        <f>0.348*(4.19 * 50)</f>
        <v>72.906000000000006</v>
      </c>
      <c r="AA463">
        <f>0.355*(4.19 * 50)</f>
        <v>74.372500000000002</v>
      </c>
      <c r="AB463">
        <f>0.36*(4.19 * 50)</f>
        <v>75.42</v>
      </c>
      <c r="AC463">
        <f>0.366*(4.19 * 50)</f>
        <v>76.677000000000007</v>
      </c>
      <c r="AD463">
        <f>0.372*(4.19 * 50)</f>
        <v>77.934000000000012</v>
      </c>
      <c r="AE463">
        <f>0.375*(4.19 * 50)</f>
        <v>78.562500000000014</v>
      </c>
      <c r="AF463">
        <f>0.372*(4.19 * 50)</f>
        <v>77.934000000000012</v>
      </c>
      <c r="AG463">
        <f>0.367*(4.19 * 50)</f>
        <v>76.886500000000012</v>
      </c>
    </row>
    <row r="464" spans="1:33" x14ac:dyDescent="0.3">
      <c r="A464" t="s">
        <v>507</v>
      </c>
      <c r="B464">
        <v>357244.703125</v>
      </c>
      <c r="C464">
        <v>6667637.984375</v>
      </c>
      <c r="D464" t="s">
        <v>542</v>
      </c>
      <c r="E464">
        <v>100</v>
      </c>
      <c r="F464">
        <v>66</v>
      </c>
      <c r="G464">
        <v>0.31503579952267302</v>
      </c>
      <c r="H464">
        <f t="shared" si="15"/>
        <v>128.012</v>
      </c>
      <c r="I464">
        <f t="shared" si="14"/>
        <v>209.50000000000003</v>
      </c>
      <c r="J464">
        <f>0.287*(4.19 * 50)</f>
        <v>60.1265</v>
      </c>
      <c r="K464">
        <f>0.285*(4.19 * 50)</f>
        <v>59.707500000000003</v>
      </c>
      <c r="L464">
        <f>0.283*(4.19 * 50)</f>
        <v>59.288499999999999</v>
      </c>
      <c r="M464">
        <f>0.282*(4.19 * 50)</f>
        <v>59.079000000000001</v>
      </c>
      <c r="N464">
        <f>0.283*(4.19 * 50)</f>
        <v>59.288499999999999</v>
      </c>
      <c r="O464">
        <f>0.287*(4.19 * 50)</f>
        <v>60.1265</v>
      </c>
      <c r="P464">
        <f>0.296*(4.19 * 50)</f>
        <v>62.012000000000008</v>
      </c>
      <c r="Q464">
        <f>0.303*(4.19 * 50)</f>
        <v>63.478500000000004</v>
      </c>
      <c r="R464">
        <f>0.301*(4.19 * 50)</f>
        <v>63.059500000000007</v>
      </c>
      <c r="S464">
        <f>0.294*(4.19 * 50)</f>
        <v>61.593000000000004</v>
      </c>
      <c r="T464">
        <f>0.293*(4.19 * 50)</f>
        <v>61.383500000000005</v>
      </c>
      <c r="U464">
        <f>0.281*(4.19 * 50)</f>
        <v>58.869500000000016</v>
      </c>
      <c r="V464">
        <f>0.277*(4.19 * 50)</f>
        <v>58.031500000000015</v>
      </c>
      <c r="W464">
        <f>0.273*(4.19 * 50)</f>
        <v>57.193500000000014</v>
      </c>
      <c r="X464">
        <f>0.272*(4.19 * 50)</f>
        <v>56.984000000000009</v>
      </c>
      <c r="Y464">
        <f>0.273*(4.19 * 50)</f>
        <v>57.193500000000014</v>
      </c>
      <c r="Z464">
        <f>0.276*(4.19 * 50)</f>
        <v>57.82200000000001</v>
      </c>
      <c r="AA464">
        <f>0.281*(4.19 * 50)</f>
        <v>58.869500000000016</v>
      </c>
      <c r="AB464">
        <f>0.285*(4.19 * 50)</f>
        <v>59.707500000000003</v>
      </c>
      <c r="AC464">
        <f>0.29*(4.19 * 50)</f>
        <v>60.755000000000003</v>
      </c>
      <c r="AD464">
        <f>0.295*(4.19 * 50)</f>
        <v>61.802500000000002</v>
      </c>
      <c r="AE464">
        <f>0.297*(4.19 * 50)</f>
        <v>62.221500000000006</v>
      </c>
      <c r="AF464">
        <f>0.294*(4.19 * 50)</f>
        <v>61.593000000000004</v>
      </c>
      <c r="AG464">
        <f>0.29*(4.19 * 50)</f>
        <v>60.755000000000003</v>
      </c>
    </row>
    <row r="465" spans="1:33" x14ac:dyDescent="0.3">
      <c r="A465" t="s">
        <v>508</v>
      </c>
      <c r="B465">
        <v>357124.976563</v>
      </c>
      <c r="C465">
        <v>6668437.125</v>
      </c>
      <c r="D465" t="s">
        <v>541</v>
      </c>
      <c r="E465">
        <v>100</v>
      </c>
      <c r="F465">
        <v>53</v>
      </c>
      <c r="G465">
        <v>0.2529832935560859</v>
      </c>
      <c r="H465">
        <f t="shared" si="15"/>
        <v>102.6515</v>
      </c>
      <c r="I465">
        <f t="shared" si="14"/>
        <v>209.50000000000003</v>
      </c>
      <c r="J465">
        <f>0.231*(4.19 * 50)</f>
        <v>48.394500000000008</v>
      </c>
      <c r="K465">
        <f>0.229*(4.19 * 50)</f>
        <v>47.975500000000011</v>
      </c>
      <c r="L465">
        <f>0.227*(4.19 * 50)</f>
        <v>47.556500000000007</v>
      </c>
      <c r="M465">
        <f>0.227*(4.19 * 50)</f>
        <v>47.556500000000007</v>
      </c>
      <c r="N465">
        <f>0.227*(4.19 * 50)</f>
        <v>47.556500000000007</v>
      </c>
      <c r="O465">
        <f>0.23*(4.19 * 50)</f>
        <v>48.185000000000009</v>
      </c>
      <c r="P465">
        <f>0.237*(4.19 * 50)</f>
        <v>49.651500000000006</v>
      </c>
      <c r="Q465">
        <f>0.244*(4.19 * 50)</f>
        <v>51.118000000000009</v>
      </c>
      <c r="R465">
        <f>0.241*(4.19 * 50)</f>
        <v>50.489500000000007</v>
      </c>
      <c r="S465">
        <f>0.236*(4.19 * 50)</f>
        <v>49.442000000000007</v>
      </c>
      <c r="T465">
        <f>0.236*(4.19 * 50)</f>
        <v>49.442000000000007</v>
      </c>
      <c r="U465">
        <f>0.226*(4.19 * 50)</f>
        <v>47.347000000000008</v>
      </c>
      <c r="V465">
        <f>0.222*(4.19 * 50)</f>
        <v>46.509000000000007</v>
      </c>
      <c r="W465">
        <f>0.219*(4.19 * 50)</f>
        <v>45.880500000000005</v>
      </c>
      <c r="X465">
        <f>0.219*(4.19 * 50)</f>
        <v>45.880500000000005</v>
      </c>
      <c r="Y465">
        <f>0.219*(4.19 * 50)</f>
        <v>45.880500000000005</v>
      </c>
      <c r="Z465">
        <f>0.221*(4.19 * 50)</f>
        <v>46.299500000000009</v>
      </c>
      <c r="AA465">
        <f>0.226*(4.19 * 50)</f>
        <v>47.347000000000008</v>
      </c>
      <c r="AB465">
        <f>0.229*(4.19 * 50)</f>
        <v>47.975500000000011</v>
      </c>
      <c r="AC465">
        <f>0.233*(4.19 * 50)</f>
        <v>48.813500000000012</v>
      </c>
      <c r="AD465">
        <f>0.237*(4.19 * 50)</f>
        <v>49.651500000000006</v>
      </c>
      <c r="AE465">
        <f>0.239*(4.19 * 50)</f>
        <v>50.070500000000003</v>
      </c>
      <c r="AF465">
        <f>0.236*(4.19 * 50)</f>
        <v>49.442000000000007</v>
      </c>
      <c r="AG465">
        <f>0.233*(4.19 * 50)</f>
        <v>48.813500000000012</v>
      </c>
    </row>
    <row r="466" spans="1:33" x14ac:dyDescent="0.3">
      <c r="A466" t="s">
        <v>509</v>
      </c>
      <c r="B466">
        <v>357124.910156</v>
      </c>
      <c r="C466">
        <v>6667954.53125</v>
      </c>
      <c r="D466" t="s">
        <v>542</v>
      </c>
      <c r="E466">
        <v>100</v>
      </c>
      <c r="F466">
        <v>83.333000183105398</v>
      </c>
      <c r="G466">
        <v>0.39777088392890397</v>
      </c>
      <c r="H466">
        <f t="shared" si="15"/>
        <v>161.47650018310543</v>
      </c>
      <c r="I466">
        <f t="shared" si="14"/>
        <v>209.50000000000003</v>
      </c>
      <c r="J466">
        <f>0.363*(4.19 * 50)</f>
        <v>76.048500000000004</v>
      </c>
      <c r="K466">
        <f>0.36*(4.19 * 50)</f>
        <v>75.42</v>
      </c>
      <c r="L466">
        <f>0.358*(4.19 * 50)</f>
        <v>75.001000000000005</v>
      </c>
      <c r="M466">
        <f>0.356*(4.19 * 50)</f>
        <v>74.582000000000008</v>
      </c>
      <c r="N466">
        <f>0.358*(4.19 * 50)</f>
        <v>75.001000000000005</v>
      </c>
      <c r="O466">
        <f>0.362*(4.19 * 50)</f>
        <v>75.839000000000013</v>
      </c>
      <c r="P466">
        <f>0.373*(4.19 * 50)</f>
        <v>78.143500000000017</v>
      </c>
      <c r="Q466">
        <f>0.383*(4.19 * 50)</f>
        <v>80.238500000000016</v>
      </c>
      <c r="R466">
        <f>0.38*(4.19 * 50)</f>
        <v>79.610000000000014</v>
      </c>
      <c r="S466">
        <f>0.372*(4.19 * 50)</f>
        <v>77.934000000000012</v>
      </c>
      <c r="T466">
        <f>0.37*(4.19 * 50)</f>
        <v>77.515000000000015</v>
      </c>
      <c r="U466">
        <f>0.355*(4.19 * 50)</f>
        <v>74.372500000000002</v>
      </c>
      <c r="V466">
        <f>0.35*(4.19 * 50)</f>
        <v>73.325000000000003</v>
      </c>
      <c r="W466">
        <f>0.345*(4.19 * 50)</f>
        <v>72.277500000000003</v>
      </c>
      <c r="X466">
        <f>0.344*(4.19 * 50)</f>
        <v>72.067999999999998</v>
      </c>
      <c r="Y466">
        <f>0.345*(4.19 * 50)</f>
        <v>72.277500000000003</v>
      </c>
      <c r="Z466">
        <f>0.348*(4.19 * 50)</f>
        <v>72.906000000000006</v>
      </c>
      <c r="AA466">
        <f>0.355*(4.19 * 50)</f>
        <v>74.372500000000002</v>
      </c>
      <c r="AB466">
        <f>0.36*(4.19 * 50)</f>
        <v>75.42</v>
      </c>
      <c r="AC466">
        <f>0.366*(4.19 * 50)</f>
        <v>76.677000000000007</v>
      </c>
      <c r="AD466">
        <f>0.372*(4.19 * 50)</f>
        <v>77.934000000000012</v>
      </c>
      <c r="AE466">
        <f>0.375*(4.19 * 50)</f>
        <v>78.562500000000014</v>
      </c>
      <c r="AF466">
        <f>0.372*(4.19 * 50)</f>
        <v>77.934000000000012</v>
      </c>
      <c r="AG466">
        <f>0.367*(4.19 * 50)</f>
        <v>76.886500000000012</v>
      </c>
    </row>
    <row r="467" spans="1:33" x14ac:dyDescent="0.3">
      <c r="A467" t="s">
        <v>510</v>
      </c>
      <c r="B467">
        <v>356772.160156</v>
      </c>
      <c r="C467">
        <v>6668078.7109380001</v>
      </c>
      <c r="D467" t="s">
        <v>540</v>
      </c>
      <c r="E467">
        <v>100</v>
      </c>
      <c r="F467">
        <v>4</v>
      </c>
      <c r="G467">
        <v>1.9093078758949882E-2</v>
      </c>
      <c r="H467">
        <f t="shared" si="15"/>
        <v>7.7710000000000008</v>
      </c>
      <c r="I467">
        <f t="shared" si="14"/>
        <v>209.50000000000003</v>
      </c>
      <c r="J467">
        <f>0.017*(4.19 * 50)</f>
        <v>3.5615000000000006</v>
      </c>
      <c r="K467">
        <f>0.017*(4.19 * 50)</f>
        <v>3.5615000000000006</v>
      </c>
      <c r="L467">
        <f>0.017*(4.19 * 50)</f>
        <v>3.5615000000000006</v>
      </c>
      <c r="M467">
        <f>0.017*(4.19 * 50)</f>
        <v>3.5615000000000006</v>
      </c>
      <c r="N467">
        <f>0.017*(4.19 * 50)</f>
        <v>3.5615000000000006</v>
      </c>
      <c r="O467">
        <f>0.017*(4.19 * 50)</f>
        <v>3.5615000000000006</v>
      </c>
      <c r="P467">
        <f>0.018*(4.19 * 50)</f>
        <v>3.7710000000000004</v>
      </c>
      <c r="Q467">
        <f>0.018*(4.19 * 50)</f>
        <v>3.7710000000000004</v>
      </c>
      <c r="R467">
        <f>0.018*(4.19 * 50)</f>
        <v>3.7710000000000004</v>
      </c>
      <c r="S467">
        <f>0.018*(4.19 * 50)</f>
        <v>3.7710000000000004</v>
      </c>
      <c r="T467">
        <f>0.018*(4.19 * 50)</f>
        <v>3.7710000000000004</v>
      </c>
      <c r="U467">
        <f>0.017*(4.19 * 50)</f>
        <v>3.5615000000000006</v>
      </c>
      <c r="V467">
        <f>0.017*(4.19 * 50)</f>
        <v>3.5615000000000006</v>
      </c>
      <c r="W467">
        <f>0.017*(4.19 * 50)</f>
        <v>3.5615000000000006</v>
      </c>
      <c r="X467">
        <f>0.017*(4.19 * 50)</f>
        <v>3.5615000000000006</v>
      </c>
      <c r="Y467">
        <f>0.017*(4.19 * 50)</f>
        <v>3.5615000000000006</v>
      </c>
      <c r="Z467">
        <f>0.017*(4.19 * 50)</f>
        <v>3.5615000000000006</v>
      </c>
      <c r="AA467">
        <f>0.017*(4.19 * 50)</f>
        <v>3.5615000000000006</v>
      </c>
      <c r="AB467">
        <f>0.017*(4.19 * 50)</f>
        <v>3.5615000000000006</v>
      </c>
      <c r="AC467">
        <f>0.018*(4.19 * 50)</f>
        <v>3.7710000000000004</v>
      </c>
      <c r="AD467">
        <f>0.018*(4.19 * 50)</f>
        <v>3.7710000000000004</v>
      </c>
      <c r="AE467">
        <f>0.018*(4.19 * 50)</f>
        <v>3.7710000000000004</v>
      </c>
      <c r="AF467">
        <f>0.018*(4.19 * 50)</f>
        <v>3.7710000000000004</v>
      </c>
      <c r="AG467">
        <f>0.018*(4.19 * 50)</f>
        <v>3.7710000000000004</v>
      </c>
    </row>
    <row r="468" spans="1:33" x14ac:dyDescent="0.3">
      <c r="A468" t="s">
        <v>511</v>
      </c>
      <c r="B468">
        <v>356771.320313</v>
      </c>
      <c r="C468">
        <v>6668092.5078130001</v>
      </c>
      <c r="D468" t="s">
        <v>540</v>
      </c>
      <c r="E468">
        <v>100</v>
      </c>
      <c r="F468">
        <v>5</v>
      </c>
      <c r="G468">
        <v>2.386634844868735E-2</v>
      </c>
      <c r="H468">
        <f t="shared" si="15"/>
        <v>9.609</v>
      </c>
      <c r="I468">
        <f t="shared" si="14"/>
        <v>209.50000000000003</v>
      </c>
      <c r="J468">
        <f>0.022*(4.19 * 50)</f>
        <v>4.609</v>
      </c>
      <c r="K468">
        <f>0.022*(4.19 * 50)</f>
        <v>4.609</v>
      </c>
      <c r="L468">
        <f>0.021*(4.19 * 50)</f>
        <v>4.3995000000000006</v>
      </c>
      <c r="M468">
        <f>0.021*(4.19 * 50)</f>
        <v>4.3995000000000006</v>
      </c>
      <c r="N468">
        <f>0.021*(4.19 * 50)</f>
        <v>4.3995000000000006</v>
      </c>
      <c r="O468">
        <f>0.022*(4.19 * 50)</f>
        <v>4.609</v>
      </c>
      <c r="P468">
        <f>0.022*(4.19 * 50)</f>
        <v>4.609</v>
      </c>
      <c r="Q468">
        <f>0.023*(4.19 * 50)</f>
        <v>4.8185000000000002</v>
      </c>
      <c r="R468">
        <f>0.023*(4.19 * 50)</f>
        <v>4.8185000000000002</v>
      </c>
      <c r="S468">
        <f>0.022*(4.19 * 50)</f>
        <v>4.609</v>
      </c>
      <c r="T468">
        <f>0.022*(4.19 * 50)</f>
        <v>4.609</v>
      </c>
      <c r="U468">
        <f>0.021*(4.19 * 50)</f>
        <v>4.3995000000000006</v>
      </c>
      <c r="V468">
        <f>0.021*(4.19 * 50)</f>
        <v>4.3995000000000006</v>
      </c>
      <c r="W468">
        <f>0.021*(4.19 * 50)</f>
        <v>4.3995000000000006</v>
      </c>
      <c r="X468">
        <f>0.021*(4.19 * 50)</f>
        <v>4.3995000000000006</v>
      </c>
      <c r="Y468">
        <f>0.021*(4.19 * 50)</f>
        <v>4.3995000000000006</v>
      </c>
      <c r="Z468">
        <f>0.021*(4.19 * 50)</f>
        <v>4.3995000000000006</v>
      </c>
      <c r="AA468">
        <f>0.021*(4.19 * 50)</f>
        <v>4.3995000000000006</v>
      </c>
      <c r="AB468">
        <f>0.022*(4.19 * 50)</f>
        <v>4.609</v>
      </c>
      <c r="AC468">
        <f>0.022*(4.19 * 50)</f>
        <v>4.609</v>
      </c>
      <c r="AD468">
        <f>0.022*(4.19 * 50)</f>
        <v>4.609</v>
      </c>
      <c r="AE468">
        <f>0.023*(4.19 * 50)</f>
        <v>4.8185000000000002</v>
      </c>
      <c r="AF468">
        <f>0.022*(4.19 * 50)</f>
        <v>4.609</v>
      </c>
      <c r="AG468">
        <f>0.022*(4.19 * 50)</f>
        <v>4.609</v>
      </c>
    </row>
    <row r="469" spans="1:33" x14ac:dyDescent="0.3">
      <c r="A469" t="s">
        <v>512</v>
      </c>
      <c r="B469">
        <v>357044.0625</v>
      </c>
      <c r="C469">
        <v>6667743.3046880001</v>
      </c>
      <c r="D469" t="s">
        <v>540</v>
      </c>
      <c r="E469">
        <v>100</v>
      </c>
      <c r="F469">
        <v>6</v>
      </c>
      <c r="G469">
        <v>2.8639618138424819E-2</v>
      </c>
      <c r="H469">
        <f t="shared" si="15"/>
        <v>11.656500000000001</v>
      </c>
      <c r="I469">
        <f t="shared" si="14"/>
        <v>209.50000000000003</v>
      </c>
      <c r="J469">
        <f>0.026*(4.19 * 50)</f>
        <v>5.4470000000000001</v>
      </c>
      <c r="K469">
        <f>0.026*(4.19 * 50)</f>
        <v>5.4470000000000001</v>
      </c>
      <c r="L469">
        <f>0.026*(4.19 * 50)</f>
        <v>5.4470000000000001</v>
      </c>
      <c r="M469">
        <f>0.026*(4.19 * 50)</f>
        <v>5.4470000000000001</v>
      </c>
      <c r="N469">
        <f>0.026*(4.19 * 50)</f>
        <v>5.4470000000000001</v>
      </c>
      <c r="O469">
        <f>0.026*(4.19 * 50)</f>
        <v>5.4470000000000001</v>
      </c>
      <c r="P469">
        <f>0.027*(4.19 * 50)</f>
        <v>5.6565000000000003</v>
      </c>
      <c r="Q469">
        <f>0.028*(4.19 * 50)</f>
        <v>5.8660000000000005</v>
      </c>
      <c r="R469">
        <f>0.027*(4.19 * 50)</f>
        <v>5.6565000000000003</v>
      </c>
      <c r="S469">
        <f>0.027*(4.19 * 50)</f>
        <v>5.6565000000000003</v>
      </c>
      <c r="T469">
        <f>0.027*(4.19 * 50)</f>
        <v>5.6565000000000003</v>
      </c>
      <c r="U469">
        <f>0.026*(4.19 * 50)</f>
        <v>5.4470000000000001</v>
      </c>
      <c r="V469">
        <f>0.025*(4.19 * 50)</f>
        <v>5.2375000000000007</v>
      </c>
      <c r="W469">
        <f>0.025*(4.19 * 50)</f>
        <v>5.2375000000000007</v>
      </c>
      <c r="X469">
        <f>0.025*(4.19 * 50)</f>
        <v>5.2375000000000007</v>
      </c>
      <c r="Y469">
        <f>0.025*(4.19 * 50)</f>
        <v>5.2375000000000007</v>
      </c>
      <c r="Z469">
        <f>0.025*(4.19 * 50)</f>
        <v>5.2375000000000007</v>
      </c>
      <c r="AA469">
        <f>0.026*(4.19 * 50)</f>
        <v>5.4470000000000001</v>
      </c>
      <c r="AB469">
        <f>0.026*(4.19 * 50)</f>
        <v>5.4470000000000001</v>
      </c>
      <c r="AC469">
        <f>0.026*(4.19 * 50)</f>
        <v>5.4470000000000001</v>
      </c>
      <c r="AD469">
        <f>0.027*(4.19 * 50)</f>
        <v>5.6565000000000003</v>
      </c>
      <c r="AE469">
        <f>0.027*(4.19 * 50)</f>
        <v>5.6565000000000003</v>
      </c>
      <c r="AF469">
        <f>0.027*(4.19 * 50)</f>
        <v>5.6565000000000003</v>
      </c>
      <c r="AG469">
        <f>0.026*(4.19 * 50)</f>
        <v>5.4470000000000001</v>
      </c>
    </row>
    <row r="470" spans="1:33" x14ac:dyDescent="0.3">
      <c r="A470" t="s">
        <v>513</v>
      </c>
      <c r="B470">
        <v>357051.421875</v>
      </c>
      <c r="C470">
        <v>6667738.6992189996</v>
      </c>
      <c r="D470" t="s">
        <v>540</v>
      </c>
      <c r="E470">
        <v>100</v>
      </c>
      <c r="F470">
        <v>6</v>
      </c>
      <c r="G470">
        <v>2.8639618138424819E-2</v>
      </c>
      <c r="H470">
        <f t="shared" si="15"/>
        <v>11.656500000000001</v>
      </c>
      <c r="I470">
        <f t="shared" si="14"/>
        <v>209.50000000000003</v>
      </c>
      <c r="J470">
        <f>0.026*(4.19 * 50)</f>
        <v>5.4470000000000001</v>
      </c>
      <c r="K470">
        <f>0.026*(4.19 * 50)</f>
        <v>5.4470000000000001</v>
      </c>
      <c r="L470">
        <f>0.026*(4.19 * 50)</f>
        <v>5.4470000000000001</v>
      </c>
      <c r="M470">
        <f>0.026*(4.19 * 50)</f>
        <v>5.4470000000000001</v>
      </c>
      <c r="N470">
        <f>0.026*(4.19 * 50)</f>
        <v>5.4470000000000001</v>
      </c>
      <c r="O470">
        <f>0.026*(4.19 * 50)</f>
        <v>5.4470000000000001</v>
      </c>
      <c r="P470">
        <f>0.027*(4.19 * 50)</f>
        <v>5.6565000000000003</v>
      </c>
      <c r="Q470">
        <f>0.028*(4.19 * 50)</f>
        <v>5.8660000000000005</v>
      </c>
      <c r="R470">
        <f>0.027*(4.19 * 50)</f>
        <v>5.6565000000000003</v>
      </c>
      <c r="S470">
        <f>0.027*(4.19 * 50)</f>
        <v>5.6565000000000003</v>
      </c>
      <c r="T470">
        <f>0.027*(4.19 * 50)</f>
        <v>5.6565000000000003</v>
      </c>
      <c r="U470">
        <f>0.026*(4.19 * 50)</f>
        <v>5.4470000000000001</v>
      </c>
      <c r="V470">
        <f>0.025*(4.19 * 50)</f>
        <v>5.2375000000000007</v>
      </c>
      <c r="W470">
        <f>0.025*(4.19 * 50)</f>
        <v>5.2375000000000007</v>
      </c>
      <c r="X470">
        <f>0.025*(4.19 * 50)</f>
        <v>5.2375000000000007</v>
      </c>
      <c r="Y470">
        <f>0.025*(4.19 * 50)</f>
        <v>5.2375000000000007</v>
      </c>
      <c r="Z470">
        <f>0.025*(4.19 * 50)</f>
        <v>5.2375000000000007</v>
      </c>
      <c r="AA470">
        <f>0.026*(4.19 * 50)</f>
        <v>5.4470000000000001</v>
      </c>
      <c r="AB470">
        <f>0.026*(4.19 * 50)</f>
        <v>5.4470000000000001</v>
      </c>
      <c r="AC470">
        <f>0.026*(4.19 * 50)</f>
        <v>5.4470000000000001</v>
      </c>
      <c r="AD470">
        <f>0.027*(4.19 * 50)</f>
        <v>5.6565000000000003</v>
      </c>
      <c r="AE470">
        <f>0.027*(4.19 * 50)</f>
        <v>5.6565000000000003</v>
      </c>
      <c r="AF470">
        <f>0.027*(4.19 * 50)</f>
        <v>5.6565000000000003</v>
      </c>
      <c r="AG470">
        <f>0.026*(4.19 * 50)</f>
        <v>5.4470000000000001</v>
      </c>
    </row>
    <row r="471" spans="1:33" x14ac:dyDescent="0.3">
      <c r="A471" t="s">
        <v>514</v>
      </c>
      <c r="B471">
        <v>357204</v>
      </c>
      <c r="C471">
        <v>6667925.1367189996</v>
      </c>
      <c r="D471" t="s">
        <v>542</v>
      </c>
      <c r="E471">
        <v>100</v>
      </c>
      <c r="F471">
        <v>84.666999816894503</v>
      </c>
      <c r="G471">
        <v>0.4041384239469904</v>
      </c>
      <c r="H471">
        <f t="shared" si="15"/>
        <v>164.0674998168945</v>
      </c>
      <c r="I471">
        <f t="shared" si="14"/>
        <v>209.50000000000003</v>
      </c>
      <c r="J471">
        <f>0.369*(4.19 * 50)</f>
        <v>77.305500000000009</v>
      </c>
      <c r="K471">
        <f>0.366*(4.19 * 50)</f>
        <v>76.677000000000007</v>
      </c>
      <c r="L471">
        <f>0.363*(4.19 * 50)</f>
        <v>76.048500000000004</v>
      </c>
      <c r="M471">
        <f>0.362*(4.19 * 50)</f>
        <v>75.839000000000013</v>
      </c>
      <c r="N471">
        <f>0.363*(4.19 * 50)</f>
        <v>76.048500000000004</v>
      </c>
      <c r="O471">
        <f>0.368*(4.19 * 50)</f>
        <v>77.096000000000004</v>
      </c>
      <c r="P471">
        <f>0.379*(4.19 * 50)</f>
        <v>79.400500000000008</v>
      </c>
      <c r="Q471">
        <f>0.389*(4.19 * 50)</f>
        <v>81.495500000000007</v>
      </c>
      <c r="R471">
        <f>0.386*(4.19 * 50)</f>
        <v>80.867000000000019</v>
      </c>
      <c r="S471">
        <f>0.378*(4.19 * 50)</f>
        <v>79.191000000000017</v>
      </c>
      <c r="T471">
        <f>0.376*(4.19 * 50)</f>
        <v>78.772000000000006</v>
      </c>
      <c r="U471">
        <f>0.36*(4.19 * 50)</f>
        <v>75.42</v>
      </c>
      <c r="V471">
        <f>0.355*(4.19 * 50)</f>
        <v>74.372500000000002</v>
      </c>
      <c r="W471">
        <f>0.35*(4.19 * 50)</f>
        <v>73.325000000000003</v>
      </c>
      <c r="X471">
        <f>0.349*(4.19 * 50)</f>
        <v>73.115500000000011</v>
      </c>
      <c r="Y471">
        <f>0.35*(4.19 * 50)</f>
        <v>73.325000000000003</v>
      </c>
      <c r="Z471">
        <f>0.354*(4.19 * 50)</f>
        <v>74.163000000000011</v>
      </c>
      <c r="AA471">
        <f>0.36*(4.19 * 50)</f>
        <v>75.42</v>
      </c>
      <c r="AB471">
        <f>0.366*(4.19 * 50)</f>
        <v>76.677000000000007</v>
      </c>
      <c r="AC471">
        <f>0.372*(4.19 * 50)</f>
        <v>77.934000000000012</v>
      </c>
      <c r="AD471">
        <f>0.378*(4.19 * 50)</f>
        <v>79.191000000000017</v>
      </c>
      <c r="AE471">
        <f>0.381*(4.19 * 50)</f>
        <v>79.819500000000005</v>
      </c>
      <c r="AF471">
        <f>0.378*(4.19 * 50)</f>
        <v>79.191000000000017</v>
      </c>
      <c r="AG471">
        <f>0.373*(4.19 * 50)</f>
        <v>78.143500000000017</v>
      </c>
    </row>
    <row r="472" spans="1:33" x14ac:dyDescent="0.3">
      <c r="A472" t="s">
        <v>515</v>
      </c>
      <c r="B472">
        <v>357257.824219</v>
      </c>
      <c r="C472">
        <v>6667948.8945310004</v>
      </c>
      <c r="D472" t="s">
        <v>542</v>
      </c>
      <c r="E472">
        <v>100</v>
      </c>
      <c r="F472">
        <v>75</v>
      </c>
      <c r="G472">
        <v>0.3579952267303102</v>
      </c>
      <c r="H472">
        <f t="shared" si="15"/>
        <v>145.392</v>
      </c>
      <c r="I472">
        <f t="shared" si="14"/>
        <v>209.50000000000003</v>
      </c>
      <c r="J472">
        <f>0.326*(4.19 * 50)</f>
        <v>68.297000000000011</v>
      </c>
      <c r="K472">
        <f>0.324*(4.19 * 50)</f>
        <v>67.878000000000014</v>
      </c>
      <c r="L472">
        <f>0.322*(4.19 * 50)</f>
        <v>67.459000000000017</v>
      </c>
      <c r="M472">
        <f>0.321*(4.19 * 50)</f>
        <v>67.249500000000012</v>
      </c>
      <c r="N472">
        <f>0.322*(4.19 * 50)</f>
        <v>67.459000000000017</v>
      </c>
      <c r="O472">
        <f>0.326*(4.19 * 50)</f>
        <v>68.297000000000011</v>
      </c>
      <c r="P472">
        <f>0.336*(4.19 * 50)</f>
        <v>70.39200000000001</v>
      </c>
      <c r="Q472">
        <f>0.345*(4.19 * 50)</f>
        <v>72.277500000000003</v>
      </c>
      <c r="R472">
        <f>0.342*(4.19 * 50)</f>
        <v>71.649000000000015</v>
      </c>
      <c r="S472">
        <f>0.335*(4.19 * 50)</f>
        <v>70.182500000000019</v>
      </c>
      <c r="T472">
        <f>0.333*(4.19 * 50)</f>
        <v>69.763500000000008</v>
      </c>
      <c r="U472">
        <f>0.319*(4.19 * 50)</f>
        <v>66.830500000000015</v>
      </c>
      <c r="V472">
        <f>0.315*(4.19 * 50)</f>
        <v>65.992500000000007</v>
      </c>
      <c r="W472">
        <f>0.31*(4.19 * 50)</f>
        <v>64.945000000000007</v>
      </c>
      <c r="X472">
        <f>0.309*(4.19 * 50)</f>
        <v>64.735500000000002</v>
      </c>
      <c r="Y472">
        <f>0.31*(4.19 * 50)</f>
        <v>64.945000000000007</v>
      </c>
      <c r="Z472">
        <f>0.313*(4.19 * 50)</f>
        <v>65.57350000000001</v>
      </c>
      <c r="AA472">
        <f>0.319*(4.19 * 50)</f>
        <v>66.830500000000015</v>
      </c>
      <c r="AB472">
        <f>0.324*(4.19 * 50)</f>
        <v>67.878000000000014</v>
      </c>
      <c r="AC472">
        <f>0.33*(4.19 * 50)</f>
        <v>69.135000000000019</v>
      </c>
      <c r="AD472">
        <f>0.335*(4.19 * 50)</f>
        <v>70.182500000000019</v>
      </c>
      <c r="AE472">
        <f>0.338*(4.19 * 50)</f>
        <v>70.811000000000021</v>
      </c>
      <c r="AF472">
        <f>0.335*(4.19 * 50)</f>
        <v>70.182500000000019</v>
      </c>
      <c r="AG472">
        <f>0.33*(4.19 * 50)</f>
        <v>69.135000000000019</v>
      </c>
    </row>
    <row r="473" spans="1:33" x14ac:dyDescent="0.3">
      <c r="A473" t="s">
        <v>516</v>
      </c>
      <c r="B473">
        <v>357263.300781</v>
      </c>
      <c r="C473">
        <v>6667937.6132810004</v>
      </c>
      <c r="D473" t="s">
        <v>541</v>
      </c>
      <c r="E473">
        <v>100</v>
      </c>
      <c r="F473">
        <v>49</v>
      </c>
      <c r="G473">
        <v>0.23389021479713601</v>
      </c>
      <c r="H473">
        <f t="shared" si="15"/>
        <v>94.880500000000012</v>
      </c>
      <c r="I473">
        <f t="shared" si="14"/>
        <v>209.50000000000003</v>
      </c>
      <c r="J473">
        <f>0.213*(4.19 * 50)</f>
        <v>44.623500000000007</v>
      </c>
      <c r="K473">
        <f>0.212*(4.19 * 50)</f>
        <v>44.414000000000001</v>
      </c>
      <c r="L473">
        <f>0.21*(4.19 * 50)</f>
        <v>43.995000000000005</v>
      </c>
      <c r="M473">
        <f>0.209*(4.19 * 50)</f>
        <v>43.785500000000006</v>
      </c>
      <c r="N473">
        <f>0.21*(4.19 * 50)</f>
        <v>43.995000000000005</v>
      </c>
      <c r="O473">
        <f>0.213*(4.19 * 50)</f>
        <v>44.623500000000007</v>
      </c>
      <c r="P473">
        <f>0.219*(4.19 * 50)</f>
        <v>45.880500000000005</v>
      </c>
      <c r="Q473">
        <f>0.225*(4.19 * 50)</f>
        <v>47.13750000000001</v>
      </c>
      <c r="R473">
        <f>0.223*(4.19 * 50)</f>
        <v>46.718500000000006</v>
      </c>
      <c r="S473">
        <f>0.219*(4.19 * 50)</f>
        <v>45.880500000000005</v>
      </c>
      <c r="T473">
        <f>0.218*(4.19 * 50)</f>
        <v>45.671000000000006</v>
      </c>
      <c r="U473">
        <f>0.209*(4.19 * 50)</f>
        <v>43.785500000000006</v>
      </c>
      <c r="V473">
        <f>0.206*(4.19 * 50)</f>
        <v>43.157000000000004</v>
      </c>
      <c r="W473">
        <f>0.203*(4.19 * 50)</f>
        <v>42.528500000000008</v>
      </c>
      <c r="X473">
        <f>0.202*(4.19 * 50)</f>
        <v>42.31900000000001</v>
      </c>
      <c r="Y473">
        <f>0.203*(4.19 * 50)</f>
        <v>42.528500000000008</v>
      </c>
      <c r="Z473">
        <f>0.205*(4.19 * 50)</f>
        <v>42.947500000000005</v>
      </c>
      <c r="AA473">
        <f>0.209*(4.19 * 50)</f>
        <v>43.785500000000006</v>
      </c>
      <c r="AB473">
        <f>0.212*(4.19 * 50)</f>
        <v>44.414000000000001</v>
      </c>
      <c r="AC473">
        <f>0.215*(4.19 * 50)</f>
        <v>45.042500000000004</v>
      </c>
      <c r="AD473">
        <f>0.219*(4.19 * 50)</f>
        <v>45.880500000000005</v>
      </c>
      <c r="AE473">
        <f>0.221*(4.19 * 50)</f>
        <v>46.299500000000009</v>
      </c>
      <c r="AF473">
        <f>0.219*(4.19 * 50)</f>
        <v>45.880500000000005</v>
      </c>
      <c r="AG473">
        <f>0.216*(4.19 * 50)</f>
        <v>45.252000000000002</v>
      </c>
    </row>
    <row r="474" spans="1:33" x14ac:dyDescent="0.3">
      <c r="A474" t="s">
        <v>517</v>
      </c>
      <c r="B474">
        <v>357324.957031</v>
      </c>
      <c r="C474">
        <v>6667955.453125</v>
      </c>
      <c r="D474" t="s">
        <v>542</v>
      </c>
      <c r="E474">
        <v>100</v>
      </c>
      <c r="F474">
        <v>52.333000183105398</v>
      </c>
      <c r="G474">
        <v>0.24979952354704241</v>
      </c>
      <c r="H474">
        <f t="shared" si="15"/>
        <v>101.35600018310541</v>
      </c>
      <c r="I474">
        <f t="shared" si="14"/>
        <v>209.50000000000003</v>
      </c>
      <c r="J474">
        <f>0.228*(4.19 * 50)</f>
        <v>47.766000000000005</v>
      </c>
      <c r="K474">
        <f>0.226*(4.19 * 50)</f>
        <v>47.347000000000008</v>
      </c>
      <c r="L474">
        <f>0.225*(4.19 * 50)</f>
        <v>47.13750000000001</v>
      </c>
      <c r="M474">
        <f>0.224*(4.19 * 50)</f>
        <v>46.928000000000004</v>
      </c>
      <c r="N474">
        <f>0.225*(4.19 * 50)</f>
        <v>47.13750000000001</v>
      </c>
      <c r="O474">
        <f>0.228*(4.19 * 50)</f>
        <v>47.766000000000005</v>
      </c>
      <c r="P474">
        <f>0.234*(4.19 * 50)</f>
        <v>49.02300000000001</v>
      </c>
      <c r="Q474">
        <f>0.241*(4.19 * 50)</f>
        <v>50.489500000000007</v>
      </c>
      <c r="R474">
        <f>0.238*(4.19 * 50)</f>
        <v>49.861000000000004</v>
      </c>
      <c r="S474">
        <f>0.233*(4.19 * 50)</f>
        <v>48.813500000000012</v>
      </c>
      <c r="T474">
        <f>0.233*(4.19 * 50)</f>
        <v>48.813500000000012</v>
      </c>
      <c r="U474">
        <f>0.223*(4.19 * 50)</f>
        <v>46.718500000000006</v>
      </c>
      <c r="V474">
        <f>0.22*(4.19 * 50)</f>
        <v>46.09</v>
      </c>
      <c r="W474">
        <f>0.217*(4.19 * 50)</f>
        <v>45.461500000000008</v>
      </c>
      <c r="X474">
        <f>0.216*(4.19 * 50)</f>
        <v>45.252000000000002</v>
      </c>
      <c r="Y474">
        <f>0.216*(4.19 * 50)</f>
        <v>45.252000000000002</v>
      </c>
      <c r="Z474">
        <f>0.219*(4.19 * 50)</f>
        <v>45.880500000000005</v>
      </c>
      <c r="AA474">
        <f>0.223*(4.19 * 50)</f>
        <v>46.718500000000006</v>
      </c>
      <c r="AB474">
        <f>0.226*(4.19 * 50)</f>
        <v>47.347000000000008</v>
      </c>
      <c r="AC474">
        <f>0.23*(4.19 * 50)</f>
        <v>48.185000000000009</v>
      </c>
      <c r="AD474">
        <f>0.234*(4.19 * 50)</f>
        <v>49.02300000000001</v>
      </c>
      <c r="AE474">
        <f>0.236*(4.19 * 50)</f>
        <v>49.442000000000007</v>
      </c>
      <c r="AF474">
        <f>0.233*(4.19 * 50)</f>
        <v>48.813500000000012</v>
      </c>
      <c r="AG474">
        <f>0.23*(4.19 * 50)</f>
        <v>48.185000000000009</v>
      </c>
    </row>
    <row r="475" spans="1:33" x14ac:dyDescent="0.3">
      <c r="A475" t="s">
        <v>518</v>
      </c>
      <c r="B475">
        <v>357150.996094</v>
      </c>
      <c r="C475">
        <v>6668037.7578130001</v>
      </c>
      <c r="D475" t="s">
        <v>540</v>
      </c>
      <c r="E475">
        <v>100</v>
      </c>
      <c r="F475">
        <v>14</v>
      </c>
      <c r="G475">
        <v>6.6825775656324568E-2</v>
      </c>
      <c r="H475">
        <f t="shared" si="15"/>
        <v>27.198500000000003</v>
      </c>
      <c r="I475">
        <f t="shared" si="14"/>
        <v>209.50000000000003</v>
      </c>
      <c r="J475">
        <f>0.061*(4.19 * 50)</f>
        <v>12.779500000000002</v>
      </c>
      <c r="K475">
        <f>0.06*(4.19 * 50)</f>
        <v>12.570000000000002</v>
      </c>
      <c r="L475">
        <f>0.06*(4.19 * 50)</f>
        <v>12.570000000000002</v>
      </c>
      <c r="M475">
        <f>0.06*(4.19 * 50)</f>
        <v>12.570000000000002</v>
      </c>
      <c r="N475">
        <f>0.06*(4.19 * 50)</f>
        <v>12.570000000000002</v>
      </c>
      <c r="O475">
        <f>0.061*(4.19 * 50)</f>
        <v>12.779500000000002</v>
      </c>
      <c r="P475">
        <f>0.063*(4.19 * 50)</f>
        <v>13.198500000000001</v>
      </c>
      <c r="Q475">
        <f>0.064*(4.19 * 50)</f>
        <v>13.408000000000001</v>
      </c>
      <c r="R475">
        <f>0.064*(4.19 * 50)</f>
        <v>13.408000000000001</v>
      </c>
      <c r="S475">
        <f>0.062*(4.19 * 50)</f>
        <v>12.989000000000003</v>
      </c>
      <c r="T475">
        <f>0.062*(4.19 * 50)</f>
        <v>12.989000000000003</v>
      </c>
      <c r="U475">
        <f>0.06*(4.19 * 50)</f>
        <v>12.570000000000002</v>
      </c>
      <c r="V475">
        <f>0.059*(4.19 * 50)</f>
        <v>12.360500000000002</v>
      </c>
      <c r="W475">
        <f>0.058*(4.19 * 50)</f>
        <v>12.151000000000002</v>
      </c>
      <c r="X475">
        <f>0.058*(4.19 * 50)</f>
        <v>12.151000000000002</v>
      </c>
      <c r="Y475">
        <f>0.058*(4.19 * 50)</f>
        <v>12.151000000000002</v>
      </c>
      <c r="Z475">
        <f>0.059*(4.19 * 50)</f>
        <v>12.360500000000002</v>
      </c>
      <c r="AA475">
        <f>0.06*(4.19 * 50)</f>
        <v>12.570000000000002</v>
      </c>
      <c r="AB475">
        <f>0.06*(4.19 * 50)</f>
        <v>12.570000000000002</v>
      </c>
      <c r="AC475">
        <f>0.062*(4.19 * 50)</f>
        <v>12.989000000000003</v>
      </c>
      <c r="AD475">
        <f>0.063*(4.19 * 50)</f>
        <v>13.198500000000001</v>
      </c>
      <c r="AE475">
        <f>0.063*(4.19 * 50)</f>
        <v>13.198500000000001</v>
      </c>
      <c r="AF475">
        <f>0.062*(4.19 * 50)</f>
        <v>12.989000000000003</v>
      </c>
      <c r="AG475">
        <f>0.062*(4.19 * 50)</f>
        <v>12.989000000000003</v>
      </c>
    </row>
    <row r="476" spans="1:33" x14ac:dyDescent="0.3">
      <c r="A476" t="s">
        <v>519</v>
      </c>
      <c r="B476">
        <v>357738.609375</v>
      </c>
      <c r="C476">
        <v>6668505.4335939996</v>
      </c>
      <c r="D476" t="s">
        <v>541</v>
      </c>
      <c r="E476">
        <v>100</v>
      </c>
      <c r="F476">
        <v>54.666999816894503</v>
      </c>
      <c r="G476">
        <v>0.26094033325486632</v>
      </c>
      <c r="H476">
        <f t="shared" si="15"/>
        <v>105.99449981689452</v>
      </c>
      <c r="I476">
        <f t="shared" si="14"/>
        <v>209.50000000000003</v>
      </c>
      <c r="J476">
        <f>0.238*(4.19 * 50)</f>
        <v>49.861000000000004</v>
      </c>
      <c r="K476">
        <f>0.236*(4.19 * 50)</f>
        <v>49.442000000000007</v>
      </c>
      <c r="L476">
        <f>0.235*(4.19 * 50)</f>
        <v>49.232500000000002</v>
      </c>
      <c r="M476">
        <f>0.234*(4.19 * 50)</f>
        <v>49.02300000000001</v>
      </c>
      <c r="N476">
        <f>0.235*(4.19 * 50)</f>
        <v>49.232500000000002</v>
      </c>
      <c r="O476">
        <f>0.238*(4.19 * 50)</f>
        <v>49.861000000000004</v>
      </c>
      <c r="P476">
        <f>0.245*(4.19 * 50)</f>
        <v>51.327500000000008</v>
      </c>
      <c r="Q476">
        <f>0.251*(4.19 * 50)</f>
        <v>52.584500000000006</v>
      </c>
      <c r="R476">
        <f>0.249*(4.19 * 50)</f>
        <v>52.165500000000009</v>
      </c>
      <c r="S476">
        <f>0.244*(4.19 * 50)</f>
        <v>51.118000000000009</v>
      </c>
      <c r="T476">
        <f>0.243*(4.19 * 50)</f>
        <v>50.908500000000004</v>
      </c>
      <c r="U476">
        <f>0.233*(4.19 * 50)</f>
        <v>48.813500000000012</v>
      </c>
      <c r="V476">
        <f>0.229*(4.19 * 50)</f>
        <v>47.975500000000011</v>
      </c>
      <c r="W476">
        <f>0.226*(4.19 * 50)</f>
        <v>47.347000000000008</v>
      </c>
      <c r="X476">
        <f>0.226*(4.19 * 50)</f>
        <v>47.347000000000008</v>
      </c>
      <c r="Y476">
        <f>0.226*(4.19 * 50)</f>
        <v>47.347000000000008</v>
      </c>
      <c r="Z476">
        <f>0.228*(4.19 * 50)</f>
        <v>47.766000000000005</v>
      </c>
      <c r="AA476">
        <f>0.233*(4.19 * 50)</f>
        <v>48.813500000000012</v>
      </c>
      <c r="AB476">
        <f>0.236*(4.19 * 50)</f>
        <v>49.442000000000007</v>
      </c>
      <c r="AC476">
        <f>0.24*(4.19 * 50)</f>
        <v>50.280000000000008</v>
      </c>
      <c r="AD476">
        <f>0.244*(4.19 * 50)</f>
        <v>51.118000000000009</v>
      </c>
      <c r="AE476">
        <f>0.246*(4.19 * 50)</f>
        <v>51.537000000000006</v>
      </c>
      <c r="AF476">
        <f>0.244*(4.19 * 50)</f>
        <v>51.118000000000009</v>
      </c>
      <c r="AG476">
        <f>0.241*(4.19 * 50)</f>
        <v>50.489500000000007</v>
      </c>
    </row>
    <row r="477" spans="1:33" x14ac:dyDescent="0.3">
      <c r="A477" t="s">
        <v>520</v>
      </c>
      <c r="B477">
        <v>357338.039063</v>
      </c>
      <c r="C477">
        <v>6668528.5273439996</v>
      </c>
      <c r="D477" t="s">
        <v>542</v>
      </c>
      <c r="E477">
        <v>100</v>
      </c>
      <c r="F477">
        <v>63.666999816894503</v>
      </c>
      <c r="G477">
        <v>0.30389976046250361</v>
      </c>
      <c r="H477">
        <f t="shared" si="15"/>
        <v>123.37449981689451</v>
      </c>
      <c r="I477">
        <f t="shared" si="14"/>
        <v>209.50000000000003</v>
      </c>
      <c r="J477">
        <f>0.277*(4.19 * 50)</f>
        <v>58.031500000000015</v>
      </c>
      <c r="K477">
        <f>0.275*(4.19 * 50)</f>
        <v>57.612500000000011</v>
      </c>
      <c r="L477">
        <f>0.273*(4.19 * 50)</f>
        <v>57.193500000000014</v>
      </c>
      <c r="M477">
        <f>0.272*(4.19 * 50)</f>
        <v>56.984000000000009</v>
      </c>
      <c r="N477">
        <f>0.273*(4.19 * 50)</f>
        <v>57.193500000000014</v>
      </c>
      <c r="O477">
        <f>0.277*(4.19 * 50)</f>
        <v>58.031500000000015</v>
      </c>
      <c r="P477">
        <f>0.285*(4.19 * 50)</f>
        <v>59.707500000000003</v>
      </c>
      <c r="Q477">
        <f>0.293*(4.19 * 50)</f>
        <v>61.383500000000005</v>
      </c>
      <c r="R477">
        <f>0.29*(4.19 * 50)</f>
        <v>60.755000000000003</v>
      </c>
      <c r="S477">
        <f>0.284*(4.19 * 50)</f>
        <v>59.498000000000005</v>
      </c>
      <c r="T477">
        <f>0.283*(4.19 * 50)</f>
        <v>59.288499999999999</v>
      </c>
      <c r="U477">
        <f>0.271*(4.19 * 50)</f>
        <v>56.77450000000001</v>
      </c>
      <c r="V477">
        <f>0.267*(4.19 * 50)</f>
        <v>55.936500000000009</v>
      </c>
      <c r="W477">
        <f>0.264*(4.19 * 50)</f>
        <v>55.308000000000007</v>
      </c>
      <c r="X477">
        <f>0.263*(4.19 * 50)</f>
        <v>55.098500000000008</v>
      </c>
      <c r="Y477">
        <f>0.263*(4.19 * 50)</f>
        <v>55.098500000000008</v>
      </c>
      <c r="Z477">
        <f>0.266*(4.19 * 50)</f>
        <v>55.727000000000011</v>
      </c>
      <c r="AA477">
        <f>0.271*(4.19 * 50)</f>
        <v>56.77450000000001</v>
      </c>
      <c r="AB477">
        <f>0.275*(4.19 * 50)</f>
        <v>57.612500000000011</v>
      </c>
      <c r="AC477">
        <f>0.28*(4.19 * 50)</f>
        <v>58.660000000000011</v>
      </c>
      <c r="AD477">
        <f>0.285*(4.19 * 50)</f>
        <v>59.707500000000003</v>
      </c>
      <c r="AE477">
        <f>0.287*(4.19 * 50)</f>
        <v>60.1265</v>
      </c>
      <c r="AF477">
        <f>0.284*(4.19 * 50)</f>
        <v>59.498000000000005</v>
      </c>
      <c r="AG477">
        <f>0.28*(4.19 * 50)</f>
        <v>58.660000000000011</v>
      </c>
    </row>
    <row r="478" spans="1:33" x14ac:dyDescent="0.3">
      <c r="A478" t="s">
        <v>521</v>
      </c>
      <c r="B478">
        <v>357969.480469</v>
      </c>
      <c r="C478">
        <v>6667286.5820310004</v>
      </c>
      <c r="D478" t="s">
        <v>552</v>
      </c>
      <c r="E478">
        <v>100</v>
      </c>
      <c r="F478">
        <v>666.6669921875</v>
      </c>
      <c r="G478">
        <v>3.1821813469570399</v>
      </c>
      <c r="H478">
        <f t="shared" si="15"/>
        <v>1292.2339921875</v>
      </c>
      <c r="I478">
        <f t="shared" si="14"/>
        <v>209.50000000000003</v>
      </c>
      <c r="J478">
        <f>2.902*(4.19 * 50)</f>
        <v>607.96900000000016</v>
      </c>
      <c r="K478">
        <f>2.878*(4.19 * 50)</f>
        <v>602.94100000000014</v>
      </c>
      <c r="L478">
        <f>2.861*(4.19 * 50)</f>
        <v>599.37950000000012</v>
      </c>
      <c r="M478">
        <f>2.849*(4.19 * 50)</f>
        <v>596.86550000000011</v>
      </c>
      <c r="N478">
        <f>2.861*(4.19 * 50)</f>
        <v>599.37950000000012</v>
      </c>
      <c r="O478">
        <f>2.899*(4.19 * 50)</f>
        <v>607.34050000000013</v>
      </c>
      <c r="P478">
        <f>2.986*(4.19 * 50)</f>
        <v>625.56700000000012</v>
      </c>
      <c r="Q478">
        <f>3.064*(4.19 * 50)</f>
        <v>641.90800000000013</v>
      </c>
      <c r="R478">
        <f>3.038*(4.19 * 50)</f>
        <v>636.46100000000001</v>
      </c>
      <c r="S478">
        <f>2.974*(4.19 * 50)</f>
        <v>623.05300000000011</v>
      </c>
      <c r="T478">
        <f>2.962*(4.19 * 50)</f>
        <v>620.5390000000001</v>
      </c>
      <c r="U478">
        <f>2.838*(4.19 * 50)</f>
        <v>594.56100000000015</v>
      </c>
      <c r="V478">
        <f>2.797*(4.19 * 50)</f>
        <v>585.97150000000011</v>
      </c>
      <c r="W478">
        <f>2.76*(4.19 * 50)</f>
        <v>578.22</v>
      </c>
      <c r="X478">
        <f>2.751*(4.19 * 50)</f>
        <v>576.33450000000005</v>
      </c>
      <c r="Y478">
        <f>2.757*(4.19 * 50)</f>
        <v>577.59150000000011</v>
      </c>
      <c r="Z478">
        <f>2.786*(4.19 * 50)</f>
        <v>583.66700000000003</v>
      </c>
      <c r="AA478">
        <f>2.838*(4.19 * 50)</f>
        <v>594.56100000000015</v>
      </c>
      <c r="AB478">
        <f>2.878*(4.19 * 50)</f>
        <v>602.94100000000014</v>
      </c>
      <c r="AC478">
        <f>2.931*(4.19 * 50)</f>
        <v>614.04450000000008</v>
      </c>
      <c r="AD478">
        <f>2.98*(4.19 * 50)</f>
        <v>624.31000000000006</v>
      </c>
      <c r="AE478">
        <f>3*(4.19 * 50)</f>
        <v>628.50000000000011</v>
      </c>
      <c r="AF478">
        <f>2.974*(4.19 * 50)</f>
        <v>623.05300000000011</v>
      </c>
      <c r="AG478">
        <f>2.933*(4.19 * 50)</f>
        <v>614.46350000000007</v>
      </c>
    </row>
    <row r="479" spans="1:33" x14ac:dyDescent="0.3">
      <c r="A479" t="s">
        <v>522</v>
      </c>
      <c r="B479">
        <v>357135.710938</v>
      </c>
      <c r="C479">
        <v>6667187.8632810004</v>
      </c>
      <c r="D479" t="s">
        <v>553</v>
      </c>
      <c r="E479">
        <v>100</v>
      </c>
      <c r="F479">
        <v>172.66700744628901</v>
      </c>
      <c r="G479">
        <v>0.82418619306104524</v>
      </c>
      <c r="H479">
        <f t="shared" si="15"/>
        <v>334.61050744628903</v>
      </c>
      <c r="I479">
        <f t="shared" si="14"/>
        <v>209.50000000000003</v>
      </c>
      <c r="J479">
        <f>0.752*(4.19 * 50)</f>
        <v>157.54400000000001</v>
      </c>
      <c r="K479">
        <f>0.746*(4.19 * 50)</f>
        <v>156.28700000000003</v>
      </c>
      <c r="L479">
        <f>0.741*(4.19 * 50)</f>
        <v>155.23950000000002</v>
      </c>
      <c r="M479">
        <f>0.738*(4.19 * 50)</f>
        <v>154.61100000000002</v>
      </c>
      <c r="N479">
        <f>0.741*(4.19 * 50)</f>
        <v>155.23950000000002</v>
      </c>
      <c r="O479">
        <f>0.751*(4.19 * 50)</f>
        <v>157.33450000000002</v>
      </c>
      <c r="P479">
        <f>0.773*(4.19 * 50)</f>
        <v>161.94350000000003</v>
      </c>
      <c r="Q479">
        <f>0.794*(4.19 * 50)</f>
        <v>166.34300000000002</v>
      </c>
      <c r="R479">
        <f>0.787*(4.19 * 50)</f>
        <v>164.87650000000002</v>
      </c>
      <c r="S479">
        <f>0.77*(4.19 * 50)</f>
        <v>161.31500000000003</v>
      </c>
      <c r="T479">
        <f>0.767*(4.19 * 50)</f>
        <v>160.68650000000002</v>
      </c>
      <c r="U479">
        <f>0.735*(4.19 * 50)</f>
        <v>153.98250000000002</v>
      </c>
      <c r="V479">
        <f>0.725*(4.19 * 50)</f>
        <v>151.88750000000002</v>
      </c>
      <c r="W479">
        <f>0.715*(4.19 * 50)</f>
        <v>149.79250000000002</v>
      </c>
      <c r="X479">
        <f>0.713*(4.19 * 50)</f>
        <v>149.37350000000001</v>
      </c>
      <c r="Y479">
        <f>0.714*(4.19 * 50)</f>
        <v>149.58300000000003</v>
      </c>
      <c r="Z479">
        <f>0.722*(4.19 * 50)</f>
        <v>151.25900000000001</v>
      </c>
      <c r="AA479">
        <f>0.735*(4.19 * 50)</f>
        <v>153.98250000000002</v>
      </c>
      <c r="AB479">
        <f>0.746*(4.19 * 50)</f>
        <v>156.28700000000003</v>
      </c>
      <c r="AC479">
        <f>0.759*(4.19 * 50)</f>
        <v>159.01050000000004</v>
      </c>
      <c r="AD479">
        <f>0.772*(4.19 * 50)</f>
        <v>161.73400000000004</v>
      </c>
      <c r="AE479">
        <f>0.777*(4.19 * 50)</f>
        <v>162.78150000000002</v>
      </c>
      <c r="AF479">
        <f>0.77*(4.19 * 50)</f>
        <v>161.31500000000003</v>
      </c>
      <c r="AG479">
        <f>0.76*(4.19 * 50)</f>
        <v>159.22000000000003</v>
      </c>
    </row>
    <row r="480" spans="1:33" x14ac:dyDescent="0.3">
      <c r="A480" t="s">
        <v>523</v>
      </c>
      <c r="B480">
        <v>357182.019531</v>
      </c>
      <c r="C480">
        <v>6667709.7109380001</v>
      </c>
      <c r="D480" t="s">
        <v>541</v>
      </c>
      <c r="E480">
        <v>100</v>
      </c>
      <c r="F480">
        <v>57.333000183105398</v>
      </c>
      <c r="G480">
        <v>0.27366587199572978</v>
      </c>
      <c r="H480">
        <f t="shared" si="15"/>
        <v>111.17450018310541</v>
      </c>
      <c r="I480">
        <f t="shared" si="14"/>
        <v>209.50000000000003</v>
      </c>
      <c r="J480">
        <f>0.25*(4.19 * 50)</f>
        <v>52.375000000000007</v>
      </c>
      <c r="K480">
        <f>0.248*(4.19 * 50)</f>
        <v>51.95600000000001</v>
      </c>
      <c r="L480">
        <f>0.246*(4.19 * 50)</f>
        <v>51.537000000000006</v>
      </c>
      <c r="M480">
        <f>0.245*(4.19 * 50)</f>
        <v>51.327500000000008</v>
      </c>
      <c r="N480">
        <f>0.246*(4.19 * 50)</f>
        <v>51.537000000000006</v>
      </c>
      <c r="O480">
        <f>0.249*(4.19 * 50)</f>
        <v>52.165500000000009</v>
      </c>
      <c r="P480">
        <f>0.257*(4.19 * 50)</f>
        <v>53.841500000000011</v>
      </c>
      <c r="Q480">
        <f>0.263*(4.19 * 50)</f>
        <v>55.098500000000008</v>
      </c>
      <c r="R480">
        <f>0.261*(4.19 * 50)</f>
        <v>54.679500000000012</v>
      </c>
      <c r="S480">
        <f>0.256*(4.19 * 50)</f>
        <v>53.632000000000005</v>
      </c>
      <c r="T480">
        <f>0.255*(4.19 * 50)</f>
        <v>53.422500000000007</v>
      </c>
      <c r="U480">
        <f>0.244*(4.19 * 50)</f>
        <v>51.118000000000009</v>
      </c>
      <c r="V480">
        <f>0.241*(4.19 * 50)</f>
        <v>50.489500000000007</v>
      </c>
      <c r="W480">
        <f>0.237*(4.19 * 50)</f>
        <v>49.651500000000006</v>
      </c>
      <c r="X480">
        <f>0.237*(4.19 * 50)</f>
        <v>49.651500000000006</v>
      </c>
      <c r="Y480">
        <f>0.237*(4.19 * 50)</f>
        <v>49.651500000000006</v>
      </c>
      <c r="Z480">
        <f>0.24*(4.19 * 50)</f>
        <v>50.280000000000008</v>
      </c>
      <c r="AA480">
        <f>0.244*(4.19 * 50)</f>
        <v>51.118000000000009</v>
      </c>
      <c r="AB480">
        <f>0.248*(4.19 * 50)</f>
        <v>51.95600000000001</v>
      </c>
      <c r="AC480">
        <f>0.252*(4.19 * 50)</f>
        <v>52.794000000000004</v>
      </c>
      <c r="AD480">
        <f>0.256*(4.19 * 50)</f>
        <v>53.632000000000005</v>
      </c>
      <c r="AE480">
        <f>0.258*(4.19 * 50)</f>
        <v>54.051000000000009</v>
      </c>
      <c r="AF480">
        <f>0.256*(4.19 * 50)</f>
        <v>53.632000000000005</v>
      </c>
      <c r="AG480">
        <f>0.252*(4.19 * 50)</f>
        <v>52.794000000000004</v>
      </c>
    </row>
    <row r="481" spans="1:33" x14ac:dyDescent="0.3">
      <c r="A481" t="s">
        <v>524</v>
      </c>
      <c r="B481">
        <v>357177.859375</v>
      </c>
      <c r="C481">
        <v>6667665.1640630001</v>
      </c>
      <c r="D481" t="s">
        <v>541</v>
      </c>
      <c r="E481">
        <v>100</v>
      </c>
      <c r="F481">
        <v>103</v>
      </c>
      <c r="G481">
        <v>0.49164677804295942</v>
      </c>
      <c r="H481">
        <f t="shared" si="15"/>
        <v>199.57950000000002</v>
      </c>
      <c r="I481">
        <f t="shared" si="14"/>
        <v>209.50000000000003</v>
      </c>
      <c r="J481">
        <f>0.448*(4.19 * 50)</f>
        <v>93.856000000000009</v>
      </c>
      <c r="K481">
        <f>0.445*(4.19 * 50)</f>
        <v>93.22750000000002</v>
      </c>
      <c r="L481">
        <f>0.442*(4.19 * 50)</f>
        <v>92.599000000000018</v>
      </c>
      <c r="M481">
        <f>0.44*(4.19 * 50)</f>
        <v>92.18</v>
      </c>
      <c r="N481">
        <f>0.442*(4.19 * 50)</f>
        <v>92.599000000000018</v>
      </c>
      <c r="O481">
        <f>0.448*(4.19 * 50)</f>
        <v>93.856000000000009</v>
      </c>
      <c r="P481">
        <f>0.461*(4.19 * 50)</f>
        <v>96.579500000000024</v>
      </c>
      <c r="Q481">
        <f>0.473*(4.19 * 50)</f>
        <v>99.093500000000006</v>
      </c>
      <c r="R481">
        <f>0.469*(4.19 * 50)</f>
        <v>98.255500000000012</v>
      </c>
      <c r="S481">
        <f>0.459*(4.19 * 50)</f>
        <v>96.160500000000013</v>
      </c>
      <c r="T481">
        <f>0.458*(4.19 * 50)</f>
        <v>95.951000000000022</v>
      </c>
      <c r="U481">
        <f>0.438*(4.19 * 50)</f>
        <v>91.76100000000001</v>
      </c>
      <c r="V481">
        <f>0.432*(4.19 * 50)</f>
        <v>90.504000000000005</v>
      </c>
      <c r="W481">
        <f>0.426*(4.19 * 50)</f>
        <v>89.247000000000014</v>
      </c>
      <c r="X481">
        <f>0.425*(4.19 * 50)</f>
        <v>89.037500000000009</v>
      </c>
      <c r="Y481">
        <f>0.426*(4.19 * 50)</f>
        <v>89.247000000000014</v>
      </c>
      <c r="Z481">
        <f>0.43*(4.19 * 50)</f>
        <v>90.085000000000008</v>
      </c>
      <c r="AA481">
        <f>0.438*(4.19 * 50)</f>
        <v>91.76100000000001</v>
      </c>
      <c r="AB481">
        <f>0.445*(4.19 * 50)</f>
        <v>93.22750000000002</v>
      </c>
      <c r="AC481">
        <f>0.453*(4.19 * 50)</f>
        <v>94.903500000000022</v>
      </c>
      <c r="AD481">
        <f>0.46*(4.19 * 50)</f>
        <v>96.370000000000019</v>
      </c>
      <c r="AE481">
        <f>0.464*(4.19 * 50)</f>
        <v>97.208000000000013</v>
      </c>
      <c r="AF481">
        <f>0.459*(4.19 * 50)</f>
        <v>96.160500000000013</v>
      </c>
      <c r="AG481">
        <f>0.453*(4.19 * 50)</f>
        <v>94.903500000000022</v>
      </c>
    </row>
    <row r="482" spans="1:33" x14ac:dyDescent="0.3">
      <c r="A482" t="s">
        <v>525</v>
      </c>
      <c r="B482">
        <v>356997.796875</v>
      </c>
      <c r="C482">
        <v>6667811.859375</v>
      </c>
      <c r="D482" t="s">
        <v>540</v>
      </c>
      <c r="E482">
        <v>100</v>
      </c>
      <c r="F482">
        <v>9</v>
      </c>
      <c r="G482">
        <v>4.2959427207637228E-2</v>
      </c>
      <c r="H482">
        <f t="shared" si="15"/>
        <v>17.380000000000003</v>
      </c>
      <c r="I482">
        <f t="shared" si="14"/>
        <v>209.50000000000003</v>
      </c>
      <c r="J482">
        <f>0.039*(4.19 * 50)</f>
        <v>8.1705000000000005</v>
      </c>
      <c r="K482">
        <f>0.039*(4.19 * 50)</f>
        <v>8.1705000000000005</v>
      </c>
      <c r="L482">
        <f>0.039*(4.19 * 50)</f>
        <v>8.1705000000000005</v>
      </c>
      <c r="M482">
        <f>0.038*(4.19 * 50)</f>
        <v>7.9610000000000012</v>
      </c>
      <c r="N482">
        <f>0.039*(4.19 * 50)</f>
        <v>8.1705000000000005</v>
      </c>
      <c r="O482">
        <f>0.039*(4.19 * 50)</f>
        <v>8.1705000000000005</v>
      </c>
      <c r="P482">
        <f>0.04*(4.19 * 50)</f>
        <v>8.3800000000000008</v>
      </c>
      <c r="Q482">
        <f>0.041*(4.19 * 50)</f>
        <v>8.589500000000001</v>
      </c>
      <c r="R482">
        <f>0.041*(4.19 * 50)</f>
        <v>8.589500000000001</v>
      </c>
      <c r="S482">
        <f>0.04*(4.19 * 50)</f>
        <v>8.3800000000000008</v>
      </c>
      <c r="T482">
        <f>0.04*(4.19 * 50)</f>
        <v>8.3800000000000008</v>
      </c>
      <c r="U482">
        <f>0.038*(4.19 * 50)</f>
        <v>7.9610000000000012</v>
      </c>
      <c r="V482">
        <f>0.038*(4.19 * 50)</f>
        <v>7.9610000000000012</v>
      </c>
      <c r="W482">
        <f>0.037*(4.19 * 50)</f>
        <v>7.7515000000000009</v>
      </c>
      <c r="X482">
        <f>0.037*(4.19 * 50)</f>
        <v>7.7515000000000009</v>
      </c>
      <c r="Y482">
        <f>0.037*(4.19 * 50)</f>
        <v>7.7515000000000009</v>
      </c>
      <c r="Z482">
        <f>0.038*(4.19 * 50)</f>
        <v>7.9610000000000012</v>
      </c>
      <c r="AA482">
        <f>0.038*(4.19 * 50)</f>
        <v>7.9610000000000012</v>
      </c>
      <c r="AB482">
        <f>0.039*(4.19 * 50)</f>
        <v>8.1705000000000005</v>
      </c>
      <c r="AC482">
        <f>0.04*(4.19 * 50)</f>
        <v>8.3800000000000008</v>
      </c>
      <c r="AD482">
        <f>0.04*(4.19 * 50)</f>
        <v>8.3800000000000008</v>
      </c>
      <c r="AE482">
        <f>0.041*(4.19 * 50)</f>
        <v>8.589500000000001</v>
      </c>
      <c r="AF482">
        <f>0.04*(4.19 * 50)</f>
        <v>8.3800000000000008</v>
      </c>
      <c r="AG482">
        <f>0.04*(4.19 * 50)</f>
        <v>8.3800000000000008</v>
      </c>
    </row>
    <row r="483" spans="1:33" x14ac:dyDescent="0.3">
      <c r="A483" t="s">
        <v>526</v>
      </c>
      <c r="B483">
        <v>357013.664063</v>
      </c>
      <c r="C483">
        <v>6667796.9023439996</v>
      </c>
      <c r="D483" t="s">
        <v>540</v>
      </c>
      <c r="E483">
        <v>100</v>
      </c>
      <c r="F483">
        <v>4</v>
      </c>
      <c r="G483">
        <v>1.9093078758949882E-2</v>
      </c>
      <c r="H483">
        <f t="shared" si="15"/>
        <v>7.7710000000000008</v>
      </c>
      <c r="I483">
        <f t="shared" si="14"/>
        <v>209.50000000000003</v>
      </c>
      <c r="J483">
        <f>0.017*(4.19 * 50)</f>
        <v>3.5615000000000006</v>
      </c>
      <c r="K483">
        <f>0.017*(4.19 * 50)</f>
        <v>3.5615000000000006</v>
      </c>
      <c r="L483">
        <f>0.017*(4.19 * 50)</f>
        <v>3.5615000000000006</v>
      </c>
      <c r="M483">
        <f>0.017*(4.19 * 50)</f>
        <v>3.5615000000000006</v>
      </c>
      <c r="N483">
        <f>0.017*(4.19 * 50)</f>
        <v>3.5615000000000006</v>
      </c>
      <c r="O483">
        <f>0.017*(4.19 * 50)</f>
        <v>3.5615000000000006</v>
      </c>
      <c r="P483">
        <f>0.018*(4.19 * 50)</f>
        <v>3.7710000000000004</v>
      </c>
      <c r="Q483">
        <f>0.018*(4.19 * 50)</f>
        <v>3.7710000000000004</v>
      </c>
      <c r="R483">
        <f>0.018*(4.19 * 50)</f>
        <v>3.7710000000000004</v>
      </c>
      <c r="S483">
        <f>0.018*(4.19 * 50)</f>
        <v>3.7710000000000004</v>
      </c>
      <c r="T483">
        <f>0.018*(4.19 * 50)</f>
        <v>3.7710000000000004</v>
      </c>
      <c r="U483">
        <f>0.017*(4.19 * 50)</f>
        <v>3.5615000000000006</v>
      </c>
      <c r="V483">
        <f>0.017*(4.19 * 50)</f>
        <v>3.5615000000000006</v>
      </c>
      <c r="W483">
        <f>0.017*(4.19 * 50)</f>
        <v>3.5615000000000006</v>
      </c>
      <c r="X483">
        <f>0.017*(4.19 * 50)</f>
        <v>3.5615000000000006</v>
      </c>
      <c r="Y483">
        <f>0.017*(4.19 * 50)</f>
        <v>3.5615000000000006</v>
      </c>
      <c r="Z483">
        <f>0.017*(4.19 * 50)</f>
        <v>3.5615000000000006</v>
      </c>
      <c r="AA483">
        <f>0.017*(4.19 * 50)</f>
        <v>3.5615000000000006</v>
      </c>
      <c r="AB483">
        <f>0.017*(4.19 * 50)</f>
        <v>3.5615000000000006</v>
      </c>
      <c r="AC483">
        <f>0.018*(4.19 * 50)</f>
        <v>3.7710000000000004</v>
      </c>
      <c r="AD483">
        <f>0.018*(4.19 * 50)</f>
        <v>3.7710000000000004</v>
      </c>
      <c r="AE483">
        <f>0.018*(4.19 * 50)</f>
        <v>3.7710000000000004</v>
      </c>
      <c r="AF483">
        <f>0.018*(4.19 * 50)</f>
        <v>3.7710000000000004</v>
      </c>
      <c r="AG483">
        <f>0.018*(4.19 * 50)</f>
        <v>3.7710000000000004</v>
      </c>
    </row>
    <row r="484" spans="1:33" x14ac:dyDescent="0.3">
      <c r="A484" t="s">
        <v>527</v>
      </c>
      <c r="B484">
        <v>357036.054688</v>
      </c>
      <c r="C484">
        <v>6667834.0859380001</v>
      </c>
      <c r="D484" t="s">
        <v>540</v>
      </c>
      <c r="E484">
        <v>100</v>
      </c>
      <c r="F484">
        <v>8</v>
      </c>
      <c r="G484">
        <v>3.8186157517899763E-2</v>
      </c>
      <c r="H484">
        <f t="shared" si="15"/>
        <v>15.542000000000002</v>
      </c>
      <c r="I484">
        <f t="shared" si="14"/>
        <v>209.50000000000003</v>
      </c>
      <c r="J484">
        <f>0.035*(4.19 * 50)</f>
        <v>7.3325000000000014</v>
      </c>
      <c r="K484">
        <f>0.035*(4.19 * 50)</f>
        <v>7.3325000000000014</v>
      </c>
      <c r="L484">
        <f>0.034*(4.19 * 50)</f>
        <v>7.1230000000000011</v>
      </c>
      <c r="M484">
        <f>0.034*(4.19 * 50)</f>
        <v>7.1230000000000011</v>
      </c>
      <c r="N484">
        <f>0.034*(4.19 * 50)</f>
        <v>7.1230000000000011</v>
      </c>
      <c r="O484">
        <f>0.035*(4.19 * 50)</f>
        <v>7.3325000000000014</v>
      </c>
      <c r="P484">
        <f>0.036*(4.19 * 50)</f>
        <v>7.5420000000000007</v>
      </c>
      <c r="Q484">
        <f>0.037*(4.19 * 50)</f>
        <v>7.7515000000000009</v>
      </c>
      <c r="R484">
        <f>0.036*(4.19 * 50)</f>
        <v>7.5420000000000007</v>
      </c>
      <c r="S484">
        <f>0.036*(4.19 * 50)</f>
        <v>7.5420000000000007</v>
      </c>
      <c r="T484">
        <f>0.036*(4.19 * 50)</f>
        <v>7.5420000000000007</v>
      </c>
      <c r="U484">
        <f>0.034*(4.19 * 50)</f>
        <v>7.1230000000000011</v>
      </c>
      <c r="V484">
        <f>0.034*(4.19 * 50)</f>
        <v>7.1230000000000011</v>
      </c>
      <c r="W484">
        <f>0.033*(4.19 * 50)</f>
        <v>6.9135000000000009</v>
      </c>
      <c r="X484">
        <f>0.033*(4.19 * 50)</f>
        <v>6.9135000000000009</v>
      </c>
      <c r="Y484">
        <f>0.033*(4.19 * 50)</f>
        <v>6.9135000000000009</v>
      </c>
      <c r="Z484">
        <f>0.033*(4.19 * 50)</f>
        <v>6.9135000000000009</v>
      </c>
      <c r="AA484">
        <f>0.034*(4.19 * 50)</f>
        <v>7.1230000000000011</v>
      </c>
      <c r="AB484">
        <f>0.035*(4.19 * 50)</f>
        <v>7.3325000000000014</v>
      </c>
      <c r="AC484">
        <f>0.035*(4.19 * 50)</f>
        <v>7.3325000000000014</v>
      </c>
      <c r="AD484">
        <f>0.036*(4.19 * 50)</f>
        <v>7.5420000000000007</v>
      </c>
      <c r="AE484">
        <f>0.036*(4.19 * 50)</f>
        <v>7.5420000000000007</v>
      </c>
      <c r="AF484">
        <f>0.036*(4.19 * 50)</f>
        <v>7.5420000000000007</v>
      </c>
      <c r="AG484">
        <f>0.035*(4.19 * 50)</f>
        <v>7.3325000000000014</v>
      </c>
    </row>
    <row r="485" spans="1:33" x14ac:dyDescent="0.3">
      <c r="A485" t="s">
        <v>528</v>
      </c>
      <c r="B485">
        <v>357036.476563</v>
      </c>
      <c r="C485">
        <v>6667819.4492189996</v>
      </c>
      <c r="D485" t="s">
        <v>540</v>
      </c>
      <c r="E485">
        <v>100</v>
      </c>
      <c r="F485">
        <v>9</v>
      </c>
      <c r="G485">
        <v>4.2959427207637228E-2</v>
      </c>
      <c r="H485">
        <f t="shared" si="15"/>
        <v>17.380000000000003</v>
      </c>
      <c r="I485">
        <f t="shared" si="14"/>
        <v>209.50000000000003</v>
      </c>
      <c r="J485">
        <f>0.039*(4.19 * 50)</f>
        <v>8.1705000000000005</v>
      </c>
      <c r="K485">
        <f>0.039*(4.19 * 50)</f>
        <v>8.1705000000000005</v>
      </c>
      <c r="L485">
        <f>0.039*(4.19 * 50)</f>
        <v>8.1705000000000005</v>
      </c>
      <c r="M485">
        <f>0.038*(4.19 * 50)</f>
        <v>7.9610000000000012</v>
      </c>
      <c r="N485">
        <f>0.039*(4.19 * 50)</f>
        <v>8.1705000000000005</v>
      </c>
      <c r="O485">
        <f>0.039*(4.19 * 50)</f>
        <v>8.1705000000000005</v>
      </c>
      <c r="P485">
        <f>0.04*(4.19 * 50)</f>
        <v>8.3800000000000008</v>
      </c>
      <c r="Q485">
        <f>0.041*(4.19 * 50)</f>
        <v>8.589500000000001</v>
      </c>
      <c r="R485">
        <f>0.041*(4.19 * 50)</f>
        <v>8.589500000000001</v>
      </c>
      <c r="S485">
        <f>0.04*(4.19 * 50)</f>
        <v>8.3800000000000008</v>
      </c>
      <c r="T485">
        <f>0.04*(4.19 * 50)</f>
        <v>8.3800000000000008</v>
      </c>
      <c r="U485">
        <f>0.038*(4.19 * 50)</f>
        <v>7.9610000000000012</v>
      </c>
      <c r="V485">
        <f>0.038*(4.19 * 50)</f>
        <v>7.9610000000000012</v>
      </c>
      <c r="W485">
        <f>0.037*(4.19 * 50)</f>
        <v>7.7515000000000009</v>
      </c>
      <c r="X485">
        <f>0.037*(4.19 * 50)</f>
        <v>7.7515000000000009</v>
      </c>
      <c r="Y485">
        <f>0.037*(4.19 * 50)</f>
        <v>7.7515000000000009</v>
      </c>
      <c r="Z485">
        <f>0.038*(4.19 * 50)</f>
        <v>7.9610000000000012</v>
      </c>
      <c r="AA485">
        <f>0.038*(4.19 * 50)</f>
        <v>7.9610000000000012</v>
      </c>
      <c r="AB485">
        <f>0.039*(4.19 * 50)</f>
        <v>8.1705000000000005</v>
      </c>
      <c r="AC485">
        <f>0.04*(4.19 * 50)</f>
        <v>8.3800000000000008</v>
      </c>
      <c r="AD485">
        <f>0.04*(4.19 * 50)</f>
        <v>8.3800000000000008</v>
      </c>
      <c r="AE485">
        <f>0.041*(4.19 * 50)</f>
        <v>8.589500000000001</v>
      </c>
      <c r="AF485">
        <f>0.04*(4.19 * 50)</f>
        <v>8.3800000000000008</v>
      </c>
      <c r="AG485">
        <f>0.04*(4.19 * 50)</f>
        <v>8.3800000000000008</v>
      </c>
    </row>
    <row r="486" spans="1:33" x14ac:dyDescent="0.3">
      <c r="A486" t="s">
        <v>529</v>
      </c>
      <c r="B486">
        <v>357719.691406</v>
      </c>
      <c r="C486">
        <v>6667387.2617189996</v>
      </c>
      <c r="D486" t="s">
        <v>550</v>
      </c>
      <c r="E486">
        <v>100</v>
      </c>
      <c r="F486">
        <v>173.33299255371</v>
      </c>
      <c r="G486">
        <v>0.82736511958811443</v>
      </c>
      <c r="H486">
        <f t="shared" si="15"/>
        <v>335.90499255371003</v>
      </c>
      <c r="I486">
        <f t="shared" si="14"/>
        <v>209.50000000000003</v>
      </c>
      <c r="J486">
        <f>0.754*(4.19 * 50)</f>
        <v>157.96300000000002</v>
      </c>
      <c r="K486">
        <f>0.748*(4.19 * 50)</f>
        <v>156.70600000000002</v>
      </c>
      <c r="L486">
        <f>0.744*(4.19 * 50)</f>
        <v>155.86800000000002</v>
      </c>
      <c r="M486">
        <f>0.741*(4.19 * 50)</f>
        <v>155.23950000000002</v>
      </c>
      <c r="N486">
        <f>0.744*(4.19 * 50)</f>
        <v>155.86800000000002</v>
      </c>
      <c r="O486">
        <f>0.754*(4.19 * 50)</f>
        <v>157.96300000000002</v>
      </c>
      <c r="P486">
        <f>0.776*(4.19 * 50)</f>
        <v>162.57200000000003</v>
      </c>
      <c r="Q486">
        <f>0.797*(4.19 * 50)</f>
        <v>166.97150000000002</v>
      </c>
      <c r="R486">
        <f>0.79*(4.19 * 50)</f>
        <v>165.50500000000002</v>
      </c>
      <c r="S486">
        <f>0.773*(4.19 * 50)</f>
        <v>161.94350000000003</v>
      </c>
      <c r="T486">
        <f>0.77*(4.19 * 50)</f>
        <v>161.31500000000003</v>
      </c>
      <c r="U486">
        <f>0.738*(4.19 * 50)</f>
        <v>154.61100000000002</v>
      </c>
      <c r="V486">
        <f>0.727*(4.19 * 50)</f>
        <v>152.30650000000003</v>
      </c>
      <c r="W486">
        <f>0.718*(4.19 * 50)</f>
        <v>150.42100000000002</v>
      </c>
      <c r="X486">
        <f>0.715*(4.19 * 50)</f>
        <v>149.79250000000002</v>
      </c>
      <c r="Y486">
        <f>0.717*(4.19 * 50)</f>
        <v>150.2115</v>
      </c>
      <c r="Z486">
        <f>0.724*(4.19 * 50)</f>
        <v>151.67800000000003</v>
      </c>
      <c r="AA486">
        <f>0.738*(4.19 * 50)</f>
        <v>154.61100000000002</v>
      </c>
      <c r="AB486">
        <f>0.748*(4.19 * 50)</f>
        <v>156.70600000000002</v>
      </c>
      <c r="AC486">
        <f>0.762*(4.19 * 50)</f>
        <v>159.63900000000001</v>
      </c>
      <c r="AD486">
        <f>0.775*(4.19 * 50)</f>
        <v>162.36250000000004</v>
      </c>
      <c r="AE486">
        <f>0.78*(4.19 * 50)</f>
        <v>163.41000000000003</v>
      </c>
      <c r="AF486">
        <f>0.773*(4.19 * 50)</f>
        <v>161.94350000000003</v>
      </c>
      <c r="AG486">
        <f>0.763*(4.19 * 50)</f>
        <v>159.84850000000003</v>
      </c>
    </row>
    <row r="487" spans="1:33" x14ac:dyDescent="0.3">
      <c r="A487" t="s">
        <v>530</v>
      </c>
      <c r="B487">
        <v>357691.707031</v>
      </c>
      <c r="C487">
        <v>6667372.5507810004</v>
      </c>
      <c r="D487" t="s">
        <v>552</v>
      </c>
      <c r="E487">
        <v>100</v>
      </c>
      <c r="F487">
        <v>37.666999816894503</v>
      </c>
      <c r="G487">
        <v>0.17979474852932931</v>
      </c>
      <c r="H487">
        <f t="shared" si="15"/>
        <v>73.072499816894521</v>
      </c>
      <c r="I487">
        <f t="shared" si="14"/>
        <v>209.50000000000003</v>
      </c>
      <c r="J487">
        <f>0.164*(4.19 * 50)</f>
        <v>34.358000000000004</v>
      </c>
      <c r="K487">
        <f>0.163*(4.19 * 50)</f>
        <v>34.148500000000006</v>
      </c>
      <c r="L487">
        <f>0.162*(4.19 * 50)</f>
        <v>33.939000000000007</v>
      </c>
      <c r="M487">
        <f>0.161*(4.19 * 50)</f>
        <v>33.729500000000009</v>
      </c>
      <c r="N487">
        <f>0.162*(4.19 * 50)</f>
        <v>33.939000000000007</v>
      </c>
      <c r="O487">
        <f>0.164*(4.19 * 50)</f>
        <v>34.358000000000004</v>
      </c>
      <c r="P487">
        <f>0.169*(4.19 * 50)</f>
        <v>35.405500000000011</v>
      </c>
      <c r="Q487">
        <f>0.173*(4.19 * 50)</f>
        <v>36.243500000000004</v>
      </c>
      <c r="R487">
        <f>0.172*(4.19 * 50)</f>
        <v>36.033999999999999</v>
      </c>
      <c r="S487">
        <f>0.168*(4.19 * 50)</f>
        <v>35.196000000000005</v>
      </c>
      <c r="T487">
        <f>0.167*(4.19 * 50)</f>
        <v>34.986500000000007</v>
      </c>
      <c r="U487">
        <f>0.16*(4.19 * 50)</f>
        <v>33.520000000000003</v>
      </c>
      <c r="V487">
        <f>0.158*(4.19 * 50)</f>
        <v>33.101000000000006</v>
      </c>
      <c r="W487">
        <f>0.156*(4.19 * 50)</f>
        <v>32.682000000000002</v>
      </c>
      <c r="X487">
        <f>0.155*(4.19 * 50)</f>
        <v>32.472500000000004</v>
      </c>
      <c r="Y487">
        <f>0.156*(4.19 * 50)</f>
        <v>32.682000000000002</v>
      </c>
      <c r="Z487">
        <f>0.157*(4.19 * 50)</f>
        <v>32.891500000000008</v>
      </c>
      <c r="AA487">
        <f>0.16*(4.19 * 50)</f>
        <v>33.520000000000003</v>
      </c>
      <c r="AB487">
        <f>0.163*(4.19 * 50)</f>
        <v>34.148500000000006</v>
      </c>
      <c r="AC487">
        <f>0.166*(4.19 * 50)</f>
        <v>34.777000000000008</v>
      </c>
      <c r="AD487">
        <f>0.168*(4.19 * 50)</f>
        <v>35.196000000000005</v>
      </c>
      <c r="AE487">
        <f>0.17*(4.19 * 50)</f>
        <v>35.615000000000009</v>
      </c>
      <c r="AF487">
        <f>0.168*(4.19 * 50)</f>
        <v>35.196000000000005</v>
      </c>
      <c r="AG487">
        <f>0.166*(4.19 * 50)</f>
        <v>34.777000000000008</v>
      </c>
    </row>
    <row r="488" spans="1:33" x14ac:dyDescent="0.3">
      <c r="A488" t="s">
        <v>531</v>
      </c>
      <c r="B488">
        <v>357682.9375</v>
      </c>
      <c r="C488">
        <v>6667369.2148439996</v>
      </c>
      <c r="D488" t="s">
        <v>550</v>
      </c>
      <c r="E488">
        <v>100</v>
      </c>
      <c r="F488">
        <v>43.666999816894503</v>
      </c>
      <c r="G488">
        <v>0.2084343666677542</v>
      </c>
      <c r="H488">
        <f t="shared" si="15"/>
        <v>84.728999816894515</v>
      </c>
      <c r="I488">
        <f t="shared" si="14"/>
        <v>209.50000000000003</v>
      </c>
      <c r="J488">
        <f>0.19*(4.19 * 50)</f>
        <v>39.805000000000007</v>
      </c>
      <c r="K488">
        <f>0.189*(4.19 * 50)</f>
        <v>39.595500000000008</v>
      </c>
      <c r="L488">
        <f>0.187*(4.19 * 50)</f>
        <v>39.176500000000004</v>
      </c>
      <c r="M488">
        <f>0.187*(4.19 * 50)</f>
        <v>39.176500000000004</v>
      </c>
      <c r="N488">
        <f>0.187*(4.19 * 50)</f>
        <v>39.176500000000004</v>
      </c>
      <c r="O488">
        <f>0.19*(4.19 * 50)</f>
        <v>39.805000000000007</v>
      </c>
      <c r="P488">
        <f>0.196*(4.19 * 50)</f>
        <v>41.062000000000005</v>
      </c>
      <c r="Q488">
        <f>0.201*(4.19 * 50)</f>
        <v>42.109500000000011</v>
      </c>
      <c r="R488">
        <f>0.199*(4.19 * 50)</f>
        <v>41.690500000000007</v>
      </c>
      <c r="S488">
        <f>0.195*(4.19 * 50)</f>
        <v>40.852500000000006</v>
      </c>
      <c r="T488">
        <f>0.194*(4.19 * 50)</f>
        <v>40.643000000000008</v>
      </c>
      <c r="U488">
        <f>0.186*(4.19 * 50)</f>
        <v>38.967000000000006</v>
      </c>
      <c r="V488">
        <f>0.183*(4.19 * 50)</f>
        <v>38.338500000000003</v>
      </c>
      <c r="W488">
        <f>0.181*(4.19 * 50)</f>
        <v>37.919500000000006</v>
      </c>
      <c r="X488">
        <f>0.18*(4.19 * 50)</f>
        <v>37.71</v>
      </c>
      <c r="Y488">
        <f>0.181*(4.19 * 50)</f>
        <v>37.919500000000006</v>
      </c>
      <c r="Z488">
        <f>0.182*(4.19 * 50)</f>
        <v>38.129000000000005</v>
      </c>
      <c r="AA488">
        <f>0.186*(4.19 * 50)</f>
        <v>38.967000000000006</v>
      </c>
      <c r="AB488">
        <f>0.189*(4.19 * 50)</f>
        <v>39.595500000000008</v>
      </c>
      <c r="AC488">
        <f>0.192*(4.19 * 50)</f>
        <v>40.224000000000004</v>
      </c>
      <c r="AD488">
        <f>0.195*(4.19 * 50)</f>
        <v>40.852500000000006</v>
      </c>
      <c r="AE488">
        <f>0.197*(4.19 * 50)</f>
        <v>41.27150000000001</v>
      </c>
      <c r="AF488">
        <f>0.195*(4.19 * 50)</f>
        <v>40.852500000000006</v>
      </c>
      <c r="AG488">
        <f>0.192*(4.19 * 50)</f>
        <v>40.224000000000004</v>
      </c>
    </row>
    <row r="489" spans="1:33" x14ac:dyDescent="0.3">
      <c r="A489" t="s">
        <v>532</v>
      </c>
      <c r="B489">
        <v>357453.152344</v>
      </c>
      <c r="C489">
        <v>6668007.7148439996</v>
      </c>
      <c r="D489" t="s">
        <v>542</v>
      </c>
      <c r="E489">
        <v>100</v>
      </c>
      <c r="F489">
        <v>222</v>
      </c>
      <c r="G489">
        <v>1.059665871121718</v>
      </c>
      <c r="H489">
        <f t="shared" si="15"/>
        <v>430.24300000000005</v>
      </c>
      <c r="I489">
        <f t="shared" si="14"/>
        <v>209.50000000000003</v>
      </c>
      <c r="J489">
        <f>0.966*(4.19 * 50)</f>
        <v>202.37700000000001</v>
      </c>
      <c r="K489">
        <f>0.959*(4.19 * 50)</f>
        <v>200.91050000000001</v>
      </c>
      <c r="L489">
        <f>0.953*(4.19 * 50)</f>
        <v>199.65350000000001</v>
      </c>
      <c r="M489">
        <f>0.949*(4.19 * 50)</f>
        <v>198.81550000000001</v>
      </c>
      <c r="N489">
        <f>0.953*(4.19 * 50)</f>
        <v>199.65350000000001</v>
      </c>
      <c r="O489">
        <f>0.965*(4.19 * 50)</f>
        <v>202.16750000000002</v>
      </c>
      <c r="P489">
        <f>0.994*(4.19 * 50)</f>
        <v>208.24300000000002</v>
      </c>
      <c r="Q489">
        <f>1.02*(4.19 * 50)</f>
        <v>213.69000000000003</v>
      </c>
      <c r="R489">
        <f>1.012*(4.19 * 50)</f>
        <v>212.01400000000004</v>
      </c>
      <c r="S489">
        <f>0.99*(4.19 * 50)</f>
        <v>207.40500000000003</v>
      </c>
      <c r="T489">
        <f>0.986*(4.19 * 50)</f>
        <v>206.56700000000004</v>
      </c>
      <c r="U489">
        <f>0.945*(4.19 * 50)</f>
        <v>197.97750000000002</v>
      </c>
      <c r="V489">
        <f>0.932*(4.19 * 50)</f>
        <v>195.25400000000005</v>
      </c>
      <c r="W489">
        <f>0.919*(4.19 * 50)</f>
        <v>192.53050000000005</v>
      </c>
      <c r="X489">
        <f>0.916*(4.19 * 50)</f>
        <v>191.90200000000004</v>
      </c>
      <c r="Y489">
        <f>0.918*(4.19 * 50)</f>
        <v>192.32100000000003</v>
      </c>
      <c r="Z489">
        <f>0.928*(4.19 * 50)</f>
        <v>194.41600000000003</v>
      </c>
      <c r="AA489">
        <f>0.945*(4.19 * 50)</f>
        <v>197.97750000000002</v>
      </c>
      <c r="AB489">
        <f>0.959*(4.19 * 50)</f>
        <v>200.91050000000001</v>
      </c>
      <c r="AC489">
        <f>0.976*(4.19 * 50)</f>
        <v>204.47200000000004</v>
      </c>
      <c r="AD489">
        <f>0.992*(4.19 * 50)</f>
        <v>207.82400000000004</v>
      </c>
      <c r="AE489">
        <f>0.999*(4.19 * 50)</f>
        <v>209.29050000000004</v>
      </c>
      <c r="AF489">
        <f>0.99*(4.19 * 50)</f>
        <v>207.40500000000003</v>
      </c>
      <c r="AG489">
        <f>0.977*(4.19 * 50)</f>
        <v>204.68150000000003</v>
      </c>
    </row>
    <row r="490" spans="1:33" x14ac:dyDescent="0.3">
      <c r="A490" t="s">
        <v>533</v>
      </c>
      <c r="B490">
        <v>357388.96875</v>
      </c>
      <c r="C490">
        <v>6668000.953125</v>
      </c>
      <c r="D490" t="s">
        <v>542</v>
      </c>
      <c r="E490">
        <v>100</v>
      </c>
      <c r="F490">
        <v>85</v>
      </c>
      <c r="G490">
        <v>0.40572792362768489</v>
      </c>
      <c r="H490">
        <f t="shared" si="15"/>
        <v>164.81950000000001</v>
      </c>
      <c r="I490">
        <f t="shared" si="14"/>
        <v>209.50000000000003</v>
      </c>
      <c r="J490">
        <f>0.37*(4.19 * 50)</f>
        <v>77.515000000000015</v>
      </c>
      <c r="K490">
        <f>0.367*(4.19 * 50)</f>
        <v>76.886500000000012</v>
      </c>
      <c r="L490">
        <f>0.365*(4.19 * 50)</f>
        <v>76.467500000000015</v>
      </c>
      <c r="M490">
        <f>0.363*(4.19 * 50)</f>
        <v>76.048500000000004</v>
      </c>
      <c r="N490">
        <f>0.365*(4.19 * 50)</f>
        <v>76.467500000000015</v>
      </c>
      <c r="O490">
        <f>0.37*(4.19 * 50)</f>
        <v>77.515000000000015</v>
      </c>
      <c r="P490">
        <f>0.381*(4.19 * 50)</f>
        <v>79.819500000000005</v>
      </c>
      <c r="Q490">
        <f>0.391*(4.19 * 50)</f>
        <v>81.914500000000018</v>
      </c>
      <c r="R490">
        <f>0.387*(4.19 * 50)</f>
        <v>81.07650000000001</v>
      </c>
      <c r="S490">
        <f>0.379*(4.19 * 50)</f>
        <v>79.400500000000008</v>
      </c>
      <c r="T490">
        <f>0.378*(4.19 * 50)</f>
        <v>79.191000000000017</v>
      </c>
      <c r="U490">
        <f>0.362*(4.19 * 50)</f>
        <v>75.839000000000013</v>
      </c>
      <c r="V490">
        <f>0.357*(4.19 * 50)</f>
        <v>74.791500000000013</v>
      </c>
      <c r="W490">
        <f>0.352*(4.19 * 50)</f>
        <v>73.744</v>
      </c>
      <c r="X490">
        <f>0.351*(4.19 * 50)</f>
        <v>73.534500000000008</v>
      </c>
      <c r="Y490">
        <f>0.351*(4.19 * 50)</f>
        <v>73.534500000000008</v>
      </c>
      <c r="Z490">
        <f>0.355*(4.19 * 50)</f>
        <v>74.372500000000002</v>
      </c>
      <c r="AA490">
        <f>0.362*(4.19 * 50)</f>
        <v>75.839000000000013</v>
      </c>
      <c r="AB490">
        <f>0.367*(4.19 * 50)</f>
        <v>76.886500000000012</v>
      </c>
      <c r="AC490">
        <f>0.374*(4.19 * 50)</f>
        <v>78.353000000000009</v>
      </c>
      <c r="AD490">
        <f>0.38*(4.19 * 50)</f>
        <v>79.610000000000014</v>
      </c>
      <c r="AE490">
        <f>0.383*(4.19 * 50)</f>
        <v>80.238500000000016</v>
      </c>
      <c r="AF490">
        <f>0.379*(4.19 * 50)</f>
        <v>79.400500000000008</v>
      </c>
      <c r="AG490">
        <f>0.374*(4.19 * 50)</f>
        <v>78.353000000000009</v>
      </c>
    </row>
    <row r="491" spans="1:33" x14ac:dyDescent="0.3">
      <c r="A491" t="s">
        <v>534</v>
      </c>
      <c r="B491">
        <v>357344.398438</v>
      </c>
      <c r="C491">
        <v>6668002.5820310004</v>
      </c>
      <c r="D491" t="s">
        <v>542</v>
      </c>
      <c r="E491">
        <v>100</v>
      </c>
      <c r="F491">
        <v>43.333000183105398</v>
      </c>
      <c r="G491">
        <v>0.2068400963394052</v>
      </c>
      <c r="H491">
        <f t="shared" si="15"/>
        <v>83.976000183105413</v>
      </c>
      <c r="I491">
        <f t="shared" si="14"/>
        <v>209.50000000000003</v>
      </c>
      <c r="J491">
        <f>0.189*(4.19 * 50)</f>
        <v>39.595500000000008</v>
      </c>
      <c r="K491">
        <f>0.187*(4.19 * 50)</f>
        <v>39.176500000000004</v>
      </c>
      <c r="L491">
        <f>0.186*(4.19 * 50)</f>
        <v>38.967000000000006</v>
      </c>
      <c r="M491">
        <f>0.185*(4.19 * 50)</f>
        <v>38.757500000000007</v>
      </c>
      <c r="N491">
        <f>0.186*(4.19 * 50)</f>
        <v>38.967000000000006</v>
      </c>
      <c r="O491">
        <f>0.188*(4.19 * 50)</f>
        <v>39.386000000000003</v>
      </c>
      <c r="P491">
        <f>0.194*(4.19 * 50)</f>
        <v>40.643000000000008</v>
      </c>
      <c r="Q491">
        <f>0.199*(4.19 * 50)</f>
        <v>41.690500000000007</v>
      </c>
      <c r="R491">
        <f>0.197*(4.19 * 50)</f>
        <v>41.27150000000001</v>
      </c>
      <c r="S491">
        <f>0.193*(4.19 * 50)</f>
        <v>40.433500000000009</v>
      </c>
      <c r="T491">
        <f>0.193*(4.19 * 50)</f>
        <v>40.433500000000009</v>
      </c>
      <c r="U491">
        <f>0.184*(4.19 * 50)</f>
        <v>38.548000000000002</v>
      </c>
      <c r="V491">
        <f>0.182*(4.19 * 50)</f>
        <v>38.129000000000005</v>
      </c>
      <c r="W491">
        <f>0.179*(4.19 * 50)</f>
        <v>37.500500000000002</v>
      </c>
      <c r="X491">
        <f>0.179*(4.19 * 50)</f>
        <v>37.500500000000002</v>
      </c>
      <c r="Y491">
        <f>0.179*(4.19 * 50)</f>
        <v>37.500500000000002</v>
      </c>
      <c r="Z491">
        <f>0.181*(4.19 * 50)</f>
        <v>37.919500000000006</v>
      </c>
      <c r="AA491">
        <f>0.184*(4.19 * 50)</f>
        <v>38.548000000000002</v>
      </c>
      <c r="AB491">
        <f>0.187*(4.19 * 50)</f>
        <v>39.176500000000004</v>
      </c>
      <c r="AC491">
        <f>0.19*(4.19 * 50)</f>
        <v>39.805000000000007</v>
      </c>
      <c r="AD491">
        <f>0.194*(4.19 * 50)</f>
        <v>40.643000000000008</v>
      </c>
      <c r="AE491">
        <f>0.195*(4.19 * 50)</f>
        <v>40.852500000000006</v>
      </c>
      <c r="AF491">
        <f>0.193*(4.19 * 50)</f>
        <v>40.433500000000009</v>
      </c>
      <c r="AG491">
        <f>0.191*(4.19 * 50)</f>
        <v>40.014500000000005</v>
      </c>
    </row>
    <row r="492" spans="1:33" x14ac:dyDescent="0.3">
      <c r="A492" t="s">
        <v>535</v>
      </c>
      <c r="B492">
        <v>357762.601563</v>
      </c>
      <c r="C492">
        <v>6667876.0078130001</v>
      </c>
      <c r="D492" t="s">
        <v>564</v>
      </c>
      <c r="E492">
        <v>100</v>
      </c>
      <c r="F492">
        <v>79.946998596191406</v>
      </c>
      <c r="G492">
        <v>0.38160858518468449</v>
      </c>
      <c r="H492">
        <f t="shared" si="15"/>
        <v>154.94799859619141</v>
      </c>
      <c r="I492">
        <f t="shared" si="14"/>
        <v>209.50000000000003</v>
      </c>
      <c r="J492">
        <f>0.348*(4.19 * 50)</f>
        <v>72.906000000000006</v>
      </c>
      <c r="K492">
        <f>0.345*(4.19 * 50)</f>
        <v>72.277500000000003</v>
      </c>
      <c r="L492">
        <f>0.343*(4.19 * 50)</f>
        <v>71.858500000000021</v>
      </c>
      <c r="M492">
        <f>0.342*(4.19 * 50)</f>
        <v>71.649000000000015</v>
      </c>
      <c r="N492">
        <f>0.343*(4.19 * 50)</f>
        <v>71.858500000000021</v>
      </c>
      <c r="O492">
        <f>0.348*(4.19 * 50)</f>
        <v>72.906000000000006</v>
      </c>
      <c r="P492">
        <f>0.358*(4.19 * 50)</f>
        <v>75.001000000000005</v>
      </c>
      <c r="Q492">
        <f>0.367*(4.19 * 50)</f>
        <v>76.886500000000012</v>
      </c>
      <c r="R492">
        <f>0.364*(4.19 * 50)</f>
        <v>76.25800000000001</v>
      </c>
      <c r="S492">
        <f>0.357*(4.19 * 50)</f>
        <v>74.791500000000013</v>
      </c>
      <c r="T492">
        <f>0.355*(4.19 * 50)</f>
        <v>74.372500000000002</v>
      </c>
      <c r="U492">
        <f>0.34*(4.19 * 50)</f>
        <v>71.230000000000018</v>
      </c>
      <c r="V492">
        <f>0.335*(4.19 * 50)</f>
        <v>70.182500000000019</v>
      </c>
      <c r="W492">
        <f>0.331*(4.19 * 50)</f>
        <v>69.344500000000011</v>
      </c>
      <c r="X492">
        <f>0.33*(4.19 * 50)</f>
        <v>69.135000000000019</v>
      </c>
      <c r="Y492">
        <f>0.331*(4.19 * 50)</f>
        <v>69.344500000000011</v>
      </c>
      <c r="Z492">
        <f>0.334*(4.19 * 50)</f>
        <v>69.973000000000013</v>
      </c>
      <c r="AA492">
        <f>0.34*(4.19 * 50)</f>
        <v>71.230000000000018</v>
      </c>
      <c r="AB492">
        <f>0.345*(4.19 * 50)</f>
        <v>72.277500000000003</v>
      </c>
      <c r="AC492">
        <f>0.351*(4.19 * 50)</f>
        <v>73.534500000000008</v>
      </c>
      <c r="AD492">
        <f>0.357*(4.19 * 50)</f>
        <v>74.791500000000013</v>
      </c>
      <c r="AE492">
        <f>0.36*(4.19 * 50)</f>
        <v>75.42</v>
      </c>
      <c r="AF492">
        <f>0.357*(4.19 * 50)</f>
        <v>74.791500000000013</v>
      </c>
      <c r="AG492">
        <f>0.352*(4.19 * 50)</f>
        <v>73.744</v>
      </c>
    </row>
    <row r="493" spans="1:33" x14ac:dyDescent="0.3">
      <c r="A493" t="s">
        <v>536</v>
      </c>
      <c r="B493">
        <v>357675.898438</v>
      </c>
      <c r="C493">
        <v>6667918.8203130001</v>
      </c>
      <c r="D493" t="s">
        <v>552</v>
      </c>
      <c r="E493">
        <v>100</v>
      </c>
      <c r="F493">
        <v>159.66700744628901</v>
      </c>
      <c r="G493">
        <v>0.76213368709445817</v>
      </c>
      <c r="H493">
        <f t="shared" si="15"/>
        <v>309.45950744628902</v>
      </c>
      <c r="I493">
        <f t="shared" si="14"/>
        <v>209.50000000000003</v>
      </c>
      <c r="J493">
        <f>0.695*(4.19 * 50)</f>
        <v>145.60250000000002</v>
      </c>
      <c r="K493">
        <f>0.689*(4.19 * 50)</f>
        <v>144.34550000000002</v>
      </c>
      <c r="L493">
        <f>0.685*(4.19 * 50)</f>
        <v>143.50750000000002</v>
      </c>
      <c r="M493">
        <f>0.682*(4.19 * 50)</f>
        <v>142.87900000000002</v>
      </c>
      <c r="N493">
        <f>0.685*(4.19 * 50)</f>
        <v>143.50750000000002</v>
      </c>
      <c r="O493">
        <f>0.694*(4.19 * 50)</f>
        <v>145.393</v>
      </c>
      <c r="P493">
        <f>0.715*(4.19 * 50)</f>
        <v>149.79250000000002</v>
      </c>
      <c r="Q493">
        <f>0.734*(4.19 * 50)</f>
        <v>153.77300000000002</v>
      </c>
      <c r="R493">
        <f>0.728*(4.19 * 50)</f>
        <v>152.51600000000002</v>
      </c>
      <c r="S493">
        <f>0.712*(4.19 * 50)</f>
        <v>149.16400000000002</v>
      </c>
      <c r="T493">
        <f>0.709*(4.19 * 50)</f>
        <v>148.53550000000001</v>
      </c>
      <c r="U493">
        <f>0.68*(4.19 * 50)</f>
        <v>142.46000000000004</v>
      </c>
      <c r="V493">
        <f>0.67*(4.19 * 50)</f>
        <v>140.36500000000004</v>
      </c>
      <c r="W493">
        <f>0.661*(4.19 * 50)</f>
        <v>138.47950000000003</v>
      </c>
      <c r="X493">
        <f>0.659*(4.19 * 50)</f>
        <v>138.06050000000002</v>
      </c>
      <c r="Y493">
        <f>0.66*(4.19 * 50)</f>
        <v>138.27000000000004</v>
      </c>
      <c r="Z493">
        <f>0.667*(4.19 * 50)</f>
        <v>139.73650000000004</v>
      </c>
      <c r="AA493">
        <f>0.68*(4.19 * 50)</f>
        <v>142.46000000000004</v>
      </c>
      <c r="AB493">
        <f>0.689*(4.19 * 50)</f>
        <v>144.34550000000002</v>
      </c>
      <c r="AC493">
        <f>0.702*(4.19 * 50)</f>
        <v>147.06900000000002</v>
      </c>
      <c r="AD493">
        <f>0.714*(4.19 * 50)</f>
        <v>149.58300000000003</v>
      </c>
      <c r="AE493">
        <f>0.719*(4.19 * 50)</f>
        <v>150.63050000000001</v>
      </c>
      <c r="AF493">
        <f>0.712*(4.19 * 50)</f>
        <v>149.16400000000002</v>
      </c>
      <c r="AG493">
        <f>0.703*(4.19 * 50)</f>
        <v>147.27850000000001</v>
      </c>
    </row>
    <row r="494" spans="1:33" x14ac:dyDescent="0.3">
      <c r="A494" t="s">
        <v>537</v>
      </c>
      <c r="B494">
        <v>356790.566406</v>
      </c>
      <c r="C494">
        <v>6668110.2539060004</v>
      </c>
      <c r="D494" t="s">
        <v>540</v>
      </c>
      <c r="E494">
        <v>100</v>
      </c>
      <c r="F494">
        <v>7</v>
      </c>
      <c r="G494">
        <v>3.3412887828162277E-2</v>
      </c>
      <c r="H494">
        <f t="shared" si="15"/>
        <v>13.494500000000002</v>
      </c>
      <c r="I494">
        <f t="shared" si="14"/>
        <v>209.50000000000003</v>
      </c>
      <c r="J494">
        <f>0.03*(4.19 * 50)</f>
        <v>6.285000000000001</v>
      </c>
      <c r="K494">
        <f>0.03*(4.19 * 50)</f>
        <v>6.285000000000001</v>
      </c>
      <c r="L494">
        <f>0.03*(4.19 * 50)</f>
        <v>6.285000000000001</v>
      </c>
      <c r="M494">
        <f>0.03*(4.19 * 50)</f>
        <v>6.285000000000001</v>
      </c>
      <c r="N494">
        <f>0.03*(4.19 * 50)</f>
        <v>6.285000000000001</v>
      </c>
      <c r="O494">
        <f>0.03*(4.19 * 50)</f>
        <v>6.285000000000001</v>
      </c>
      <c r="P494">
        <f>0.031*(4.19 * 50)</f>
        <v>6.4945000000000013</v>
      </c>
      <c r="Q494">
        <f>0.032*(4.19 * 50)</f>
        <v>6.7040000000000006</v>
      </c>
      <c r="R494">
        <f>0.032*(4.19 * 50)</f>
        <v>6.7040000000000006</v>
      </c>
      <c r="S494">
        <f>0.031*(4.19 * 50)</f>
        <v>6.4945000000000013</v>
      </c>
      <c r="T494">
        <f>0.031*(4.19 * 50)</f>
        <v>6.4945000000000013</v>
      </c>
      <c r="U494">
        <f>0.03*(4.19 * 50)</f>
        <v>6.285000000000001</v>
      </c>
      <c r="V494">
        <f>0.029*(4.19 * 50)</f>
        <v>6.0755000000000008</v>
      </c>
      <c r="W494">
        <f>0.029*(4.19 * 50)</f>
        <v>6.0755000000000008</v>
      </c>
      <c r="X494">
        <f>0.029*(4.19 * 50)</f>
        <v>6.0755000000000008</v>
      </c>
      <c r="Y494">
        <f>0.029*(4.19 * 50)</f>
        <v>6.0755000000000008</v>
      </c>
      <c r="Z494">
        <f>0.029*(4.19 * 50)</f>
        <v>6.0755000000000008</v>
      </c>
      <c r="AA494">
        <f>0.03*(4.19 * 50)</f>
        <v>6.285000000000001</v>
      </c>
      <c r="AB494">
        <f>0.03*(4.19 * 50)</f>
        <v>6.285000000000001</v>
      </c>
      <c r="AC494">
        <f>0.031*(4.19 * 50)</f>
        <v>6.4945000000000013</v>
      </c>
      <c r="AD494">
        <f>0.031*(4.19 * 50)</f>
        <v>6.4945000000000013</v>
      </c>
      <c r="AE494">
        <f>0.032*(4.19 * 50)</f>
        <v>6.7040000000000006</v>
      </c>
      <c r="AF494">
        <f>0.031*(4.19 * 50)</f>
        <v>6.4945000000000013</v>
      </c>
      <c r="AG494">
        <f>0.031*(4.19 * 50)</f>
        <v>6.4945000000000013</v>
      </c>
    </row>
    <row r="495" spans="1:33" x14ac:dyDescent="0.3">
      <c r="A495" t="s">
        <v>538</v>
      </c>
      <c r="B495">
        <v>357118.308594</v>
      </c>
      <c r="C495">
        <v>6668419.9609380001</v>
      </c>
      <c r="D495" t="s">
        <v>540</v>
      </c>
      <c r="E495">
        <v>100</v>
      </c>
      <c r="F495">
        <v>10</v>
      </c>
      <c r="G495">
        <v>4.7732696897374693E-2</v>
      </c>
      <c r="H495">
        <f t="shared" si="15"/>
        <v>19.427500000000002</v>
      </c>
      <c r="I495">
        <f t="shared" si="14"/>
        <v>209.50000000000003</v>
      </c>
      <c r="J495">
        <f>0.044*(4.19 * 50)</f>
        <v>9.218</v>
      </c>
      <c r="K495">
        <f>0.043*(4.19 * 50)</f>
        <v>9.0084999999999997</v>
      </c>
      <c r="L495">
        <f>0.043*(4.19 * 50)</f>
        <v>9.0084999999999997</v>
      </c>
      <c r="M495">
        <f>0.043*(4.19 * 50)</f>
        <v>9.0084999999999997</v>
      </c>
      <c r="N495">
        <f>0.043*(4.19 * 50)</f>
        <v>9.0084999999999997</v>
      </c>
      <c r="O495">
        <f>0.043*(4.19 * 50)</f>
        <v>9.0084999999999997</v>
      </c>
      <c r="P495">
        <f>0.045*(4.19 * 50)</f>
        <v>9.4275000000000002</v>
      </c>
      <c r="Q495">
        <f>0.046*(4.19 * 50)</f>
        <v>9.6370000000000005</v>
      </c>
      <c r="R495">
        <f>0.046*(4.19 * 50)</f>
        <v>9.6370000000000005</v>
      </c>
      <c r="S495">
        <f>0.045*(4.19 * 50)</f>
        <v>9.4275000000000002</v>
      </c>
      <c r="T495">
        <f>0.044*(4.19 * 50)</f>
        <v>9.218</v>
      </c>
      <c r="U495">
        <f>0.043*(4.19 * 50)</f>
        <v>9.0084999999999997</v>
      </c>
      <c r="V495">
        <f>0.042*(4.19 * 50)</f>
        <v>8.7990000000000013</v>
      </c>
      <c r="W495">
        <f>0.041*(4.19 * 50)</f>
        <v>8.589500000000001</v>
      </c>
      <c r="X495">
        <f>0.041*(4.19 * 50)</f>
        <v>8.589500000000001</v>
      </c>
      <c r="Y495">
        <f>0.041*(4.19 * 50)</f>
        <v>8.589500000000001</v>
      </c>
      <c r="Z495">
        <f>0.042*(4.19 * 50)</f>
        <v>8.7990000000000013</v>
      </c>
      <c r="AA495">
        <f>0.043*(4.19 * 50)</f>
        <v>9.0084999999999997</v>
      </c>
      <c r="AB495">
        <f>0.043*(4.19 * 50)</f>
        <v>9.0084999999999997</v>
      </c>
      <c r="AC495">
        <f>0.044*(4.19 * 50)</f>
        <v>9.218</v>
      </c>
      <c r="AD495">
        <f>0.045*(4.19 * 50)</f>
        <v>9.4275000000000002</v>
      </c>
      <c r="AE495">
        <f>0.045*(4.19 * 50)</f>
        <v>9.4275000000000002</v>
      </c>
      <c r="AF495">
        <f>0.045*(4.19 * 50)</f>
        <v>9.4275000000000002</v>
      </c>
      <c r="AG495">
        <f>0.044*(4.19 * 50)</f>
        <v>9.218</v>
      </c>
    </row>
    <row r="496" spans="1:33" x14ac:dyDescent="0.3">
      <c r="A496" t="s">
        <v>539</v>
      </c>
      <c r="B496">
        <v>362957.492188</v>
      </c>
      <c r="C496">
        <v>6672797.78125</v>
      </c>
      <c r="D496" t="s">
        <v>541</v>
      </c>
      <c r="E496">
        <v>100</v>
      </c>
      <c r="F496">
        <v>86.666999816894503</v>
      </c>
      <c r="G496">
        <v>0.41368496332646543</v>
      </c>
      <c r="H496">
        <f t="shared" si="15"/>
        <v>167.95299981689453</v>
      </c>
      <c r="I496">
        <f t="shared" si="14"/>
        <v>209.50000000000003</v>
      </c>
      <c r="J496">
        <f>0.377*(4.19 * 50)</f>
        <v>78.981500000000011</v>
      </c>
      <c r="K496">
        <f>0.374*(4.19 * 50)</f>
        <v>78.353000000000009</v>
      </c>
      <c r="L496">
        <f>0.372*(4.19 * 50)</f>
        <v>77.934000000000012</v>
      </c>
      <c r="M496">
        <f>0.37*(4.19 * 50)</f>
        <v>77.515000000000015</v>
      </c>
      <c r="N496">
        <f>0.372*(4.19 * 50)</f>
        <v>77.934000000000012</v>
      </c>
      <c r="O496">
        <f>0.377*(4.19 * 50)</f>
        <v>78.981500000000011</v>
      </c>
      <c r="P496">
        <f>0.388*(4.19 * 50)</f>
        <v>81.286000000000016</v>
      </c>
      <c r="Q496">
        <f>0.398*(4.19 * 50)</f>
        <v>83.381000000000014</v>
      </c>
      <c r="R496">
        <f>0.395*(4.19 * 50)</f>
        <v>82.752500000000012</v>
      </c>
      <c r="S496">
        <f>0.387*(4.19 * 50)</f>
        <v>81.07650000000001</v>
      </c>
      <c r="T496">
        <f>0.385*(4.19 * 50)</f>
        <v>80.657500000000013</v>
      </c>
      <c r="U496">
        <f>0.369*(4.19 * 50)</f>
        <v>77.305500000000009</v>
      </c>
      <c r="V496">
        <f>0.364*(4.19 * 50)</f>
        <v>76.25800000000001</v>
      </c>
      <c r="W496">
        <f>0.359*(4.19 * 50)</f>
        <v>75.21050000000001</v>
      </c>
      <c r="X496">
        <f>0.358*(4.19 * 50)</f>
        <v>75.001000000000005</v>
      </c>
      <c r="Y496">
        <f>0.358*(4.19 * 50)</f>
        <v>75.001000000000005</v>
      </c>
      <c r="Z496">
        <f>0.362*(4.19 * 50)</f>
        <v>75.839000000000013</v>
      </c>
      <c r="AA496">
        <f>0.369*(4.19 * 50)</f>
        <v>77.305500000000009</v>
      </c>
      <c r="AB496">
        <f>0.374*(4.19 * 50)</f>
        <v>78.353000000000009</v>
      </c>
      <c r="AC496">
        <f>0.381*(4.19 * 50)</f>
        <v>79.819500000000005</v>
      </c>
      <c r="AD496">
        <f>0.387*(4.19 * 50)</f>
        <v>81.07650000000001</v>
      </c>
      <c r="AE496">
        <f>0.39*(4.19 * 50)</f>
        <v>81.705000000000013</v>
      </c>
      <c r="AF496">
        <f>0.387*(4.19 * 50)</f>
        <v>81.07650000000001</v>
      </c>
      <c r="AG496">
        <f>0.381*(4.19 * 50)</f>
        <v>79.819500000000005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1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571</v>
      </c>
      <c r="C1" s="1" t="s">
        <v>572</v>
      </c>
      <c r="D1" s="1" t="s">
        <v>573</v>
      </c>
      <c r="E1" s="1" t="s">
        <v>574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</row>
    <row r="2" spans="1:10" x14ac:dyDescent="0.3">
      <c r="A2" t="s">
        <v>580</v>
      </c>
      <c r="B2" t="s">
        <v>1890</v>
      </c>
      <c r="C2" t="s">
        <v>418</v>
      </c>
      <c r="D2">
        <v>26.89</v>
      </c>
      <c r="E2">
        <v>0.16600000000000001</v>
      </c>
      <c r="F2">
        <v>43.1</v>
      </c>
      <c r="G2" t="b">
        <v>1</v>
      </c>
      <c r="H2" t="b">
        <v>1</v>
      </c>
      <c r="I2">
        <v>172</v>
      </c>
      <c r="J2">
        <v>0.82100238663484471</v>
      </c>
    </row>
    <row r="3" spans="1:10" x14ac:dyDescent="0.3">
      <c r="A3" t="s">
        <v>581</v>
      </c>
      <c r="B3" t="s">
        <v>1891</v>
      </c>
      <c r="C3" t="s">
        <v>223</v>
      </c>
      <c r="D3">
        <v>48.36</v>
      </c>
      <c r="E3">
        <v>0.18</v>
      </c>
      <c r="F3">
        <v>54.5</v>
      </c>
      <c r="G3" t="b">
        <v>1</v>
      </c>
      <c r="H3" t="b">
        <v>1</v>
      </c>
      <c r="I3">
        <v>321</v>
      </c>
      <c r="J3">
        <v>1.532219570405728</v>
      </c>
    </row>
    <row r="4" spans="1:10" x14ac:dyDescent="0.3">
      <c r="A4" t="s">
        <v>582</v>
      </c>
      <c r="B4" t="s">
        <v>1892</v>
      </c>
      <c r="C4" t="s">
        <v>212</v>
      </c>
      <c r="D4">
        <v>7.01</v>
      </c>
      <c r="E4">
        <v>0.18</v>
      </c>
      <c r="F4">
        <v>54.5</v>
      </c>
      <c r="G4" t="b">
        <v>1</v>
      </c>
      <c r="H4" t="b">
        <v>1</v>
      </c>
      <c r="I4">
        <v>321</v>
      </c>
      <c r="J4">
        <v>1.532219570405728</v>
      </c>
    </row>
    <row r="5" spans="1:10" x14ac:dyDescent="0.3">
      <c r="A5" t="s">
        <v>583</v>
      </c>
      <c r="B5" t="s">
        <v>1893</v>
      </c>
      <c r="C5" t="s">
        <v>2648</v>
      </c>
      <c r="D5">
        <v>10.01</v>
      </c>
      <c r="E5">
        <v>0.254</v>
      </c>
      <c r="F5">
        <v>132.5</v>
      </c>
      <c r="G5" t="b">
        <v>1</v>
      </c>
      <c r="H5" t="b">
        <v>1</v>
      </c>
      <c r="I5">
        <v>3354</v>
      </c>
      <c r="J5">
        <v>16.009546539379471</v>
      </c>
    </row>
    <row r="6" spans="1:10" x14ac:dyDescent="0.3">
      <c r="A6" t="s">
        <v>584</v>
      </c>
      <c r="B6" t="s">
        <v>1894</v>
      </c>
      <c r="C6" t="s">
        <v>2362</v>
      </c>
      <c r="D6">
        <v>0.39</v>
      </c>
      <c r="E6">
        <v>0.48299999999999998</v>
      </c>
      <c r="F6">
        <v>210.1</v>
      </c>
      <c r="G6" t="b">
        <v>1</v>
      </c>
      <c r="H6" t="b">
        <v>1</v>
      </c>
      <c r="I6">
        <v>11253</v>
      </c>
      <c r="J6">
        <v>53.713603818615738</v>
      </c>
    </row>
    <row r="7" spans="1:10" x14ac:dyDescent="0.3">
      <c r="A7" t="s">
        <v>585</v>
      </c>
      <c r="B7" t="s">
        <v>1893</v>
      </c>
      <c r="C7" t="s">
        <v>1894</v>
      </c>
      <c r="D7">
        <v>94.91</v>
      </c>
      <c r="E7">
        <v>0.29299999999999998</v>
      </c>
      <c r="F7">
        <v>210.1</v>
      </c>
      <c r="G7" t="b">
        <v>1</v>
      </c>
      <c r="H7" t="b">
        <v>1</v>
      </c>
      <c r="I7">
        <v>11253</v>
      </c>
      <c r="J7">
        <v>53.713603818615738</v>
      </c>
    </row>
    <row r="8" spans="1:10" x14ac:dyDescent="0.3">
      <c r="A8" t="s">
        <v>586</v>
      </c>
      <c r="B8" t="s">
        <v>1895</v>
      </c>
      <c r="C8" t="s">
        <v>443</v>
      </c>
      <c r="D8">
        <v>43.57</v>
      </c>
      <c r="E8">
        <v>0.18</v>
      </c>
      <c r="F8">
        <v>54.5</v>
      </c>
      <c r="G8" t="b">
        <v>1</v>
      </c>
      <c r="H8" t="b">
        <v>1</v>
      </c>
      <c r="I8">
        <v>321</v>
      </c>
      <c r="J8">
        <v>1.532219570405728</v>
      </c>
    </row>
    <row r="9" spans="1:10" x14ac:dyDescent="0.3">
      <c r="A9" t="s">
        <v>587</v>
      </c>
      <c r="B9" t="s">
        <v>1896</v>
      </c>
      <c r="C9" t="s">
        <v>210</v>
      </c>
      <c r="D9">
        <v>43.36</v>
      </c>
      <c r="E9">
        <v>0.16600000000000001</v>
      </c>
      <c r="F9">
        <v>43.1</v>
      </c>
      <c r="G9" t="b">
        <v>1</v>
      </c>
      <c r="H9" t="b">
        <v>1</v>
      </c>
      <c r="I9">
        <v>172</v>
      </c>
      <c r="J9">
        <v>0.82100238663484471</v>
      </c>
    </row>
    <row r="10" spans="1:10" x14ac:dyDescent="0.3">
      <c r="A10" t="s">
        <v>588</v>
      </c>
      <c r="B10" t="s">
        <v>1897</v>
      </c>
      <c r="C10" t="s">
        <v>202</v>
      </c>
      <c r="D10">
        <v>64.94</v>
      </c>
      <c r="E10">
        <v>0.16600000000000001</v>
      </c>
      <c r="F10">
        <v>43.1</v>
      </c>
      <c r="G10" t="b">
        <v>1</v>
      </c>
      <c r="H10" t="b">
        <v>1</v>
      </c>
      <c r="I10">
        <v>172</v>
      </c>
      <c r="J10">
        <v>0.82100238663484471</v>
      </c>
    </row>
    <row r="11" spans="1:10" x14ac:dyDescent="0.3">
      <c r="A11" t="s">
        <v>589</v>
      </c>
      <c r="B11" t="s">
        <v>1897</v>
      </c>
      <c r="C11" t="s">
        <v>1896</v>
      </c>
      <c r="D11">
        <v>4</v>
      </c>
      <c r="E11">
        <v>0.18</v>
      </c>
      <c r="F11">
        <v>54.5</v>
      </c>
      <c r="G11" t="b">
        <v>1</v>
      </c>
      <c r="H11" t="b">
        <v>1</v>
      </c>
      <c r="I11">
        <v>321</v>
      </c>
      <c r="J11">
        <v>1.532219570405728</v>
      </c>
    </row>
    <row r="12" spans="1:10" x14ac:dyDescent="0.3">
      <c r="A12" t="s">
        <v>590</v>
      </c>
      <c r="B12" t="s">
        <v>1898</v>
      </c>
      <c r="C12" t="s">
        <v>1893</v>
      </c>
      <c r="D12">
        <v>33.26</v>
      </c>
      <c r="E12">
        <v>0.29299999999999998</v>
      </c>
      <c r="F12">
        <v>210.1</v>
      </c>
      <c r="G12" t="b">
        <v>1</v>
      </c>
      <c r="H12" t="b">
        <v>1</v>
      </c>
      <c r="I12">
        <v>11253</v>
      </c>
      <c r="J12">
        <v>53.713603818615738</v>
      </c>
    </row>
    <row r="13" spans="1:10" x14ac:dyDescent="0.3">
      <c r="A13" t="s">
        <v>591</v>
      </c>
      <c r="B13" t="s">
        <v>1898</v>
      </c>
      <c r="C13" t="s">
        <v>2543</v>
      </c>
      <c r="D13">
        <v>1.08</v>
      </c>
      <c r="E13">
        <v>0.29299999999999998</v>
      </c>
      <c r="F13">
        <v>210.1</v>
      </c>
      <c r="G13" t="b">
        <v>1</v>
      </c>
      <c r="H13" t="b">
        <v>1</v>
      </c>
      <c r="I13">
        <v>11253</v>
      </c>
      <c r="J13">
        <v>53.713603818615738</v>
      </c>
    </row>
    <row r="14" spans="1:10" x14ac:dyDescent="0.3">
      <c r="A14" t="s">
        <v>592</v>
      </c>
      <c r="B14" t="s">
        <v>1899</v>
      </c>
      <c r="C14" t="s">
        <v>444</v>
      </c>
      <c r="D14">
        <v>28.46</v>
      </c>
      <c r="E14">
        <v>0.16600000000000001</v>
      </c>
      <c r="F14">
        <v>43.1</v>
      </c>
      <c r="G14" t="b">
        <v>1</v>
      </c>
      <c r="H14" t="b">
        <v>1</v>
      </c>
      <c r="I14">
        <v>172</v>
      </c>
      <c r="J14">
        <v>0.82100238663484471</v>
      </c>
    </row>
    <row r="15" spans="1:10" x14ac:dyDescent="0.3">
      <c r="A15" t="s">
        <v>593</v>
      </c>
      <c r="B15" t="s">
        <v>1900</v>
      </c>
      <c r="C15" t="s">
        <v>446</v>
      </c>
      <c r="D15">
        <v>51.3</v>
      </c>
      <c r="E15">
        <v>0.18</v>
      </c>
      <c r="F15">
        <v>54.5</v>
      </c>
      <c r="G15" t="b">
        <v>1</v>
      </c>
      <c r="H15" t="b">
        <v>1</v>
      </c>
      <c r="I15">
        <v>321</v>
      </c>
      <c r="J15">
        <v>1.532219570405728</v>
      </c>
    </row>
    <row r="16" spans="1:10" x14ac:dyDescent="0.3">
      <c r="A16" t="s">
        <v>594</v>
      </c>
      <c r="B16" t="s">
        <v>1891</v>
      </c>
      <c r="C16" t="s">
        <v>2453</v>
      </c>
      <c r="D16">
        <v>36.979999999999997</v>
      </c>
      <c r="E16">
        <v>0.28199999999999997</v>
      </c>
      <c r="F16">
        <v>160.30000000000001</v>
      </c>
      <c r="G16" t="b">
        <v>1</v>
      </c>
      <c r="H16" t="b">
        <v>1</v>
      </c>
      <c r="I16">
        <v>5533</v>
      </c>
      <c r="J16">
        <v>26.410501193317419</v>
      </c>
    </row>
    <row r="17" spans="1:10" x14ac:dyDescent="0.3">
      <c r="A17" t="s">
        <v>595</v>
      </c>
      <c r="B17" t="s">
        <v>1901</v>
      </c>
      <c r="C17" t="s">
        <v>1902</v>
      </c>
      <c r="D17">
        <v>23.23</v>
      </c>
      <c r="E17">
        <v>0.16600000000000001</v>
      </c>
      <c r="F17">
        <v>43.1</v>
      </c>
      <c r="G17" t="b">
        <v>1</v>
      </c>
      <c r="H17" t="b">
        <v>1</v>
      </c>
      <c r="I17">
        <v>172</v>
      </c>
      <c r="J17">
        <v>0.82100238663484471</v>
      </c>
    </row>
    <row r="18" spans="1:10" x14ac:dyDescent="0.3">
      <c r="A18" t="s">
        <v>596</v>
      </c>
      <c r="B18" t="s">
        <v>1902</v>
      </c>
      <c r="C18" t="s">
        <v>1913</v>
      </c>
      <c r="D18">
        <v>1.59</v>
      </c>
      <c r="E18">
        <v>0.16600000000000001</v>
      </c>
      <c r="F18">
        <v>43.1</v>
      </c>
      <c r="G18" t="b">
        <v>1</v>
      </c>
      <c r="H18" t="b">
        <v>1</v>
      </c>
      <c r="I18">
        <v>172</v>
      </c>
      <c r="J18">
        <v>0.82100238663484471</v>
      </c>
    </row>
    <row r="19" spans="1:10" x14ac:dyDescent="0.3">
      <c r="A19" t="s">
        <v>597</v>
      </c>
      <c r="B19" t="s">
        <v>1902</v>
      </c>
      <c r="C19" t="s">
        <v>1909</v>
      </c>
      <c r="D19">
        <v>3.53</v>
      </c>
      <c r="E19">
        <v>0.13400000000000001</v>
      </c>
      <c r="F19">
        <v>28.5</v>
      </c>
      <c r="G19" t="b">
        <v>1</v>
      </c>
      <c r="H19" t="b">
        <v>1</v>
      </c>
      <c r="I19">
        <v>60</v>
      </c>
      <c r="J19">
        <v>0.28639618138424822</v>
      </c>
    </row>
    <row r="20" spans="1:10" x14ac:dyDescent="0.3">
      <c r="A20" t="s">
        <v>598</v>
      </c>
      <c r="B20" t="s">
        <v>1903</v>
      </c>
      <c r="C20" t="s">
        <v>2426</v>
      </c>
      <c r="D20">
        <v>1.48</v>
      </c>
      <c r="E20">
        <v>0.13400000000000001</v>
      </c>
      <c r="F20">
        <v>28.5</v>
      </c>
      <c r="G20" t="b">
        <v>1</v>
      </c>
      <c r="H20" t="b">
        <v>1</v>
      </c>
      <c r="I20">
        <v>60</v>
      </c>
      <c r="J20">
        <v>0.28639618138424822</v>
      </c>
    </row>
    <row r="21" spans="1:10" x14ac:dyDescent="0.3">
      <c r="A21" t="s">
        <v>599</v>
      </c>
      <c r="B21" t="s">
        <v>1904</v>
      </c>
      <c r="C21" t="s">
        <v>433</v>
      </c>
      <c r="D21">
        <v>6.84</v>
      </c>
      <c r="E21">
        <v>0.58499999999999996</v>
      </c>
      <c r="F21">
        <v>28.5</v>
      </c>
      <c r="G21" t="b">
        <v>1</v>
      </c>
      <c r="H21" t="b">
        <v>1</v>
      </c>
      <c r="I21">
        <v>60</v>
      </c>
      <c r="J21">
        <v>0.28639618138424822</v>
      </c>
    </row>
    <row r="22" spans="1:10" x14ac:dyDescent="0.3">
      <c r="A22" t="s">
        <v>600</v>
      </c>
      <c r="B22" t="s">
        <v>1905</v>
      </c>
      <c r="C22" t="s">
        <v>432</v>
      </c>
      <c r="D22">
        <v>14.99</v>
      </c>
      <c r="E22">
        <v>0.13400000000000001</v>
      </c>
      <c r="F22">
        <v>28.5</v>
      </c>
      <c r="G22" t="b">
        <v>1</v>
      </c>
      <c r="H22" t="b">
        <v>1</v>
      </c>
      <c r="I22">
        <v>60</v>
      </c>
      <c r="J22">
        <v>0.28639618138424822</v>
      </c>
    </row>
    <row r="23" spans="1:10" x14ac:dyDescent="0.3">
      <c r="A23" t="s">
        <v>601</v>
      </c>
      <c r="B23" t="s">
        <v>1906</v>
      </c>
      <c r="C23" t="s">
        <v>431</v>
      </c>
      <c r="D23">
        <v>19.510000000000002</v>
      </c>
      <c r="E23">
        <v>0.13400000000000001</v>
      </c>
      <c r="F23">
        <v>28.5</v>
      </c>
      <c r="G23" t="b">
        <v>1</v>
      </c>
      <c r="H23" t="b">
        <v>1</v>
      </c>
      <c r="I23">
        <v>60</v>
      </c>
      <c r="J23">
        <v>0.28639618138424822</v>
      </c>
    </row>
    <row r="24" spans="1:10" x14ac:dyDescent="0.3">
      <c r="A24" t="s">
        <v>602</v>
      </c>
      <c r="B24" t="s">
        <v>1907</v>
      </c>
      <c r="C24" t="s">
        <v>1908</v>
      </c>
      <c r="D24">
        <v>6.5</v>
      </c>
      <c r="E24">
        <v>0.13400000000000001</v>
      </c>
      <c r="F24">
        <v>28.5</v>
      </c>
      <c r="G24" t="b">
        <v>1</v>
      </c>
      <c r="H24" t="b">
        <v>1</v>
      </c>
      <c r="I24">
        <v>60</v>
      </c>
      <c r="J24">
        <v>0.28639618138424822</v>
      </c>
    </row>
    <row r="25" spans="1:10" x14ac:dyDescent="0.3">
      <c r="A25" t="s">
        <v>603</v>
      </c>
      <c r="B25" t="s">
        <v>1908</v>
      </c>
      <c r="C25" t="s">
        <v>2478</v>
      </c>
      <c r="D25">
        <v>5.54</v>
      </c>
      <c r="E25">
        <v>0.156</v>
      </c>
      <c r="F25">
        <v>28.5</v>
      </c>
      <c r="G25" t="b">
        <v>1</v>
      </c>
      <c r="H25" t="b">
        <v>1</v>
      </c>
      <c r="I25">
        <v>60</v>
      </c>
      <c r="J25">
        <v>0.28639618138424822</v>
      </c>
    </row>
    <row r="26" spans="1:10" x14ac:dyDescent="0.3">
      <c r="A26" t="s">
        <v>604</v>
      </c>
      <c r="B26" t="s">
        <v>1909</v>
      </c>
      <c r="C26" t="s">
        <v>2488</v>
      </c>
      <c r="D26">
        <v>3.32</v>
      </c>
      <c r="E26">
        <v>0.156</v>
      </c>
      <c r="F26">
        <v>28.5</v>
      </c>
      <c r="G26" t="b">
        <v>1</v>
      </c>
      <c r="H26" t="b">
        <v>1</v>
      </c>
      <c r="I26">
        <v>60</v>
      </c>
      <c r="J26">
        <v>0.28639618138424822</v>
      </c>
    </row>
    <row r="27" spans="1:10" x14ac:dyDescent="0.3">
      <c r="A27" t="s">
        <v>605</v>
      </c>
      <c r="B27" t="s">
        <v>1910</v>
      </c>
      <c r="C27" t="s">
        <v>423</v>
      </c>
      <c r="D27">
        <v>37.86</v>
      </c>
      <c r="E27">
        <v>0.16600000000000001</v>
      </c>
      <c r="F27">
        <v>43.1</v>
      </c>
      <c r="G27" t="b">
        <v>1</v>
      </c>
      <c r="H27" t="b">
        <v>1</v>
      </c>
      <c r="I27">
        <v>172</v>
      </c>
      <c r="J27">
        <v>0.82100238663484471</v>
      </c>
    </row>
    <row r="28" spans="1:10" x14ac:dyDescent="0.3">
      <c r="A28" t="s">
        <v>606</v>
      </c>
      <c r="B28" t="s">
        <v>1911</v>
      </c>
      <c r="C28" t="s">
        <v>420</v>
      </c>
      <c r="D28">
        <v>25.27</v>
      </c>
      <c r="E28">
        <v>0.16600000000000001</v>
      </c>
      <c r="F28">
        <v>43.1</v>
      </c>
      <c r="G28" t="b">
        <v>1</v>
      </c>
      <c r="H28" t="b">
        <v>1</v>
      </c>
      <c r="I28">
        <v>172</v>
      </c>
      <c r="J28">
        <v>0.82100238663484471</v>
      </c>
    </row>
    <row r="29" spans="1:10" x14ac:dyDescent="0.3">
      <c r="A29" t="s">
        <v>607</v>
      </c>
      <c r="B29" t="s">
        <v>1912</v>
      </c>
      <c r="C29" t="s">
        <v>415</v>
      </c>
      <c r="D29">
        <v>42.36</v>
      </c>
      <c r="E29">
        <v>0.18</v>
      </c>
      <c r="F29">
        <v>54.5</v>
      </c>
      <c r="G29" t="b">
        <v>1</v>
      </c>
      <c r="H29" t="b">
        <v>1</v>
      </c>
      <c r="I29">
        <v>321</v>
      </c>
      <c r="J29">
        <v>1.532219570405728</v>
      </c>
    </row>
    <row r="30" spans="1:10" x14ac:dyDescent="0.3">
      <c r="A30" t="s">
        <v>608</v>
      </c>
      <c r="B30" t="s">
        <v>1913</v>
      </c>
      <c r="C30" t="s">
        <v>414</v>
      </c>
      <c r="D30">
        <v>26.72</v>
      </c>
      <c r="E30">
        <v>0.13400000000000001</v>
      </c>
      <c r="F30">
        <v>28.5</v>
      </c>
      <c r="G30" t="b">
        <v>1</v>
      </c>
      <c r="H30" t="b">
        <v>1</v>
      </c>
      <c r="I30">
        <v>60</v>
      </c>
      <c r="J30">
        <v>0.28639618138424822</v>
      </c>
    </row>
    <row r="31" spans="1:10" x14ac:dyDescent="0.3">
      <c r="A31" t="s">
        <v>609</v>
      </c>
      <c r="B31" t="s">
        <v>1906</v>
      </c>
      <c r="C31" t="s">
        <v>1903</v>
      </c>
      <c r="D31">
        <v>34.21</v>
      </c>
      <c r="E31">
        <v>0.16600000000000001</v>
      </c>
      <c r="F31">
        <v>43.1</v>
      </c>
      <c r="G31" t="b">
        <v>1</v>
      </c>
      <c r="H31" t="b">
        <v>1</v>
      </c>
      <c r="I31">
        <v>172</v>
      </c>
      <c r="J31">
        <v>0.82100238663484471</v>
      </c>
    </row>
    <row r="32" spans="1:10" x14ac:dyDescent="0.3">
      <c r="A32" t="s">
        <v>610</v>
      </c>
      <c r="B32" t="s">
        <v>1907</v>
      </c>
      <c r="C32" t="s">
        <v>1906</v>
      </c>
      <c r="D32">
        <v>1.08</v>
      </c>
      <c r="E32">
        <v>0.16600000000000001</v>
      </c>
      <c r="F32">
        <v>43.1</v>
      </c>
      <c r="G32" t="b">
        <v>1</v>
      </c>
      <c r="H32" t="b">
        <v>1</v>
      </c>
      <c r="I32">
        <v>172</v>
      </c>
      <c r="J32">
        <v>0.82100238663484471</v>
      </c>
    </row>
    <row r="33" spans="1:10" x14ac:dyDescent="0.3">
      <c r="A33" t="s">
        <v>611</v>
      </c>
      <c r="B33" t="s">
        <v>1905</v>
      </c>
      <c r="C33" t="s">
        <v>1907</v>
      </c>
      <c r="D33">
        <v>1.49</v>
      </c>
      <c r="E33">
        <v>0.16600000000000001</v>
      </c>
      <c r="F33">
        <v>43.1</v>
      </c>
      <c r="G33" t="b">
        <v>1</v>
      </c>
      <c r="H33" t="b">
        <v>1</v>
      </c>
      <c r="I33">
        <v>172</v>
      </c>
      <c r="J33">
        <v>0.82100238663484471</v>
      </c>
    </row>
    <row r="34" spans="1:10" x14ac:dyDescent="0.3">
      <c r="A34" t="s">
        <v>612</v>
      </c>
      <c r="B34" t="s">
        <v>1914</v>
      </c>
      <c r="C34" t="s">
        <v>1905</v>
      </c>
      <c r="D34">
        <v>2.3199999999999998</v>
      </c>
      <c r="E34">
        <v>0.16600000000000001</v>
      </c>
      <c r="F34">
        <v>43.1</v>
      </c>
      <c r="G34" t="b">
        <v>1</v>
      </c>
      <c r="H34" t="b">
        <v>1</v>
      </c>
      <c r="I34">
        <v>172</v>
      </c>
      <c r="J34">
        <v>0.82100238663484471</v>
      </c>
    </row>
    <row r="35" spans="1:10" x14ac:dyDescent="0.3">
      <c r="A35" t="s">
        <v>613</v>
      </c>
      <c r="B35" t="s">
        <v>1901</v>
      </c>
      <c r="C35" t="s">
        <v>1903</v>
      </c>
      <c r="D35">
        <v>6.35</v>
      </c>
      <c r="E35">
        <v>0.16600000000000001</v>
      </c>
      <c r="F35">
        <v>43.1</v>
      </c>
      <c r="G35" t="b">
        <v>1</v>
      </c>
      <c r="H35" t="b">
        <v>1</v>
      </c>
      <c r="I35">
        <v>172</v>
      </c>
      <c r="J35">
        <v>0.82100238663484471</v>
      </c>
    </row>
    <row r="36" spans="1:10" x14ac:dyDescent="0.3">
      <c r="A36" t="s">
        <v>614</v>
      </c>
      <c r="B36" t="s">
        <v>1915</v>
      </c>
      <c r="C36" t="s">
        <v>2022</v>
      </c>
      <c r="D36">
        <v>0.02</v>
      </c>
      <c r="E36">
        <v>0.28199999999999997</v>
      </c>
      <c r="F36">
        <v>160.30000000000001</v>
      </c>
      <c r="G36" t="b">
        <v>1</v>
      </c>
      <c r="H36" t="b">
        <v>1</v>
      </c>
      <c r="I36">
        <v>5533</v>
      </c>
      <c r="J36">
        <v>26.410501193317419</v>
      </c>
    </row>
    <row r="37" spans="1:10" x14ac:dyDescent="0.3">
      <c r="A37" t="s">
        <v>615</v>
      </c>
      <c r="B37" t="s">
        <v>1916</v>
      </c>
      <c r="C37" t="s">
        <v>2649</v>
      </c>
      <c r="D37">
        <v>69.22</v>
      </c>
      <c r="E37">
        <v>0.16600000000000001</v>
      </c>
      <c r="F37">
        <v>43.1</v>
      </c>
      <c r="G37" t="b">
        <v>1</v>
      </c>
      <c r="H37" t="b">
        <v>1</v>
      </c>
      <c r="I37">
        <v>172</v>
      </c>
      <c r="J37">
        <v>0.82100238663484471</v>
      </c>
    </row>
    <row r="38" spans="1:10" x14ac:dyDescent="0.3">
      <c r="A38" t="s">
        <v>616</v>
      </c>
      <c r="B38" t="s">
        <v>1916</v>
      </c>
      <c r="C38" t="s">
        <v>2288</v>
      </c>
      <c r="D38">
        <v>4.82</v>
      </c>
      <c r="E38">
        <v>0.35499999999999998</v>
      </c>
      <c r="F38">
        <v>263</v>
      </c>
      <c r="G38" t="b">
        <v>1</v>
      </c>
      <c r="H38" t="b">
        <v>1</v>
      </c>
      <c r="I38">
        <v>20264</v>
      </c>
      <c r="J38">
        <v>96.725536992840077</v>
      </c>
    </row>
    <row r="39" spans="1:10" x14ac:dyDescent="0.3">
      <c r="A39" t="s">
        <v>617</v>
      </c>
      <c r="B39" t="s">
        <v>1917</v>
      </c>
      <c r="C39" t="s">
        <v>2091</v>
      </c>
      <c r="D39">
        <v>0.47</v>
      </c>
      <c r="E39">
        <v>0.13400000000000001</v>
      </c>
      <c r="F39">
        <v>28.5</v>
      </c>
      <c r="G39" t="b">
        <v>1</v>
      </c>
      <c r="H39" t="b">
        <v>1</v>
      </c>
      <c r="I39">
        <v>60</v>
      </c>
      <c r="J39">
        <v>0.28639618138424822</v>
      </c>
    </row>
    <row r="40" spans="1:10" x14ac:dyDescent="0.3">
      <c r="A40" t="s">
        <v>618</v>
      </c>
      <c r="B40" t="s">
        <v>1918</v>
      </c>
      <c r="C40" t="s">
        <v>2029</v>
      </c>
      <c r="D40">
        <v>2.0699999999999998</v>
      </c>
      <c r="E40">
        <v>0.18</v>
      </c>
      <c r="F40">
        <v>54.5</v>
      </c>
      <c r="G40" t="b">
        <v>1</v>
      </c>
      <c r="H40" t="b">
        <v>1</v>
      </c>
      <c r="I40">
        <v>321</v>
      </c>
      <c r="J40">
        <v>1.532219570405728</v>
      </c>
    </row>
    <row r="41" spans="1:10" x14ac:dyDescent="0.3">
      <c r="A41" t="s">
        <v>619</v>
      </c>
      <c r="B41" t="s">
        <v>1919</v>
      </c>
      <c r="C41" t="s">
        <v>2056</v>
      </c>
      <c r="D41">
        <v>5.0599999999999996</v>
      </c>
      <c r="E41">
        <v>0.28199999999999997</v>
      </c>
      <c r="F41">
        <v>160.30000000000001</v>
      </c>
      <c r="G41" t="b">
        <v>1</v>
      </c>
      <c r="H41" t="b">
        <v>1</v>
      </c>
      <c r="I41">
        <v>5533</v>
      </c>
      <c r="J41">
        <v>26.410501193317419</v>
      </c>
    </row>
    <row r="42" spans="1:10" x14ac:dyDescent="0.3">
      <c r="A42" t="s">
        <v>620</v>
      </c>
      <c r="B42" t="s">
        <v>1920</v>
      </c>
      <c r="C42" t="s">
        <v>2441</v>
      </c>
      <c r="D42">
        <v>59.9</v>
      </c>
      <c r="E42">
        <v>0.254</v>
      </c>
      <c r="F42">
        <v>132.5</v>
      </c>
      <c r="G42" t="b">
        <v>1</v>
      </c>
      <c r="H42" t="b">
        <v>1</v>
      </c>
      <c r="I42">
        <v>3354</v>
      </c>
      <c r="J42">
        <v>16.009546539379471</v>
      </c>
    </row>
    <row r="43" spans="1:10" x14ac:dyDescent="0.3">
      <c r="A43" t="s">
        <v>621</v>
      </c>
      <c r="B43" t="s">
        <v>1921</v>
      </c>
      <c r="C43" t="s">
        <v>2492</v>
      </c>
      <c r="D43">
        <v>33.909999999999997</v>
      </c>
      <c r="E43">
        <v>0.18</v>
      </c>
      <c r="F43">
        <v>54.5</v>
      </c>
      <c r="G43" t="b">
        <v>1</v>
      </c>
      <c r="H43" t="b">
        <v>1</v>
      </c>
      <c r="I43">
        <v>321</v>
      </c>
      <c r="J43">
        <v>1.532219570405728</v>
      </c>
    </row>
    <row r="44" spans="1:10" x14ac:dyDescent="0.3">
      <c r="A44" t="s">
        <v>622</v>
      </c>
      <c r="B44" t="s">
        <v>1922</v>
      </c>
      <c r="C44" t="s">
        <v>1921</v>
      </c>
      <c r="D44">
        <v>22.58</v>
      </c>
      <c r="E44">
        <v>0.28199999999999997</v>
      </c>
      <c r="F44">
        <v>160.30000000000001</v>
      </c>
      <c r="G44" t="b">
        <v>1</v>
      </c>
      <c r="H44" t="b">
        <v>1</v>
      </c>
      <c r="I44">
        <v>5533</v>
      </c>
      <c r="J44">
        <v>26.410501193317419</v>
      </c>
    </row>
    <row r="45" spans="1:10" x14ac:dyDescent="0.3">
      <c r="A45" t="s">
        <v>623</v>
      </c>
      <c r="B45" t="s">
        <v>1923</v>
      </c>
      <c r="C45" t="s">
        <v>2438</v>
      </c>
      <c r="D45">
        <v>48.94</v>
      </c>
      <c r="E45">
        <v>0.22500000000000001</v>
      </c>
      <c r="F45">
        <v>107.1</v>
      </c>
      <c r="G45" t="b">
        <v>1</v>
      </c>
      <c r="H45" t="b">
        <v>1</v>
      </c>
      <c r="I45">
        <v>1915</v>
      </c>
      <c r="J45">
        <v>9.1408114558472544</v>
      </c>
    </row>
    <row r="46" spans="1:10" x14ac:dyDescent="0.3">
      <c r="A46" t="s">
        <v>624</v>
      </c>
      <c r="B46" t="s">
        <v>1924</v>
      </c>
      <c r="C46" t="s">
        <v>1923</v>
      </c>
      <c r="D46">
        <v>4.88</v>
      </c>
      <c r="E46">
        <v>0.217</v>
      </c>
      <c r="F46">
        <v>82.5</v>
      </c>
      <c r="G46" t="b">
        <v>1</v>
      </c>
      <c r="H46" t="b">
        <v>1</v>
      </c>
      <c r="I46">
        <v>962</v>
      </c>
      <c r="J46">
        <v>4.5918854415274453</v>
      </c>
    </row>
    <row r="47" spans="1:10" x14ac:dyDescent="0.3">
      <c r="A47" t="s">
        <v>625</v>
      </c>
      <c r="B47" t="s">
        <v>1899</v>
      </c>
      <c r="C47" t="s">
        <v>1911</v>
      </c>
      <c r="D47">
        <v>179</v>
      </c>
      <c r="E47">
        <v>0.20499999999999999</v>
      </c>
      <c r="F47">
        <v>70.3</v>
      </c>
      <c r="G47" t="b">
        <v>1</v>
      </c>
      <c r="H47" t="b">
        <v>1</v>
      </c>
      <c r="I47">
        <v>630</v>
      </c>
      <c r="J47">
        <v>3.007159904534606</v>
      </c>
    </row>
    <row r="48" spans="1:10" x14ac:dyDescent="0.3">
      <c r="A48" t="s">
        <v>626</v>
      </c>
      <c r="B48" t="s">
        <v>1925</v>
      </c>
      <c r="C48" t="s">
        <v>1899</v>
      </c>
      <c r="D48">
        <v>148.51</v>
      </c>
      <c r="E48">
        <v>0.20499999999999999</v>
      </c>
      <c r="F48">
        <v>70.3</v>
      </c>
      <c r="G48" t="b">
        <v>1</v>
      </c>
      <c r="H48" t="b">
        <v>1</v>
      </c>
      <c r="I48">
        <v>630</v>
      </c>
      <c r="J48">
        <v>3.007159904534606</v>
      </c>
    </row>
    <row r="49" spans="1:10" x14ac:dyDescent="0.3">
      <c r="A49" t="s">
        <v>627</v>
      </c>
      <c r="B49" t="s">
        <v>1926</v>
      </c>
      <c r="C49" t="s">
        <v>2006</v>
      </c>
      <c r="D49">
        <v>2.39</v>
      </c>
      <c r="E49">
        <v>0.20499999999999999</v>
      </c>
      <c r="F49">
        <v>70.3</v>
      </c>
      <c r="G49" t="b">
        <v>1</v>
      </c>
      <c r="H49" t="b">
        <v>1</v>
      </c>
      <c r="I49">
        <v>630</v>
      </c>
      <c r="J49">
        <v>3.007159904534606</v>
      </c>
    </row>
    <row r="50" spans="1:10" x14ac:dyDescent="0.3">
      <c r="A50" t="s">
        <v>628</v>
      </c>
      <c r="B50" t="s">
        <v>1927</v>
      </c>
      <c r="C50" t="s">
        <v>2650</v>
      </c>
      <c r="D50">
        <v>0.11</v>
      </c>
      <c r="E50">
        <v>0.29299999999999998</v>
      </c>
      <c r="F50">
        <v>210.1</v>
      </c>
      <c r="G50" t="b">
        <v>1</v>
      </c>
      <c r="H50" t="b">
        <v>1</v>
      </c>
      <c r="I50">
        <v>11253</v>
      </c>
      <c r="J50">
        <v>53.713603818615738</v>
      </c>
    </row>
    <row r="51" spans="1:10" x14ac:dyDescent="0.3">
      <c r="A51" t="s">
        <v>629</v>
      </c>
      <c r="B51" t="s">
        <v>1927</v>
      </c>
      <c r="C51" t="s">
        <v>1928</v>
      </c>
      <c r="D51">
        <v>0.41</v>
      </c>
      <c r="E51">
        <v>0.29299999999999998</v>
      </c>
      <c r="F51">
        <v>210.1</v>
      </c>
      <c r="G51" t="b">
        <v>1</v>
      </c>
      <c r="H51" t="b">
        <v>1</v>
      </c>
      <c r="I51">
        <v>11253</v>
      </c>
      <c r="J51">
        <v>53.713603818615738</v>
      </c>
    </row>
    <row r="52" spans="1:10" x14ac:dyDescent="0.3">
      <c r="A52" t="s">
        <v>630</v>
      </c>
      <c r="B52" t="s">
        <v>1927</v>
      </c>
      <c r="C52" t="s">
        <v>2055</v>
      </c>
      <c r="D52">
        <v>0.46</v>
      </c>
      <c r="E52">
        <v>0.29299999999999998</v>
      </c>
      <c r="F52">
        <v>210.1</v>
      </c>
      <c r="G52" t="b">
        <v>1</v>
      </c>
      <c r="H52" t="b">
        <v>1</v>
      </c>
      <c r="I52">
        <v>11253</v>
      </c>
      <c r="J52">
        <v>53.713603818615738</v>
      </c>
    </row>
    <row r="53" spans="1:10" x14ac:dyDescent="0.3">
      <c r="A53" t="s">
        <v>631</v>
      </c>
      <c r="B53" t="s">
        <v>1928</v>
      </c>
      <c r="C53" t="s">
        <v>2407</v>
      </c>
      <c r="D53">
        <v>205.3</v>
      </c>
      <c r="E53">
        <v>0.28199999999999997</v>
      </c>
      <c r="F53">
        <v>160.30000000000001</v>
      </c>
      <c r="G53" t="b">
        <v>1</v>
      </c>
      <c r="H53" t="b">
        <v>1</v>
      </c>
      <c r="I53">
        <v>5533</v>
      </c>
      <c r="J53">
        <v>26.410501193317419</v>
      </c>
    </row>
    <row r="54" spans="1:10" x14ac:dyDescent="0.3">
      <c r="A54" t="s">
        <v>632</v>
      </c>
      <c r="B54" t="s">
        <v>1924</v>
      </c>
      <c r="C54" t="s">
        <v>1931</v>
      </c>
      <c r="D54">
        <v>94.85</v>
      </c>
      <c r="E54">
        <v>0.29299999999999998</v>
      </c>
      <c r="F54">
        <v>210.1</v>
      </c>
      <c r="G54" t="b">
        <v>1</v>
      </c>
      <c r="H54" t="b">
        <v>1</v>
      </c>
      <c r="I54">
        <v>11253</v>
      </c>
      <c r="J54">
        <v>53.713603818615738</v>
      </c>
    </row>
    <row r="55" spans="1:10" x14ac:dyDescent="0.3">
      <c r="A55" t="s">
        <v>633</v>
      </c>
      <c r="B55" t="s">
        <v>1929</v>
      </c>
      <c r="C55" t="s">
        <v>1924</v>
      </c>
      <c r="D55">
        <v>133.19999999999999</v>
      </c>
      <c r="E55">
        <v>0.29299999999999998</v>
      </c>
      <c r="F55">
        <v>210.1</v>
      </c>
      <c r="G55" t="b">
        <v>1</v>
      </c>
      <c r="H55" t="b">
        <v>1</v>
      </c>
      <c r="I55">
        <v>11253</v>
      </c>
      <c r="J55">
        <v>53.713603818615738</v>
      </c>
    </row>
    <row r="56" spans="1:10" x14ac:dyDescent="0.3">
      <c r="A56" t="s">
        <v>634</v>
      </c>
      <c r="B56" t="s">
        <v>1930</v>
      </c>
      <c r="C56" t="s">
        <v>391</v>
      </c>
      <c r="D56">
        <v>13.93</v>
      </c>
      <c r="E56">
        <v>0.18</v>
      </c>
      <c r="F56">
        <v>54.5</v>
      </c>
      <c r="G56" t="b">
        <v>1</v>
      </c>
      <c r="H56" t="b">
        <v>1</v>
      </c>
      <c r="I56">
        <v>321</v>
      </c>
      <c r="J56">
        <v>1.532219570405728</v>
      </c>
    </row>
    <row r="57" spans="1:10" x14ac:dyDescent="0.3">
      <c r="A57" t="s">
        <v>635</v>
      </c>
      <c r="B57" t="s">
        <v>1931</v>
      </c>
      <c r="C57" t="s">
        <v>2389</v>
      </c>
      <c r="D57">
        <v>3.17</v>
      </c>
      <c r="E57">
        <v>0.85</v>
      </c>
      <c r="F57">
        <v>210.1</v>
      </c>
      <c r="G57" t="b">
        <v>1</v>
      </c>
      <c r="H57" t="b">
        <v>1</v>
      </c>
      <c r="I57">
        <v>11253</v>
      </c>
      <c r="J57">
        <v>53.713603818615738</v>
      </c>
    </row>
    <row r="58" spans="1:10" x14ac:dyDescent="0.3">
      <c r="A58" t="s">
        <v>636</v>
      </c>
      <c r="B58" t="s">
        <v>1932</v>
      </c>
      <c r="C58" t="s">
        <v>390</v>
      </c>
      <c r="D58">
        <v>57.21</v>
      </c>
      <c r="E58">
        <v>0.18</v>
      </c>
      <c r="F58">
        <v>54.5</v>
      </c>
      <c r="G58" t="b">
        <v>1</v>
      </c>
      <c r="H58" t="b">
        <v>1</v>
      </c>
      <c r="I58">
        <v>321</v>
      </c>
      <c r="J58">
        <v>1.532219570405728</v>
      </c>
    </row>
    <row r="59" spans="1:10" x14ac:dyDescent="0.3">
      <c r="A59" t="s">
        <v>637</v>
      </c>
      <c r="B59" t="s">
        <v>1933</v>
      </c>
      <c r="C59" t="s">
        <v>2651</v>
      </c>
      <c r="D59">
        <v>1.2</v>
      </c>
      <c r="E59">
        <v>0.217</v>
      </c>
      <c r="F59">
        <v>82.5</v>
      </c>
      <c r="G59" t="b">
        <v>1</v>
      </c>
      <c r="H59" t="b">
        <v>1</v>
      </c>
      <c r="I59">
        <v>962</v>
      </c>
      <c r="J59">
        <v>4.5918854415274453</v>
      </c>
    </row>
    <row r="60" spans="1:10" x14ac:dyDescent="0.3">
      <c r="A60" t="s">
        <v>638</v>
      </c>
      <c r="B60" t="s">
        <v>1934</v>
      </c>
      <c r="C60" t="s">
        <v>1933</v>
      </c>
      <c r="D60">
        <v>1051.21</v>
      </c>
      <c r="E60">
        <v>0.22500000000000001</v>
      </c>
      <c r="F60">
        <v>107.1</v>
      </c>
      <c r="G60" t="b">
        <v>1</v>
      </c>
      <c r="H60" t="b">
        <v>1</v>
      </c>
      <c r="I60">
        <v>1915</v>
      </c>
      <c r="J60">
        <v>9.1408114558472544</v>
      </c>
    </row>
    <row r="61" spans="1:10" x14ac:dyDescent="0.3">
      <c r="A61" t="s">
        <v>639</v>
      </c>
      <c r="B61" t="s">
        <v>1935</v>
      </c>
      <c r="C61" t="s">
        <v>2319</v>
      </c>
      <c r="D61">
        <v>12.35</v>
      </c>
      <c r="E61">
        <v>0.36399999999999999</v>
      </c>
      <c r="F61">
        <v>132.5</v>
      </c>
      <c r="G61" t="b">
        <v>1</v>
      </c>
      <c r="H61" t="b">
        <v>1</v>
      </c>
      <c r="I61">
        <v>3354</v>
      </c>
      <c r="J61">
        <v>16.009546539379471</v>
      </c>
    </row>
    <row r="62" spans="1:10" x14ac:dyDescent="0.3">
      <c r="A62" t="s">
        <v>640</v>
      </c>
      <c r="B62" t="s">
        <v>1936</v>
      </c>
      <c r="C62" t="s">
        <v>365</v>
      </c>
      <c r="D62">
        <v>69.72</v>
      </c>
      <c r="E62">
        <v>0.20499999999999999</v>
      </c>
      <c r="F62">
        <v>70.3</v>
      </c>
      <c r="G62" t="b">
        <v>1</v>
      </c>
      <c r="H62" t="b">
        <v>1</v>
      </c>
      <c r="I62">
        <v>630</v>
      </c>
      <c r="J62">
        <v>3.007159904534606</v>
      </c>
    </row>
    <row r="63" spans="1:10" x14ac:dyDescent="0.3">
      <c r="A63" t="s">
        <v>641</v>
      </c>
      <c r="B63" t="s">
        <v>1937</v>
      </c>
      <c r="C63" t="s">
        <v>2652</v>
      </c>
      <c r="D63">
        <v>50.66</v>
      </c>
      <c r="E63">
        <v>0.20499999999999999</v>
      </c>
      <c r="F63">
        <v>70.3</v>
      </c>
      <c r="G63" t="b">
        <v>1</v>
      </c>
      <c r="H63" t="b">
        <v>1</v>
      </c>
      <c r="I63">
        <v>630</v>
      </c>
      <c r="J63">
        <v>3.007159904534606</v>
      </c>
    </row>
    <row r="64" spans="1:10" x14ac:dyDescent="0.3">
      <c r="A64" t="s">
        <v>642</v>
      </c>
      <c r="B64" t="s">
        <v>1938</v>
      </c>
      <c r="C64" t="s">
        <v>360</v>
      </c>
      <c r="D64">
        <v>55.6</v>
      </c>
      <c r="E64">
        <v>0.16600000000000001</v>
      </c>
      <c r="F64">
        <v>43.1</v>
      </c>
      <c r="G64" t="b">
        <v>1</v>
      </c>
      <c r="H64" t="b">
        <v>1</v>
      </c>
      <c r="I64">
        <v>172</v>
      </c>
      <c r="J64">
        <v>0.82100238663484471</v>
      </c>
    </row>
    <row r="65" spans="1:10" x14ac:dyDescent="0.3">
      <c r="A65" t="s">
        <v>643</v>
      </c>
      <c r="B65" t="s">
        <v>1939</v>
      </c>
      <c r="C65" t="s">
        <v>341</v>
      </c>
      <c r="D65">
        <v>35.61</v>
      </c>
      <c r="E65">
        <v>0.13400000000000001</v>
      </c>
      <c r="F65">
        <v>28.5</v>
      </c>
      <c r="G65" t="b">
        <v>1</v>
      </c>
      <c r="H65" t="b">
        <v>1</v>
      </c>
      <c r="I65">
        <v>60</v>
      </c>
      <c r="J65">
        <v>0.28639618138424822</v>
      </c>
    </row>
    <row r="66" spans="1:10" x14ac:dyDescent="0.3">
      <c r="A66" t="s">
        <v>644</v>
      </c>
      <c r="B66" t="s">
        <v>1940</v>
      </c>
      <c r="C66" t="s">
        <v>336</v>
      </c>
      <c r="D66">
        <v>51.56</v>
      </c>
      <c r="E66">
        <v>0.16600000000000001</v>
      </c>
      <c r="F66">
        <v>43.1</v>
      </c>
      <c r="G66" t="b">
        <v>1</v>
      </c>
      <c r="H66" t="b">
        <v>1</v>
      </c>
      <c r="I66">
        <v>172</v>
      </c>
      <c r="J66">
        <v>0.82100238663484471</v>
      </c>
    </row>
    <row r="67" spans="1:10" x14ac:dyDescent="0.3">
      <c r="A67" t="s">
        <v>645</v>
      </c>
      <c r="B67" t="s">
        <v>1941</v>
      </c>
      <c r="C67" t="s">
        <v>1934</v>
      </c>
      <c r="D67">
        <v>2.0099999999999998</v>
      </c>
      <c r="E67">
        <v>0.28199999999999997</v>
      </c>
      <c r="F67">
        <v>160.30000000000001</v>
      </c>
      <c r="G67" t="b">
        <v>1</v>
      </c>
      <c r="H67" t="b">
        <v>1</v>
      </c>
      <c r="I67">
        <v>5533</v>
      </c>
      <c r="J67">
        <v>26.410501193317419</v>
      </c>
    </row>
    <row r="68" spans="1:10" x14ac:dyDescent="0.3">
      <c r="A68" t="s">
        <v>646</v>
      </c>
      <c r="B68" t="s">
        <v>1942</v>
      </c>
      <c r="C68" t="s">
        <v>1941</v>
      </c>
      <c r="D68">
        <v>1.42</v>
      </c>
      <c r="E68">
        <v>0.29299999999999998</v>
      </c>
      <c r="F68">
        <v>210.1</v>
      </c>
      <c r="G68" t="b">
        <v>1</v>
      </c>
      <c r="H68" t="b">
        <v>1</v>
      </c>
      <c r="I68">
        <v>11253</v>
      </c>
      <c r="J68">
        <v>53.713603818615738</v>
      </c>
    </row>
    <row r="69" spans="1:10" x14ac:dyDescent="0.3">
      <c r="A69" t="s">
        <v>647</v>
      </c>
      <c r="B69" t="s">
        <v>1943</v>
      </c>
      <c r="C69" t="s">
        <v>1942</v>
      </c>
      <c r="D69">
        <v>2.13</v>
      </c>
      <c r="E69">
        <v>0.35499999999999998</v>
      </c>
      <c r="F69">
        <v>263</v>
      </c>
      <c r="G69" t="b">
        <v>1</v>
      </c>
      <c r="H69" t="b">
        <v>1</v>
      </c>
      <c r="I69">
        <v>20264</v>
      </c>
      <c r="J69">
        <v>96.725536992840077</v>
      </c>
    </row>
    <row r="70" spans="1:10" x14ac:dyDescent="0.3">
      <c r="A70" t="s">
        <v>648</v>
      </c>
      <c r="B70" t="s">
        <v>1944</v>
      </c>
      <c r="C70" t="s">
        <v>1925</v>
      </c>
      <c r="D70">
        <v>48.97</v>
      </c>
      <c r="E70">
        <v>0.20499999999999999</v>
      </c>
      <c r="F70">
        <v>70.3</v>
      </c>
      <c r="G70" t="b">
        <v>1</v>
      </c>
      <c r="H70" t="b">
        <v>1</v>
      </c>
      <c r="I70">
        <v>630</v>
      </c>
      <c r="J70">
        <v>3.007159904534606</v>
      </c>
    </row>
    <row r="71" spans="1:10" x14ac:dyDescent="0.3">
      <c r="A71" t="s">
        <v>649</v>
      </c>
      <c r="B71" t="s">
        <v>1944</v>
      </c>
      <c r="C71" t="s">
        <v>2651</v>
      </c>
      <c r="D71">
        <v>21.84</v>
      </c>
      <c r="E71">
        <v>0.20499999999999999</v>
      </c>
      <c r="F71">
        <v>70.3</v>
      </c>
      <c r="G71" t="b">
        <v>1</v>
      </c>
      <c r="H71" t="b">
        <v>1</v>
      </c>
      <c r="I71">
        <v>630</v>
      </c>
      <c r="J71">
        <v>3.007159904534606</v>
      </c>
    </row>
    <row r="72" spans="1:10" x14ac:dyDescent="0.3">
      <c r="A72" t="s">
        <v>650</v>
      </c>
      <c r="B72" t="s">
        <v>1945</v>
      </c>
      <c r="C72" t="s">
        <v>2637</v>
      </c>
      <c r="D72">
        <v>90.09</v>
      </c>
      <c r="E72">
        <v>0.22500000000000001</v>
      </c>
      <c r="F72">
        <v>107.1</v>
      </c>
      <c r="G72" t="b">
        <v>1</v>
      </c>
      <c r="H72" t="b">
        <v>1</v>
      </c>
      <c r="I72">
        <v>1915</v>
      </c>
      <c r="J72">
        <v>9.1408114558472544</v>
      </c>
    </row>
    <row r="73" spans="1:10" x14ac:dyDescent="0.3">
      <c r="A73" t="s">
        <v>651</v>
      </c>
      <c r="B73" t="s">
        <v>1946</v>
      </c>
      <c r="C73" t="s">
        <v>263</v>
      </c>
      <c r="D73">
        <v>102.17</v>
      </c>
      <c r="E73">
        <v>0.18</v>
      </c>
      <c r="F73">
        <v>54.5</v>
      </c>
      <c r="G73" t="b">
        <v>1</v>
      </c>
      <c r="H73" t="b">
        <v>1</v>
      </c>
      <c r="I73">
        <v>321</v>
      </c>
      <c r="J73">
        <v>1.532219570405728</v>
      </c>
    </row>
    <row r="74" spans="1:10" x14ac:dyDescent="0.3">
      <c r="A74" t="s">
        <v>652</v>
      </c>
      <c r="B74" t="s">
        <v>1947</v>
      </c>
      <c r="C74" t="s">
        <v>256</v>
      </c>
      <c r="D74">
        <v>31.27</v>
      </c>
      <c r="E74">
        <v>0.20499999999999999</v>
      </c>
      <c r="F74">
        <v>70.3</v>
      </c>
      <c r="G74" t="b">
        <v>1</v>
      </c>
      <c r="H74" t="b">
        <v>1</v>
      </c>
      <c r="I74">
        <v>630</v>
      </c>
      <c r="J74">
        <v>3.007159904534606</v>
      </c>
    </row>
    <row r="75" spans="1:10" x14ac:dyDescent="0.3">
      <c r="A75" t="s">
        <v>653</v>
      </c>
      <c r="B75" t="s">
        <v>1925</v>
      </c>
      <c r="C75" t="s">
        <v>1938</v>
      </c>
      <c r="D75">
        <v>283.14</v>
      </c>
      <c r="E75">
        <v>0.18</v>
      </c>
      <c r="F75">
        <v>54.5</v>
      </c>
      <c r="G75" t="b">
        <v>1</v>
      </c>
      <c r="H75" t="b">
        <v>1</v>
      </c>
      <c r="I75">
        <v>321</v>
      </c>
      <c r="J75">
        <v>1.532219570405728</v>
      </c>
    </row>
    <row r="76" spans="1:10" x14ac:dyDescent="0.3">
      <c r="A76" t="s">
        <v>654</v>
      </c>
      <c r="B76" t="s">
        <v>1948</v>
      </c>
      <c r="C76" t="s">
        <v>1951</v>
      </c>
      <c r="D76">
        <v>29.98</v>
      </c>
      <c r="E76">
        <v>0.13400000000000001</v>
      </c>
      <c r="F76">
        <v>28.5</v>
      </c>
      <c r="G76" t="b">
        <v>1</v>
      </c>
      <c r="H76" t="b">
        <v>1</v>
      </c>
      <c r="I76">
        <v>60</v>
      </c>
      <c r="J76">
        <v>0.28639618138424822</v>
      </c>
    </row>
    <row r="77" spans="1:10" x14ac:dyDescent="0.3">
      <c r="A77" t="s">
        <v>655</v>
      </c>
      <c r="B77" t="s">
        <v>1949</v>
      </c>
      <c r="C77" t="s">
        <v>242</v>
      </c>
      <c r="D77">
        <v>22.08</v>
      </c>
      <c r="E77">
        <v>0.16600000000000001</v>
      </c>
      <c r="F77">
        <v>43.1</v>
      </c>
      <c r="G77" t="b">
        <v>1</v>
      </c>
      <c r="H77" t="b">
        <v>1</v>
      </c>
      <c r="I77">
        <v>172</v>
      </c>
      <c r="J77">
        <v>0.82100238663484471</v>
      </c>
    </row>
    <row r="78" spans="1:10" x14ac:dyDescent="0.3">
      <c r="A78" t="s">
        <v>656</v>
      </c>
      <c r="B78" t="s">
        <v>1950</v>
      </c>
      <c r="C78" t="s">
        <v>215</v>
      </c>
      <c r="D78">
        <v>103.34</v>
      </c>
      <c r="E78">
        <v>0.16600000000000001</v>
      </c>
      <c r="F78">
        <v>43.1</v>
      </c>
      <c r="G78" t="b">
        <v>1</v>
      </c>
      <c r="H78" t="b">
        <v>1</v>
      </c>
      <c r="I78">
        <v>172</v>
      </c>
      <c r="J78">
        <v>0.82100238663484471</v>
      </c>
    </row>
    <row r="79" spans="1:10" x14ac:dyDescent="0.3">
      <c r="A79" t="s">
        <v>657</v>
      </c>
      <c r="B79" t="s">
        <v>1951</v>
      </c>
      <c r="C79" t="s">
        <v>237</v>
      </c>
      <c r="D79">
        <v>9.4700000000000006</v>
      </c>
      <c r="E79">
        <v>0.156</v>
      </c>
      <c r="F79">
        <v>28.5</v>
      </c>
      <c r="G79" t="b">
        <v>1</v>
      </c>
      <c r="H79" t="b">
        <v>1</v>
      </c>
      <c r="I79">
        <v>60</v>
      </c>
      <c r="J79">
        <v>0.28639618138424822</v>
      </c>
    </row>
    <row r="80" spans="1:10" x14ac:dyDescent="0.3">
      <c r="A80" t="s">
        <v>658</v>
      </c>
      <c r="B80" t="s">
        <v>1952</v>
      </c>
      <c r="C80" t="s">
        <v>236</v>
      </c>
      <c r="D80">
        <v>45.17</v>
      </c>
      <c r="E80">
        <v>0.20499999999999999</v>
      </c>
      <c r="F80">
        <v>70.3</v>
      </c>
      <c r="G80" t="b">
        <v>1</v>
      </c>
      <c r="H80" t="b">
        <v>1</v>
      </c>
      <c r="I80">
        <v>630</v>
      </c>
      <c r="J80">
        <v>3.007159904534606</v>
      </c>
    </row>
    <row r="81" spans="1:10" x14ac:dyDescent="0.3">
      <c r="A81" t="s">
        <v>659</v>
      </c>
      <c r="B81" t="s">
        <v>1953</v>
      </c>
      <c r="C81" t="s">
        <v>1950</v>
      </c>
      <c r="D81">
        <v>46.86</v>
      </c>
      <c r="E81">
        <v>0.20499999999999999</v>
      </c>
      <c r="F81">
        <v>70.3</v>
      </c>
      <c r="G81" t="b">
        <v>1</v>
      </c>
      <c r="H81" t="b">
        <v>1</v>
      </c>
      <c r="I81">
        <v>630</v>
      </c>
      <c r="J81">
        <v>3.007159904534606</v>
      </c>
    </row>
    <row r="82" spans="1:10" x14ac:dyDescent="0.3">
      <c r="A82" t="s">
        <v>660</v>
      </c>
      <c r="B82" t="s">
        <v>1954</v>
      </c>
      <c r="C82" t="s">
        <v>1946</v>
      </c>
      <c r="D82">
        <v>431.71</v>
      </c>
      <c r="E82">
        <v>0.254</v>
      </c>
      <c r="F82">
        <v>132.5</v>
      </c>
      <c r="G82" t="b">
        <v>1</v>
      </c>
      <c r="H82" t="b">
        <v>1</v>
      </c>
      <c r="I82">
        <v>3354</v>
      </c>
      <c r="J82">
        <v>16.009546539379471</v>
      </c>
    </row>
    <row r="83" spans="1:10" x14ac:dyDescent="0.3">
      <c r="A83" t="s">
        <v>661</v>
      </c>
      <c r="B83" t="s">
        <v>1952</v>
      </c>
      <c r="C83" t="s">
        <v>1932</v>
      </c>
      <c r="D83">
        <v>2.83</v>
      </c>
      <c r="E83">
        <v>0.217</v>
      </c>
      <c r="F83">
        <v>82.5</v>
      </c>
      <c r="G83" t="b">
        <v>1</v>
      </c>
      <c r="H83" t="b">
        <v>1</v>
      </c>
      <c r="I83">
        <v>962</v>
      </c>
      <c r="J83">
        <v>4.5918854415274453</v>
      </c>
    </row>
    <row r="84" spans="1:10" x14ac:dyDescent="0.3">
      <c r="A84" t="s">
        <v>662</v>
      </c>
      <c r="B84" t="s">
        <v>1955</v>
      </c>
      <c r="C84" t="s">
        <v>239</v>
      </c>
      <c r="D84">
        <v>15.17</v>
      </c>
      <c r="E84">
        <v>0.18</v>
      </c>
      <c r="F84">
        <v>54.5</v>
      </c>
      <c r="G84" t="b">
        <v>1</v>
      </c>
      <c r="H84" t="b">
        <v>1</v>
      </c>
      <c r="I84">
        <v>321</v>
      </c>
      <c r="J84">
        <v>1.532219570405728</v>
      </c>
    </row>
    <row r="85" spans="1:10" x14ac:dyDescent="0.3">
      <c r="A85" t="s">
        <v>663</v>
      </c>
      <c r="B85" t="s">
        <v>1956</v>
      </c>
      <c r="C85" t="s">
        <v>1955</v>
      </c>
      <c r="D85">
        <v>99.85</v>
      </c>
      <c r="E85">
        <v>0.20499999999999999</v>
      </c>
      <c r="F85">
        <v>70.3</v>
      </c>
      <c r="G85" t="b">
        <v>1</v>
      </c>
      <c r="H85" t="b">
        <v>1</v>
      </c>
      <c r="I85">
        <v>630</v>
      </c>
      <c r="J85">
        <v>3.007159904534606</v>
      </c>
    </row>
    <row r="86" spans="1:10" x14ac:dyDescent="0.3">
      <c r="A86" t="s">
        <v>664</v>
      </c>
      <c r="B86" t="s">
        <v>1957</v>
      </c>
      <c r="C86" t="s">
        <v>231</v>
      </c>
      <c r="D86">
        <v>12.7</v>
      </c>
      <c r="E86">
        <v>0.16600000000000001</v>
      </c>
      <c r="F86">
        <v>43.1</v>
      </c>
      <c r="G86" t="b">
        <v>1</v>
      </c>
      <c r="H86" t="b">
        <v>1</v>
      </c>
      <c r="I86">
        <v>172</v>
      </c>
      <c r="J86">
        <v>0.82100238663484471</v>
      </c>
    </row>
    <row r="87" spans="1:10" x14ac:dyDescent="0.3">
      <c r="A87" t="s">
        <v>665</v>
      </c>
      <c r="B87" t="s">
        <v>1958</v>
      </c>
      <c r="C87" t="s">
        <v>1964</v>
      </c>
      <c r="D87">
        <v>48.41</v>
      </c>
      <c r="E87">
        <v>0.20499999999999999</v>
      </c>
      <c r="F87">
        <v>70.3</v>
      </c>
      <c r="G87" t="b">
        <v>1</v>
      </c>
      <c r="H87" t="b">
        <v>1</v>
      </c>
      <c r="I87">
        <v>630</v>
      </c>
      <c r="J87">
        <v>3.007159904534606</v>
      </c>
    </row>
    <row r="88" spans="1:10" x14ac:dyDescent="0.3">
      <c r="A88" t="s">
        <v>666</v>
      </c>
      <c r="B88" t="s">
        <v>1957</v>
      </c>
      <c r="C88" t="s">
        <v>2045</v>
      </c>
      <c r="D88">
        <v>11.56</v>
      </c>
      <c r="E88">
        <v>0.217</v>
      </c>
      <c r="F88">
        <v>82.5</v>
      </c>
      <c r="G88" t="b">
        <v>1</v>
      </c>
      <c r="H88" t="b">
        <v>1</v>
      </c>
      <c r="I88">
        <v>962</v>
      </c>
      <c r="J88">
        <v>4.5918854415274453</v>
      </c>
    </row>
    <row r="89" spans="1:10" x14ac:dyDescent="0.3">
      <c r="A89" t="s">
        <v>667</v>
      </c>
      <c r="B89" t="s">
        <v>1959</v>
      </c>
      <c r="C89" t="s">
        <v>227</v>
      </c>
      <c r="D89">
        <v>31.47</v>
      </c>
      <c r="E89">
        <v>0.16600000000000001</v>
      </c>
      <c r="F89">
        <v>43.1</v>
      </c>
      <c r="G89" t="b">
        <v>1</v>
      </c>
      <c r="H89" t="b">
        <v>1</v>
      </c>
      <c r="I89">
        <v>172</v>
      </c>
      <c r="J89">
        <v>0.82100238663484471</v>
      </c>
    </row>
    <row r="90" spans="1:10" x14ac:dyDescent="0.3">
      <c r="A90" t="s">
        <v>668</v>
      </c>
      <c r="B90" t="s">
        <v>1956</v>
      </c>
      <c r="C90" t="s">
        <v>1940</v>
      </c>
      <c r="D90">
        <v>16.899999999999999</v>
      </c>
      <c r="E90">
        <v>0.28199999999999997</v>
      </c>
      <c r="F90">
        <v>160.30000000000001</v>
      </c>
      <c r="G90" t="b">
        <v>1</v>
      </c>
      <c r="H90" t="b">
        <v>1</v>
      </c>
      <c r="I90">
        <v>5533</v>
      </c>
      <c r="J90">
        <v>26.410501193317419</v>
      </c>
    </row>
    <row r="91" spans="1:10" x14ac:dyDescent="0.3">
      <c r="A91" t="s">
        <v>669</v>
      </c>
      <c r="B91" t="s">
        <v>1960</v>
      </c>
      <c r="C91" t="s">
        <v>2558</v>
      </c>
      <c r="D91">
        <v>12.91</v>
      </c>
      <c r="E91">
        <v>0.22500000000000001</v>
      </c>
      <c r="F91">
        <v>107.1</v>
      </c>
      <c r="G91" t="b">
        <v>1</v>
      </c>
      <c r="H91" t="b">
        <v>1</v>
      </c>
      <c r="I91">
        <v>1915</v>
      </c>
      <c r="J91">
        <v>9.1408114558472544</v>
      </c>
    </row>
    <row r="92" spans="1:10" x14ac:dyDescent="0.3">
      <c r="A92" t="s">
        <v>670</v>
      </c>
      <c r="B92" t="s">
        <v>1961</v>
      </c>
      <c r="C92" t="s">
        <v>1960</v>
      </c>
      <c r="D92">
        <v>7.16</v>
      </c>
      <c r="E92">
        <v>0.254</v>
      </c>
      <c r="F92">
        <v>132.5</v>
      </c>
      <c r="G92" t="b">
        <v>1</v>
      </c>
      <c r="H92" t="b">
        <v>1</v>
      </c>
      <c r="I92">
        <v>3354</v>
      </c>
      <c r="J92">
        <v>16.009546539379471</v>
      </c>
    </row>
    <row r="93" spans="1:10" x14ac:dyDescent="0.3">
      <c r="A93" t="s">
        <v>671</v>
      </c>
      <c r="B93" t="s">
        <v>1962</v>
      </c>
      <c r="C93" t="s">
        <v>1956</v>
      </c>
      <c r="D93">
        <v>302</v>
      </c>
      <c r="E93">
        <v>0.28199999999999997</v>
      </c>
      <c r="F93">
        <v>160.30000000000001</v>
      </c>
      <c r="G93" t="b">
        <v>1</v>
      </c>
      <c r="H93" t="b">
        <v>1</v>
      </c>
      <c r="I93">
        <v>5533</v>
      </c>
      <c r="J93">
        <v>26.410501193317419</v>
      </c>
    </row>
    <row r="94" spans="1:10" x14ac:dyDescent="0.3">
      <c r="A94" t="s">
        <v>672</v>
      </c>
      <c r="B94" t="s">
        <v>1946</v>
      </c>
      <c r="C94" t="s">
        <v>1961</v>
      </c>
      <c r="D94">
        <v>434.69</v>
      </c>
      <c r="E94">
        <v>0.254</v>
      </c>
      <c r="F94">
        <v>132.5</v>
      </c>
      <c r="G94" t="b">
        <v>1</v>
      </c>
      <c r="H94" t="b">
        <v>1</v>
      </c>
      <c r="I94">
        <v>3354</v>
      </c>
      <c r="J94">
        <v>16.009546539379471</v>
      </c>
    </row>
    <row r="95" spans="1:10" x14ac:dyDescent="0.3">
      <c r="A95" t="s">
        <v>673</v>
      </c>
      <c r="B95" t="s">
        <v>1959</v>
      </c>
      <c r="C95" t="s">
        <v>2014</v>
      </c>
      <c r="D95">
        <v>1.48</v>
      </c>
      <c r="E95">
        <v>0.20499999999999999</v>
      </c>
      <c r="F95">
        <v>70.3</v>
      </c>
      <c r="G95" t="b">
        <v>1</v>
      </c>
      <c r="H95" t="b">
        <v>1</v>
      </c>
      <c r="I95">
        <v>630</v>
      </c>
      <c r="J95">
        <v>3.007159904534606</v>
      </c>
    </row>
    <row r="96" spans="1:10" x14ac:dyDescent="0.3">
      <c r="A96" t="s">
        <v>674</v>
      </c>
      <c r="B96" t="s">
        <v>1963</v>
      </c>
      <c r="C96" t="s">
        <v>218</v>
      </c>
      <c r="D96">
        <v>1.99</v>
      </c>
      <c r="E96">
        <v>0.16600000000000001</v>
      </c>
      <c r="F96">
        <v>43.1</v>
      </c>
      <c r="G96" t="b">
        <v>1</v>
      </c>
      <c r="H96" t="b">
        <v>1</v>
      </c>
      <c r="I96">
        <v>172</v>
      </c>
      <c r="J96">
        <v>0.82100238663484471</v>
      </c>
    </row>
    <row r="97" spans="1:10" x14ac:dyDescent="0.3">
      <c r="A97" t="s">
        <v>675</v>
      </c>
      <c r="B97" t="s">
        <v>1964</v>
      </c>
      <c r="C97" t="s">
        <v>1963</v>
      </c>
      <c r="D97">
        <v>243.6</v>
      </c>
      <c r="E97">
        <v>0.18</v>
      </c>
      <c r="F97">
        <v>54.5</v>
      </c>
      <c r="G97" t="b">
        <v>1</v>
      </c>
      <c r="H97" t="b">
        <v>1</v>
      </c>
      <c r="I97">
        <v>321</v>
      </c>
      <c r="J97">
        <v>1.532219570405728</v>
      </c>
    </row>
    <row r="98" spans="1:10" x14ac:dyDescent="0.3">
      <c r="A98" t="s">
        <v>676</v>
      </c>
      <c r="B98" t="s">
        <v>1965</v>
      </c>
      <c r="C98" t="s">
        <v>1967</v>
      </c>
      <c r="D98">
        <v>763.7</v>
      </c>
      <c r="E98">
        <v>0.29299999999999998</v>
      </c>
      <c r="F98">
        <v>210.1</v>
      </c>
      <c r="G98" t="b">
        <v>1</v>
      </c>
      <c r="H98" t="b">
        <v>1</v>
      </c>
      <c r="I98">
        <v>11253</v>
      </c>
      <c r="J98">
        <v>53.713603818615738</v>
      </c>
    </row>
    <row r="99" spans="1:10" x14ac:dyDescent="0.3">
      <c r="A99" t="s">
        <v>677</v>
      </c>
      <c r="B99" t="s">
        <v>1966</v>
      </c>
      <c r="C99" t="s">
        <v>9</v>
      </c>
      <c r="D99">
        <v>127.95</v>
      </c>
      <c r="E99">
        <v>0.29299999999999998</v>
      </c>
      <c r="F99">
        <v>210.1</v>
      </c>
      <c r="G99" t="b">
        <v>0</v>
      </c>
      <c r="H99" t="b">
        <v>1</v>
      </c>
      <c r="I99">
        <v>11253</v>
      </c>
      <c r="J99">
        <v>53.713603818615738</v>
      </c>
    </row>
    <row r="100" spans="1:10" x14ac:dyDescent="0.3">
      <c r="A100" t="s">
        <v>678</v>
      </c>
      <c r="B100" t="s">
        <v>1967</v>
      </c>
      <c r="C100" t="s">
        <v>1966</v>
      </c>
      <c r="D100">
        <v>9.3699999999999992</v>
      </c>
      <c r="E100">
        <v>0.28199999999999997</v>
      </c>
      <c r="F100">
        <v>160.30000000000001</v>
      </c>
      <c r="G100" t="b">
        <v>1</v>
      </c>
      <c r="H100" t="b">
        <v>1</v>
      </c>
      <c r="I100">
        <v>5533</v>
      </c>
      <c r="J100">
        <v>26.410501193317419</v>
      </c>
    </row>
    <row r="101" spans="1:10" x14ac:dyDescent="0.3">
      <c r="A101" t="s">
        <v>679</v>
      </c>
      <c r="B101" t="s">
        <v>1961</v>
      </c>
      <c r="C101" t="s">
        <v>1890</v>
      </c>
      <c r="D101">
        <v>237.54</v>
      </c>
      <c r="E101">
        <v>0.217</v>
      </c>
      <c r="F101">
        <v>82.5</v>
      </c>
      <c r="G101" t="b">
        <v>1</v>
      </c>
      <c r="H101" t="b">
        <v>1</v>
      </c>
      <c r="I101">
        <v>962</v>
      </c>
      <c r="J101">
        <v>4.5918854415274453</v>
      </c>
    </row>
    <row r="102" spans="1:10" x14ac:dyDescent="0.3">
      <c r="A102" t="s">
        <v>680</v>
      </c>
      <c r="B102" t="s">
        <v>1968</v>
      </c>
      <c r="C102" t="s">
        <v>214</v>
      </c>
      <c r="D102">
        <v>12.11</v>
      </c>
      <c r="E102">
        <v>0.16600000000000001</v>
      </c>
      <c r="F102">
        <v>43.1</v>
      </c>
      <c r="G102" t="b">
        <v>1</v>
      </c>
      <c r="H102" t="b">
        <v>1</v>
      </c>
      <c r="I102">
        <v>172</v>
      </c>
      <c r="J102">
        <v>0.82100238663484471</v>
      </c>
    </row>
    <row r="103" spans="1:10" x14ac:dyDescent="0.3">
      <c r="A103" t="s">
        <v>681</v>
      </c>
      <c r="B103" t="s">
        <v>1969</v>
      </c>
      <c r="C103" t="s">
        <v>1892</v>
      </c>
      <c r="D103">
        <v>67.709999999999994</v>
      </c>
      <c r="E103">
        <v>0.20499999999999999</v>
      </c>
      <c r="F103">
        <v>70.3</v>
      </c>
      <c r="G103" t="b">
        <v>1</v>
      </c>
      <c r="H103" t="b">
        <v>1</v>
      </c>
      <c r="I103">
        <v>630</v>
      </c>
      <c r="J103">
        <v>3.007159904534606</v>
      </c>
    </row>
    <row r="104" spans="1:10" x14ac:dyDescent="0.3">
      <c r="A104" t="s">
        <v>682</v>
      </c>
      <c r="B104" t="s">
        <v>1970</v>
      </c>
      <c r="C104" t="s">
        <v>2361</v>
      </c>
      <c r="D104">
        <v>22.58</v>
      </c>
      <c r="E104">
        <v>0.436</v>
      </c>
      <c r="F104">
        <v>160.30000000000001</v>
      </c>
      <c r="G104" t="b">
        <v>1</v>
      </c>
      <c r="H104" t="b">
        <v>1</v>
      </c>
      <c r="I104">
        <v>5533</v>
      </c>
      <c r="J104">
        <v>26.410501193317419</v>
      </c>
    </row>
    <row r="105" spans="1:10" x14ac:dyDescent="0.3">
      <c r="A105" t="s">
        <v>683</v>
      </c>
      <c r="B105" t="s">
        <v>1971</v>
      </c>
      <c r="C105" t="s">
        <v>2105</v>
      </c>
      <c r="D105">
        <v>63.22</v>
      </c>
      <c r="E105">
        <v>0.48299999999999998</v>
      </c>
      <c r="F105">
        <v>210.1</v>
      </c>
      <c r="G105" t="b">
        <v>1</v>
      </c>
      <c r="H105" t="b">
        <v>1</v>
      </c>
      <c r="I105">
        <v>11253</v>
      </c>
      <c r="J105">
        <v>53.713603818615738</v>
      </c>
    </row>
    <row r="106" spans="1:10" x14ac:dyDescent="0.3">
      <c r="A106" t="s">
        <v>684</v>
      </c>
      <c r="B106" t="s">
        <v>1972</v>
      </c>
      <c r="C106" t="s">
        <v>2433</v>
      </c>
      <c r="D106">
        <v>96.59</v>
      </c>
      <c r="E106">
        <v>0.37</v>
      </c>
      <c r="F106">
        <v>210.1</v>
      </c>
      <c r="G106" t="b">
        <v>1</v>
      </c>
      <c r="H106" t="b">
        <v>1</v>
      </c>
      <c r="I106">
        <v>11253</v>
      </c>
      <c r="J106">
        <v>53.713603818615738</v>
      </c>
    </row>
    <row r="107" spans="1:10" x14ac:dyDescent="0.3">
      <c r="A107" t="s">
        <v>685</v>
      </c>
      <c r="B107" t="s">
        <v>1973</v>
      </c>
      <c r="C107" t="s">
        <v>207</v>
      </c>
      <c r="D107">
        <v>71.16</v>
      </c>
      <c r="E107">
        <v>0.18</v>
      </c>
      <c r="F107">
        <v>54.5</v>
      </c>
      <c r="G107" t="b">
        <v>1</v>
      </c>
      <c r="H107" t="b">
        <v>1</v>
      </c>
      <c r="I107">
        <v>321</v>
      </c>
      <c r="J107">
        <v>1.532219570405728</v>
      </c>
    </row>
    <row r="108" spans="1:10" x14ac:dyDescent="0.3">
      <c r="A108" t="s">
        <v>686</v>
      </c>
      <c r="B108" t="s">
        <v>1974</v>
      </c>
      <c r="C108" t="s">
        <v>1973</v>
      </c>
      <c r="D108">
        <v>208.51</v>
      </c>
      <c r="E108">
        <v>0.29299999999999998</v>
      </c>
      <c r="F108">
        <v>210.1</v>
      </c>
      <c r="G108" t="b">
        <v>1</v>
      </c>
      <c r="H108" t="b">
        <v>1</v>
      </c>
      <c r="I108">
        <v>11253</v>
      </c>
      <c r="J108">
        <v>53.713603818615738</v>
      </c>
    </row>
    <row r="109" spans="1:10" x14ac:dyDescent="0.3">
      <c r="A109" t="s">
        <v>687</v>
      </c>
      <c r="B109" t="s">
        <v>1973</v>
      </c>
      <c r="C109" t="s">
        <v>2444</v>
      </c>
      <c r="D109">
        <v>63.99</v>
      </c>
      <c r="E109">
        <v>0.29299999999999998</v>
      </c>
      <c r="F109">
        <v>210.1</v>
      </c>
      <c r="G109" t="b">
        <v>1</v>
      </c>
      <c r="H109" t="b">
        <v>1</v>
      </c>
      <c r="I109">
        <v>11253</v>
      </c>
      <c r="J109">
        <v>53.713603818615738</v>
      </c>
    </row>
    <row r="110" spans="1:10" x14ac:dyDescent="0.3">
      <c r="A110" t="s">
        <v>688</v>
      </c>
      <c r="B110" t="s">
        <v>1975</v>
      </c>
      <c r="C110" t="s">
        <v>2568</v>
      </c>
      <c r="D110">
        <v>54.57</v>
      </c>
      <c r="E110">
        <v>0.29099999999999998</v>
      </c>
      <c r="F110">
        <v>263</v>
      </c>
      <c r="G110" t="b">
        <v>1</v>
      </c>
      <c r="H110" t="b">
        <v>1</v>
      </c>
      <c r="I110">
        <v>20264</v>
      </c>
      <c r="J110">
        <v>96.725536992840077</v>
      </c>
    </row>
    <row r="111" spans="1:10" x14ac:dyDescent="0.3">
      <c r="A111" t="s">
        <v>689</v>
      </c>
      <c r="B111" t="s">
        <v>1976</v>
      </c>
      <c r="C111" t="s">
        <v>194</v>
      </c>
      <c r="D111">
        <v>1.74</v>
      </c>
      <c r="E111">
        <v>0.20499999999999999</v>
      </c>
      <c r="F111">
        <v>70.3</v>
      </c>
      <c r="G111" t="b">
        <v>1</v>
      </c>
      <c r="H111" t="b">
        <v>1</v>
      </c>
      <c r="I111">
        <v>630</v>
      </c>
      <c r="J111">
        <v>3.007159904534606</v>
      </c>
    </row>
    <row r="112" spans="1:10" x14ac:dyDescent="0.3">
      <c r="A112" t="s">
        <v>690</v>
      </c>
      <c r="B112" t="s">
        <v>1976</v>
      </c>
      <c r="C112" t="s">
        <v>2511</v>
      </c>
      <c r="D112">
        <v>33.880000000000003</v>
      </c>
      <c r="E112">
        <v>0.28199999999999997</v>
      </c>
      <c r="F112">
        <v>160.30000000000001</v>
      </c>
      <c r="G112" t="b">
        <v>1</v>
      </c>
      <c r="H112" t="b">
        <v>1</v>
      </c>
      <c r="I112">
        <v>5533</v>
      </c>
      <c r="J112">
        <v>26.410501193317419</v>
      </c>
    </row>
    <row r="113" spans="1:10" x14ac:dyDescent="0.3">
      <c r="A113" t="s">
        <v>691</v>
      </c>
      <c r="B113" t="s">
        <v>1977</v>
      </c>
      <c r="C113" t="s">
        <v>1976</v>
      </c>
      <c r="D113">
        <v>12.42</v>
      </c>
      <c r="E113">
        <v>0.28199999999999997</v>
      </c>
      <c r="F113">
        <v>160.30000000000001</v>
      </c>
      <c r="G113" t="b">
        <v>1</v>
      </c>
      <c r="H113" t="b">
        <v>1</v>
      </c>
      <c r="I113">
        <v>5533</v>
      </c>
      <c r="J113">
        <v>26.410501193317419</v>
      </c>
    </row>
    <row r="114" spans="1:10" x14ac:dyDescent="0.3">
      <c r="A114" t="s">
        <v>692</v>
      </c>
      <c r="B114" t="s">
        <v>1978</v>
      </c>
      <c r="C114" t="s">
        <v>1989</v>
      </c>
      <c r="D114">
        <v>0.99</v>
      </c>
      <c r="E114">
        <v>0.254</v>
      </c>
      <c r="F114">
        <v>132.5</v>
      </c>
      <c r="G114" t="b">
        <v>1</v>
      </c>
      <c r="H114" t="b">
        <v>1</v>
      </c>
      <c r="I114">
        <v>3354</v>
      </c>
      <c r="J114">
        <v>16.009546539379471</v>
      </c>
    </row>
    <row r="115" spans="1:10" x14ac:dyDescent="0.3">
      <c r="A115" t="s">
        <v>693</v>
      </c>
      <c r="B115" t="s">
        <v>1979</v>
      </c>
      <c r="C115" t="s">
        <v>170</v>
      </c>
      <c r="D115">
        <v>81.849999999999994</v>
      </c>
      <c r="E115">
        <v>0.18</v>
      </c>
      <c r="F115">
        <v>54.5</v>
      </c>
      <c r="G115" t="b">
        <v>1</v>
      </c>
      <c r="H115" t="b">
        <v>1</v>
      </c>
      <c r="I115">
        <v>321</v>
      </c>
      <c r="J115">
        <v>1.532219570405728</v>
      </c>
    </row>
    <row r="116" spans="1:10" x14ac:dyDescent="0.3">
      <c r="A116" t="s">
        <v>694</v>
      </c>
      <c r="B116" t="s">
        <v>1980</v>
      </c>
      <c r="C116" t="s">
        <v>1975</v>
      </c>
      <c r="D116">
        <v>7.08</v>
      </c>
      <c r="E116">
        <v>0.35499999999999998</v>
      </c>
      <c r="F116">
        <v>263</v>
      </c>
      <c r="G116" t="b">
        <v>1</v>
      </c>
      <c r="H116" t="b">
        <v>1</v>
      </c>
      <c r="I116">
        <v>20264</v>
      </c>
      <c r="J116">
        <v>96.725536992840077</v>
      </c>
    </row>
    <row r="117" spans="1:10" x14ac:dyDescent="0.3">
      <c r="A117" t="s">
        <v>695</v>
      </c>
      <c r="B117" t="s">
        <v>1981</v>
      </c>
      <c r="C117" t="s">
        <v>1980</v>
      </c>
      <c r="D117">
        <v>32.39</v>
      </c>
      <c r="E117">
        <v>0.35499999999999998</v>
      </c>
      <c r="F117">
        <v>263</v>
      </c>
      <c r="G117" t="b">
        <v>1</v>
      </c>
      <c r="H117" t="b">
        <v>1</v>
      </c>
      <c r="I117">
        <v>20264</v>
      </c>
      <c r="J117">
        <v>96.725536992840077</v>
      </c>
    </row>
    <row r="118" spans="1:10" x14ac:dyDescent="0.3">
      <c r="A118" t="s">
        <v>696</v>
      </c>
      <c r="B118" t="s">
        <v>1982</v>
      </c>
      <c r="C118" t="s">
        <v>2555</v>
      </c>
      <c r="D118">
        <v>146.61000000000001</v>
      </c>
      <c r="E118">
        <v>0.217</v>
      </c>
      <c r="F118">
        <v>82.5</v>
      </c>
      <c r="G118" t="b">
        <v>1</v>
      </c>
      <c r="H118" t="b">
        <v>1</v>
      </c>
      <c r="I118">
        <v>962</v>
      </c>
      <c r="J118">
        <v>4.5918854415274453</v>
      </c>
    </row>
    <row r="119" spans="1:10" x14ac:dyDescent="0.3">
      <c r="A119" t="s">
        <v>697</v>
      </c>
      <c r="B119" t="s">
        <v>1983</v>
      </c>
      <c r="C119" t="s">
        <v>1974</v>
      </c>
      <c r="D119">
        <v>58.51</v>
      </c>
      <c r="E119">
        <v>0.29299999999999998</v>
      </c>
      <c r="F119">
        <v>210.1</v>
      </c>
      <c r="G119" t="b">
        <v>1</v>
      </c>
      <c r="H119" t="b">
        <v>1</v>
      </c>
      <c r="I119">
        <v>11253</v>
      </c>
      <c r="J119">
        <v>53.713603818615738</v>
      </c>
    </row>
    <row r="120" spans="1:10" x14ac:dyDescent="0.3">
      <c r="A120" t="s">
        <v>698</v>
      </c>
      <c r="B120" t="s">
        <v>1984</v>
      </c>
      <c r="C120" t="s">
        <v>469</v>
      </c>
      <c r="D120">
        <v>2.19</v>
      </c>
      <c r="E120">
        <v>0.63300000000000001</v>
      </c>
      <c r="F120">
        <v>54.5</v>
      </c>
      <c r="G120" t="b">
        <v>1</v>
      </c>
      <c r="H120" t="b">
        <v>1</v>
      </c>
      <c r="I120">
        <v>321</v>
      </c>
      <c r="J120">
        <v>1.532219570405728</v>
      </c>
    </row>
    <row r="121" spans="1:10" x14ac:dyDescent="0.3">
      <c r="A121" t="s">
        <v>699</v>
      </c>
      <c r="B121" t="s">
        <v>1985</v>
      </c>
      <c r="C121" t="s">
        <v>1984</v>
      </c>
      <c r="D121">
        <v>3.08</v>
      </c>
      <c r="E121">
        <v>0.66100000000000003</v>
      </c>
      <c r="F121">
        <v>70.3</v>
      </c>
      <c r="G121" t="b">
        <v>1</v>
      </c>
      <c r="H121" t="b">
        <v>1</v>
      </c>
      <c r="I121">
        <v>630</v>
      </c>
      <c r="J121">
        <v>3.007159904534606</v>
      </c>
    </row>
    <row r="122" spans="1:10" x14ac:dyDescent="0.3">
      <c r="A122" t="s">
        <v>700</v>
      </c>
      <c r="B122" t="s">
        <v>1985</v>
      </c>
      <c r="C122" t="s">
        <v>468</v>
      </c>
      <c r="D122">
        <v>2.67</v>
      </c>
      <c r="E122">
        <v>0.66100000000000003</v>
      </c>
      <c r="F122">
        <v>70.3</v>
      </c>
      <c r="G122" t="b">
        <v>1</v>
      </c>
      <c r="H122" t="b">
        <v>1</v>
      </c>
      <c r="I122">
        <v>630</v>
      </c>
      <c r="J122">
        <v>3.007159904534606</v>
      </c>
    </row>
    <row r="123" spans="1:10" x14ac:dyDescent="0.3">
      <c r="A123" t="s">
        <v>701</v>
      </c>
      <c r="B123" t="s">
        <v>1986</v>
      </c>
      <c r="C123" t="s">
        <v>1985</v>
      </c>
      <c r="D123">
        <v>0.64</v>
      </c>
      <c r="E123">
        <v>0.66100000000000003</v>
      </c>
      <c r="F123">
        <v>70.3</v>
      </c>
      <c r="G123" t="b">
        <v>1</v>
      </c>
      <c r="H123" t="b">
        <v>1</v>
      </c>
      <c r="I123">
        <v>630</v>
      </c>
      <c r="J123">
        <v>3.007159904534606</v>
      </c>
    </row>
    <row r="124" spans="1:10" x14ac:dyDescent="0.3">
      <c r="A124" t="s">
        <v>702</v>
      </c>
      <c r="B124" t="s">
        <v>1987</v>
      </c>
      <c r="C124" t="s">
        <v>445</v>
      </c>
      <c r="D124">
        <v>56.39</v>
      </c>
      <c r="E124">
        <v>0.18</v>
      </c>
      <c r="F124">
        <v>54.5</v>
      </c>
      <c r="G124" t="b">
        <v>1</v>
      </c>
      <c r="H124" t="b">
        <v>1</v>
      </c>
      <c r="I124">
        <v>321</v>
      </c>
      <c r="J124">
        <v>1.532219570405728</v>
      </c>
    </row>
    <row r="125" spans="1:10" x14ac:dyDescent="0.3">
      <c r="A125" t="s">
        <v>703</v>
      </c>
      <c r="B125" t="s">
        <v>1988</v>
      </c>
      <c r="C125" t="s">
        <v>467</v>
      </c>
      <c r="D125">
        <v>16.89</v>
      </c>
      <c r="E125">
        <v>0.16600000000000001</v>
      </c>
      <c r="F125">
        <v>43.1</v>
      </c>
      <c r="G125" t="b">
        <v>1</v>
      </c>
      <c r="H125" t="b">
        <v>1</v>
      </c>
      <c r="I125">
        <v>172</v>
      </c>
      <c r="J125">
        <v>0.82100238663484471</v>
      </c>
    </row>
    <row r="126" spans="1:10" x14ac:dyDescent="0.3">
      <c r="A126" t="s">
        <v>704</v>
      </c>
      <c r="B126" t="s">
        <v>1989</v>
      </c>
      <c r="C126" t="s">
        <v>1982</v>
      </c>
      <c r="D126">
        <v>11.98</v>
      </c>
      <c r="E126">
        <v>0.22500000000000001</v>
      </c>
      <c r="F126">
        <v>107.1</v>
      </c>
      <c r="G126" t="b">
        <v>1</v>
      </c>
      <c r="H126" t="b">
        <v>1</v>
      </c>
      <c r="I126">
        <v>1915</v>
      </c>
      <c r="J126">
        <v>9.1408114558472544</v>
      </c>
    </row>
    <row r="127" spans="1:10" x14ac:dyDescent="0.3">
      <c r="A127" t="s">
        <v>705</v>
      </c>
      <c r="B127" t="s">
        <v>1990</v>
      </c>
      <c r="C127" t="s">
        <v>1987</v>
      </c>
      <c r="D127">
        <v>90.66</v>
      </c>
      <c r="E127">
        <v>0.20499999999999999</v>
      </c>
      <c r="F127">
        <v>70.3</v>
      </c>
      <c r="G127" t="b">
        <v>1</v>
      </c>
      <c r="H127" t="b">
        <v>1</v>
      </c>
      <c r="I127">
        <v>630</v>
      </c>
      <c r="J127">
        <v>3.007159904534606</v>
      </c>
    </row>
    <row r="128" spans="1:10" x14ac:dyDescent="0.3">
      <c r="A128" t="s">
        <v>706</v>
      </c>
      <c r="B128" t="s">
        <v>1972</v>
      </c>
      <c r="C128" t="s">
        <v>131</v>
      </c>
      <c r="D128">
        <v>140.91</v>
      </c>
      <c r="E128">
        <v>0.20499999999999999</v>
      </c>
      <c r="F128">
        <v>70.3</v>
      </c>
      <c r="G128" t="b">
        <v>1</v>
      </c>
      <c r="H128" t="b">
        <v>1</v>
      </c>
      <c r="I128">
        <v>630</v>
      </c>
      <c r="J128">
        <v>3.007159904534606</v>
      </c>
    </row>
    <row r="129" spans="1:10" x14ac:dyDescent="0.3">
      <c r="A129" t="s">
        <v>707</v>
      </c>
      <c r="B129" t="s">
        <v>1991</v>
      </c>
      <c r="C129" t="s">
        <v>458</v>
      </c>
      <c r="D129">
        <v>56.99</v>
      </c>
      <c r="E129">
        <v>0.16600000000000001</v>
      </c>
      <c r="F129">
        <v>43.1</v>
      </c>
      <c r="G129" t="b">
        <v>1</v>
      </c>
      <c r="H129" t="b">
        <v>1</v>
      </c>
      <c r="I129">
        <v>172</v>
      </c>
      <c r="J129">
        <v>0.82100238663484471</v>
      </c>
    </row>
    <row r="130" spans="1:10" x14ac:dyDescent="0.3">
      <c r="A130" t="s">
        <v>708</v>
      </c>
      <c r="B130" t="s">
        <v>1992</v>
      </c>
      <c r="C130" t="s">
        <v>1995</v>
      </c>
      <c r="D130">
        <v>360.51</v>
      </c>
      <c r="E130">
        <v>0.22500000000000001</v>
      </c>
      <c r="F130">
        <v>107.1</v>
      </c>
      <c r="G130" t="b">
        <v>1</v>
      </c>
      <c r="H130" t="b">
        <v>1</v>
      </c>
      <c r="I130">
        <v>1915</v>
      </c>
      <c r="J130">
        <v>9.1408114558472544</v>
      </c>
    </row>
    <row r="131" spans="1:10" x14ac:dyDescent="0.3">
      <c r="A131" t="s">
        <v>709</v>
      </c>
      <c r="B131" t="s">
        <v>1992</v>
      </c>
      <c r="C131" t="s">
        <v>2196</v>
      </c>
      <c r="D131">
        <v>48.16</v>
      </c>
      <c r="E131">
        <v>0.254</v>
      </c>
      <c r="F131">
        <v>132.5</v>
      </c>
      <c r="G131" t="b">
        <v>1</v>
      </c>
      <c r="H131" t="b">
        <v>1</v>
      </c>
      <c r="I131">
        <v>3354</v>
      </c>
      <c r="J131">
        <v>16.009546539379471</v>
      </c>
    </row>
    <row r="132" spans="1:10" x14ac:dyDescent="0.3">
      <c r="A132" t="s">
        <v>710</v>
      </c>
      <c r="B132" t="s">
        <v>1993</v>
      </c>
      <c r="C132" t="s">
        <v>1978</v>
      </c>
      <c r="D132">
        <v>159.94</v>
      </c>
      <c r="E132">
        <v>0.254</v>
      </c>
      <c r="F132">
        <v>132.5</v>
      </c>
      <c r="G132" t="b">
        <v>1</v>
      </c>
      <c r="H132" t="b">
        <v>1</v>
      </c>
      <c r="I132">
        <v>3354</v>
      </c>
      <c r="J132">
        <v>16.009546539379471</v>
      </c>
    </row>
    <row r="133" spans="1:10" x14ac:dyDescent="0.3">
      <c r="A133" t="s">
        <v>711</v>
      </c>
      <c r="B133" t="s">
        <v>1994</v>
      </c>
      <c r="C133" t="s">
        <v>117</v>
      </c>
      <c r="D133">
        <v>231.9</v>
      </c>
      <c r="E133">
        <v>0.18</v>
      </c>
      <c r="F133">
        <v>54.5</v>
      </c>
      <c r="G133" t="b">
        <v>1</v>
      </c>
      <c r="H133" t="b">
        <v>1</v>
      </c>
      <c r="I133">
        <v>321</v>
      </c>
      <c r="J133">
        <v>1.532219570405728</v>
      </c>
    </row>
    <row r="134" spans="1:10" x14ac:dyDescent="0.3">
      <c r="A134" t="s">
        <v>712</v>
      </c>
      <c r="B134" t="s">
        <v>1994</v>
      </c>
      <c r="C134" t="s">
        <v>442</v>
      </c>
      <c r="D134">
        <v>48.76</v>
      </c>
      <c r="E134">
        <v>0.20499999999999999</v>
      </c>
      <c r="F134">
        <v>70.3</v>
      </c>
      <c r="G134" t="b">
        <v>1</v>
      </c>
      <c r="H134" t="b">
        <v>1</v>
      </c>
      <c r="I134">
        <v>630</v>
      </c>
      <c r="J134">
        <v>3.007159904534606</v>
      </c>
    </row>
    <row r="135" spans="1:10" x14ac:dyDescent="0.3">
      <c r="A135" t="s">
        <v>713</v>
      </c>
      <c r="B135" t="s">
        <v>1995</v>
      </c>
      <c r="C135" t="s">
        <v>1994</v>
      </c>
      <c r="D135">
        <v>60.8</v>
      </c>
      <c r="E135">
        <v>0.20499999999999999</v>
      </c>
      <c r="F135">
        <v>70.3</v>
      </c>
      <c r="G135" t="b">
        <v>1</v>
      </c>
      <c r="H135" t="b">
        <v>1</v>
      </c>
      <c r="I135">
        <v>630</v>
      </c>
      <c r="J135">
        <v>3.007159904534606</v>
      </c>
    </row>
    <row r="136" spans="1:10" x14ac:dyDescent="0.3">
      <c r="A136" t="s">
        <v>714</v>
      </c>
      <c r="B136" t="s">
        <v>1995</v>
      </c>
      <c r="C136" t="s">
        <v>1979</v>
      </c>
      <c r="D136">
        <v>88.59</v>
      </c>
      <c r="E136">
        <v>0.22500000000000001</v>
      </c>
      <c r="F136">
        <v>107.1</v>
      </c>
      <c r="G136" t="b">
        <v>1</v>
      </c>
      <c r="H136" t="b">
        <v>1</v>
      </c>
      <c r="I136">
        <v>1915</v>
      </c>
      <c r="J136">
        <v>9.1408114558472544</v>
      </c>
    </row>
    <row r="137" spans="1:10" x14ac:dyDescent="0.3">
      <c r="A137" t="s">
        <v>715</v>
      </c>
      <c r="B137" t="s">
        <v>1980</v>
      </c>
      <c r="C137" t="s">
        <v>435</v>
      </c>
      <c r="D137">
        <v>4.93</v>
      </c>
      <c r="E137">
        <v>0.20499999999999999</v>
      </c>
      <c r="F137">
        <v>70.3</v>
      </c>
      <c r="G137" t="b">
        <v>1</v>
      </c>
      <c r="H137" t="b">
        <v>1</v>
      </c>
      <c r="I137">
        <v>630</v>
      </c>
      <c r="J137">
        <v>3.007159904534606</v>
      </c>
    </row>
    <row r="138" spans="1:10" x14ac:dyDescent="0.3">
      <c r="A138" t="s">
        <v>716</v>
      </c>
      <c r="B138" t="s">
        <v>1996</v>
      </c>
      <c r="C138" t="s">
        <v>2025</v>
      </c>
      <c r="D138">
        <v>61.96</v>
      </c>
      <c r="E138">
        <v>0.35499999999999998</v>
      </c>
      <c r="F138">
        <v>263</v>
      </c>
      <c r="G138" t="b">
        <v>1</v>
      </c>
      <c r="H138" t="b">
        <v>1</v>
      </c>
      <c r="I138">
        <v>20264</v>
      </c>
      <c r="J138">
        <v>96.725536992840077</v>
      </c>
    </row>
    <row r="139" spans="1:10" x14ac:dyDescent="0.3">
      <c r="A139" t="s">
        <v>717</v>
      </c>
      <c r="B139" t="s">
        <v>1997</v>
      </c>
      <c r="C139" t="s">
        <v>2053</v>
      </c>
      <c r="D139">
        <v>11.81</v>
      </c>
      <c r="E139">
        <v>0.32100000000000001</v>
      </c>
      <c r="F139">
        <v>312.7</v>
      </c>
      <c r="G139" t="b">
        <v>1</v>
      </c>
      <c r="H139" t="b">
        <v>1</v>
      </c>
      <c r="I139">
        <v>31872</v>
      </c>
      <c r="J139">
        <v>152.1336515513126</v>
      </c>
    </row>
    <row r="140" spans="1:10" x14ac:dyDescent="0.3">
      <c r="A140" t="s">
        <v>718</v>
      </c>
      <c r="B140" t="s">
        <v>1998</v>
      </c>
      <c r="C140" t="s">
        <v>2258</v>
      </c>
      <c r="D140">
        <v>20.93</v>
      </c>
      <c r="E140">
        <v>0.22500000000000001</v>
      </c>
      <c r="F140">
        <v>107.1</v>
      </c>
      <c r="G140" t="b">
        <v>1</v>
      </c>
      <c r="H140" t="b">
        <v>1</v>
      </c>
      <c r="I140">
        <v>1915</v>
      </c>
      <c r="J140">
        <v>9.1408114558472544</v>
      </c>
    </row>
    <row r="141" spans="1:10" x14ac:dyDescent="0.3">
      <c r="A141" t="s">
        <v>719</v>
      </c>
      <c r="B141" t="s">
        <v>1999</v>
      </c>
      <c r="C141" t="s">
        <v>2232</v>
      </c>
      <c r="D141">
        <v>382.35</v>
      </c>
      <c r="E141">
        <v>0.41099999999999998</v>
      </c>
      <c r="F141">
        <v>312.7</v>
      </c>
      <c r="G141" t="b">
        <v>1</v>
      </c>
      <c r="H141" t="b">
        <v>1</v>
      </c>
      <c r="I141">
        <v>31872</v>
      </c>
      <c r="J141">
        <v>152.1336515513126</v>
      </c>
    </row>
    <row r="142" spans="1:10" x14ac:dyDescent="0.3">
      <c r="A142" t="s">
        <v>720</v>
      </c>
      <c r="B142" t="s">
        <v>2000</v>
      </c>
      <c r="C142" t="s">
        <v>305</v>
      </c>
      <c r="D142">
        <v>12.77</v>
      </c>
      <c r="E142">
        <v>0.13400000000000001</v>
      </c>
      <c r="F142">
        <v>28.5</v>
      </c>
      <c r="G142" t="b">
        <v>1</v>
      </c>
      <c r="H142" t="b">
        <v>1</v>
      </c>
      <c r="I142">
        <v>60</v>
      </c>
      <c r="J142">
        <v>0.28639618138424822</v>
      </c>
    </row>
    <row r="143" spans="1:10" x14ac:dyDescent="0.3">
      <c r="A143" t="s">
        <v>721</v>
      </c>
      <c r="B143" t="s">
        <v>2001</v>
      </c>
      <c r="C143" t="s">
        <v>2587</v>
      </c>
      <c r="D143">
        <v>112.73</v>
      </c>
      <c r="E143">
        <v>0.40400000000000003</v>
      </c>
      <c r="F143">
        <v>393.8</v>
      </c>
      <c r="G143" t="b">
        <v>1</v>
      </c>
      <c r="H143" t="b">
        <v>1</v>
      </c>
      <c r="I143">
        <v>58221</v>
      </c>
      <c r="J143">
        <v>277.90453460620517</v>
      </c>
    </row>
    <row r="144" spans="1:10" x14ac:dyDescent="0.3">
      <c r="A144" t="s">
        <v>722</v>
      </c>
      <c r="B144" t="s">
        <v>2002</v>
      </c>
      <c r="C144" t="s">
        <v>430</v>
      </c>
      <c r="D144">
        <v>19.23</v>
      </c>
      <c r="E144">
        <v>0.18</v>
      </c>
      <c r="F144">
        <v>54.5</v>
      </c>
      <c r="G144" t="b">
        <v>1</v>
      </c>
      <c r="H144" t="b">
        <v>1</v>
      </c>
      <c r="I144">
        <v>321</v>
      </c>
      <c r="J144">
        <v>1.532219570405728</v>
      </c>
    </row>
    <row r="145" spans="1:10" x14ac:dyDescent="0.3">
      <c r="A145" t="s">
        <v>723</v>
      </c>
      <c r="B145" t="s">
        <v>2003</v>
      </c>
      <c r="C145" t="s">
        <v>2004</v>
      </c>
      <c r="D145">
        <v>93.92</v>
      </c>
      <c r="E145">
        <v>0.217</v>
      </c>
      <c r="F145">
        <v>82.5</v>
      </c>
      <c r="G145" t="b">
        <v>1</v>
      </c>
      <c r="H145" t="b">
        <v>1</v>
      </c>
      <c r="I145">
        <v>962</v>
      </c>
      <c r="J145">
        <v>4.5918854415274453</v>
      </c>
    </row>
    <row r="146" spans="1:10" x14ac:dyDescent="0.3">
      <c r="A146" t="s">
        <v>724</v>
      </c>
      <c r="B146" t="s">
        <v>2004</v>
      </c>
      <c r="C146" t="s">
        <v>429</v>
      </c>
      <c r="D146">
        <v>33.03</v>
      </c>
      <c r="E146">
        <v>0.18</v>
      </c>
      <c r="F146">
        <v>54.5</v>
      </c>
      <c r="G146" t="b">
        <v>1</v>
      </c>
      <c r="H146" t="b">
        <v>1</v>
      </c>
      <c r="I146">
        <v>321</v>
      </c>
      <c r="J146">
        <v>1.532219570405728</v>
      </c>
    </row>
    <row r="147" spans="1:10" x14ac:dyDescent="0.3">
      <c r="A147" t="s">
        <v>725</v>
      </c>
      <c r="B147" t="s">
        <v>2005</v>
      </c>
      <c r="C147" t="s">
        <v>2029</v>
      </c>
      <c r="D147">
        <v>2.5099999999999998</v>
      </c>
      <c r="E147">
        <v>0.28199999999999997</v>
      </c>
      <c r="F147">
        <v>160.30000000000001</v>
      </c>
      <c r="G147" t="b">
        <v>1</v>
      </c>
      <c r="H147" t="b">
        <v>1</v>
      </c>
      <c r="I147">
        <v>5533</v>
      </c>
      <c r="J147">
        <v>26.410501193317419</v>
      </c>
    </row>
    <row r="148" spans="1:10" x14ac:dyDescent="0.3">
      <c r="A148" t="s">
        <v>726</v>
      </c>
      <c r="B148" t="s">
        <v>2006</v>
      </c>
      <c r="C148" t="s">
        <v>1927</v>
      </c>
      <c r="D148">
        <v>23.7</v>
      </c>
      <c r="E148">
        <v>0.29299999999999998</v>
      </c>
      <c r="F148">
        <v>210.1</v>
      </c>
      <c r="G148" t="b">
        <v>1</v>
      </c>
      <c r="H148" t="b">
        <v>1</v>
      </c>
      <c r="I148">
        <v>11253</v>
      </c>
      <c r="J148">
        <v>53.713603818615738</v>
      </c>
    </row>
    <row r="149" spans="1:10" x14ac:dyDescent="0.3">
      <c r="A149" t="s">
        <v>727</v>
      </c>
      <c r="B149" t="s">
        <v>2007</v>
      </c>
      <c r="C149" t="s">
        <v>2650</v>
      </c>
      <c r="D149">
        <v>2.78</v>
      </c>
      <c r="E149">
        <v>0.37</v>
      </c>
      <c r="F149">
        <v>210.1</v>
      </c>
      <c r="G149" t="b">
        <v>1</v>
      </c>
      <c r="H149" t="b">
        <v>1</v>
      </c>
      <c r="I149">
        <v>11253</v>
      </c>
      <c r="J149">
        <v>53.713603818615738</v>
      </c>
    </row>
    <row r="150" spans="1:10" x14ac:dyDescent="0.3">
      <c r="A150" t="s">
        <v>728</v>
      </c>
      <c r="B150" t="s">
        <v>2008</v>
      </c>
      <c r="C150" t="s">
        <v>427</v>
      </c>
      <c r="D150">
        <v>53.31</v>
      </c>
      <c r="E150">
        <v>0.20499999999999999</v>
      </c>
      <c r="F150">
        <v>70.3</v>
      </c>
      <c r="G150" t="b">
        <v>1</v>
      </c>
      <c r="H150" t="b">
        <v>1</v>
      </c>
      <c r="I150">
        <v>630</v>
      </c>
      <c r="J150">
        <v>3.007159904534606</v>
      </c>
    </row>
    <row r="151" spans="1:10" x14ac:dyDescent="0.3">
      <c r="A151" t="s">
        <v>729</v>
      </c>
      <c r="B151" t="s">
        <v>2002</v>
      </c>
      <c r="C151" t="s">
        <v>1944</v>
      </c>
      <c r="D151">
        <v>59.28</v>
      </c>
      <c r="E151">
        <v>0.20499999999999999</v>
      </c>
      <c r="F151">
        <v>70.3</v>
      </c>
      <c r="G151" t="b">
        <v>1</v>
      </c>
      <c r="H151" t="b">
        <v>1</v>
      </c>
      <c r="I151">
        <v>630</v>
      </c>
      <c r="J151">
        <v>3.007159904534606</v>
      </c>
    </row>
    <row r="152" spans="1:10" x14ac:dyDescent="0.3">
      <c r="A152" t="s">
        <v>730</v>
      </c>
      <c r="B152" t="s">
        <v>2009</v>
      </c>
      <c r="C152" t="s">
        <v>2002</v>
      </c>
      <c r="D152">
        <v>11.25</v>
      </c>
      <c r="E152">
        <v>0.20499999999999999</v>
      </c>
      <c r="F152">
        <v>70.3</v>
      </c>
      <c r="G152" t="b">
        <v>1</v>
      </c>
      <c r="H152" t="b">
        <v>1</v>
      </c>
      <c r="I152">
        <v>630</v>
      </c>
      <c r="J152">
        <v>3.007159904534606</v>
      </c>
    </row>
    <row r="153" spans="1:10" x14ac:dyDescent="0.3">
      <c r="A153" t="s">
        <v>731</v>
      </c>
      <c r="B153" t="s">
        <v>2010</v>
      </c>
      <c r="C153" t="s">
        <v>2008</v>
      </c>
      <c r="D153">
        <v>338.16</v>
      </c>
      <c r="E153">
        <v>0.217</v>
      </c>
      <c r="F153">
        <v>82.5</v>
      </c>
      <c r="G153" t="b">
        <v>1</v>
      </c>
      <c r="H153" t="b">
        <v>1</v>
      </c>
      <c r="I153">
        <v>962</v>
      </c>
      <c r="J153">
        <v>4.5918854415274453</v>
      </c>
    </row>
    <row r="154" spans="1:10" x14ac:dyDescent="0.3">
      <c r="A154" t="s">
        <v>732</v>
      </c>
      <c r="B154" t="s">
        <v>2011</v>
      </c>
      <c r="C154" t="s">
        <v>428</v>
      </c>
      <c r="D154">
        <v>10.57</v>
      </c>
      <c r="E154">
        <v>0.16600000000000001</v>
      </c>
      <c r="F154">
        <v>43.1</v>
      </c>
      <c r="G154" t="b">
        <v>1</v>
      </c>
      <c r="H154" t="b">
        <v>1</v>
      </c>
      <c r="I154">
        <v>172</v>
      </c>
      <c r="J154">
        <v>0.82100238663484471</v>
      </c>
    </row>
    <row r="155" spans="1:10" x14ac:dyDescent="0.3">
      <c r="A155" t="s">
        <v>733</v>
      </c>
      <c r="B155" t="s">
        <v>2012</v>
      </c>
      <c r="C155" t="s">
        <v>2010</v>
      </c>
      <c r="D155">
        <v>30.15</v>
      </c>
      <c r="E155">
        <v>0.22500000000000001</v>
      </c>
      <c r="F155">
        <v>107.1</v>
      </c>
      <c r="G155" t="b">
        <v>1</v>
      </c>
      <c r="H155" t="b">
        <v>1</v>
      </c>
      <c r="I155">
        <v>1915</v>
      </c>
      <c r="J155">
        <v>9.1408114558472544</v>
      </c>
    </row>
    <row r="156" spans="1:10" x14ac:dyDescent="0.3">
      <c r="A156" t="s">
        <v>734</v>
      </c>
      <c r="B156" t="s">
        <v>2013</v>
      </c>
      <c r="C156" t="s">
        <v>2012</v>
      </c>
      <c r="D156">
        <v>164.35</v>
      </c>
      <c r="E156">
        <v>0.217</v>
      </c>
      <c r="F156">
        <v>82.5</v>
      </c>
      <c r="G156" t="b">
        <v>1</v>
      </c>
      <c r="H156" t="b">
        <v>1</v>
      </c>
      <c r="I156">
        <v>962</v>
      </c>
      <c r="J156">
        <v>4.5918854415274453</v>
      </c>
    </row>
    <row r="157" spans="1:10" x14ac:dyDescent="0.3">
      <c r="A157" t="s">
        <v>735</v>
      </c>
      <c r="B157" t="s">
        <v>2014</v>
      </c>
      <c r="C157" t="s">
        <v>426</v>
      </c>
      <c r="D157">
        <v>31.74</v>
      </c>
      <c r="E157">
        <v>0.16600000000000001</v>
      </c>
      <c r="F157">
        <v>43.1</v>
      </c>
      <c r="G157" t="b">
        <v>1</v>
      </c>
      <c r="H157" t="b">
        <v>1</v>
      </c>
      <c r="I157">
        <v>172</v>
      </c>
      <c r="J157">
        <v>0.82100238663484471</v>
      </c>
    </row>
    <row r="158" spans="1:10" x14ac:dyDescent="0.3">
      <c r="A158" t="s">
        <v>736</v>
      </c>
      <c r="B158" t="s">
        <v>2015</v>
      </c>
      <c r="C158" t="s">
        <v>422</v>
      </c>
      <c r="D158">
        <v>39.159999999999997</v>
      </c>
      <c r="E158">
        <v>0.18</v>
      </c>
      <c r="F158">
        <v>54.5</v>
      </c>
      <c r="G158" t="b">
        <v>1</v>
      </c>
      <c r="H158" t="b">
        <v>1</v>
      </c>
      <c r="I158">
        <v>321</v>
      </c>
      <c r="J158">
        <v>1.532219570405728</v>
      </c>
    </row>
    <row r="159" spans="1:10" x14ac:dyDescent="0.3">
      <c r="A159" t="s">
        <v>737</v>
      </c>
      <c r="B159" t="s">
        <v>2016</v>
      </c>
      <c r="C159" t="s">
        <v>425</v>
      </c>
      <c r="D159">
        <v>30.92</v>
      </c>
      <c r="E159">
        <v>0.20499999999999999</v>
      </c>
      <c r="F159">
        <v>70.3</v>
      </c>
      <c r="G159" t="b">
        <v>1</v>
      </c>
      <c r="H159" t="b">
        <v>1</v>
      </c>
      <c r="I159">
        <v>630</v>
      </c>
      <c r="J159">
        <v>3.007159904534606</v>
      </c>
    </row>
    <row r="160" spans="1:10" x14ac:dyDescent="0.3">
      <c r="A160" t="s">
        <v>738</v>
      </c>
      <c r="B160" t="s">
        <v>2017</v>
      </c>
      <c r="C160" t="s">
        <v>1926</v>
      </c>
      <c r="D160">
        <v>1.71</v>
      </c>
      <c r="E160">
        <v>0.248</v>
      </c>
      <c r="F160">
        <v>70.3</v>
      </c>
      <c r="G160" t="b">
        <v>1</v>
      </c>
      <c r="H160" t="b">
        <v>1</v>
      </c>
      <c r="I160">
        <v>630</v>
      </c>
      <c r="J160">
        <v>3.007159904534606</v>
      </c>
    </row>
    <row r="161" spans="1:10" x14ac:dyDescent="0.3">
      <c r="A161" t="s">
        <v>739</v>
      </c>
      <c r="B161" t="s">
        <v>2018</v>
      </c>
      <c r="C161" t="s">
        <v>2653</v>
      </c>
      <c r="D161">
        <v>84.96</v>
      </c>
      <c r="E161">
        <v>0.18</v>
      </c>
      <c r="F161">
        <v>54.5</v>
      </c>
      <c r="G161" t="b">
        <v>1</v>
      </c>
      <c r="H161" t="b">
        <v>1</v>
      </c>
      <c r="I161">
        <v>321</v>
      </c>
      <c r="J161">
        <v>1.532219570405728</v>
      </c>
    </row>
    <row r="162" spans="1:10" x14ac:dyDescent="0.3">
      <c r="A162" t="s">
        <v>740</v>
      </c>
      <c r="B162" t="s">
        <v>2019</v>
      </c>
      <c r="C162" t="s">
        <v>424</v>
      </c>
      <c r="D162">
        <v>67.39</v>
      </c>
      <c r="E162">
        <v>0.18</v>
      </c>
      <c r="F162">
        <v>54.5</v>
      </c>
      <c r="G162" t="b">
        <v>1</v>
      </c>
      <c r="H162" t="b">
        <v>1</v>
      </c>
      <c r="I162">
        <v>321</v>
      </c>
      <c r="J162">
        <v>1.532219570405728</v>
      </c>
    </row>
    <row r="163" spans="1:10" x14ac:dyDescent="0.3">
      <c r="A163" t="s">
        <v>741</v>
      </c>
      <c r="B163" t="s">
        <v>2017</v>
      </c>
      <c r="C163" t="s">
        <v>2028</v>
      </c>
      <c r="D163">
        <v>108.76</v>
      </c>
      <c r="E163">
        <v>0.28199999999999997</v>
      </c>
      <c r="F163">
        <v>160.30000000000001</v>
      </c>
      <c r="G163" t="b">
        <v>1</v>
      </c>
      <c r="H163" t="b">
        <v>1</v>
      </c>
      <c r="I163">
        <v>5533</v>
      </c>
      <c r="J163">
        <v>26.410501193317419</v>
      </c>
    </row>
    <row r="164" spans="1:10" x14ac:dyDescent="0.3">
      <c r="A164" t="s">
        <v>742</v>
      </c>
      <c r="B164" t="s">
        <v>2020</v>
      </c>
      <c r="C164" t="s">
        <v>2432</v>
      </c>
      <c r="D164">
        <v>1.36</v>
      </c>
      <c r="E164">
        <v>0.16600000000000001</v>
      </c>
      <c r="F164">
        <v>43.1</v>
      </c>
      <c r="G164" t="b">
        <v>1</v>
      </c>
      <c r="H164" t="b">
        <v>1</v>
      </c>
      <c r="I164">
        <v>172</v>
      </c>
      <c r="J164">
        <v>0.82100238663484471</v>
      </c>
    </row>
    <row r="165" spans="1:10" x14ac:dyDescent="0.3">
      <c r="A165" t="s">
        <v>743</v>
      </c>
      <c r="B165" t="s">
        <v>2021</v>
      </c>
      <c r="C165" t="s">
        <v>2032</v>
      </c>
      <c r="D165">
        <v>203.81</v>
      </c>
      <c r="E165">
        <v>0.28199999999999997</v>
      </c>
      <c r="F165">
        <v>160.30000000000001</v>
      </c>
      <c r="G165" t="b">
        <v>1</v>
      </c>
      <c r="H165" t="b">
        <v>1</v>
      </c>
      <c r="I165">
        <v>5533</v>
      </c>
      <c r="J165">
        <v>26.410501193317419</v>
      </c>
    </row>
    <row r="166" spans="1:10" x14ac:dyDescent="0.3">
      <c r="A166" t="s">
        <v>744</v>
      </c>
      <c r="B166" t="s">
        <v>2022</v>
      </c>
      <c r="C166" t="s">
        <v>2021</v>
      </c>
      <c r="D166">
        <v>1.05</v>
      </c>
      <c r="E166">
        <v>0.28199999999999997</v>
      </c>
      <c r="F166">
        <v>160.30000000000001</v>
      </c>
      <c r="G166" t="b">
        <v>1</v>
      </c>
      <c r="H166" t="b">
        <v>1</v>
      </c>
      <c r="I166">
        <v>5533</v>
      </c>
      <c r="J166">
        <v>26.410501193317419</v>
      </c>
    </row>
    <row r="167" spans="1:10" x14ac:dyDescent="0.3">
      <c r="A167" t="s">
        <v>745</v>
      </c>
      <c r="B167" t="s">
        <v>2023</v>
      </c>
      <c r="C167" t="s">
        <v>1915</v>
      </c>
      <c r="D167">
        <v>0.14000000000000001</v>
      </c>
      <c r="E167">
        <v>0.28199999999999997</v>
      </c>
      <c r="F167">
        <v>160.30000000000001</v>
      </c>
      <c r="G167" t="b">
        <v>1</v>
      </c>
      <c r="H167" t="b">
        <v>1</v>
      </c>
      <c r="I167">
        <v>5533</v>
      </c>
      <c r="J167">
        <v>26.410501193317419</v>
      </c>
    </row>
    <row r="168" spans="1:10" x14ac:dyDescent="0.3">
      <c r="A168" t="s">
        <v>746</v>
      </c>
      <c r="B168" t="s">
        <v>2024</v>
      </c>
      <c r="C168" t="s">
        <v>421</v>
      </c>
      <c r="D168">
        <v>45.68</v>
      </c>
      <c r="E168">
        <v>0.18</v>
      </c>
      <c r="F168">
        <v>54.5</v>
      </c>
      <c r="G168" t="b">
        <v>1</v>
      </c>
      <c r="H168" t="b">
        <v>1</v>
      </c>
      <c r="I168">
        <v>321</v>
      </c>
      <c r="J168">
        <v>1.532219570405728</v>
      </c>
    </row>
    <row r="169" spans="1:10" x14ac:dyDescent="0.3">
      <c r="A169" t="s">
        <v>747</v>
      </c>
      <c r="B169" t="s">
        <v>2025</v>
      </c>
      <c r="C169" t="s">
        <v>1981</v>
      </c>
      <c r="D169">
        <v>7.5</v>
      </c>
      <c r="E169">
        <v>0.501</v>
      </c>
      <c r="F169">
        <v>210.1</v>
      </c>
      <c r="G169" t="b">
        <v>1</v>
      </c>
      <c r="H169" t="b">
        <v>1</v>
      </c>
      <c r="I169">
        <v>11253</v>
      </c>
      <c r="J169">
        <v>53.713603818615738</v>
      </c>
    </row>
    <row r="170" spans="1:10" x14ac:dyDescent="0.3">
      <c r="A170" t="s">
        <v>748</v>
      </c>
      <c r="B170" t="s">
        <v>2026</v>
      </c>
      <c r="C170" t="s">
        <v>2164</v>
      </c>
      <c r="D170">
        <v>113.44</v>
      </c>
      <c r="E170">
        <v>0.18</v>
      </c>
      <c r="F170">
        <v>54.5</v>
      </c>
      <c r="G170" t="b">
        <v>1</v>
      </c>
      <c r="H170" t="b">
        <v>1</v>
      </c>
      <c r="I170">
        <v>321</v>
      </c>
      <c r="J170">
        <v>1.532219570405728</v>
      </c>
    </row>
    <row r="171" spans="1:10" x14ac:dyDescent="0.3">
      <c r="A171" t="s">
        <v>749</v>
      </c>
      <c r="B171" t="s">
        <v>2027</v>
      </c>
      <c r="C171" t="s">
        <v>2026</v>
      </c>
      <c r="D171">
        <v>28.08</v>
      </c>
      <c r="E171">
        <v>0.20499999999999999</v>
      </c>
      <c r="F171">
        <v>70.3</v>
      </c>
      <c r="G171" t="b">
        <v>1</v>
      </c>
      <c r="H171" t="b">
        <v>1</v>
      </c>
      <c r="I171">
        <v>630</v>
      </c>
      <c r="J171">
        <v>3.007159904534606</v>
      </c>
    </row>
    <row r="172" spans="1:10" x14ac:dyDescent="0.3">
      <c r="A172" t="s">
        <v>750</v>
      </c>
      <c r="B172" t="s">
        <v>2020</v>
      </c>
      <c r="C172" t="s">
        <v>2054</v>
      </c>
      <c r="D172">
        <v>68.61</v>
      </c>
      <c r="E172">
        <v>0.29299999999999998</v>
      </c>
      <c r="F172">
        <v>210.1</v>
      </c>
      <c r="G172" t="b">
        <v>1</v>
      </c>
      <c r="H172" t="b">
        <v>1</v>
      </c>
      <c r="I172">
        <v>11253</v>
      </c>
      <c r="J172">
        <v>53.713603818615738</v>
      </c>
    </row>
    <row r="173" spans="1:10" x14ac:dyDescent="0.3">
      <c r="A173" t="s">
        <v>751</v>
      </c>
      <c r="B173" t="s">
        <v>2028</v>
      </c>
      <c r="C173" t="s">
        <v>1919</v>
      </c>
      <c r="D173">
        <v>68.569999999999993</v>
      </c>
      <c r="E173">
        <v>0.28199999999999997</v>
      </c>
      <c r="F173">
        <v>160.30000000000001</v>
      </c>
      <c r="G173" t="b">
        <v>1</v>
      </c>
      <c r="H173" t="b">
        <v>1</v>
      </c>
      <c r="I173">
        <v>5533</v>
      </c>
      <c r="J173">
        <v>26.410501193317419</v>
      </c>
    </row>
    <row r="174" spans="1:10" x14ac:dyDescent="0.3">
      <c r="A174" t="s">
        <v>752</v>
      </c>
      <c r="B174" t="s">
        <v>1920</v>
      </c>
      <c r="C174" t="s">
        <v>2054</v>
      </c>
      <c r="D174">
        <v>0.8</v>
      </c>
      <c r="E174">
        <v>0.254</v>
      </c>
      <c r="F174">
        <v>132.5</v>
      </c>
      <c r="G174" t="b">
        <v>1</v>
      </c>
      <c r="H174" t="b">
        <v>1</v>
      </c>
      <c r="I174">
        <v>3354</v>
      </c>
      <c r="J174">
        <v>16.009546539379471</v>
      </c>
    </row>
    <row r="175" spans="1:10" x14ac:dyDescent="0.3">
      <c r="A175" t="s">
        <v>753</v>
      </c>
      <c r="B175" t="s">
        <v>1920</v>
      </c>
      <c r="C175" t="s">
        <v>1919</v>
      </c>
      <c r="D175">
        <v>2.11</v>
      </c>
      <c r="E175">
        <v>0.254</v>
      </c>
      <c r="F175">
        <v>132.5</v>
      </c>
      <c r="G175" t="b">
        <v>1</v>
      </c>
      <c r="H175" t="b">
        <v>1</v>
      </c>
      <c r="I175">
        <v>3354</v>
      </c>
      <c r="J175">
        <v>16.009546539379471</v>
      </c>
    </row>
    <row r="176" spans="1:10" x14ac:dyDescent="0.3">
      <c r="A176" t="s">
        <v>754</v>
      </c>
      <c r="B176" t="s">
        <v>2029</v>
      </c>
      <c r="C176" t="s">
        <v>1917</v>
      </c>
      <c r="D176">
        <v>31.48</v>
      </c>
      <c r="E176">
        <v>0.28199999999999997</v>
      </c>
      <c r="F176">
        <v>160.30000000000001</v>
      </c>
      <c r="G176" t="b">
        <v>1</v>
      </c>
      <c r="H176" t="b">
        <v>1</v>
      </c>
      <c r="I176">
        <v>5533</v>
      </c>
      <c r="J176">
        <v>26.410501193317419</v>
      </c>
    </row>
    <row r="177" spans="1:10" x14ac:dyDescent="0.3">
      <c r="A177" t="s">
        <v>755</v>
      </c>
      <c r="B177" t="s">
        <v>2030</v>
      </c>
      <c r="C177" t="s">
        <v>2021</v>
      </c>
      <c r="D177">
        <v>1.43</v>
      </c>
      <c r="E177">
        <v>0.254</v>
      </c>
      <c r="F177">
        <v>132.5</v>
      </c>
      <c r="G177" t="b">
        <v>1</v>
      </c>
      <c r="H177" t="b">
        <v>1</v>
      </c>
      <c r="I177">
        <v>3354</v>
      </c>
      <c r="J177">
        <v>16.009546539379471</v>
      </c>
    </row>
    <row r="178" spans="1:10" x14ac:dyDescent="0.3">
      <c r="A178" t="s">
        <v>756</v>
      </c>
      <c r="B178" t="s">
        <v>2030</v>
      </c>
      <c r="C178" t="s">
        <v>1915</v>
      </c>
      <c r="D178">
        <v>0.3</v>
      </c>
      <c r="E178">
        <v>0.30599999999999999</v>
      </c>
      <c r="F178">
        <v>132.5</v>
      </c>
      <c r="G178" t="b">
        <v>1</v>
      </c>
      <c r="H178" t="b">
        <v>1</v>
      </c>
      <c r="I178">
        <v>3354</v>
      </c>
      <c r="J178">
        <v>16.009546539379471</v>
      </c>
    </row>
    <row r="179" spans="1:10" x14ac:dyDescent="0.3">
      <c r="A179" t="s">
        <v>757</v>
      </c>
      <c r="B179" t="s">
        <v>2031</v>
      </c>
      <c r="C179" t="s">
        <v>1918</v>
      </c>
      <c r="D179">
        <v>0.82</v>
      </c>
      <c r="E179">
        <v>0.18</v>
      </c>
      <c r="F179">
        <v>54.5</v>
      </c>
      <c r="G179" t="b">
        <v>1</v>
      </c>
      <c r="H179" t="b">
        <v>1</v>
      </c>
      <c r="I179">
        <v>321</v>
      </c>
      <c r="J179">
        <v>1.532219570405728</v>
      </c>
    </row>
    <row r="180" spans="1:10" x14ac:dyDescent="0.3">
      <c r="A180" t="s">
        <v>758</v>
      </c>
      <c r="B180" t="s">
        <v>2032</v>
      </c>
      <c r="C180" t="s">
        <v>2033</v>
      </c>
      <c r="D180">
        <v>376.05</v>
      </c>
      <c r="E180">
        <v>0.28199999999999997</v>
      </c>
      <c r="F180">
        <v>160.30000000000001</v>
      </c>
      <c r="G180" t="b">
        <v>1</v>
      </c>
      <c r="H180" t="b">
        <v>1</v>
      </c>
      <c r="I180">
        <v>5533</v>
      </c>
      <c r="J180">
        <v>26.410501193317419</v>
      </c>
    </row>
    <row r="181" spans="1:10" x14ac:dyDescent="0.3">
      <c r="A181" t="s">
        <v>759</v>
      </c>
      <c r="B181" t="s">
        <v>2033</v>
      </c>
      <c r="C181" t="s">
        <v>2043</v>
      </c>
      <c r="D181">
        <v>8.08</v>
      </c>
      <c r="E181">
        <v>0.436</v>
      </c>
      <c r="F181">
        <v>160.30000000000001</v>
      </c>
      <c r="G181" t="b">
        <v>1</v>
      </c>
      <c r="H181" t="b">
        <v>1</v>
      </c>
      <c r="I181">
        <v>5533</v>
      </c>
      <c r="J181">
        <v>26.410501193317419</v>
      </c>
    </row>
    <row r="182" spans="1:10" x14ac:dyDescent="0.3">
      <c r="A182" t="s">
        <v>760</v>
      </c>
      <c r="B182" t="s">
        <v>2034</v>
      </c>
      <c r="C182" t="s">
        <v>2408</v>
      </c>
      <c r="D182">
        <v>56.99</v>
      </c>
      <c r="E182">
        <v>0.28199999999999997</v>
      </c>
      <c r="F182">
        <v>160.30000000000001</v>
      </c>
      <c r="G182" t="b">
        <v>1</v>
      </c>
      <c r="H182" t="b">
        <v>1</v>
      </c>
      <c r="I182">
        <v>5533</v>
      </c>
      <c r="J182">
        <v>26.410501193317419</v>
      </c>
    </row>
    <row r="183" spans="1:10" x14ac:dyDescent="0.3">
      <c r="A183" t="s">
        <v>761</v>
      </c>
      <c r="B183" t="s">
        <v>2035</v>
      </c>
      <c r="C183" t="s">
        <v>2034</v>
      </c>
      <c r="D183">
        <v>2.23</v>
      </c>
      <c r="E183">
        <v>0.28199999999999997</v>
      </c>
      <c r="F183">
        <v>160.30000000000001</v>
      </c>
      <c r="G183" t="b">
        <v>1</v>
      </c>
      <c r="H183" t="b">
        <v>1</v>
      </c>
      <c r="I183">
        <v>5533</v>
      </c>
      <c r="J183">
        <v>26.410501193317419</v>
      </c>
    </row>
    <row r="184" spans="1:10" x14ac:dyDescent="0.3">
      <c r="A184" t="s">
        <v>762</v>
      </c>
      <c r="B184" t="s">
        <v>2034</v>
      </c>
      <c r="C184" t="s">
        <v>1930</v>
      </c>
      <c r="D184">
        <v>4.45</v>
      </c>
      <c r="E184">
        <v>0.20499999999999999</v>
      </c>
      <c r="F184">
        <v>70.3</v>
      </c>
      <c r="G184" t="b">
        <v>1</v>
      </c>
      <c r="H184" t="b">
        <v>1</v>
      </c>
      <c r="I184">
        <v>630</v>
      </c>
      <c r="J184">
        <v>3.007159904534606</v>
      </c>
    </row>
    <row r="185" spans="1:10" x14ac:dyDescent="0.3">
      <c r="A185" t="s">
        <v>763</v>
      </c>
      <c r="B185" t="s">
        <v>2036</v>
      </c>
      <c r="C185" t="s">
        <v>419</v>
      </c>
      <c r="D185">
        <v>7.61</v>
      </c>
      <c r="E185">
        <v>0.20499999999999999</v>
      </c>
      <c r="F185">
        <v>70.3</v>
      </c>
      <c r="G185" t="b">
        <v>1</v>
      </c>
      <c r="H185" t="b">
        <v>1</v>
      </c>
      <c r="I185">
        <v>630</v>
      </c>
      <c r="J185">
        <v>3.007159904534606</v>
      </c>
    </row>
    <row r="186" spans="1:10" x14ac:dyDescent="0.3">
      <c r="A186" t="s">
        <v>764</v>
      </c>
      <c r="B186" t="s">
        <v>2036</v>
      </c>
      <c r="C186" t="s">
        <v>2486</v>
      </c>
      <c r="D186">
        <v>11.36</v>
      </c>
      <c r="E186">
        <v>0.28199999999999997</v>
      </c>
      <c r="F186">
        <v>160.30000000000001</v>
      </c>
      <c r="G186" t="b">
        <v>1</v>
      </c>
      <c r="H186" t="b">
        <v>1</v>
      </c>
      <c r="I186">
        <v>5533</v>
      </c>
      <c r="J186">
        <v>26.410501193317419</v>
      </c>
    </row>
    <row r="187" spans="1:10" x14ac:dyDescent="0.3">
      <c r="A187" t="s">
        <v>765</v>
      </c>
      <c r="B187" t="s">
        <v>2037</v>
      </c>
      <c r="C187" t="s">
        <v>2035</v>
      </c>
      <c r="D187">
        <v>13.3</v>
      </c>
      <c r="E187">
        <v>0.254</v>
      </c>
      <c r="F187">
        <v>132.5</v>
      </c>
      <c r="G187" t="b">
        <v>1</v>
      </c>
      <c r="H187" t="b">
        <v>1</v>
      </c>
      <c r="I187">
        <v>3354</v>
      </c>
      <c r="J187">
        <v>16.009546539379471</v>
      </c>
    </row>
    <row r="188" spans="1:10" x14ac:dyDescent="0.3">
      <c r="A188" t="s">
        <v>766</v>
      </c>
      <c r="B188" t="s">
        <v>2038</v>
      </c>
      <c r="C188" t="s">
        <v>417</v>
      </c>
      <c r="D188">
        <v>4.68</v>
      </c>
      <c r="E188">
        <v>0.20499999999999999</v>
      </c>
      <c r="F188">
        <v>70.3</v>
      </c>
      <c r="G188" t="b">
        <v>1</v>
      </c>
      <c r="H188" t="b">
        <v>1</v>
      </c>
      <c r="I188">
        <v>630</v>
      </c>
      <c r="J188">
        <v>3.007159904534606</v>
      </c>
    </row>
    <row r="189" spans="1:10" x14ac:dyDescent="0.3">
      <c r="A189" t="s">
        <v>767</v>
      </c>
      <c r="B189" t="s">
        <v>2038</v>
      </c>
      <c r="C189" t="s">
        <v>2654</v>
      </c>
      <c r="D189">
        <v>41.34</v>
      </c>
      <c r="E189">
        <v>0.35499999999999998</v>
      </c>
      <c r="F189">
        <v>263</v>
      </c>
      <c r="G189" t="b">
        <v>1</v>
      </c>
      <c r="H189" t="b">
        <v>1</v>
      </c>
      <c r="I189">
        <v>20264</v>
      </c>
      <c r="J189">
        <v>96.725536992840077</v>
      </c>
    </row>
    <row r="190" spans="1:10" x14ac:dyDescent="0.3">
      <c r="A190" t="s">
        <v>768</v>
      </c>
      <c r="B190" t="s">
        <v>2039</v>
      </c>
      <c r="C190" t="s">
        <v>413</v>
      </c>
      <c r="D190">
        <v>23.06</v>
      </c>
      <c r="E190">
        <v>0.66100000000000003</v>
      </c>
      <c r="F190">
        <v>70.3</v>
      </c>
      <c r="G190" t="b">
        <v>1</v>
      </c>
      <c r="H190" t="b">
        <v>1</v>
      </c>
      <c r="I190">
        <v>630</v>
      </c>
      <c r="J190">
        <v>3.007159904534606</v>
      </c>
    </row>
    <row r="191" spans="1:10" x14ac:dyDescent="0.3">
      <c r="A191" t="s">
        <v>769</v>
      </c>
      <c r="B191" t="s">
        <v>2040</v>
      </c>
      <c r="C191" t="s">
        <v>2039</v>
      </c>
      <c r="D191">
        <v>0.67</v>
      </c>
      <c r="E191">
        <v>0.436</v>
      </c>
      <c r="F191">
        <v>160.30000000000001</v>
      </c>
      <c r="G191" t="b">
        <v>1</v>
      </c>
      <c r="H191" t="b">
        <v>1</v>
      </c>
      <c r="I191">
        <v>5533</v>
      </c>
      <c r="J191">
        <v>26.410501193317419</v>
      </c>
    </row>
    <row r="192" spans="1:10" x14ac:dyDescent="0.3">
      <c r="A192" t="s">
        <v>770</v>
      </c>
      <c r="B192" t="s">
        <v>2014</v>
      </c>
      <c r="C192" t="s">
        <v>2071</v>
      </c>
      <c r="D192">
        <v>51.07</v>
      </c>
      <c r="E192">
        <v>0.20499999999999999</v>
      </c>
      <c r="F192">
        <v>70.3</v>
      </c>
      <c r="G192" t="b">
        <v>1</v>
      </c>
      <c r="H192" t="b">
        <v>1</v>
      </c>
      <c r="I192">
        <v>630</v>
      </c>
      <c r="J192">
        <v>3.007159904534606</v>
      </c>
    </row>
    <row r="193" spans="1:10" x14ac:dyDescent="0.3">
      <c r="A193" t="s">
        <v>771</v>
      </c>
      <c r="B193" t="s">
        <v>2039</v>
      </c>
      <c r="C193" t="s">
        <v>2068</v>
      </c>
      <c r="D193">
        <v>3.86</v>
      </c>
      <c r="E193">
        <v>0.436</v>
      </c>
      <c r="F193">
        <v>160.30000000000001</v>
      </c>
      <c r="G193" t="b">
        <v>1</v>
      </c>
      <c r="H193" t="b">
        <v>1</v>
      </c>
      <c r="I193">
        <v>5533</v>
      </c>
      <c r="J193">
        <v>26.410501193317419</v>
      </c>
    </row>
    <row r="194" spans="1:10" x14ac:dyDescent="0.3">
      <c r="A194" t="s">
        <v>772</v>
      </c>
      <c r="B194" t="s">
        <v>2041</v>
      </c>
      <c r="C194" t="s">
        <v>412</v>
      </c>
      <c r="D194">
        <v>23.61</v>
      </c>
      <c r="E194">
        <v>0.21299999999999999</v>
      </c>
      <c r="F194">
        <v>54.5</v>
      </c>
      <c r="G194" t="b">
        <v>1</v>
      </c>
      <c r="H194" t="b">
        <v>1</v>
      </c>
      <c r="I194">
        <v>321</v>
      </c>
      <c r="J194">
        <v>1.532219570405728</v>
      </c>
    </row>
    <row r="195" spans="1:10" x14ac:dyDescent="0.3">
      <c r="A195" t="s">
        <v>773</v>
      </c>
      <c r="B195" t="s">
        <v>2041</v>
      </c>
      <c r="C195" t="s">
        <v>2042</v>
      </c>
      <c r="D195">
        <v>1.86</v>
      </c>
      <c r="E195">
        <v>0.436</v>
      </c>
      <c r="F195">
        <v>160.30000000000001</v>
      </c>
      <c r="G195" t="b">
        <v>1</v>
      </c>
      <c r="H195" t="b">
        <v>1</v>
      </c>
      <c r="I195">
        <v>5533</v>
      </c>
      <c r="J195">
        <v>26.410501193317419</v>
      </c>
    </row>
    <row r="196" spans="1:10" x14ac:dyDescent="0.3">
      <c r="A196" t="s">
        <v>774</v>
      </c>
      <c r="B196" t="s">
        <v>2042</v>
      </c>
      <c r="C196" t="s">
        <v>2033</v>
      </c>
      <c r="D196">
        <v>105.1</v>
      </c>
      <c r="E196">
        <v>0.436</v>
      </c>
      <c r="F196">
        <v>160.30000000000001</v>
      </c>
      <c r="G196" t="b">
        <v>1</v>
      </c>
      <c r="H196" t="b">
        <v>1</v>
      </c>
      <c r="I196">
        <v>5533</v>
      </c>
      <c r="J196">
        <v>26.410501193317419</v>
      </c>
    </row>
    <row r="197" spans="1:10" x14ac:dyDescent="0.3">
      <c r="A197" t="s">
        <v>775</v>
      </c>
      <c r="B197" t="s">
        <v>2043</v>
      </c>
      <c r="C197" t="s">
        <v>411</v>
      </c>
      <c r="D197">
        <v>65.2</v>
      </c>
      <c r="E197">
        <v>0.71</v>
      </c>
      <c r="F197">
        <v>107.1</v>
      </c>
      <c r="G197" t="b">
        <v>1</v>
      </c>
      <c r="H197" t="b">
        <v>1</v>
      </c>
      <c r="I197">
        <v>1915</v>
      </c>
      <c r="J197">
        <v>9.1408114558472544</v>
      </c>
    </row>
    <row r="198" spans="1:10" x14ac:dyDescent="0.3">
      <c r="A198" t="s">
        <v>776</v>
      </c>
      <c r="B198" t="s">
        <v>2044</v>
      </c>
      <c r="C198" t="s">
        <v>410</v>
      </c>
      <c r="D198">
        <v>93.44</v>
      </c>
      <c r="E198">
        <v>0.252</v>
      </c>
      <c r="F198">
        <v>43.1</v>
      </c>
      <c r="G198" t="b">
        <v>1</v>
      </c>
      <c r="H198" t="b">
        <v>1</v>
      </c>
      <c r="I198">
        <v>172</v>
      </c>
      <c r="J198">
        <v>0.82100238663484471</v>
      </c>
    </row>
    <row r="199" spans="1:10" x14ac:dyDescent="0.3">
      <c r="A199" t="s">
        <v>777</v>
      </c>
      <c r="B199" t="s">
        <v>2045</v>
      </c>
      <c r="C199" t="s">
        <v>1959</v>
      </c>
      <c r="D199">
        <v>0.41</v>
      </c>
      <c r="E199">
        <v>0.20499999999999999</v>
      </c>
      <c r="F199">
        <v>70.3</v>
      </c>
      <c r="G199" t="b">
        <v>1</v>
      </c>
      <c r="H199" t="b">
        <v>1</v>
      </c>
      <c r="I199">
        <v>630</v>
      </c>
      <c r="J199">
        <v>3.007159904534606</v>
      </c>
    </row>
    <row r="200" spans="1:10" x14ac:dyDescent="0.3">
      <c r="A200" t="s">
        <v>778</v>
      </c>
      <c r="B200" t="s">
        <v>2046</v>
      </c>
      <c r="C200" t="s">
        <v>2655</v>
      </c>
      <c r="D200">
        <v>83.92</v>
      </c>
      <c r="E200">
        <v>0.32100000000000001</v>
      </c>
      <c r="F200">
        <v>312.7</v>
      </c>
      <c r="G200" t="b">
        <v>1</v>
      </c>
      <c r="H200" t="b">
        <v>1</v>
      </c>
      <c r="I200">
        <v>31872</v>
      </c>
      <c r="J200">
        <v>152.1336515513126</v>
      </c>
    </row>
    <row r="201" spans="1:10" x14ac:dyDescent="0.3">
      <c r="A201" t="s">
        <v>779</v>
      </c>
      <c r="B201" t="s">
        <v>2047</v>
      </c>
      <c r="C201" t="s">
        <v>2046</v>
      </c>
      <c r="D201">
        <v>12.17</v>
      </c>
      <c r="E201">
        <v>0.32100000000000001</v>
      </c>
      <c r="F201">
        <v>312.7</v>
      </c>
      <c r="G201" t="b">
        <v>1</v>
      </c>
      <c r="H201" t="b">
        <v>1</v>
      </c>
      <c r="I201">
        <v>31872</v>
      </c>
      <c r="J201">
        <v>152.1336515513126</v>
      </c>
    </row>
    <row r="202" spans="1:10" x14ac:dyDescent="0.3">
      <c r="A202" t="s">
        <v>780</v>
      </c>
      <c r="B202" t="s">
        <v>2024</v>
      </c>
      <c r="C202" t="s">
        <v>1962</v>
      </c>
      <c r="D202">
        <v>2.31</v>
      </c>
      <c r="E202">
        <v>0.35499999999999998</v>
      </c>
      <c r="F202">
        <v>263</v>
      </c>
      <c r="G202" t="b">
        <v>1</v>
      </c>
      <c r="H202" t="b">
        <v>1</v>
      </c>
      <c r="I202">
        <v>20264</v>
      </c>
      <c r="J202">
        <v>96.725536992840077</v>
      </c>
    </row>
    <row r="203" spans="1:10" x14ac:dyDescent="0.3">
      <c r="A203" t="s">
        <v>781</v>
      </c>
      <c r="B203" t="s">
        <v>2048</v>
      </c>
      <c r="C203" t="s">
        <v>408</v>
      </c>
      <c r="D203">
        <v>3.5</v>
      </c>
      <c r="E203">
        <v>0.18</v>
      </c>
      <c r="F203">
        <v>54.5</v>
      </c>
      <c r="G203" t="b">
        <v>1</v>
      </c>
      <c r="H203" t="b">
        <v>1</v>
      </c>
      <c r="I203">
        <v>321</v>
      </c>
      <c r="J203">
        <v>1.532219570405728</v>
      </c>
    </row>
    <row r="204" spans="1:10" x14ac:dyDescent="0.3">
      <c r="A204" t="s">
        <v>782</v>
      </c>
      <c r="B204" t="s">
        <v>2049</v>
      </c>
      <c r="C204" t="s">
        <v>407</v>
      </c>
      <c r="D204">
        <v>1.41</v>
      </c>
      <c r="E204">
        <v>0.18</v>
      </c>
      <c r="F204">
        <v>54.5</v>
      </c>
      <c r="G204" t="b">
        <v>1</v>
      </c>
      <c r="H204" t="b">
        <v>1</v>
      </c>
      <c r="I204">
        <v>321</v>
      </c>
      <c r="J204">
        <v>1.532219570405728</v>
      </c>
    </row>
    <row r="205" spans="1:10" x14ac:dyDescent="0.3">
      <c r="A205" t="s">
        <v>783</v>
      </c>
      <c r="B205" t="s">
        <v>2049</v>
      </c>
      <c r="C205" t="s">
        <v>406</v>
      </c>
      <c r="D205">
        <v>0.51</v>
      </c>
      <c r="E205">
        <v>0.18</v>
      </c>
      <c r="F205">
        <v>54.5</v>
      </c>
      <c r="G205" t="b">
        <v>1</v>
      </c>
      <c r="H205" t="b">
        <v>1</v>
      </c>
      <c r="I205">
        <v>321</v>
      </c>
      <c r="J205">
        <v>1.532219570405728</v>
      </c>
    </row>
    <row r="206" spans="1:10" x14ac:dyDescent="0.3">
      <c r="A206" t="s">
        <v>784</v>
      </c>
      <c r="B206" t="s">
        <v>2050</v>
      </c>
      <c r="C206" t="s">
        <v>405</v>
      </c>
      <c r="D206">
        <v>13.31</v>
      </c>
      <c r="E206">
        <v>0.61899999999999999</v>
      </c>
      <c r="F206">
        <v>82.5</v>
      </c>
      <c r="G206" t="b">
        <v>1</v>
      </c>
      <c r="H206" t="b">
        <v>1</v>
      </c>
      <c r="I206">
        <v>962</v>
      </c>
      <c r="J206">
        <v>4.5918854415274453</v>
      </c>
    </row>
    <row r="207" spans="1:10" x14ac:dyDescent="0.3">
      <c r="A207" t="s">
        <v>785</v>
      </c>
      <c r="B207" t="s">
        <v>2050</v>
      </c>
      <c r="C207" t="s">
        <v>404</v>
      </c>
      <c r="D207">
        <v>11.25</v>
      </c>
      <c r="E207">
        <v>0.61899999999999999</v>
      </c>
      <c r="F207">
        <v>82.5</v>
      </c>
      <c r="G207" t="b">
        <v>1</v>
      </c>
      <c r="H207" t="b">
        <v>1</v>
      </c>
      <c r="I207">
        <v>962</v>
      </c>
      <c r="J207">
        <v>4.5918854415274453</v>
      </c>
    </row>
    <row r="208" spans="1:10" x14ac:dyDescent="0.3">
      <c r="A208" t="s">
        <v>786</v>
      </c>
      <c r="B208" t="s">
        <v>2051</v>
      </c>
      <c r="C208" t="s">
        <v>403</v>
      </c>
      <c r="D208">
        <v>13.41</v>
      </c>
      <c r="E208">
        <v>1</v>
      </c>
      <c r="F208">
        <v>100</v>
      </c>
      <c r="G208" t="b">
        <v>1</v>
      </c>
      <c r="H208" t="b">
        <v>1</v>
      </c>
      <c r="I208">
        <v>1915</v>
      </c>
      <c r="J208">
        <v>9.1408114558472544</v>
      </c>
    </row>
    <row r="209" spans="1:10" x14ac:dyDescent="0.3">
      <c r="A209" t="s">
        <v>787</v>
      </c>
      <c r="B209" t="s">
        <v>2052</v>
      </c>
      <c r="C209" t="s">
        <v>402</v>
      </c>
      <c r="D209">
        <v>21.43</v>
      </c>
      <c r="E209">
        <v>0.18</v>
      </c>
      <c r="F209">
        <v>54.5</v>
      </c>
      <c r="G209" t="b">
        <v>1</v>
      </c>
      <c r="H209" t="b">
        <v>1</v>
      </c>
      <c r="I209">
        <v>321</v>
      </c>
      <c r="J209">
        <v>1.532219570405728</v>
      </c>
    </row>
    <row r="210" spans="1:10" x14ac:dyDescent="0.3">
      <c r="A210" t="s">
        <v>788</v>
      </c>
      <c r="B210" t="s">
        <v>2053</v>
      </c>
      <c r="C210" t="s">
        <v>2559</v>
      </c>
      <c r="D210">
        <v>79.5</v>
      </c>
      <c r="E210">
        <v>0.22500000000000001</v>
      </c>
      <c r="F210">
        <v>107.1</v>
      </c>
      <c r="G210" t="b">
        <v>1</v>
      </c>
      <c r="H210" t="b">
        <v>1</v>
      </c>
      <c r="I210">
        <v>1915</v>
      </c>
      <c r="J210">
        <v>9.1408114558472544</v>
      </c>
    </row>
    <row r="211" spans="1:10" x14ac:dyDescent="0.3">
      <c r="A211" t="s">
        <v>789</v>
      </c>
      <c r="B211" t="s">
        <v>2006</v>
      </c>
      <c r="C211" t="s">
        <v>2020</v>
      </c>
      <c r="D211">
        <v>108.69</v>
      </c>
      <c r="E211">
        <v>0.29299999999999998</v>
      </c>
      <c r="F211">
        <v>210.1</v>
      </c>
      <c r="G211" t="b">
        <v>1</v>
      </c>
      <c r="H211" t="b">
        <v>1</v>
      </c>
      <c r="I211">
        <v>11253</v>
      </c>
      <c r="J211">
        <v>53.713603818615738</v>
      </c>
    </row>
    <row r="212" spans="1:10" x14ac:dyDescent="0.3">
      <c r="A212" t="s">
        <v>790</v>
      </c>
      <c r="B212" t="s">
        <v>2054</v>
      </c>
      <c r="C212" t="s">
        <v>2005</v>
      </c>
      <c r="D212">
        <v>4.7699999999999996</v>
      </c>
      <c r="E212">
        <v>0.29299999999999998</v>
      </c>
      <c r="F212">
        <v>210.1</v>
      </c>
      <c r="G212" t="b">
        <v>1</v>
      </c>
      <c r="H212" t="b">
        <v>1</v>
      </c>
      <c r="I212">
        <v>11253</v>
      </c>
      <c r="J212">
        <v>53.713603818615738</v>
      </c>
    </row>
    <row r="213" spans="1:10" x14ac:dyDescent="0.3">
      <c r="A213" t="s">
        <v>791</v>
      </c>
      <c r="B213" t="s">
        <v>1917</v>
      </c>
      <c r="C213" t="s">
        <v>2021</v>
      </c>
      <c r="D213">
        <v>121.78</v>
      </c>
      <c r="E213">
        <v>0.28199999999999997</v>
      </c>
      <c r="F213">
        <v>160.30000000000001</v>
      </c>
      <c r="G213" t="b">
        <v>1</v>
      </c>
      <c r="H213" t="b">
        <v>1</v>
      </c>
      <c r="I213">
        <v>5533</v>
      </c>
      <c r="J213">
        <v>26.410501193317419</v>
      </c>
    </row>
    <row r="214" spans="1:10" x14ac:dyDescent="0.3">
      <c r="A214" t="s">
        <v>792</v>
      </c>
      <c r="B214" t="s">
        <v>2055</v>
      </c>
      <c r="C214" t="s">
        <v>2017</v>
      </c>
      <c r="D214">
        <v>23.02</v>
      </c>
      <c r="E214">
        <v>0.28199999999999997</v>
      </c>
      <c r="F214">
        <v>160.30000000000001</v>
      </c>
      <c r="G214" t="b">
        <v>1</v>
      </c>
      <c r="H214" t="b">
        <v>1</v>
      </c>
      <c r="I214">
        <v>5533</v>
      </c>
      <c r="J214">
        <v>26.410501193317419</v>
      </c>
    </row>
    <row r="215" spans="1:10" x14ac:dyDescent="0.3">
      <c r="A215" t="s">
        <v>793</v>
      </c>
      <c r="B215" t="s">
        <v>2056</v>
      </c>
      <c r="C215" t="s">
        <v>2031</v>
      </c>
      <c r="D215">
        <v>2.2599999999999998</v>
      </c>
      <c r="E215">
        <v>0.30599999999999999</v>
      </c>
      <c r="F215">
        <v>132.5</v>
      </c>
      <c r="G215" t="b">
        <v>1</v>
      </c>
      <c r="H215" t="b">
        <v>1</v>
      </c>
      <c r="I215">
        <v>3354</v>
      </c>
      <c r="J215">
        <v>16.009546539379471</v>
      </c>
    </row>
    <row r="216" spans="1:10" x14ac:dyDescent="0.3">
      <c r="A216" t="s">
        <v>794</v>
      </c>
      <c r="B216" t="s">
        <v>2031</v>
      </c>
      <c r="C216" t="s">
        <v>2023</v>
      </c>
      <c r="D216">
        <v>152.74</v>
      </c>
      <c r="E216">
        <v>0.30599999999999999</v>
      </c>
      <c r="F216">
        <v>132.5</v>
      </c>
      <c r="G216" t="b">
        <v>1</v>
      </c>
      <c r="H216" t="b">
        <v>1</v>
      </c>
      <c r="I216">
        <v>3354</v>
      </c>
      <c r="J216">
        <v>16.009546539379471</v>
      </c>
    </row>
    <row r="217" spans="1:10" x14ac:dyDescent="0.3">
      <c r="A217" t="s">
        <v>795</v>
      </c>
      <c r="B217" t="s">
        <v>2057</v>
      </c>
      <c r="C217" t="s">
        <v>2048</v>
      </c>
      <c r="D217">
        <v>54.83</v>
      </c>
      <c r="E217">
        <v>0.41099999999999998</v>
      </c>
      <c r="F217">
        <v>312.7</v>
      </c>
      <c r="G217" t="b">
        <v>1</v>
      </c>
      <c r="H217" t="b">
        <v>1</v>
      </c>
      <c r="I217">
        <v>31872</v>
      </c>
      <c r="J217">
        <v>152.1336515513126</v>
      </c>
    </row>
    <row r="218" spans="1:10" x14ac:dyDescent="0.3">
      <c r="A218" t="s">
        <v>796</v>
      </c>
      <c r="B218" t="s">
        <v>2058</v>
      </c>
      <c r="C218" t="s">
        <v>2050</v>
      </c>
      <c r="D218">
        <v>65.239999999999995</v>
      </c>
      <c r="E218">
        <v>0.71</v>
      </c>
      <c r="F218">
        <v>107.1</v>
      </c>
      <c r="G218" t="b">
        <v>1</v>
      </c>
      <c r="H218" t="b">
        <v>1</v>
      </c>
      <c r="I218">
        <v>1915</v>
      </c>
      <c r="J218">
        <v>9.1408114558472544</v>
      </c>
    </row>
    <row r="219" spans="1:10" x14ac:dyDescent="0.3">
      <c r="A219" t="s">
        <v>797</v>
      </c>
      <c r="B219" t="s">
        <v>2059</v>
      </c>
      <c r="C219" t="s">
        <v>2058</v>
      </c>
      <c r="D219">
        <v>2.92</v>
      </c>
      <c r="E219">
        <v>0.36399999999999999</v>
      </c>
      <c r="F219">
        <v>132.5</v>
      </c>
      <c r="G219" t="b">
        <v>1</v>
      </c>
      <c r="H219" t="b">
        <v>1</v>
      </c>
      <c r="I219">
        <v>3354</v>
      </c>
      <c r="J219">
        <v>16.009546539379471</v>
      </c>
    </row>
    <row r="220" spans="1:10" x14ac:dyDescent="0.3">
      <c r="A220" t="s">
        <v>798</v>
      </c>
      <c r="B220" t="s">
        <v>2060</v>
      </c>
      <c r="C220" t="s">
        <v>2061</v>
      </c>
      <c r="D220">
        <v>5.45</v>
      </c>
      <c r="E220">
        <v>0.71</v>
      </c>
      <c r="F220">
        <v>107.1</v>
      </c>
      <c r="G220" t="b">
        <v>1</v>
      </c>
      <c r="H220" t="b">
        <v>1</v>
      </c>
      <c r="I220">
        <v>1915</v>
      </c>
      <c r="J220">
        <v>9.1408114558472544</v>
      </c>
    </row>
    <row r="221" spans="1:10" x14ac:dyDescent="0.3">
      <c r="A221" t="s">
        <v>799</v>
      </c>
      <c r="B221" t="s">
        <v>2061</v>
      </c>
      <c r="C221" t="s">
        <v>400</v>
      </c>
      <c r="D221">
        <v>48.38</v>
      </c>
      <c r="E221">
        <v>1</v>
      </c>
      <c r="F221">
        <v>100</v>
      </c>
      <c r="G221" t="b">
        <v>1</v>
      </c>
      <c r="H221" t="b">
        <v>1</v>
      </c>
      <c r="I221">
        <v>1915</v>
      </c>
      <c r="J221">
        <v>9.1408114558472544</v>
      </c>
    </row>
    <row r="222" spans="1:10" x14ac:dyDescent="0.3">
      <c r="A222" t="s">
        <v>800</v>
      </c>
      <c r="B222" t="s">
        <v>2062</v>
      </c>
      <c r="C222" t="s">
        <v>2073</v>
      </c>
      <c r="D222">
        <v>0.84</v>
      </c>
      <c r="E222">
        <v>0.48299999999999998</v>
      </c>
      <c r="F222">
        <v>210.1</v>
      </c>
      <c r="G222" t="b">
        <v>1</v>
      </c>
      <c r="H222" t="b">
        <v>1</v>
      </c>
      <c r="I222">
        <v>11253</v>
      </c>
      <c r="J222">
        <v>53.713603818615738</v>
      </c>
    </row>
    <row r="223" spans="1:10" x14ac:dyDescent="0.3">
      <c r="A223" t="s">
        <v>801</v>
      </c>
      <c r="B223" t="s">
        <v>2063</v>
      </c>
      <c r="C223" t="s">
        <v>1993</v>
      </c>
      <c r="D223">
        <v>4.08</v>
      </c>
      <c r="E223">
        <v>0.29299999999999998</v>
      </c>
      <c r="F223">
        <v>210.1</v>
      </c>
      <c r="G223" t="b">
        <v>1</v>
      </c>
      <c r="H223" t="b">
        <v>1</v>
      </c>
      <c r="I223">
        <v>11253</v>
      </c>
      <c r="J223">
        <v>53.713603818615738</v>
      </c>
    </row>
    <row r="224" spans="1:10" x14ac:dyDescent="0.3">
      <c r="A224" t="s">
        <v>802</v>
      </c>
      <c r="B224" t="s">
        <v>2040</v>
      </c>
      <c r="C224" t="s">
        <v>2059</v>
      </c>
      <c r="D224">
        <v>77.77</v>
      </c>
      <c r="E224">
        <v>0.36399999999999999</v>
      </c>
      <c r="F224">
        <v>132.5</v>
      </c>
      <c r="G224" t="b">
        <v>1</v>
      </c>
      <c r="H224" t="b">
        <v>1</v>
      </c>
      <c r="I224">
        <v>3354</v>
      </c>
      <c r="J224">
        <v>16.009546539379471</v>
      </c>
    </row>
    <row r="225" spans="1:10" x14ac:dyDescent="0.3">
      <c r="A225" t="s">
        <v>803</v>
      </c>
      <c r="B225" t="s">
        <v>2046</v>
      </c>
      <c r="C225" t="s">
        <v>1957</v>
      </c>
      <c r="D225">
        <v>21.37</v>
      </c>
      <c r="E225">
        <v>0.217</v>
      </c>
      <c r="F225">
        <v>82.5</v>
      </c>
      <c r="G225" t="b">
        <v>1</v>
      </c>
      <c r="H225" t="b">
        <v>1</v>
      </c>
      <c r="I225">
        <v>962</v>
      </c>
      <c r="J225">
        <v>4.5918854415274453</v>
      </c>
    </row>
    <row r="226" spans="1:10" x14ac:dyDescent="0.3">
      <c r="A226" t="s">
        <v>804</v>
      </c>
      <c r="B226" t="s">
        <v>2064</v>
      </c>
      <c r="C226" t="s">
        <v>2506</v>
      </c>
      <c r="D226">
        <v>186.67</v>
      </c>
      <c r="E226">
        <v>0.22500000000000001</v>
      </c>
      <c r="F226">
        <v>107.1</v>
      </c>
      <c r="G226" t="b">
        <v>1</v>
      </c>
      <c r="H226" t="b">
        <v>1</v>
      </c>
      <c r="I226">
        <v>1915</v>
      </c>
      <c r="J226">
        <v>9.1408114558472544</v>
      </c>
    </row>
    <row r="227" spans="1:10" x14ac:dyDescent="0.3">
      <c r="A227" t="s">
        <v>805</v>
      </c>
      <c r="B227" t="s">
        <v>2053</v>
      </c>
      <c r="C227" t="s">
        <v>2047</v>
      </c>
      <c r="D227">
        <v>44.29</v>
      </c>
      <c r="E227">
        <v>0.32100000000000001</v>
      </c>
      <c r="F227">
        <v>312.7</v>
      </c>
      <c r="G227" t="b">
        <v>1</v>
      </c>
      <c r="H227" t="b">
        <v>1</v>
      </c>
      <c r="I227">
        <v>31872</v>
      </c>
      <c r="J227">
        <v>152.1336515513126</v>
      </c>
    </row>
    <row r="228" spans="1:10" x14ac:dyDescent="0.3">
      <c r="A228" t="s">
        <v>806</v>
      </c>
      <c r="B228" t="s">
        <v>1997</v>
      </c>
      <c r="C228" t="s">
        <v>2560</v>
      </c>
      <c r="D228">
        <v>129.97999999999999</v>
      </c>
      <c r="E228">
        <v>0.41099999999999998</v>
      </c>
      <c r="F228">
        <v>312.7</v>
      </c>
      <c r="G228" t="b">
        <v>1</v>
      </c>
      <c r="H228" t="b">
        <v>1</v>
      </c>
      <c r="I228">
        <v>31872</v>
      </c>
      <c r="J228">
        <v>152.1336515513126</v>
      </c>
    </row>
    <row r="229" spans="1:10" x14ac:dyDescent="0.3">
      <c r="A229" t="s">
        <v>807</v>
      </c>
      <c r="B229" t="s">
        <v>2065</v>
      </c>
      <c r="C229" t="s">
        <v>2118</v>
      </c>
      <c r="D229">
        <v>23.34</v>
      </c>
      <c r="E229">
        <v>0.22500000000000001</v>
      </c>
      <c r="F229">
        <v>107.1</v>
      </c>
      <c r="G229" t="b">
        <v>1</v>
      </c>
      <c r="H229" t="b">
        <v>1</v>
      </c>
      <c r="I229">
        <v>1915</v>
      </c>
      <c r="J229">
        <v>9.1408114558472544</v>
      </c>
    </row>
    <row r="230" spans="1:10" x14ac:dyDescent="0.3">
      <c r="A230" t="s">
        <v>808</v>
      </c>
      <c r="B230" t="s">
        <v>2066</v>
      </c>
      <c r="C230" t="s">
        <v>1900</v>
      </c>
      <c r="D230">
        <v>14.71</v>
      </c>
      <c r="E230">
        <v>0.29299999999999998</v>
      </c>
      <c r="F230">
        <v>210.1</v>
      </c>
      <c r="G230" t="b">
        <v>1</v>
      </c>
      <c r="H230" t="b">
        <v>1</v>
      </c>
      <c r="I230">
        <v>11253</v>
      </c>
      <c r="J230">
        <v>53.713603818615738</v>
      </c>
    </row>
    <row r="231" spans="1:10" x14ac:dyDescent="0.3">
      <c r="A231" t="s">
        <v>809</v>
      </c>
      <c r="B231" t="s">
        <v>2067</v>
      </c>
      <c r="C231" t="s">
        <v>399</v>
      </c>
      <c r="D231">
        <v>15.37</v>
      </c>
      <c r="E231">
        <v>0.16600000000000001</v>
      </c>
      <c r="F231">
        <v>43.1</v>
      </c>
      <c r="G231" t="b">
        <v>1</v>
      </c>
      <c r="H231" t="b">
        <v>1</v>
      </c>
      <c r="I231">
        <v>172</v>
      </c>
      <c r="J231">
        <v>0.82100238663484471</v>
      </c>
    </row>
    <row r="232" spans="1:10" x14ac:dyDescent="0.3">
      <c r="A232" t="s">
        <v>810</v>
      </c>
      <c r="B232" t="s">
        <v>2042</v>
      </c>
      <c r="C232" t="s">
        <v>2656</v>
      </c>
      <c r="D232">
        <v>20.58</v>
      </c>
      <c r="E232">
        <v>0.248</v>
      </c>
      <c r="F232">
        <v>70.3</v>
      </c>
      <c r="G232" t="b">
        <v>1</v>
      </c>
      <c r="H232" t="b">
        <v>1</v>
      </c>
      <c r="I232">
        <v>630</v>
      </c>
      <c r="J232">
        <v>3.007159904534606</v>
      </c>
    </row>
    <row r="233" spans="1:10" x14ac:dyDescent="0.3">
      <c r="A233" t="s">
        <v>811</v>
      </c>
      <c r="B233" t="s">
        <v>2057</v>
      </c>
      <c r="C233" t="s">
        <v>398</v>
      </c>
      <c r="D233">
        <v>53.11</v>
      </c>
      <c r="E233">
        <v>0.13400000000000001</v>
      </c>
      <c r="F233">
        <v>28.5</v>
      </c>
      <c r="G233" t="b">
        <v>1</v>
      </c>
      <c r="H233" t="b">
        <v>1</v>
      </c>
      <c r="I233">
        <v>60</v>
      </c>
      <c r="J233">
        <v>0.28639618138424822</v>
      </c>
    </row>
    <row r="234" spans="1:10" x14ac:dyDescent="0.3">
      <c r="A234" t="s">
        <v>812</v>
      </c>
      <c r="B234" t="s">
        <v>2068</v>
      </c>
      <c r="C234" t="s">
        <v>2657</v>
      </c>
      <c r="D234">
        <v>44.2</v>
      </c>
      <c r="E234">
        <v>0.83899999999999997</v>
      </c>
      <c r="F234">
        <v>160.30000000000001</v>
      </c>
      <c r="G234" t="b">
        <v>1</v>
      </c>
      <c r="H234" t="b">
        <v>1</v>
      </c>
      <c r="I234">
        <v>5533</v>
      </c>
      <c r="J234">
        <v>26.410501193317419</v>
      </c>
    </row>
    <row r="235" spans="1:10" x14ac:dyDescent="0.3">
      <c r="A235" t="s">
        <v>813</v>
      </c>
      <c r="B235" t="s">
        <v>2041</v>
      </c>
      <c r="C235" t="s">
        <v>2040</v>
      </c>
      <c r="D235">
        <v>50.81</v>
      </c>
      <c r="E235">
        <v>0.436</v>
      </c>
      <c r="F235">
        <v>160.30000000000001</v>
      </c>
      <c r="G235" t="b">
        <v>1</v>
      </c>
      <c r="H235" t="b">
        <v>1</v>
      </c>
      <c r="I235">
        <v>5533</v>
      </c>
      <c r="J235">
        <v>26.410501193317419</v>
      </c>
    </row>
    <row r="236" spans="1:10" x14ac:dyDescent="0.3">
      <c r="A236" t="s">
        <v>814</v>
      </c>
      <c r="B236" t="s">
        <v>397</v>
      </c>
      <c r="C236" t="s">
        <v>2072</v>
      </c>
      <c r="D236">
        <v>2.86</v>
      </c>
      <c r="E236">
        <v>1</v>
      </c>
      <c r="F236">
        <v>100</v>
      </c>
      <c r="G236" t="b">
        <v>1</v>
      </c>
      <c r="H236" t="b">
        <v>1</v>
      </c>
      <c r="I236">
        <v>1915</v>
      </c>
      <c r="J236">
        <v>9.1408114558472544</v>
      </c>
    </row>
    <row r="237" spans="1:10" x14ac:dyDescent="0.3">
      <c r="A237" t="s">
        <v>815</v>
      </c>
      <c r="B237" t="s">
        <v>2069</v>
      </c>
      <c r="C237" t="s">
        <v>1936</v>
      </c>
      <c r="D237">
        <v>12.59</v>
      </c>
      <c r="E237">
        <v>0.21199999999999999</v>
      </c>
      <c r="F237">
        <v>54.5</v>
      </c>
      <c r="G237" t="b">
        <v>1</v>
      </c>
      <c r="H237" t="b">
        <v>1</v>
      </c>
      <c r="I237">
        <v>321</v>
      </c>
      <c r="J237">
        <v>1.532219570405728</v>
      </c>
    </row>
    <row r="238" spans="1:10" x14ac:dyDescent="0.3">
      <c r="A238" t="s">
        <v>816</v>
      </c>
      <c r="B238" t="s">
        <v>2070</v>
      </c>
      <c r="C238" t="s">
        <v>2658</v>
      </c>
      <c r="D238">
        <v>132.72</v>
      </c>
      <c r="E238">
        <v>0.24</v>
      </c>
      <c r="F238">
        <v>70.3</v>
      </c>
      <c r="G238" t="b">
        <v>1</v>
      </c>
      <c r="H238" t="b">
        <v>1</v>
      </c>
      <c r="I238">
        <v>630</v>
      </c>
      <c r="J238">
        <v>3.007159904534606</v>
      </c>
    </row>
    <row r="239" spans="1:10" x14ac:dyDescent="0.3">
      <c r="A239" t="s">
        <v>817</v>
      </c>
      <c r="B239" t="s">
        <v>2071</v>
      </c>
      <c r="C239" t="s">
        <v>396</v>
      </c>
      <c r="D239">
        <v>24.31</v>
      </c>
      <c r="E239">
        <v>0.16600000000000001</v>
      </c>
      <c r="F239">
        <v>43.1</v>
      </c>
      <c r="G239" t="b">
        <v>1</v>
      </c>
      <c r="H239" t="b">
        <v>1</v>
      </c>
      <c r="I239">
        <v>172</v>
      </c>
      <c r="J239">
        <v>0.82100238663484471</v>
      </c>
    </row>
    <row r="240" spans="1:10" x14ac:dyDescent="0.3">
      <c r="A240" t="s">
        <v>818</v>
      </c>
      <c r="B240" t="s">
        <v>2072</v>
      </c>
      <c r="C240" t="s">
        <v>395</v>
      </c>
      <c r="D240">
        <v>73.38</v>
      </c>
      <c r="E240">
        <v>1</v>
      </c>
      <c r="F240">
        <v>100</v>
      </c>
      <c r="G240" t="b">
        <v>1</v>
      </c>
      <c r="H240" t="b">
        <v>1</v>
      </c>
      <c r="I240">
        <v>1915</v>
      </c>
      <c r="J240">
        <v>9.1408114558472544</v>
      </c>
    </row>
    <row r="241" spans="1:10" x14ac:dyDescent="0.3">
      <c r="A241" t="s">
        <v>819</v>
      </c>
      <c r="B241" t="s">
        <v>2059</v>
      </c>
      <c r="C241" t="s">
        <v>2072</v>
      </c>
      <c r="D241">
        <v>55.67</v>
      </c>
      <c r="E241">
        <v>0.77500000000000002</v>
      </c>
      <c r="F241">
        <v>132.5</v>
      </c>
      <c r="G241" t="b">
        <v>1</v>
      </c>
      <c r="H241" t="b">
        <v>1</v>
      </c>
      <c r="I241">
        <v>3354</v>
      </c>
      <c r="J241">
        <v>16.009546539379471</v>
      </c>
    </row>
    <row r="242" spans="1:10" x14ac:dyDescent="0.3">
      <c r="A242" t="s">
        <v>820</v>
      </c>
      <c r="B242" t="s">
        <v>1932</v>
      </c>
      <c r="C242" t="s">
        <v>2070</v>
      </c>
      <c r="D242">
        <v>23.54</v>
      </c>
      <c r="E242">
        <v>0.217</v>
      </c>
      <c r="F242">
        <v>82.5</v>
      </c>
      <c r="G242" t="b">
        <v>1</v>
      </c>
      <c r="H242" t="b">
        <v>1</v>
      </c>
      <c r="I242">
        <v>962</v>
      </c>
      <c r="J242">
        <v>4.5918854415274453</v>
      </c>
    </row>
    <row r="243" spans="1:10" x14ac:dyDescent="0.3">
      <c r="A243" t="s">
        <v>821</v>
      </c>
      <c r="B243" t="s">
        <v>1895</v>
      </c>
      <c r="C243" t="s">
        <v>1952</v>
      </c>
      <c r="D243">
        <v>78.22</v>
      </c>
      <c r="E243">
        <v>0.217</v>
      </c>
      <c r="F243">
        <v>82.5</v>
      </c>
      <c r="G243" t="b">
        <v>1</v>
      </c>
      <c r="H243" t="b">
        <v>1</v>
      </c>
      <c r="I243">
        <v>962</v>
      </c>
      <c r="J243">
        <v>4.5918854415274453</v>
      </c>
    </row>
    <row r="244" spans="1:10" x14ac:dyDescent="0.3">
      <c r="A244" t="s">
        <v>822</v>
      </c>
      <c r="B244" t="s">
        <v>2069</v>
      </c>
      <c r="C244" t="s">
        <v>1895</v>
      </c>
      <c r="D244">
        <v>61.45</v>
      </c>
      <c r="E244">
        <v>0.217</v>
      </c>
      <c r="F244">
        <v>82.5</v>
      </c>
      <c r="G244" t="b">
        <v>1</v>
      </c>
      <c r="H244" t="b">
        <v>1</v>
      </c>
      <c r="I244">
        <v>962</v>
      </c>
      <c r="J244">
        <v>4.5918854415274453</v>
      </c>
    </row>
    <row r="245" spans="1:10" x14ac:dyDescent="0.3">
      <c r="A245" t="s">
        <v>823</v>
      </c>
      <c r="B245" t="s">
        <v>2073</v>
      </c>
      <c r="C245" t="s">
        <v>2659</v>
      </c>
      <c r="D245">
        <v>5.32</v>
      </c>
      <c r="E245">
        <v>0.63300000000000001</v>
      </c>
      <c r="F245">
        <v>54.5</v>
      </c>
      <c r="G245" t="b">
        <v>1</v>
      </c>
      <c r="H245" t="b">
        <v>1</v>
      </c>
      <c r="I245">
        <v>321</v>
      </c>
      <c r="J245">
        <v>1.532219570405728</v>
      </c>
    </row>
    <row r="246" spans="1:10" x14ac:dyDescent="0.3">
      <c r="A246" t="s">
        <v>824</v>
      </c>
      <c r="B246" t="s">
        <v>2073</v>
      </c>
      <c r="C246" t="s">
        <v>2657</v>
      </c>
      <c r="D246">
        <v>40.92</v>
      </c>
      <c r="E246">
        <v>0.48299999999999998</v>
      </c>
      <c r="F246">
        <v>210.1</v>
      </c>
      <c r="G246" t="b">
        <v>1</v>
      </c>
      <c r="H246" t="b">
        <v>1</v>
      </c>
      <c r="I246">
        <v>11253</v>
      </c>
      <c r="J246">
        <v>53.713603818615738</v>
      </c>
    </row>
    <row r="247" spans="1:10" x14ac:dyDescent="0.3">
      <c r="A247" t="s">
        <v>825</v>
      </c>
      <c r="B247" t="s">
        <v>2060</v>
      </c>
      <c r="C247" t="s">
        <v>2076</v>
      </c>
      <c r="D247">
        <v>48.74</v>
      </c>
      <c r="E247">
        <v>0.71</v>
      </c>
      <c r="F247">
        <v>107.1</v>
      </c>
      <c r="G247" t="b">
        <v>1</v>
      </c>
      <c r="H247" t="b">
        <v>1</v>
      </c>
      <c r="I247">
        <v>1915</v>
      </c>
      <c r="J247">
        <v>9.1408114558472544</v>
      </c>
    </row>
    <row r="248" spans="1:10" x14ac:dyDescent="0.3">
      <c r="A248" t="s">
        <v>826</v>
      </c>
      <c r="B248" t="s">
        <v>2074</v>
      </c>
      <c r="C248" t="s">
        <v>2660</v>
      </c>
      <c r="D248">
        <v>6.3</v>
      </c>
      <c r="E248">
        <v>0.28199999999999997</v>
      </c>
      <c r="F248">
        <v>160.30000000000001</v>
      </c>
      <c r="G248" t="b">
        <v>1</v>
      </c>
      <c r="H248" t="b">
        <v>1</v>
      </c>
      <c r="I248">
        <v>5533</v>
      </c>
      <c r="J248">
        <v>26.410501193317419</v>
      </c>
    </row>
    <row r="249" spans="1:10" x14ac:dyDescent="0.3">
      <c r="A249" t="s">
        <v>827</v>
      </c>
      <c r="B249" t="s">
        <v>2075</v>
      </c>
      <c r="C249" t="s">
        <v>1943</v>
      </c>
      <c r="D249">
        <v>2090.23</v>
      </c>
      <c r="E249">
        <v>0.35499999999999998</v>
      </c>
      <c r="F249">
        <v>263</v>
      </c>
      <c r="G249" t="b">
        <v>1</v>
      </c>
      <c r="H249" t="b">
        <v>1</v>
      </c>
      <c r="I249">
        <v>20264</v>
      </c>
      <c r="J249">
        <v>96.725536992840077</v>
      </c>
    </row>
    <row r="250" spans="1:10" x14ac:dyDescent="0.3">
      <c r="A250" t="s">
        <v>828</v>
      </c>
      <c r="B250" t="s">
        <v>2076</v>
      </c>
      <c r="C250" t="s">
        <v>401</v>
      </c>
      <c r="D250">
        <v>15.11</v>
      </c>
      <c r="E250">
        <v>0.71</v>
      </c>
      <c r="F250">
        <v>107.1</v>
      </c>
      <c r="G250" t="b">
        <v>1</v>
      </c>
      <c r="H250" t="b">
        <v>1</v>
      </c>
      <c r="I250">
        <v>1915</v>
      </c>
      <c r="J250">
        <v>9.1408114558472544</v>
      </c>
    </row>
    <row r="251" spans="1:10" x14ac:dyDescent="0.3">
      <c r="A251" t="s">
        <v>829</v>
      </c>
      <c r="B251" t="s">
        <v>2076</v>
      </c>
      <c r="C251" t="s">
        <v>394</v>
      </c>
      <c r="D251">
        <v>32.270000000000003</v>
      </c>
      <c r="E251">
        <v>1</v>
      </c>
      <c r="F251">
        <v>100</v>
      </c>
      <c r="G251" t="b">
        <v>1</v>
      </c>
      <c r="H251" t="b">
        <v>1</v>
      </c>
      <c r="I251">
        <v>1915</v>
      </c>
      <c r="J251">
        <v>9.1408114558472544</v>
      </c>
    </row>
    <row r="252" spans="1:10" x14ac:dyDescent="0.3">
      <c r="A252" t="s">
        <v>830</v>
      </c>
      <c r="B252" t="s">
        <v>2077</v>
      </c>
      <c r="C252" t="s">
        <v>2051</v>
      </c>
      <c r="D252">
        <v>147.32</v>
      </c>
      <c r="E252">
        <v>0.36399999999999999</v>
      </c>
      <c r="F252">
        <v>132.5</v>
      </c>
      <c r="G252" t="b">
        <v>1</v>
      </c>
      <c r="H252" t="b">
        <v>1</v>
      </c>
      <c r="I252">
        <v>3354</v>
      </c>
      <c r="J252">
        <v>16.009546539379471</v>
      </c>
    </row>
    <row r="253" spans="1:10" x14ac:dyDescent="0.3">
      <c r="A253" t="s">
        <v>831</v>
      </c>
      <c r="B253" t="s">
        <v>2062</v>
      </c>
      <c r="C253" t="s">
        <v>2077</v>
      </c>
      <c r="D253">
        <v>0.28000000000000003</v>
      </c>
      <c r="E253">
        <v>0.83899999999999997</v>
      </c>
      <c r="F253">
        <v>160.30000000000001</v>
      </c>
      <c r="G253" t="b">
        <v>1</v>
      </c>
      <c r="H253" t="b">
        <v>1</v>
      </c>
      <c r="I253">
        <v>5533</v>
      </c>
      <c r="J253">
        <v>26.410501193317419</v>
      </c>
    </row>
    <row r="254" spans="1:10" x14ac:dyDescent="0.3">
      <c r="A254" t="s">
        <v>832</v>
      </c>
      <c r="B254" t="s">
        <v>2078</v>
      </c>
      <c r="C254" t="s">
        <v>393</v>
      </c>
      <c r="D254">
        <v>50.23</v>
      </c>
      <c r="E254">
        <v>0.18</v>
      </c>
      <c r="F254">
        <v>54.5</v>
      </c>
      <c r="G254" t="b">
        <v>1</v>
      </c>
      <c r="H254" t="b">
        <v>1</v>
      </c>
      <c r="I254">
        <v>321</v>
      </c>
      <c r="J254">
        <v>1.532219570405728</v>
      </c>
    </row>
    <row r="255" spans="1:10" x14ac:dyDescent="0.3">
      <c r="A255" t="s">
        <v>833</v>
      </c>
      <c r="B255" t="s">
        <v>2065</v>
      </c>
      <c r="C255" t="s">
        <v>392</v>
      </c>
      <c r="D255">
        <v>61.86</v>
      </c>
      <c r="E255">
        <v>0.16600000000000001</v>
      </c>
      <c r="F255">
        <v>43.1</v>
      </c>
      <c r="G255" t="b">
        <v>1</v>
      </c>
      <c r="H255" t="b">
        <v>1</v>
      </c>
      <c r="I255">
        <v>172</v>
      </c>
      <c r="J255">
        <v>0.82100238663484471</v>
      </c>
    </row>
    <row r="256" spans="1:10" x14ac:dyDescent="0.3">
      <c r="A256" t="s">
        <v>834</v>
      </c>
      <c r="B256" t="s">
        <v>1943</v>
      </c>
      <c r="C256" t="s">
        <v>2190</v>
      </c>
      <c r="D256">
        <v>585.98</v>
      </c>
      <c r="E256">
        <v>0.28199999999999997</v>
      </c>
      <c r="F256">
        <v>160.30000000000001</v>
      </c>
      <c r="G256" t="b">
        <v>1</v>
      </c>
      <c r="H256" t="b">
        <v>1</v>
      </c>
      <c r="I256">
        <v>5533</v>
      </c>
      <c r="J256">
        <v>26.410501193317419</v>
      </c>
    </row>
    <row r="257" spans="1:10" x14ac:dyDescent="0.3">
      <c r="A257" t="s">
        <v>835</v>
      </c>
      <c r="B257" t="s">
        <v>2079</v>
      </c>
      <c r="C257" t="s">
        <v>389</v>
      </c>
      <c r="D257">
        <v>43.86</v>
      </c>
      <c r="E257">
        <v>0.18</v>
      </c>
      <c r="F257">
        <v>54.5</v>
      </c>
      <c r="G257" t="b">
        <v>1</v>
      </c>
      <c r="H257" t="b">
        <v>1</v>
      </c>
      <c r="I257">
        <v>321</v>
      </c>
      <c r="J257">
        <v>1.532219570405728</v>
      </c>
    </row>
    <row r="258" spans="1:10" x14ac:dyDescent="0.3">
      <c r="A258" t="s">
        <v>836</v>
      </c>
      <c r="B258" t="s">
        <v>2080</v>
      </c>
      <c r="C258" t="s">
        <v>387</v>
      </c>
      <c r="D258">
        <v>11.23</v>
      </c>
      <c r="E258">
        <v>0.16600000000000001</v>
      </c>
      <c r="F258">
        <v>43.1</v>
      </c>
      <c r="G258" t="b">
        <v>1</v>
      </c>
      <c r="H258" t="b">
        <v>1</v>
      </c>
      <c r="I258">
        <v>172</v>
      </c>
      <c r="J258">
        <v>0.82100238663484471</v>
      </c>
    </row>
    <row r="259" spans="1:10" x14ac:dyDescent="0.3">
      <c r="A259" t="s">
        <v>837</v>
      </c>
      <c r="B259" t="s">
        <v>2081</v>
      </c>
      <c r="C259" t="s">
        <v>386</v>
      </c>
      <c r="D259">
        <v>11.27</v>
      </c>
      <c r="E259">
        <v>0.18</v>
      </c>
      <c r="F259">
        <v>54.5</v>
      </c>
      <c r="G259" t="b">
        <v>1</v>
      </c>
      <c r="H259" t="b">
        <v>1</v>
      </c>
      <c r="I259">
        <v>321</v>
      </c>
      <c r="J259">
        <v>1.532219570405728</v>
      </c>
    </row>
    <row r="260" spans="1:10" x14ac:dyDescent="0.3">
      <c r="A260" t="s">
        <v>838</v>
      </c>
      <c r="B260" t="s">
        <v>2082</v>
      </c>
      <c r="C260" t="s">
        <v>385</v>
      </c>
      <c r="D260">
        <v>28.05</v>
      </c>
      <c r="E260">
        <v>0.16600000000000001</v>
      </c>
      <c r="F260">
        <v>43.1</v>
      </c>
      <c r="G260" t="b">
        <v>1</v>
      </c>
      <c r="H260" t="b">
        <v>1</v>
      </c>
      <c r="I260">
        <v>172</v>
      </c>
      <c r="J260">
        <v>0.82100238663484471</v>
      </c>
    </row>
    <row r="261" spans="1:10" x14ac:dyDescent="0.3">
      <c r="A261" t="s">
        <v>839</v>
      </c>
      <c r="B261" t="s">
        <v>2082</v>
      </c>
      <c r="C261" t="s">
        <v>2102</v>
      </c>
      <c r="D261">
        <v>36.619999999999997</v>
      </c>
      <c r="E261">
        <v>0.35499999999999998</v>
      </c>
      <c r="F261">
        <v>263</v>
      </c>
      <c r="G261" t="b">
        <v>1</v>
      </c>
      <c r="H261" t="b">
        <v>1</v>
      </c>
      <c r="I261">
        <v>20264</v>
      </c>
      <c r="J261">
        <v>96.725536992840077</v>
      </c>
    </row>
    <row r="262" spans="1:10" x14ac:dyDescent="0.3">
      <c r="A262" t="s">
        <v>840</v>
      </c>
      <c r="B262" t="s">
        <v>2083</v>
      </c>
      <c r="C262" t="s">
        <v>2115</v>
      </c>
      <c r="D262">
        <v>178.17</v>
      </c>
      <c r="E262">
        <v>0.29299999999999998</v>
      </c>
      <c r="F262">
        <v>210.1</v>
      </c>
      <c r="G262" t="b">
        <v>1</v>
      </c>
      <c r="H262" t="b">
        <v>1</v>
      </c>
      <c r="I262">
        <v>11253</v>
      </c>
      <c r="J262">
        <v>53.713603818615738</v>
      </c>
    </row>
    <row r="263" spans="1:10" x14ac:dyDescent="0.3">
      <c r="A263" t="s">
        <v>841</v>
      </c>
      <c r="B263" t="s">
        <v>2084</v>
      </c>
      <c r="C263" t="s">
        <v>2091</v>
      </c>
      <c r="D263">
        <v>1.76</v>
      </c>
      <c r="E263">
        <v>0.13400000000000001</v>
      </c>
      <c r="F263">
        <v>28.5</v>
      </c>
      <c r="G263" t="b">
        <v>1</v>
      </c>
      <c r="H263" t="b">
        <v>1</v>
      </c>
      <c r="I263">
        <v>60</v>
      </c>
      <c r="J263">
        <v>0.28639618138424822</v>
      </c>
    </row>
    <row r="264" spans="1:10" x14ac:dyDescent="0.3">
      <c r="A264" t="s">
        <v>842</v>
      </c>
      <c r="B264" t="s">
        <v>2085</v>
      </c>
      <c r="C264" t="s">
        <v>383</v>
      </c>
      <c r="D264">
        <v>34.64</v>
      </c>
      <c r="E264">
        <v>0.21299999999999999</v>
      </c>
      <c r="F264">
        <v>54.5</v>
      </c>
      <c r="G264" t="b">
        <v>1</v>
      </c>
      <c r="H264" t="b">
        <v>1</v>
      </c>
      <c r="I264">
        <v>321</v>
      </c>
      <c r="J264">
        <v>1.532219570405728</v>
      </c>
    </row>
    <row r="265" spans="1:10" x14ac:dyDescent="0.3">
      <c r="A265" t="s">
        <v>843</v>
      </c>
      <c r="B265" t="s">
        <v>2086</v>
      </c>
      <c r="C265" t="s">
        <v>380</v>
      </c>
      <c r="D265">
        <v>29.28</v>
      </c>
      <c r="E265">
        <v>0.18</v>
      </c>
      <c r="F265">
        <v>54.5</v>
      </c>
      <c r="G265" t="b">
        <v>1</v>
      </c>
      <c r="H265" t="b">
        <v>1</v>
      </c>
      <c r="I265">
        <v>321</v>
      </c>
      <c r="J265">
        <v>1.532219570405728</v>
      </c>
    </row>
    <row r="266" spans="1:10" x14ac:dyDescent="0.3">
      <c r="A266" t="s">
        <v>844</v>
      </c>
      <c r="B266" t="s">
        <v>2087</v>
      </c>
      <c r="C266" t="s">
        <v>2661</v>
      </c>
      <c r="D266">
        <v>20</v>
      </c>
      <c r="E266">
        <v>0.18</v>
      </c>
      <c r="F266">
        <v>54.5</v>
      </c>
      <c r="G266" t="b">
        <v>1</v>
      </c>
      <c r="H266" t="b">
        <v>1</v>
      </c>
      <c r="I266">
        <v>321</v>
      </c>
      <c r="J266">
        <v>1.532219570405728</v>
      </c>
    </row>
    <row r="267" spans="1:10" x14ac:dyDescent="0.3">
      <c r="A267" t="s">
        <v>845</v>
      </c>
      <c r="B267" t="s">
        <v>2088</v>
      </c>
      <c r="C267" t="s">
        <v>382</v>
      </c>
      <c r="D267">
        <v>38.700000000000003</v>
      </c>
      <c r="E267">
        <v>0.18</v>
      </c>
      <c r="F267">
        <v>54.5</v>
      </c>
      <c r="G267" t="b">
        <v>1</v>
      </c>
      <c r="H267" t="b">
        <v>1</v>
      </c>
      <c r="I267">
        <v>321</v>
      </c>
      <c r="J267">
        <v>1.532219570405728</v>
      </c>
    </row>
    <row r="268" spans="1:10" x14ac:dyDescent="0.3">
      <c r="A268" t="s">
        <v>846</v>
      </c>
      <c r="B268" t="s">
        <v>2089</v>
      </c>
      <c r="C268" t="s">
        <v>1999</v>
      </c>
      <c r="D268">
        <v>159.97</v>
      </c>
      <c r="E268">
        <v>0.29299999999999998</v>
      </c>
      <c r="F268">
        <v>210.1</v>
      </c>
      <c r="G268" t="b">
        <v>1</v>
      </c>
      <c r="H268" t="b">
        <v>1</v>
      </c>
      <c r="I268">
        <v>11253</v>
      </c>
      <c r="J268">
        <v>53.713603818615738</v>
      </c>
    </row>
    <row r="269" spans="1:10" x14ac:dyDescent="0.3">
      <c r="A269" t="s">
        <v>847</v>
      </c>
      <c r="B269" t="s">
        <v>2090</v>
      </c>
      <c r="C269" t="s">
        <v>379</v>
      </c>
      <c r="D269">
        <v>55.31</v>
      </c>
      <c r="E269">
        <v>0.16600000000000001</v>
      </c>
      <c r="F269">
        <v>43.1</v>
      </c>
      <c r="G269" t="b">
        <v>1</v>
      </c>
      <c r="H269" t="b">
        <v>1</v>
      </c>
      <c r="I269">
        <v>172</v>
      </c>
      <c r="J269">
        <v>0.82100238663484471</v>
      </c>
    </row>
    <row r="270" spans="1:10" x14ac:dyDescent="0.3">
      <c r="A270" t="s">
        <v>848</v>
      </c>
      <c r="B270" t="s">
        <v>2090</v>
      </c>
      <c r="C270" t="s">
        <v>2095</v>
      </c>
      <c r="D270">
        <v>122.78</v>
      </c>
      <c r="E270">
        <v>0.22500000000000001</v>
      </c>
      <c r="F270">
        <v>107.1</v>
      </c>
      <c r="G270" t="b">
        <v>1</v>
      </c>
      <c r="H270" t="b">
        <v>1</v>
      </c>
      <c r="I270">
        <v>1915</v>
      </c>
      <c r="J270">
        <v>9.1408114558472544</v>
      </c>
    </row>
    <row r="271" spans="1:10" x14ac:dyDescent="0.3">
      <c r="A271" t="s">
        <v>849</v>
      </c>
      <c r="B271" t="s">
        <v>2091</v>
      </c>
      <c r="C271" t="s">
        <v>378</v>
      </c>
      <c r="D271">
        <v>33.450000000000003</v>
      </c>
      <c r="E271">
        <v>0.13400000000000001</v>
      </c>
      <c r="F271">
        <v>28.5</v>
      </c>
      <c r="G271" t="b">
        <v>1</v>
      </c>
      <c r="H271" t="b">
        <v>1</v>
      </c>
      <c r="I271">
        <v>60</v>
      </c>
      <c r="J271">
        <v>0.28639618138424822</v>
      </c>
    </row>
    <row r="272" spans="1:10" x14ac:dyDescent="0.3">
      <c r="A272" t="s">
        <v>850</v>
      </c>
      <c r="B272" t="s">
        <v>2092</v>
      </c>
      <c r="C272" t="s">
        <v>377</v>
      </c>
      <c r="D272">
        <v>10.92</v>
      </c>
      <c r="E272">
        <v>0.22500000000000001</v>
      </c>
      <c r="F272">
        <v>107.1</v>
      </c>
      <c r="G272" t="b">
        <v>1</v>
      </c>
      <c r="H272" t="b">
        <v>1</v>
      </c>
      <c r="I272">
        <v>1915</v>
      </c>
      <c r="J272">
        <v>9.1408114558472544</v>
      </c>
    </row>
    <row r="273" spans="1:10" x14ac:dyDescent="0.3">
      <c r="A273" t="s">
        <v>851</v>
      </c>
      <c r="B273" t="s">
        <v>2092</v>
      </c>
      <c r="C273" t="s">
        <v>2082</v>
      </c>
      <c r="D273">
        <v>3.47</v>
      </c>
      <c r="E273">
        <v>0.35499999999999998</v>
      </c>
      <c r="F273">
        <v>263</v>
      </c>
      <c r="G273" t="b">
        <v>1</v>
      </c>
      <c r="H273" t="b">
        <v>1</v>
      </c>
      <c r="I273">
        <v>20264</v>
      </c>
      <c r="J273">
        <v>96.725536992840077</v>
      </c>
    </row>
    <row r="274" spans="1:10" x14ac:dyDescent="0.3">
      <c r="A274" t="s">
        <v>852</v>
      </c>
      <c r="B274" t="s">
        <v>2093</v>
      </c>
      <c r="C274" t="s">
        <v>384</v>
      </c>
      <c r="D274">
        <v>35.65</v>
      </c>
      <c r="E274">
        <v>0.18</v>
      </c>
      <c r="F274">
        <v>54.5</v>
      </c>
      <c r="G274" t="b">
        <v>1</v>
      </c>
      <c r="H274" t="b">
        <v>1</v>
      </c>
      <c r="I274">
        <v>321</v>
      </c>
      <c r="J274">
        <v>1.532219570405728</v>
      </c>
    </row>
    <row r="275" spans="1:10" x14ac:dyDescent="0.3">
      <c r="A275" t="s">
        <v>853</v>
      </c>
      <c r="B275" t="s">
        <v>2094</v>
      </c>
      <c r="C275" t="s">
        <v>376</v>
      </c>
      <c r="D275">
        <v>32.15</v>
      </c>
      <c r="E275">
        <v>0.13400000000000001</v>
      </c>
      <c r="F275">
        <v>28.5</v>
      </c>
      <c r="G275" t="b">
        <v>1</v>
      </c>
      <c r="H275" t="b">
        <v>1</v>
      </c>
      <c r="I275">
        <v>60</v>
      </c>
      <c r="J275">
        <v>0.28639618138424822</v>
      </c>
    </row>
    <row r="276" spans="1:10" x14ac:dyDescent="0.3">
      <c r="A276" t="s">
        <v>854</v>
      </c>
      <c r="B276" t="s">
        <v>2095</v>
      </c>
      <c r="C276" t="s">
        <v>375</v>
      </c>
      <c r="D276">
        <v>31.54</v>
      </c>
      <c r="E276">
        <v>0.16600000000000001</v>
      </c>
      <c r="F276">
        <v>43.1</v>
      </c>
      <c r="G276" t="b">
        <v>1</v>
      </c>
      <c r="H276" t="b">
        <v>1</v>
      </c>
      <c r="I276">
        <v>172</v>
      </c>
      <c r="J276">
        <v>0.82100238663484471</v>
      </c>
    </row>
    <row r="277" spans="1:10" x14ac:dyDescent="0.3">
      <c r="A277" t="s">
        <v>855</v>
      </c>
      <c r="B277" t="s">
        <v>2096</v>
      </c>
      <c r="C277" t="s">
        <v>374</v>
      </c>
      <c r="D277">
        <v>124.58</v>
      </c>
      <c r="E277">
        <v>0.20499999999999999</v>
      </c>
      <c r="F277">
        <v>70.3</v>
      </c>
      <c r="G277" t="b">
        <v>1</v>
      </c>
      <c r="H277" t="b">
        <v>1</v>
      </c>
      <c r="I277">
        <v>630</v>
      </c>
      <c r="J277">
        <v>3.007159904534606</v>
      </c>
    </row>
    <row r="278" spans="1:10" x14ac:dyDescent="0.3">
      <c r="A278" t="s">
        <v>856</v>
      </c>
      <c r="B278" t="s">
        <v>2097</v>
      </c>
      <c r="C278" t="s">
        <v>373</v>
      </c>
      <c r="D278">
        <v>74.52</v>
      </c>
      <c r="E278">
        <v>0.187</v>
      </c>
      <c r="F278">
        <v>43.1</v>
      </c>
      <c r="G278" t="b">
        <v>1</v>
      </c>
      <c r="H278" t="b">
        <v>1</v>
      </c>
      <c r="I278">
        <v>172</v>
      </c>
      <c r="J278">
        <v>0.82100238663484471</v>
      </c>
    </row>
    <row r="279" spans="1:10" x14ac:dyDescent="0.3">
      <c r="A279" t="s">
        <v>857</v>
      </c>
      <c r="B279" t="s">
        <v>1918</v>
      </c>
      <c r="C279" t="s">
        <v>2049</v>
      </c>
      <c r="D279">
        <v>32.61</v>
      </c>
      <c r="E279">
        <v>0.18</v>
      </c>
      <c r="F279">
        <v>54.5</v>
      </c>
      <c r="G279" t="b">
        <v>1</v>
      </c>
      <c r="H279" t="b">
        <v>1</v>
      </c>
      <c r="I279">
        <v>321</v>
      </c>
      <c r="J279">
        <v>1.532219570405728</v>
      </c>
    </row>
    <row r="280" spans="1:10" x14ac:dyDescent="0.3">
      <c r="A280" t="s">
        <v>858</v>
      </c>
      <c r="B280" t="s">
        <v>2078</v>
      </c>
      <c r="C280" t="s">
        <v>2052</v>
      </c>
      <c r="D280">
        <v>32.299999999999997</v>
      </c>
      <c r="E280">
        <v>0.20499999999999999</v>
      </c>
      <c r="F280">
        <v>70.3</v>
      </c>
      <c r="G280" t="b">
        <v>1</v>
      </c>
      <c r="H280" t="b">
        <v>1</v>
      </c>
      <c r="I280">
        <v>630</v>
      </c>
      <c r="J280">
        <v>3.007159904534606</v>
      </c>
    </row>
    <row r="281" spans="1:10" x14ac:dyDescent="0.3">
      <c r="A281" t="s">
        <v>859</v>
      </c>
      <c r="B281" t="s">
        <v>2098</v>
      </c>
      <c r="C281" t="s">
        <v>2015</v>
      </c>
      <c r="D281">
        <v>18.809999999999999</v>
      </c>
      <c r="E281">
        <v>0.20499999999999999</v>
      </c>
      <c r="F281">
        <v>70.3</v>
      </c>
      <c r="G281" t="b">
        <v>1</v>
      </c>
      <c r="H281" t="b">
        <v>1</v>
      </c>
      <c r="I281">
        <v>630</v>
      </c>
      <c r="J281">
        <v>3.007159904534606</v>
      </c>
    </row>
    <row r="282" spans="1:10" x14ac:dyDescent="0.3">
      <c r="A282" t="s">
        <v>860</v>
      </c>
      <c r="B282" t="s">
        <v>2099</v>
      </c>
      <c r="C282" t="s">
        <v>2103</v>
      </c>
      <c r="D282">
        <v>81.83</v>
      </c>
      <c r="E282">
        <v>0.20499999999999999</v>
      </c>
      <c r="F282">
        <v>70.3</v>
      </c>
      <c r="G282" t="b">
        <v>1</v>
      </c>
      <c r="H282" t="b">
        <v>1</v>
      </c>
      <c r="I282">
        <v>630</v>
      </c>
      <c r="J282">
        <v>3.007159904534606</v>
      </c>
    </row>
    <row r="283" spans="1:10" x14ac:dyDescent="0.3">
      <c r="A283" t="s">
        <v>861</v>
      </c>
      <c r="B283" t="s">
        <v>2100</v>
      </c>
      <c r="C283" t="s">
        <v>2098</v>
      </c>
      <c r="D283">
        <v>27.01</v>
      </c>
      <c r="E283">
        <v>0.20499999999999999</v>
      </c>
      <c r="F283">
        <v>70.3</v>
      </c>
      <c r="G283" t="b">
        <v>1</v>
      </c>
      <c r="H283" t="b">
        <v>1</v>
      </c>
      <c r="I283">
        <v>630</v>
      </c>
      <c r="J283">
        <v>3.007159904534606</v>
      </c>
    </row>
    <row r="284" spans="1:10" x14ac:dyDescent="0.3">
      <c r="A284" t="s">
        <v>862</v>
      </c>
      <c r="B284" t="s">
        <v>2101</v>
      </c>
      <c r="C284" t="s">
        <v>2662</v>
      </c>
      <c r="D284">
        <v>60.03</v>
      </c>
      <c r="E284">
        <v>0.32100000000000001</v>
      </c>
      <c r="F284">
        <v>312.7</v>
      </c>
      <c r="G284" t="b">
        <v>1</v>
      </c>
      <c r="H284" t="b">
        <v>1</v>
      </c>
      <c r="I284">
        <v>31872</v>
      </c>
      <c r="J284">
        <v>152.1336515513126</v>
      </c>
    </row>
    <row r="285" spans="1:10" x14ac:dyDescent="0.3">
      <c r="A285" t="s">
        <v>863</v>
      </c>
      <c r="B285" t="s">
        <v>2047</v>
      </c>
      <c r="C285" t="s">
        <v>371</v>
      </c>
      <c r="D285">
        <v>18.63</v>
      </c>
      <c r="E285">
        <v>0.16600000000000001</v>
      </c>
      <c r="F285">
        <v>43.1</v>
      </c>
      <c r="G285" t="b">
        <v>1</v>
      </c>
      <c r="H285" t="b">
        <v>1</v>
      </c>
      <c r="I285">
        <v>172</v>
      </c>
      <c r="J285">
        <v>0.82100238663484471</v>
      </c>
    </row>
    <row r="286" spans="1:10" x14ac:dyDescent="0.3">
      <c r="A286" t="s">
        <v>864</v>
      </c>
      <c r="B286" t="s">
        <v>2102</v>
      </c>
      <c r="C286" t="s">
        <v>372</v>
      </c>
      <c r="D286">
        <v>16.420000000000002</v>
      </c>
      <c r="E286">
        <v>0.16600000000000001</v>
      </c>
      <c r="F286">
        <v>43.1</v>
      </c>
      <c r="G286" t="b">
        <v>1</v>
      </c>
      <c r="H286" t="b">
        <v>1</v>
      </c>
      <c r="I286">
        <v>172</v>
      </c>
      <c r="J286">
        <v>0.82100238663484471</v>
      </c>
    </row>
    <row r="287" spans="1:10" x14ac:dyDescent="0.3">
      <c r="A287" t="s">
        <v>865</v>
      </c>
      <c r="B287" t="s">
        <v>2103</v>
      </c>
      <c r="C287" t="s">
        <v>370</v>
      </c>
      <c r="D287">
        <v>21.71</v>
      </c>
      <c r="E287">
        <v>0.18</v>
      </c>
      <c r="F287">
        <v>54.5</v>
      </c>
      <c r="G287" t="b">
        <v>1</v>
      </c>
      <c r="H287" t="b">
        <v>1</v>
      </c>
      <c r="I287">
        <v>321</v>
      </c>
      <c r="J287">
        <v>1.532219570405728</v>
      </c>
    </row>
    <row r="288" spans="1:10" x14ac:dyDescent="0.3">
      <c r="A288" t="s">
        <v>866</v>
      </c>
      <c r="B288" t="s">
        <v>2104</v>
      </c>
      <c r="C288" t="s">
        <v>1912</v>
      </c>
      <c r="D288">
        <v>27.56</v>
      </c>
      <c r="E288">
        <v>0.20499999999999999</v>
      </c>
      <c r="F288">
        <v>70.3</v>
      </c>
      <c r="G288" t="b">
        <v>1</v>
      </c>
      <c r="H288" t="b">
        <v>1</v>
      </c>
      <c r="I288">
        <v>630</v>
      </c>
      <c r="J288">
        <v>3.007159904534606</v>
      </c>
    </row>
    <row r="289" spans="1:10" x14ac:dyDescent="0.3">
      <c r="A289" t="s">
        <v>867</v>
      </c>
      <c r="B289" t="s">
        <v>2103</v>
      </c>
      <c r="C289" t="s">
        <v>2078</v>
      </c>
      <c r="D289">
        <v>1.87</v>
      </c>
      <c r="E289">
        <v>0.20499999999999999</v>
      </c>
      <c r="F289">
        <v>70.3</v>
      </c>
      <c r="G289" t="b">
        <v>1</v>
      </c>
      <c r="H289" t="b">
        <v>1</v>
      </c>
      <c r="I289">
        <v>630</v>
      </c>
      <c r="J289">
        <v>3.007159904534606</v>
      </c>
    </row>
    <row r="290" spans="1:10" x14ac:dyDescent="0.3">
      <c r="A290" t="s">
        <v>868</v>
      </c>
      <c r="B290" t="s">
        <v>2052</v>
      </c>
      <c r="C290" t="s">
        <v>2100</v>
      </c>
      <c r="D290">
        <v>12.43</v>
      </c>
      <c r="E290">
        <v>0.20499999999999999</v>
      </c>
      <c r="F290">
        <v>70.3</v>
      </c>
      <c r="G290" t="b">
        <v>1</v>
      </c>
      <c r="H290" t="b">
        <v>1</v>
      </c>
      <c r="I290">
        <v>630</v>
      </c>
      <c r="J290">
        <v>3.007159904534606</v>
      </c>
    </row>
    <row r="291" spans="1:10" x14ac:dyDescent="0.3">
      <c r="A291" t="s">
        <v>869</v>
      </c>
      <c r="B291" t="s">
        <v>1949</v>
      </c>
      <c r="C291" t="s">
        <v>2100</v>
      </c>
      <c r="D291">
        <v>34.01</v>
      </c>
      <c r="E291">
        <v>0.18</v>
      </c>
      <c r="F291">
        <v>54.5</v>
      </c>
      <c r="G291" t="b">
        <v>1</v>
      </c>
      <c r="H291" t="b">
        <v>1</v>
      </c>
      <c r="I291">
        <v>321</v>
      </c>
      <c r="J291">
        <v>1.532219570405728</v>
      </c>
    </row>
    <row r="292" spans="1:10" x14ac:dyDescent="0.3">
      <c r="A292" t="s">
        <v>870</v>
      </c>
      <c r="B292" t="s">
        <v>2015</v>
      </c>
      <c r="C292" t="s">
        <v>2107</v>
      </c>
      <c r="D292">
        <v>66.08</v>
      </c>
      <c r="E292">
        <v>0.20499999999999999</v>
      </c>
      <c r="F292">
        <v>70.3</v>
      </c>
      <c r="G292" t="b">
        <v>1</v>
      </c>
      <c r="H292" t="b">
        <v>1</v>
      </c>
      <c r="I292">
        <v>630</v>
      </c>
      <c r="J292">
        <v>3.007159904534606</v>
      </c>
    </row>
    <row r="293" spans="1:10" x14ac:dyDescent="0.3">
      <c r="A293" t="s">
        <v>871</v>
      </c>
      <c r="B293" t="s">
        <v>2105</v>
      </c>
      <c r="C293" t="s">
        <v>2104</v>
      </c>
      <c r="D293">
        <v>59.54</v>
      </c>
      <c r="E293">
        <v>0.20499999999999999</v>
      </c>
      <c r="F293">
        <v>70.3</v>
      </c>
      <c r="G293" t="b">
        <v>1</v>
      </c>
      <c r="H293" t="b">
        <v>1</v>
      </c>
      <c r="I293">
        <v>630</v>
      </c>
      <c r="J293">
        <v>3.007159904534606</v>
      </c>
    </row>
    <row r="294" spans="1:10" x14ac:dyDescent="0.3">
      <c r="A294" t="s">
        <v>872</v>
      </c>
      <c r="B294" t="s">
        <v>2098</v>
      </c>
      <c r="C294" t="s">
        <v>409</v>
      </c>
      <c r="D294">
        <v>106.04</v>
      </c>
      <c r="E294">
        <v>0.18</v>
      </c>
      <c r="F294">
        <v>54.5</v>
      </c>
      <c r="G294" t="b">
        <v>1</v>
      </c>
      <c r="H294" t="b">
        <v>1</v>
      </c>
      <c r="I294">
        <v>321</v>
      </c>
      <c r="J294">
        <v>1.532219570405728</v>
      </c>
    </row>
    <row r="295" spans="1:10" x14ac:dyDescent="0.3">
      <c r="A295" t="s">
        <v>873</v>
      </c>
      <c r="B295" t="s">
        <v>2106</v>
      </c>
      <c r="C295" t="s">
        <v>434</v>
      </c>
      <c r="D295">
        <v>67.569999999999993</v>
      </c>
      <c r="E295">
        <v>0.18</v>
      </c>
      <c r="F295">
        <v>54.5</v>
      </c>
      <c r="G295" t="b">
        <v>1</v>
      </c>
      <c r="H295" t="b">
        <v>1</v>
      </c>
      <c r="I295">
        <v>321</v>
      </c>
      <c r="J295">
        <v>1.532219570405728</v>
      </c>
    </row>
    <row r="296" spans="1:10" x14ac:dyDescent="0.3">
      <c r="A296" t="s">
        <v>874</v>
      </c>
      <c r="B296" t="s">
        <v>2104</v>
      </c>
      <c r="C296" t="s">
        <v>1988</v>
      </c>
      <c r="D296">
        <v>12.21</v>
      </c>
      <c r="E296">
        <v>0.18</v>
      </c>
      <c r="F296">
        <v>54.5</v>
      </c>
      <c r="G296" t="b">
        <v>1</v>
      </c>
      <c r="H296" t="b">
        <v>1</v>
      </c>
      <c r="I296">
        <v>321</v>
      </c>
      <c r="J296">
        <v>1.532219570405728</v>
      </c>
    </row>
    <row r="297" spans="1:10" x14ac:dyDescent="0.3">
      <c r="A297" t="s">
        <v>875</v>
      </c>
      <c r="B297" t="s">
        <v>2107</v>
      </c>
      <c r="C297" t="s">
        <v>2085</v>
      </c>
      <c r="D297">
        <v>20.93</v>
      </c>
      <c r="E297">
        <v>0.20499999999999999</v>
      </c>
      <c r="F297">
        <v>70.3</v>
      </c>
      <c r="G297" t="b">
        <v>1</v>
      </c>
      <c r="H297" t="b">
        <v>1</v>
      </c>
      <c r="I297">
        <v>630</v>
      </c>
      <c r="J297">
        <v>3.007159904534606</v>
      </c>
    </row>
    <row r="298" spans="1:10" x14ac:dyDescent="0.3">
      <c r="A298" t="s">
        <v>876</v>
      </c>
      <c r="B298" t="s">
        <v>2106</v>
      </c>
      <c r="C298" t="s">
        <v>2107</v>
      </c>
      <c r="D298">
        <v>2.94</v>
      </c>
      <c r="E298">
        <v>0.20499999999999999</v>
      </c>
      <c r="F298">
        <v>70.3</v>
      </c>
      <c r="G298" t="b">
        <v>1</v>
      </c>
      <c r="H298" t="b">
        <v>1</v>
      </c>
      <c r="I298">
        <v>630</v>
      </c>
      <c r="J298">
        <v>3.007159904534606</v>
      </c>
    </row>
    <row r="299" spans="1:10" x14ac:dyDescent="0.3">
      <c r="A299" t="s">
        <v>877</v>
      </c>
      <c r="B299" t="s">
        <v>2108</v>
      </c>
      <c r="C299" t="s">
        <v>2106</v>
      </c>
      <c r="D299">
        <v>20.79</v>
      </c>
      <c r="E299">
        <v>0.20499999999999999</v>
      </c>
      <c r="F299">
        <v>70.3</v>
      </c>
      <c r="G299" t="b">
        <v>1</v>
      </c>
      <c r="H299" t="b">
        <v>1</v>
      </c>
      <c r="I299">
        <v>630</v>
      </c>
      <c r="J299">
        <v>3.007159904534606</v>
      </c>
    </row>
    <row r="300" spans="1:10" x14ac:dyDescent="0.3">
      <c r="A300" t="s">
        <v>878</v>
      </c>
      <c r="B300" t="s">
        <v>1912</v>
      </c>
      <c r="C300" t="s">
        <v>2108</v>
      </c>
      <c r="D300">
        <v>70.510000000000005</v>
      </c>
      <c r="E300">
        <v>0.20499999999999999</v>
      </c>
      <c r="F300">
        <v>70.3</v>
      </c>
      <c r="G300" t="b">
        <v>1</v>
      </c>
      <c r="H300" t="b">
        <v>1</v>
      </c>
      <c r="I300">
        <v>630</v>
      </c>
      <c r="J300">
        <v>3.007159904534606</v>
      </c>
    </row>
    <row r="301" spans="1:10" x14ac:dyDescent="0.3">
      <c r="A301" t="s">
        <v>879</v>
      </c>
      <c r="B301" t="s">
        <v>2109</v>
      </c>
      <c r="C301" t="s">
        <v>361</v>
      </c>
      <c r="D301">
        <v>100.54</v>
      </c>
      <c r="E301">
        <v>0.16600000000000001</v>
      </c>
      <c r="F301">
        <v>43.1</v>
      </c>
      <c r="G301" t="b">
        <v>1</v>
      </c>
      <c r="H301" t="b">
        <v>1</v>
      </c>
      <c r="I301">
        <v>172</v>
      </c>
      <c r="J301">
        <v>0.82100238663484471</v>
      </c>
    </row>
    <row r="302" spans="1:10" x14ac:dyDescent="0.3">
      <c r="A302" t="s">
        <v>880</v>
      </c>
      <c r="B302" t="s">
        <v>2110</v>
      </c>
      <c r="C302" t="s">
        <v>2466</v>
      </c>
      <c r="D302">
        <v>80.319999999999993</v>
      </c>
      <c r="E302">
        <v>0.20499999999999999</v>
      </c>
      <c r="F302">
        <v>70.3</v>
      </c>
      <c r="G302" t="b">
        <v>1</v>
      </c>
      <c r="H302" t="b">
        <v>1</v>
      </c>
      <c r="I302">
        <v>630</v>
      </c>
      <c r="J302">
        <v>3.007159904534606</v>
      </c>
    </row>
    <row r="303" spans="1:10" x14ac:dyDescent="0.3">
      <c r="A303" t="s">
        <v>881</v>
      </c>
      <c r="B303" t="s">
        <v>2111</v>
      </c>
      <c r="C303" t="s">
        <v>2465</v>
      </c>
      <c r="D303">
        <v>20.04</v>
      </c>
      <c r="E303">
        <v>0.35499999999999998</v>
      </c>
      <c r="F303">
        <v>263</v>
      </c>
      <c r="G303" t="b">
        <v>1</v>
      </c>
      <c r="H303" t="b">
        <v>1</v>
      </c>
      <c r="I303">
        <v>20264</v>
      </c>
      <c r="J303">
        <v>96.725536992840077</v>
      </c>
    </row>
    <row r="304" spans="1:10" x14ac:dyDescent="0.3">
      <c r="A304" t="s">
        <v>882</v>
      </c>
      <c r="B304" t="s">
        <v>2009</v>
      </c>
      <c r="C304" t="s">
        <v>368</v>
      </c>
      <c r="D304">
        <v>121.17</v>
      </c>
      <c r="E304">
        <v>0.18</v>
      </c>
      <c r="F304">
        <v>54.5</v>
      </c>
      <c r="G304" t="b">
        <v>1</v>
      </c>
      <c r="H304" t="b">
        <v>1</v>
      </c>
      <c r="I304">
        <v>321</v>
      </c>
      <c r="J304">
        <v>1.532219570405728</v>
      </c>
    </row>
    <row r="305" spans="1:10" x14ac:dyDescent="0.3">
      <c r="A305" t="s">
        <v>883</v>
      </c>
      <c r="B305" t="s">
        <v>2112</v>
      </c>
      <c r="C305" t="s">
        <v>2116</v>
      </c>
      <c r="D305">
        <v>3</v>
      </c>
      <c r="E305">
        <v>0.18</v>
      </c>
      <c r="F305">
        <v>54.5</v>
      </c>
      <c r="G305" t="b">
        <v>1</v>
      </c>
      <c r="H305" t="b">
        <v>1</v>
      </c>
      <c r="I305">
        <v>321</v>
      </c>
      <c r="J305">
        <v>1.532219570405728</v>
      </c>
    </row>
    <row r="306" spans="1:10" x14ac:dyDescent="0.3">
      <c r="A306" t="s">
        <v>884</v>
      </c>
      <c r="B306" t="s">
        <v>2108</v>
      </c>
      <c r="C306" t="s">
        <v>367</v>
      </c>
      <c r="D306">
        <v>6.16</v>
      </c>
      <c r="E306">
        <v>0.13400000000000001</v>
      </c>
      <c r="F306">
        <v>28.5</v>
      </c>
      <c r="G306" t="b">
        <v>1</v>
      </c>
      <c r="H306" t="b">
        <v>1</v>
      </c>
      <c r="I306">
        <v>60</v>
      </c>
      <c r="J306">
        <v>0.28639618138424822</v>
      </c>
    </row>
    <row r="307" spans="1:10" x14ac:dyDescent="0.3">
      <c r="A307" t="s">
        <v>885</v>
      </c>
      <c r="B307" t="s">
        <v>2113</v>
      </c>
      <c r="C307" t="s">
        <v>366</v>
      </c>
      <c r="D307">
        <v>36.64</v>
      </c>
      <c r="E307">
        <v>0.16600000000000001</v>
      </c>
      <c r="F307">
        <v>43.1</v>
      </c>
      <c r="G307" t="b">
        <v>1</v>
      </c>
      <c r="H307" t="b">
        <v>1</v>
      </c>
      <c r="I307">
        <v>172</v>
      </c>
      <c r="J307">
        <v>0.82100238663484471</v>
      </c>
    </row>
    <row r="308" spans="1:10" x14ac:dyDescent="0.3">
      <c r="A308" t="s">
        <v>886</v>
      </c>
      <c r="B308" t="s">
        <v>2114</v>
      </c>
      <c r="C308" t="s">
        <v>2341</v>
      </c>
      <c r="D308">
        <v>26.21</v>
      </c>
      <c r="E308">
        <v>0.22500000000000001</v>
      </c>
      <c r="F308">
        <v>107.1</v>
      </c>
      <c r="G308" t="b">
        <v>1</v>
      </c>
      <c r="H308" t="b">
        <v>1</v>
      </c>
      <c r="I308">
        <v>1915</v>
      </c>
      <c r="J308">
        <v>9.1408114558472544</v>
      </c>
    </row>
    <row r="309" spans="1:10" x14ac:dyDescent="0.3">
      <c r="A309" t="s">
        <v>887</v>
      </c>
      <c r="B309" t="s">
        <v>2115</v>
      </c>
      <c r="C309" t="s">
        <v>66</v>
      </c>
      <c r="D309">
        <v>203.51</v>
      </c>
      <c r="E309">
        <v>0.35499999999999998</v>
      </c>
      <c r="F309">
        <v>263</v>
      </c>
      <c r="G309" t="b">
        <v>1</v>
      </c>
      <c r="H309" t="b">
        <v>1</v>
      </c>
      <c r="I309">
        <v>20264</v>
      </c>
      <c r="J309">
        <v>96.725536992840077</v>
      </c>
    </row>
    <row r="310" spans="1:10" x14ac:dyDescent="0.3">
      <c r="A310" t="s">
        <v>888</v>
      </c>
      <c r="B310" t="s">
        <v>2116</v>
      </c>
      <c r="C310" t="s">
        <v>2363</v>
      </c>
      <c r="D310">
        <v>49.83</v>
      </c>
      <c r="E310">
        <v>0.25900000000000001</v>
      </c>
      <c r="F310">
        <v>82.5</v>
      </c>
      <c r="G310" t="b">
        <v>1</v>
      </c>
      <c r="H310" t="b">
        <v>1</v>
      </c>
      <c r="I310">
        <v>962</v>
      </c>
      <c r="J310">
        <v>4.5918854415274453</v>
      </c>
    </row>
    <row r="311" spans="1:10" x14ac:dyDescent="0.3">
      <c r="A311" t="s">
        <v>889</v>
      </c>
      <c r="B311" t="s">
        <v>2112</v>
      </c>
      <c r="C311" t="s">
        <v>364</v>
      </c>
      <c r="D311">
        <v>9.5500000000000007</v>
      </c>
      <c r="E311">
        <v>0.21299999999999999</v>
      </c>
      <c r="F311">
        <v>54.5</v>
      </c>
      <c r="G311" t="b">
        <v>1</v>
      </c>
      <c r="H311" t="b">
        <v>1</v>
      </c>
      <c r="I311">
        <v>321</v>
      </c>
      <c r="J311">
        <v>1.532219570405728</v>
      </c>
    </row>
    <row r="312" spans="1:10" x14ac:dyDescent="0.3">
      <c r="A312" t="s">
        <v>890</v>
      </c>
      <c r="B312" t="s">
        <v>2117</v>
      </c>
      <c r="C312" t="s">
        <v>363</v>
      </c>
      <c r="D312">
        <v>13.08</v>
      </c>
      <c r="E312">
        <v>0.18</v>
      </c>
      <c r="F312">
        <v>54.5</v>
      </c>
      <c r="G312" t="b">
        <v>1</v>
      </c>
      <c r="H312" t="b">
        <v>1</v>
      </c>
      <c r="I312">
        <v>321</v>
      </c>
      <c r="J312">
        <v>1.532219570405728</v>
      </c>
    </row>
    <row r="313" spans="1:10" x14ac:dyDescent="0.3">
      <c r="A313" t="s">
        <v>891</v>
      </c>
      <c r="B313" t="s">
        <v>2118</v>
      </c>
      <c r="C313" t="s">
        <v>2117</v>
      </c>
      <c r="D313">
        <v>20.92</v>
      </c>
      <c r="E313">
        <v>0.217</v>
      </c>
      <c r="F313">
        <v>82.5</v>
      </c>
      <c r="G313" t="b">
        <v>1</v>
      </c>
      <c r="H313" t="b">
        <v>1</v>
      </c>
      <c r="I313">
        <v>962</v>
      </c>
      <c r="J313">
        <v>4.5918854415274453</v>
      </c>
    </row>
    <row r="314" spans="1:10" x14ac:dyDescent="0.3">
      <c r="A314" t="s">
        <v>892</v>
      </c>
      <c r="B314" t="s">
        <v>2119</v>
      </c>
      <c r="C314" t="s">
        <v>362</v>
      </c>
      <c r="D314">
        <v>4.3899999999999997</v>
      </c>
      <c r="E314">
        <v>0.217</v>
      </c>
      <c r="F314">
        <v>82.5</v>
      </c>
      <c r="G314" t="b">
        <v>1</v>
      </c>
      <c r="H314" t="b">
        <v>1</v>
      </c>
      <c r="I314">
        <v>962</v>
      </c>
      <c r="J314">
        <v>4.5918854415274453</v>
      </c>
    </row>
    <row r="315" spans="1:10" x14ac:dyDescent="0.3">
      <c r="A315" t="s">
        <v>893</v>
      </c>
      <c r="B315" t="s">
        <v>2120</v>
      </c>
      <c r="C315" t="s">
        <v>369</v>
      </c>
      <c r="D315">
        <v>26.69</v>
      </c>
      <c r="E315">
        <v>0.13400000000000001</v>
      </c>
      <c r="F315">
        <v>28.5</v>
      </c>
      <c r="G315" t="b">
        <v>1</v>
      </c>
      <c r="H315" t="b">
        <v>1</v>
      </c>
      <c r="I315">
        <v>60</v>
      </c>
      <c r="J315">
        <v>0.28639618138424822</v>
      </c>
    </row>
    <row r="316" spans="1:10" x14ac:dyDescent="0.3">
      <c r="A316" t="s">
        <v>894</v>
      </c>
      <c r="B316" t="s">
        <v>2121</v>
      </c>
      <c r="C316" t="s">
        <v>2074</v>
      </c>
      <c r="D316">
        <v>127.1</v>
      </c>
      <c r="E316">
        <v>0.28199999999999997</v>
      </c>
      <c r="F316">
        <v>160.30000000000001</v>
      </c>
      <c r="G316" t="b">
        <v>1</v>
      </c>
      <c r="H316" t="b">
        <v>1</v>
      </c>
      <c r="I316">
        <v>5533</v>
      </c>
      <c r="J316">
        <v>26.410501193317419</v>
      </c>
    </row>
    <row r="317" spans="1:10" x14ac:dyDescent="0.3">
      <c r="A317" t="s">
        <v>895</v>
      </c>
      <c r="B317" t="s">
        <v>2122</v>
      </c>
      <c r="C317" t="s">
        <v>359</v>
      </c>
      <c r="D317">
        <v>22.49</v>
      </c>
      <c r="E317">
        <v>0.13400000000000001</v>
      </c>
      <c r="F317">
        <v>28.5</v>
      </c>
      <c r="G317" t="b">
        <v>1</v>
      </c>
      <c r="H317" t="b">
        <v>1</v>
      </c>
      <c r="I317">
        <v>60</v>
      </c>
      <c r="J317">
        <v>0.28639618138424822</v>
      </c>
    </row>
    <row r="318" spans="1:10" x14ac:dyDescent="0.3">
      <c r="A318" t="s">
        <v>896</v>
      </c>
      <c r="B318" t="s">
        <v>2111</v>
      </c>
      <c r="C318" t="s">
        <v>2126</v>
      </c>
      <c r="D318">
        <v>1344.46</v>
      </c>
      <c r="E318">
        <v>0.29299999999999998</v>
      </c>
      <c r="F318">
        <v>210.1</v>
      </c>
      <c r="G318" t="b">
        <v>1</v>
      </c>
      <c r="H318" t="b">
        <v>1</v>
      </c>
      <c r="I318">
        <v>11253</v>
      </c>
      <c r="J318">
        <v>53.713603818615738</v>
      </c>
    </row>
    <row r="319" spans="1:10" x14ac:dyDescent="0.3">
      <c r="A319" t="s">
        <v>897</v>
      </c>
      <c r="B319" t="s">
        <v>2083</v>
      </c>
      <c r="C319" t="s">
        <v>2128</v>
      </c>
      <c r="D319">
        <v>3.93</v>
      </c>
      <c r="E319">
        <v>0.217</v>
      </c>
      <c r="F319">
        <v>82.5</v>
      </c>
      <c r="G319" t="b">
        <v>1</v>
      </c>
      <c r="H319" t="b">
        <v>1</v>
      </c>
      <c r="I319">
        <v>962</v>
      </c>
      <c r="J319">
        <v>4.5918854415274453</v>
      </c>
    </row>
    <row r="320" spans="1:10" x14ac:dyDescent="0.3">
      <c r="A320" t="s">
        <v>898</v>
      </c>
      <c r="B320" t="s">
        <v>2121</v>
      </c>
      <c r="C320" t="s">
        <v>2132</v>
      </c>
      <c r="D320">
        <v>239.89</v>
      </c>
      <c r="E320">
        <v>0.41099999999999998</v>
      </c>
      <c r="F320">
        <v>312.7</v>
      </c>
      <c r="G320" t="b">
        <v>1</v>
      </c>
      <c r="H320" t="b">
        <v>1</v>
      </c>
      <c r="I320">
        <v>31872</v>
      </c>
      <c r="J320">
        <v>152.1336515513126</v>
      </c>
    </row>
    <row r="321" spans="1:10" x14ac:dyDescent="0.3">
      <c r="A321" t="s">
        <v>899</v>
      </c>
      <c r="B321" t="s">
        <v>2123</v>
      </c>
      <c r="C321" t="s">
        <v>358</v>
      </c>
      <c r="D321">
        <v>18.55</v>
      </c>
      <c r="E321">
        <v>0.16600000000000001</v>
      </c>
      <c r="F321">
        <v>43.1</v>
      </c>
      <c r="G321" t="b">
        <v>1</v>
      </c>
      <c r="H321" t="b">
        <v>1</v>
      </c>
      <c r="I321">
        <v>172</v>
      </c>
      <c r="J321">
        <v>0.82100238663484471</v>
      </c>
    </row>
    <row r="322" spans="1:10" x14ac:dyDescent="0.3">
      <c r="A322" t="s">
        <v>900</v>
      </c>
      <c r="B322" t="s">
        <v>2124</v>
      </c>
      <c r="C322" t="s">
        <v>357</v>
      </c>
      <c r="D322">
        <v>11.6</v>
      </c>
      <c r="E322">
        <v>0.13400000000000001</v>
      </c>
      <c r="F322">
        <v>28.5</v>
      </c>
      <c r="G322" t="b">
        <v>1</v>
      </c>
      <c r="H322" t="b">
        <v>1</v>
      </c>
      <c r="I322">
        <v>60</v>
      </c>
      <c r="J322">
        <v>0.28639618138424822</v>
      </c>
    </row>
    <row r="323" spans="1:10" x14ac:dyDescent="0.3">
      <c r="A323" t="s">
        <v>901</v>
      </c>
      <c r="B323" t="s">
        <v>2079</v>
      </c>
      <c r="C323" t="s">
        <v>2115</v>
      </c>
      <c r="D323">
        <v>38.11</v>
      </c>
      <c r="E323">
        <v>0.35499999999999998</v>
      </c>
      <c r="F323">
        <v>263</v>
      </c>
      <c r="G323" t="b">
        <v>1</v>
      </c>
      <c r="H323" t="b">
        <v>1</v>
      </c>
      <c r="I323">
        <v>20264</v>
      </c>
      <c r="J323">
        <v>96.725536992840077</v>
      </c>
    </row>
    <row r="324" spans="1:10" x14ac:dyDescent="0.3">
      <c r="A324" t="s">
        <v>902</v>
      </c>
      <c r="B324" t="s">
        <v>2081</v>
      </c>
      <c r="C324" t="s">
        <v>2079</v>
      </c>
      <c r="D324">
        <v>158.69</v>
      </c>
      <c r="E324">
        <v>0.35499999999999998</v>
      </c>
      <c r="F324">
        <v>263</v>
      </c>
      <c r="G324" t="b">
        <v>1</v>
      </c>
      <c r="H324" t="b">
        <v>1</v>
      </c>
      <c r="I324">
        <v>20264</v>
      </c>
      <c r="J324">
        <v>96.725536992840077</v>
      </c>
    </row>
    <row r="325" spans="1:10" x14ac:dyDescent="0.3">
      <c r="A325" t="s">
        <v>903</v>
      </c>
      <c r="B325" t="s">
        <v>2019</v>
      </c>
      <c r="C325" t="s">
        <v>381</v>
      </c>
      <c r="D325">
        <v>33.99</v>
      </c>
      <c r="E325">
        <v>0.217</v>
      </c>
      <c r="F325">
        <v>82.5</v>
      </c>
      <c r="G325" t="b">
        <v>1</v>
      </c>
      <c r="H325" t="b">
        <v>1</v>
      </c>
      <c r="I325">
        <v>962</v>
      </c>
      <c r="J325">
        <v>4.5918854415274453</v>
      </c>
    </row>
    <row r="326" spans="1:10" x14ac:dyDescent="0.3">
      <c r="A326" t="s">
        <v>904</v>
      </c>
      <c r="B326" t="s">
        <v>2125</v>
      </c>
      <c r="C326" t="s">
        <v>2019</v>
      </c>
      <c r="D326">
        <v>8.92</v>
      </c>
      <c r="E326">
        <v>0.217</v>
      </c>
      <c r="F326">
        <v>82.5</v>
      </c>
      <c r="G326" t="b">
        <v>1</v>
      </c>
      <c r="H326" t="b">
        <v>1</v>
      </c>
      <c r="I326">
        <v>962</v>
      </c>
      <c r="J326">
        <v>4.5918854415274453</v>
      </c>
    </row>
    <row r="327" spans="1:10" x14ac:dyDescent="0.3">
      <c r="A327" t="s">
        <v>905</v>
      </c>
      <c r="B327" t="s">
        <v>2126</v>
      </c>
      <c r="C327" t="s">
        <v>2075</v>
      </c>
      <c r="D327">
        <v>0.52</v>
      </c>
      <c r="E327">
        <v>0.29299999999999998</v>
      </c>
      <c r="F327">
        <v>210.1</v>
      </c>
      <c r="G327" t="b">
        <v>1</v>
      </c>
      <c r="H327" t="b">
        <v>1</v>
      </c>
      <c r="I327">
        <v>11253</v>
      </c>
      <c r="J327">
        <v>53.713603818615738</v>
      </c>
    </row>
    <row r="328" spans="1:10" x14ac:dyDescent="0.3">
      <c r="A328" t="s">
        <v>906</v>
      </c>
      <c r="B328" t="s">
        <v>2127</v>
      </c>
      <c r="C328" t="s">
        <v>2126</v>
      </c>
      <c r="D328">
        <v>19.690000000000001</v>
      </c>
      <c r="E328">
        <v>0.28199999999999997</v>
      </c>
      <c r="F328">
        <v>160.30000000000001</v>
      </c>
      <c r="G328" t="b">
        <v>1</v>
      </c>
      <c r="H328" t="b">
        <v>1</v>
      </c>
      <c r="I328">
        <v>5533</v>
      </c>
      <c r="J328">
        <v>26.410501193317419</v>
      </c>
    </row>
    <row r="329" spans="1:10" x14ac:dyDescent="0.3">
      <c r="A329" t="s">
        <v>907</v>
      </c>
      <c r="B329" t="s">
        <v>2128</v>
      </c>
      <c r="C329" t="s">
        <v>2663</v>
      </c>
      <c r="D329">
        <v>11.07</v>
      </c>
      <c r="E329">
        <v>0.29299999999999998</v>
      </c>
      <c r="F329">
        <v>210.1</v>
      </c>
      <c r="G329" t="b">
        <v>1</v>
      </c>
      <c r="H329" t="b">
        <v>1</v>
      </c>
      <c r="I329">
        <v>11253</v>
      </c>
      <c r="J329">
        <v>53.713603818615738</v>
      </c>
    </row>
    <row r="330" spans="1:10" x14ac:dyDescent="0.3">
      <c r="A330" t="s">
        <v>908</v>
      </c>
      <c r="B330" t="s">
        <v>2129</v>
      </c>
      <c r="C330" t="s">
        <v>2289</v>
      </c>
      <c r="D330">
        <v>42.71</v>
      </c>
      <c r="E330">
        <v>0.18</v>
      </c>
      <c r="F330">
        <v>54.5</v>
      </c>
      <c r="G330" t="b">
        <v>1</v>
      </c>
      <c r="H330" t="b">
        <v>1</v>
      </c>
      <c r="I330">
        <v>321</v>
      </c>
      <c r="J330">
        <v>1.532219570405728</v>
      </c>
    </row>
    <row r="331" spans="1:10" x14ac:dyDescent="0.3">
      <c r="A331" t="s">
        <v>909</v>
      </c>
      <c r="B331" t="s">
        <v>2130</v>
      </c>
      <c r="C331" t="s">
        <v>2304</v>
      </c>
      <c r="D331">
        <v>19.52</v>
      </c>
      <c r="E331">
        <v>0.18</v>
      </c>
      <c r="F331">
        <v>54.5</v>
      </c>
      <c r="G331" t="b">
        <v>1</v>
      </c>
      <c r="H331" t="b">
        <v>1</v>
      </c>
      <c r="I331">
        <v>321</v>
      </c>
      <c r="J331">
        <v>1.532219570405728</v>
      </c>
    </row>
    <row r="332" spans="1:10" x14ac:dyDescent="0.3">
      <c r="A332" t="s">
        <v>910</v>
      </c>
      <c r="B332" t="s">
        <v>2131</v>
      </c>
      <c r="C332" t="s">
        <v>2092</v>
      </c>
      <c r="D332">
        <v>42.5</v>
      </c>
      <c r="E332">
        <v>0.35499999999999998</v>
      </c>
      <c r="F332">
        <v>263</v>
      </c>
      <c r="G332" t="b">
        <v>1</v>
      </c>
      <c r="H332" t="b">
        <v>1</v>
      </c>
      <c r="I332">
        <v>20264</v>
      </c>
      <c r="J332">
        <v>96.725536992840077</v>
      </c>
    </row>
    <row r="333" spans="1:10" x14ac:dyDescent="0.3">
      <c r="A333" t="s">
        <v>911</v>
      </c>
      <c r="B333" t="s">
        <v>2132</v>
      </c>
      <c r="C333" t="s">
        <v>2131</v>
      </c>
      <c r="D333">
        <v>36.5</v>
      </c>
      <c r="E333">
        <v>0.35499999999999998</v>
      </c>
      <c r="F333">
        <v>263</v>
      </c>
      <c r="G333" t="b">
        <v>1</v>
      </c>
      <c r="H333" t="b">
        <v>1</v>
      </c>
      <c r="I333">
        <v>20264</v>
      </c>
      <c r="J333">
        <v>96.725536992840077</v>
      </c>
    </row>
    <row r="334" spans="1:10" x14ac:dyDescent="0.3">
      <c r="A334" t="s">
        <v>912</v>
      </c>
      <c r="B334" t="s">
        <v>2133</v>
      </c>
      <c r="C334" t="s">
        <v>2308</v>
      </c>
      <c r="D334">
        <v>19.22</v>
      </c>
      <c r="E334">
        <v>0.254</v>
      </c>
      <c r="F334">
        <v>132.5</v>
      </c>
      <c r="G334" t="b">
        <v>1</v>
      </c>
      <c r="H334" t="b">
        <v>1</v>
      </c>
      <c r="I334">
        <v>3354</v>
      </c>
      <c r="J334">
        <v>16.009546539379471</v>
      </c>
    </row>
    <row r="335" spans="1:10" x14ac:dyDescent="0.3">
      <c r="A335" t="s">
        <v>913</v>
      </c>
      <c r="B335" t="s">
        <v>2134</v>
      </c>
      <c r="C335" t="s">
        <v>2297</v>
      </c>
      <c r="D335">
        <v>23.23</v>
      </c>
      <c r="E335">
        <v>0.217</v>
      </c>
      <c r="F335">
        <v>82.5</v>
      </c>
      <c r="G335" t="b">
        <v>1</v>
      </c>
      <c r="H335" t="b">
        <v>1</v>
      </c>
      <c r="I335">
        <v>962</v>
      </c>
      <c r="J335">
        <v>4.5918854415274453</v>
      </c>
    </row>
    <row r="336" spans="1:10" x14ac:dyDescent="0.3">
      <c r="A336" t="s">
        <v>914</v>
      </c>
      <c r="B336" t="s">
        <v>2135</v>
      </c>
      <c r="C336" t="s">
        <v>2256</v>
      </c>
      <c r="D336">
        <v>23.16</v>
      </c>
      <c r="E336">
        <v>0.20499999999999999</v>
      </c>
      <c r="F336">
        <v>70.3</v>
      </c>
      <c r="G336" t="b">
        <v>1</v>
      </c>
      <c r="H336" t="b">
        <v>1</v>
      </c>
      <c r="I336">
        <v>630</v>
      </c>
      <c r="J336">
        <v>3.007159904534606</v>
      </c>
    </row>
    <row r="337" spans="1:10" x14ac:dyDescent="0.3">
      <c r="A337" t="s">
        <v>915</v>
      </c>
      <c r="B337" t="s">
        <v>2136</v>
      </c>
      <c r="C337" t="s">
        <v>355</v>
      </c>
      <c r="D337">
        <v>25.28</v>
      </c>
      <c r="E337">
        <v>0.16600000000000001</v>
      </c>
      <c r="F337">
        <v>43.1</v>
      </c>
      <c r="G337" t="b">
        <v>1</v>
      </c>
      <c r="H337" t="b">
        <v>1</v>
      </c>
      <c r="I337">
        <v>172</v>
      </c>
      <c r="J337">
        <v>0.82100238663484471</v>
      </c>
    </row>
    <row r="338" spans="1:10" x14ac:dyDescent="0.3">
      <c r="A338" t="s">
        <v>916</v>
      </c>
      <c r="B338" t="s">
        <v>2137</v>
      </c>
      <c r="C338" t="s">
        <v>2145</v>
      </c>
      <c r="D338">
        <v>21.68</v>
      </c>
      <c r="E338">
        <v>0.254</v>
      </c>
      <c r="F338">
        <v>132.5</v>
      </c>
      <c r="G338" t="b">
        <v>1</v>
      </c>
      <c r="H338" t="b">
        <v>1</v>
      </c>
      <c r="I338">
        <v>3354</v>
      </c>
      <c r="J338">
        <v>16.009546539379471</v>
      </c>
    </row>
    <row r="339" spans="1:10" x14ac:dyDescent="0.3">
      <c r="A339" t="s">
        <v>917</v>
      </c>
      <c r="B339" t="s">
        <v>2138</v>
      </c>
      <c r="C339" t="s">
        <v>2127</v>
      </c>
      <c r="D339">
        <v>2.13</v>
      </c>
      <c r="E339">
        <v>0.254</v>
      </c>
      <c r="F339">
        <v>132.5</v>
      </c>
      <c r="G339" t="b">
        <v>1</v>
      </c>
      <c r="H339" t="b">
        <v>1</v>
      </c>
      <c r="I339">
        <v>3354</v>
      </c>
      <c r="J339">
        <v>16.009546539379471</v>
      </c>
    </row>
    <row r="340" spans="1:10" x14ac:dyDescent="0.3">
      <c r="A340" t="s">
        <v>918</v>
      </c>
      <c r="B340" t="s">
        <v>2122</v>
      </c>
      <c r="C340" t="s">
        <v>2120</v>
      </c>
      <c r="D340">
        <v>72.36</v>
      </c>
      <c r="E340">
        <v>0.20499999999999999</v>
      </c>
      <c r="F340">
        <v>70.3</v>
      </c>
      <c r="G340" t="b">
        <v>1</v>
      </c>
      <c r="H340" t="b">
        <v>1</v>
      </c>
      <c r="I340">
        <v>630</v>
      </c>
      <c r="J340">
        <v>3.007159904534606</v>
      </c>
    </row>
    <row r="341" spans="1:10" x14ac:dyDescent="0.3">
      <c r="A341" t="s">
        <v>919</v>
      </c>
      <c r="B341" t="s">
        <v>2139</v>
      </c>
      <c r="C341" t="s">
        <v>2133</v>
      </c>
      <c r="D341">
        <v>97.15</v>
      </c>
      <c r="E341">
        <v>0.20499999999999999</v>
      </c>
      <c r="F341">
        <v>70.3</v>
      </c>
      <c r="G341" t="b">
        <v>1</v>
      </c>
      <c r="H341" t="b">
        <v>1</v>
      </c>
      <c r="I341">
        <v>630</v>
      </c>
      <c r="J341">
        <v>3.007159904534606</v>
      </c>
    </row>
    <row r="342" spans="1:10" x14ac:dyDescent="0.3">
      <c r="A342" t="s">
        <v>920</v>
      </c>
      <c r="B342" t="s">
        <v>2140</v>
      </c>
      <c r="C342" t="s">
        <v>2141</v>
      </c>
      <c r="D342">
        <v>33.97</v>
      </c>
      <c r="E342">
        <v>0.20499999999999999</v>
      </c>
      <c r="F342">
        <v>70.3</v>
      </c>
      <c r="G342" t="b">
        <v>1</v>
      </c>
      <c r="H342" t="b">
        <v>1</v>
      </c>
      <c r="I342">
        <v>630</v>
      </c>
      <c r="J342">
        <v>3.007159904534606</v>
      </c>
    </row>
    <row r="343" spans="1:10" x14ac:dyDescent="0.3">
      <c r="A343" t="s">
        <v>921</v>
      </c>
      <c r="B343" t="s">
        <v>2141</v>
      </c>
      <c r="C343" t="s">
        <v>2152</v>
      </c>
      <c r="D343">
        <v>78.73</v>
      </c>
      <c r="E343">
        <v>0.20499999999999999</v>
      </c>
      <c r="F343">
        <v>70.3</v>
      </c>
      <c r="G343" t="b">
        <v>1</v>
      </c>
      <c r="H343" t="b">
        <v>1</v>
      </c>
      <c r="I343">
        <v>630</v>
      </c>
      <c r="J343">
        <v>3.007159904534606</v>
      </c>
    </row>
    <row r="344" spans="1:10" x14ac:dyDescent="0.3">
      <c r="A344" t="s">
        <v>922</v>
      </c>
      <c r="B344" t="s">
        <v>2142</v>
      </c>
      <c r="C344" t="s">
        <v>353</v>
      </c>
      <c r="D344">
        <v>8.31</v>
      </c>
      <c r="E344">
        <v>0.13400000000000001</v>
      </c>
      <c r="F344">
        <v>28.5</v>
      </c>
      <c r="G344" t="b">
        <v>1</v>
      </c>
      <c r="H344" t="b">
        <v>1</v>
      </c>
      <c r="I344">
        <v>60</v>
      </c>
      <c r="J344">
        <v>0.28639618138424822</v>
      </c>
    </row>
    <row r="345" spans="1:10" x14ac:dyDescent="0.3">
      <c r="A345" t="s">
        <v>923</v>
      </c>
      <c r="B345" t="s">
        <v>2143</v>
      </c>
      <c r="C345" t="s">
        <v>2128</v>
      </c>
      <c r="D345">
        <v>77.72</v>
      </c>
      <c r="E345">
        <v>0.29299999999999998</v>
      </c>
      <c r="F345">
        <v>210.1</v>
      </c>
      <c r="G345" t="b">
        <v>1</v>
      </c>
      <c r="H345" t="b">
        <v>1</v>
      </c>
      <c r="I345">
        <v>11253</v>
      </c>
      <c r="J345">
        <v>53.713603818615738</v>
      </c>
    </row>
    <row r="346" spans="1:10" x14ac:dyDescent="0.3">
      <c r="A346" t="s">
        <v>924</v>
      </c>
      <c r="B346" t="s">
        <v>2143</v>
      </c>
      <c r="C346" t="s">
        <v>2318</v>
      </c>
      <c r="D346">
        <v>2.16</v>
      </c>
      <c r="E346">
        <v>0.28199999999999997</v>
      </c>
      <c r="F346">
        <v>160.30000000000001</v>
      </c>
      <c r="G346" t="b">
        <v>1</v>
      </c>
      <c r="H346" t="b">
        <v>1</v>
      </c>
      <c r="I346">
        <v>5533</v>
      </c>
      <c r="J346">
        <v>26.410501193317419</v>
      </c>
    </row>
    <row r="347" spans="1:10" x14ac:dyDescent="0.3">
      <c r="A347" t="s">
        <v>925</v>
      </c>
      <c r="B347" t="s">
        <v>2144</v>
      </c>
      <c r="C347" t="s">
        <v>352</v>
      </c>
      <c r="D347">
        <v>8.7200000000000006</v>
      </c>
      <c r="E347">
        <v>0.18</v>
      </c>
      <c r="F347">
        <v>54.5</v>
      </c>
      <c r="G347" t="b">
        <v>1</v>
      </c>
      <c r="H347" t="b">
        <v>1</v>
      </c>
      <c r="I347">
        <v>321</v>
      </c>
      <c r="J347">
        <v>1.532219570405728</v>
      </c>
    </row>
    <row r="348" spans="1:10" x14ac:dyDescent="0.3">
      <c r="A348" t="s">
        <v>926</v>
      </c>
      <c r="B348" t="s">
        <v>2145</v>
      </c>
      <c r="C348" t="s">
        <v>2249</v>
      </c>
      <c r="D348">
        <v>126.92</v>
      </c>
      <c r="E348">
        <v>0.254</v>
      </c>
      <c r="F348">
        <v>132.5</v>
      </c>
      <c r="G348" t="b">
        <v>1</v>
      </c>
      <c r="H348" t="b">
        <v>1</v>
      </c>
      <c r="I348">
        <v>3354</v>
      </c>
      <c r="J348">
        <v>16.009546539379471</v>
      </c>
    </row>
    <row r="349" spans="1:10" x14ac:dyDescent="0.3">
      <c r="A349" t="s">
        <v>927</v>
      </c>
      <c r="B349" t="s">
        <v>2146</v>
      </c>
      <c r="C349" t="s">
        <v>2137</v>
      </c>
      <c r="D349">
        <v>27.34</v>
      </c>
      <c r="E349">
        <v>0.254</v>
      </c>
      <c r="F349">
        <v>132.5</v>
      </c>
      <c r="G349" t="b">
        <v>1</v>
      </c>
      <c r="H349" t="b">
        <v>1</v>
      </c>
      <c r="I349">
        <v>3354</v>
      </c>
      <c r="J349">
        <v>16.009546539379471</v>
      </c>
    </row>
    <row r="350" spans="1:10" x14ac:dyDescent="0.3">
      <c r="A350" t="s">
        <v>928</v>
      </c>
      <c r="B350" t="s">
        <v>2144</v>
      </c>
      <c r="C350" t="s">
        <v>2664</v>
      </c>
      <c r="D350">
        <v>11.98</v>
      </c>
      <c r="E350">
        <v>0.22500000000000001</v>
      </c>
      <c r="F350">
        <v>107.1</v>
      </c>
      <c r="G350" t="b">
        <v>1</v>
      </c>
      <c r="H350" t="b">
        <v>1</v>
      </c>
      <c r="I350">
        <v>1915</v>
      </c>
      <c r="J350">
        <v>9.1408114558472544</v>
      </c>
    </row>
    <row r="351" spans="1:10" x14ac:dyDescent="0.3">
      <c r="A351" t="s">
        <v>929</v>
      </c>
      <c r="B351" t="s">
        <v>2147</v>
      </c>
      <c r="C351" t="s">
        <v>2548</v>
      </c>
      <c r="D351">
        <v>350.24</v>
      </c>
      <c r="E351">
        <v>0.254</v>
      </c>
      <c r="F351">
        <v>132.5</v>
      </c>
      <c r="G351" t="b">
        <v>1</v>
      </c>
      <c r="H351" t="b">
        <v>1</v>
      </c>
      <c r="I351">
        <v>3354</v>
      </c>
      <c r="J351">
        <v>16.009546539379471</v>
      </c>
    </row>
    <row r="352" spans="1:10" x14ac:dyDescent="0.3">
      <c r="A352" t="s">
        <v>930</v>
      </c>
      <c r="B352" t="s">
        <v>2148</v>
      </c>
      <c r="C352" t="s">
        <v>2156</v>
      </c>
      <c r="D352">
        <v>337.72</v>
      </c>
      <c r="E352">
        <v>0.20499999999999999</v>
      </c>
      <c r="F352">
        <v>70.3</v>
      </c>
      <c r="G352" t="b">
        <v>1</v>
      </c>
      <c r="H352" t="b">
        <v>1</v>
      </c>
      <c r="I352">
        <v>630</v>
      </c>
      <c r="J352">
        <v>3.007159904534606</v>
      </c>
    </row>
    <row r="353" spans="1:10" x14ac:dyDescent="0.3">
      <c r="A353" t="s">
        <v>931</v>
      </c>
      <c r="B353" t="s">
        <v>2149</v>
      </c>
      <c r="C353" t="s">
        <v>351</v>
      </c>
      <c r="D353">
        <v>25.4</v>
      </c>
      <c r="E353">
        <v>0.13400000000000001</v>
      </c>
      <c r="F353">
        <v>28.5</v>
      </c>
      <c r="G353" t="b">
        <v>1</v>
      </c>
      <c r="H353" t="b">
        <v>1</v>
      </c>
      <c r="I353">
        <v>60</v>
      </c>
      <c r="J353">
        <v>0.28639618138424822</v>
      </c>
    </row>
    <row r="354" spans="1:10" x14ac:dyDescent="0.3">
      <c r="A354" t="s">
        <v>932</v>
      </c>
      <c r="B354" t="s">
        <v>2150</v>
      </c>
      <c r="C354" t="s">
        <v>2153</v>
      </c>
      <c r="D354">
        <v>32.549999999999997</v>
      </c>
      <c r="E354">
        <v>0.20499999999999999</v>
      </c>
      <c r="F354">
        <v>70.3</v>
      </c>
      <c r="G354" t="b">
        <v>1</v>
      </c>
      <c r="H354" t="b">
        <v>1</v>
      </c>
      <c r="I354">
        <v>630</v>
      </c>
      <c r="J354">
        <v>3.007159904534606</v>
      </c>
    </row>
    <row r="355" spans="1:10" x14ac:dyDescent="0.3">
      <c r="A355" t="s">
        <v>933</v>
      </c>
      <c r="B355" t="s">
        <v>2151</v>
      </c>
      <c r="C355" t="s">
        <v>2226</v>
      </c>
      <c r="D355">
        <v>23.28</v>
      </c>
      <c r="E355">
        <v>0.20499999999999999</v>
      </c>
      <c r="F355">
        <v>70.3</v>
      </c>
      <c r="G355" t="b">
        <v>1</v>
      </c>
      <c r="H355" t="b">
        <v>1</v>
      </c>
      <c r="I355">
        <v>630</v>
      </c>
      <c r="J355">
        <v>3.007159904534606</v>
      </c>
    </row>
    <row r="356" spans="1:10" x14ac:dyDescent="0.3">
      <c r="A356" t="s">
        <v>934</v>
      </c>
      <c r="B356" t="s">
        <v>2152</v>
      </c>
      <c r="C356" t="s">
        <v>350</v>
      </c>
      <c r="D356">
        <v>1.26</v>
      </c>
      <c r="E356">
        <v>0.18</v>
      </c>
      <c r="F356">
        <v>54.5</v>
      </c>
      <c r="G356" t="b">
        <v>1</v>
      </c>
      <c r="H356" t="b">
        <v>1</v>
      </c>
      <c r="I356">
        <v>321</v>
      </c>
      <c r="J356">
        <v>1.532219570405728</v>
      </c>
    </row>
    <row r="357" spans="1:10" x14ac:dyDescent="0.3">
      <c r="A357" t="s">
        <v>935</v>
      </c>
      <c r="B357" t="s">
        <v>2141</v>
      </c>
      <c r="C357" t="s">
        <v>349</v>
      </c>
      <c r="D357">
        <v>70.73</v>
      </c>
      <c r="E357">
        <v>0.18</v>
      </c>
      <c r="F357">
        <v>54.5</v>
      </c>
      <c r="G357" t="b">
        <v>1</v>
      </c>
      <c r="H357" t="b">
        <v>1</v>
      </c>
      <c r="I357">
        <v>321</v>
      </c>
      <c r="J357">
        <v>1.532219570405728</v>
      </c>
    </row>
    <row r="358" spans="1:10" x14ac:dyDescent="0.3">
      <c r="A358" t="s">
        <v>936</v>
      </c>
      <c r="B358" t="s">
        <v>2153</v>
      </c>
      <c r="C358" t="s">
        <v>2162</v>
      </c>
      <c r="D358">
        <v>11.25</v>
      </c>
      <c r="E358">
        <v>0.18</v>
      </c>
      <c r="F358">
        <v>54.5</v>
      </c>
      <c r="G358" t="b">
        <v>1</v>
      </c>
      <c r="H358" t="b">
        <v>1</v>
      </c>
      <c r="I358">
        <v>321</v>
      </c>
      <c r="J358">
        <v>1.532219570405728</v>
      </c>
    </row>
    <row r="359" spans="1:10" x14ac:dyDescent="0.3">
      <c r="A359" t="s">
        <v>937</v>
      </c>
      <c r="B359" t="s">
        <v>2154</v>
      </c>
      <c r="C359" t="s">
        <v>2293</v>
      </c>
      <c r="D359">
        <v>9.34</v>
      </c>
      <c r="E359">
        <v>0.16600000000000001</v>
      </c>
      <c r="F359">
        <v>43.1</v>
      </c>
      <c r="G359" t="b">
        <v>1</v>
      </c>
      <c r="H359" t="b">
        <v>1</v>
      </c>
      <c r="I359">
        <v>172</v>
      </c>
      <c r="J359">
        <v>0.82100238663484471</v>
      </c>
    </row>
    <row r="360" spans="1:10" x14ac:dyDescent="0.3">
      <c r="A360" t="s">
        <v>938</v>
      </c>
      <c r="B360" t="s">
        <v>2155</v>
      </c>
      <c r="C360" t="s">
        <v>2154</v>
      </c>
      <c r="D360">
        <v>8.5399999999999991</v>
      </c>
      <c r="E360">
        <v>0.16600000000000001</v>
      </c>
      <c r="F360">
        <v>43.1</v>
      </c>
      <c r="G360" t="b">
        <v>1</v>
      </c>
      <c r="H360" t="b">
        <v>1</v>
      </c>
      <c r="I360">
        <v>172</v>
      </c>
      <c r="J360">
        <v>0.82100238663484471</v>
      </c>
    </row>
    <row r="361" spans="1:10" x14ac:dyDescent="0.3">
      <c r="A361" t="s">
        <v>939</v>
      </c>
      <c r="B361" t="s">
        <v>2018</v>
      </c>
      <c r="C361" t="s">
        <v>344</v>
      </c>
      <c r="D361">
        <v>58.53</v>
      </c>
      <c r="E361">
        <v>0.18</v>
      </c>
      <c r="F361">
        <v>54.5</v>
      </c>
      <c r="G361" t="b">
        <v>1</v>
      </c>
      <c r="H361" t="b">
        <v>1</v>
      </c>
      <c r="I361">
        <v>321</v>
      </c>
      <c r="J361">
        <v>1.532219570405728</v>
      </c>
    </row>
    <row r="362" spans="1:10" x14ac:dyDescent="0.3">
      <c r="A362" t="s">
        <v>940</v>
      </c>
      <c r="B362" t="s">
        <v>2156</v>
      </c>
      <c r="C362" t="s">
        <v>348</v>
      </c>
      <c r="D362">
        <v>11.54</v>
      </c>
      <c r="E362">
        <v>0.18</v>
      </c>
      <c r="F362">
        <v>54.5</v>
      </c>
      <c r="G362" t="b">
        <v>1</v>
      </c>
      <c r="H362" t="b">
        <v>1</v>
      </c>
      <c r="I362">
        <v>321</v>
      </c>
      <c r="J362">
        <v>1.532219570405728</v>
      </c>
    </row>
    <row r="363" spans="1:10" x14ac:dyDescent="0.3">
      <c r="A363" t="s">
        <v>941</v>
      </c>
      <c r="B363" t="s">
        <v>2157</v>
      </c>
      <c r="C363" t="s">
        <v>2292</v>
      </c>
      <c r="D363">
        <v>79.88</v>
      </c>
      <c r="E363">
        <v>0.20499999999999999</v>
      </c>
      <c r="F363">
        <v>70.3</v>
      </c>
      <c r="G363" t="b">
        <v>1</v>
      </c>
      <c r="H363" t="b">
        <v>1</v>
      </c>
      <c r="I363">
        <v>630</v>
      </c>
      <c r="J363">
        <v>3.007159904534606</v>
      </c>
    </row>
    <row r="364" spans="1:10" x14ac:dyDescent="0.3">
      <c r="A364" t="s">
        <v>942</v>
      </c>
      <c r="B364" t="s">
        <v>2158</v>
      </c>
      <c r="C364" t="s">
        <v>2219</v>
      </c>
      <c r="D364">
        <v>181.71</v>
      </c>
      <c r="E364">
        <v>0.254</v>
      </c>
      <c r="F364">
        <v>132.5</v>
      </c>
      <c r="G364" t="b">
        <v>1</v>
      </c>
      <c r="H364" t="b">
        <v>1</v>
      </c>
      <c r="I364">
        <v>3354</v>
      </c>
      <c r="J364">
        <v>16.009546539379471</v>
      </c>
    </row>
    <row r="365" spans="1:10" x14ac:dyDescent="0.3">
      <c r="A365" t="s">
        <v>943</v>
      </c>
      <c r="B365" t="s">
        <v>2159</v>
      </c>
      <c r="C365" t="s">
        <v>2274</v>
      </c>
      <c r="D365">
        <v>24.27</v>
      </c>
      <c r="E365">
        <v>0.20499999999999999</v>
      </c>
      <c r="F365">
        <v>70.3</v>
      </c>
      <c r="G365" t="b">
        <v>1</v>
      </c>
      <c r="H365" t="b">
        <v>1</v>
      </c>
      <c r="I365">
        <v>630</v>
      </c>
      <c r="J365">
        <v>3.007159904534606</v>
      </c>
    </row>
    <row r="366" spans="1:10" x14ac:dyDescent="0.3">
      <c r="A366" t="s">
        <v>944</v>
      </c>
      <c r="B366" t="s">
        <v>2160</v>
      </c>
      <c r="C366" t="s">
        <v>2159</v>
      </c>
      <c r="D366">
        <v>10.9</v>
      </c>
      <c r="E366">
        <v>0.217</v>
      </c>
      <c r="F366">
        <v>82.5</v>
      </c>
      <c r="G366" t="b">
        <v>1</v>
      </c>
      <c r="H366" t="b">
        <v>1</v>
      </c>
      <c r="I366">
        <v>962</v>
      </c>
      <c r="J366">
        <v>4.5918854415274453</v>
      </c>
    </row>
    <row r="367" spans="1:10" x14ac:dyDescent="0.3">
      <c r="A367" t="s">
        <v>945</v>
      </c>
      <c r="B367" t="s">
        <v>2161</v>
      </c>
      <c r="C367" t="s">
        <v>2160</v>
      </c>
      <c r="D367">
        <v>15.43</v>
      </c>
      <c r="E367">
        <v>0.217</v>
      </c>
      <c r="F367">
        <v>82.5</v>
      </c>
      <c r="G367" t="b">
        <v>1</v>
      </c>
      <c r="H367" t="b">
        <v>1</v>
      </c>
      <c r="I367">
        <v>962</v>
      </c>
      <c r="J367">
        <v>4.5918854415274453</v>
      </c>
    </row>
    <row r="368" spans="1:10" x14ac:dyDescent="0.3">
      <c r="A368" t="s">
        <v>946</v>
      </c>
      <c r="B368" t="s">
        <v>2067</v>
      </c>
      <c r="C368" t="s">
        <v>2208</v>
      </c>
      <c r="D368">
        <v>27.79</v>
      </c>
      <c r="E368">
        <v>0.18</v>
      </c>
      <c r="F368">
        <v>54.5</v>
      </c>
      <c r="G368" t="b">
        <v>1</v>
      </c>
      <c r="H368" t="b">
        <v>1</v>
      </c>
      <c r="I368">
        <v>321</v>
      </c>
      <c r="J368">
        <v>1.532219570405728</v>
      </c>
    </row>
    <row r="369" spans="1:10" x14ac:dyDescent="0.3">
      <c r="A369" t="s">
        <v>947</v>
      </c>
      <c r="B369" t="s">
        <v>2162</v>
      </c>
      <c r="C369" t="s">
        <v>2067</v>
      </c>
      <c r="D369">
        <v>101.12</v>
      </c>
      <c r="E369">
        <v>0.18</v>
      </c>
      <c r="F369">
        <v>54.5</v>
      </c>
      <c r="G369" t="b">
        <v>1</v>
      </c>
      <c r="H369" t="b">
        <v>1</v>
      </c>
      <c r="I369">
        <v>321</v>
      </c>
      <c r="J369">
        <v>1.532219570405728</v>
      </c>
    </row>
    <row r="370" spans="1:10" x14ac:dyDescent="0.3">
      <c r="A370" t="s">
        <v>948</v>
      </c>
      <c r="B370" t="s">
        <v>2163</v>
      </c>
      <c r="C370" t="s">
        <v>346</v>
      </c>
      <c r="D370">
        <v>12.2</v>
      </c>
      <c r="E370">
        <v>0.13400000000000001</v>
      </c>
      <c r="F370">
        <v>28.5</v>
      </c>
      <c r="G370" t="b">
        <v>1</v>
      </c>
      <c r="H370" t="b">
        <v>1</v>
      </c>
      <c r="I370">
        <v>60</v>
      </c>
      <c r="J370">
        <v>0.28639618138424822</v>
      </c>
    </row>
    <row r="371" spans="1:10" x14ac:dyDescent="0.3">
      <c r="A371" t="s">
        <v>949</v>
      </c>
      <c r="B371" t="s">
        <v>2164</v>
      </c>
      <c r="C371" t="s">
        <v>345</v>
      </c>
      <c r="D371">
        <v>65.09</v>
      </c>
      <c r="E371">
        <v>0.16600000000000001</v>
      </c>
      <c r="F371">
        <v>43.1</v>
      </c>
      <c r="G371" t="b">
        <v>1</v>
      </c>
      <c r="H371" t="b">
        <v>1</v>
      </c>
      <c r="I371">
        <v>172</v>
      </c>
      <c r="J371">
        <v>0.82100238663484471</v>
      </c>
    </row>
    <row r="372" spans="1:10" x14ac:dyDescent="0.3">
      <c r="A372" t="s">
        <v>950</v>
      </c>
      <c r="B372" t="s">
        <v>2165</v>
      </c>
      <c r="C372" t="s">
        <v>2158</v>
      </c>
      <c r="D372">
        <v>41.95</v>
      </c>
      <c r="E372">
        <v>0.217</v>
      </c>
      <c r="F372">
        <v>82.5</v>
      </c>
      <c r="G372" t="b">
        <v>1</v>
      </c>
      <c r="H372" t="b">
        <v>1</v>
      </c>
      <c r="I372">
        <v>962</v>
      </c>
      <c r="J372">
        <v>4.5918854415274453</v>
      </c>
    </row>
    <row r="373" spans="1:10" x14ac:dyDescent="0.3">
      <c r="A373" t="s">
        <v>951</v>
      </c>
      <c r="B373" t="s">
        <v>2139</v>
      </c>
      <c r="C373" t="s">
        <v>2296</v>
      </c>
      <c r="D373">
        <v>55.56</v>
      </c>
      <c r="E373">
        <v>0.217</v>
      </c>
      <c r="F373">
        <v>82.5</v>
      </c>
      <c r="G373" t="b">
        <v>1</v>
      </c>
      <c r="H373" t="b">
        <v>1</v>
      </c>
      <c r="I373">
        <v>962</v>
      </c>
      <c r="J373">
        <v>4.5918854415274453</v>
      </c>
    </row>
    <row r="374" spans="1:10" x14ac:dyDescent="0.3">
      <c r="A374" t="s">
        <v>952</v>
      </c>
      <c r="B374" t="s">
        <v>2140</v>
      </c>
      <c r="C374" t="s">
        <v>2271</v>
      </c>
      <c r="D374">
        <v>16.98</v>
      </c>
      <c r="E374">
        <v>0.20499999999999999</v>
      </c>
      <c r="F374">
        <v>70.3</v>
      </c>
      <c r="G374" t="b">
        <v>1</v>
      </c>
      <c r="H374" t="b">
        <v>1</v>
      </c>
      <c r="I374">
        <v>630</v>
      </c>
      <c r="J374">
        <v>3.007159904534606</v>
      </c>
    </row>
    <row r="375" spans="1:10" x14ac:dyDescent="0.3">
      <c r="A375" t="s">
        <v>953</v>
      </c>
      <c r="B375" t="s">
        <v>2166</v>
      </c>
      <c r="C375" t="s">
        <v>2383</v>
      </c>
      <c r="D375">
        <v>87.15</v>
      </c>
      <c r="E375">
        <v>0.254</v>
      </c>
      <c r="F375">
        <v>132.5</v>
      </c>
      <c r="G375" t="b">
        <v>1</v>
      </c>
      <c r="H375" t="b">
        <v>1</v>
      </c>
      <c r="I375">
        <v>3354</v>
      </c>
      <c r="J375">
        <v>16.009546539379471</v>
      </c>
    </row>
    <row r="376" spans="1:10" x14ac:dyDescent="0.3">
      <c r="A376" t="s">
        <v>954</v>
      </c>
      <c r="B376" t="s">
        <v>2167</v>
      </c>
      <c r="C376" t="s">
        <v>343</v>
      </c>
      <c r="D376">
        <v>5.55</v>
      </c>
      <c r="E376">
        <v>0.191</v>
      </c>
      <c r="F376">
        <v>43.1</v>
      </c>
      <c r="G376" t="b">
        <v>1</v>
      </c>
      <c r="H376" t="b">
        <v>1</v>
      </c>
      <c r="I376">
        <v>172</v>
      </c>
      <c r="J376">
        <v>0.82100238663484471</v>
      </c>
    </row>
    <row r="377" spans="1:10" x14ac:dyDescent="0.3">
      <c r="A377" t="s">
        <v>955</v>
      </c>
      <c r="B377" t="s">
        <v>2168</v>
      </c>
      <c r="C377" t="s">
        <v>2138</v>
      </c>
      <c r="D377">
        <v>65.09</v>
      </c>
      <c r="E377">
        <v>0.28199999999999997</v>
      </c>
      <c r="F377">
        <v>160.30000000000001</v>
      </c>
      <c r="G377" t="b">
        <v>1</v>
      </c>
      <c r="H377" t="b">
        <v>1</v>
      </c>
      <c r="I377">
        <v>5533</v>
      </c>
      <c r="J377">
        <v>26.410501193317419</v>
      </c>
    </row>
    <row r="378" spans="1:10" x14ac:dyDescent="0.3">
      <c r="A378" t="s">
        <v>956</v>
      </c>
      <c r="B378" t="s">
        <v>2169</v>
      </c>
      <c r="C378" t="s">
        <v>2142</v>
      </c>
      <c r="D378">
        <v>60.24</v>
      </c>
      <c r="E378">
        <v>0.18</v>
      </c>
      <c r="F378">
        <v>54.5</v>
      </c>
      <c r="G378" t="b">
        <v>1</v>
      </c>
      <c r="H378" t="b">
        <v>1</v>
      </c>
      <c r="I378">
        <v>321</v>
      </c>
      <c r="J378">
        <v>1.532219570405728</v>
      </c>
    </row>
    <row r="379" spans="1:10" x14ac:dyDescent="0.3">
      <c r="A379" t="s">
        <v>957</v>
      </c>
      <c r="B379" t="s">
        <v>2168</v>
      </c>
      <c r="C379" t="s">
        <v>2174</v>
      </c>
      <c r="D379">
        <v>106.61</v>
      </c>
      <c r="E379">
        <v>0.254</v>
      </c>
      <c r="F379">
        <v>132.5</v>
      </c>
      <c r="G379" t="b">
        <v>1</v>
      </c>
      <c r="H379" t="b">
        <v>1</v>
      </c>
      <c r="I379">
        <v>3354</v>
      </c>
      <c r="J379">
        <v>16.009546539379471</v>
      </c>
    </row>
    <row r="380" spans="1:10" x14ac:dyDescent="0.3">
      <c r="A380" t="s">
        <v>958</v>
      </c>
      <c r="B380" t="s">
        <v>2086</v>
      </c>
      <c r="C380" t="s">
        <v>2016</v>
      </c>
      <c r="D380">
        <v>154.63999999999999</v>
      </c>
      <c r="E380">
        <v>0.217</v>
      </c>
      <c r="F380">
        <v>82.5</v>
      </c>
      <c r="G380" t="b">
        <v>1</v>
      </c>
      <c r="H380" t="b">
        <v>1</v>
      </c>
      <c r="I380">
        <v>962</v>
      </c>
      <c r="J380">
        <v>4.5918854415274453</v>
      </c>
    </row>
    <row r="381" spans="1:10" x14ac:dyDescent="0.3">
      <c r="A381" t="s">
        <v>959</v>
      </c>
      <c r="B381" t="s">
        <v>2170</v>
      </c>
      <c r="C381" t="s">
        <v>2086</v>
      </c>
      <c r="D381">
        <v>99.14</v>
      </c>
      <c r="E381">
        <v>0.217</v>
      </c>
      <c r="F381">
        <v>82.5</v>
      </c>
      <c r="G381" t="b">
        <v>1</v>
      </c>
      <c r="H381" t="b">
        <v>1</v>
      </c>
      <c r="I381">
        <v>962</v>
      </c>
      <c r="J381">
        <v>4.5918854415274453</v>
      </c>
    </row>
    <row r="382" spans="1:10" x14ac:dyDescent="0.3">
      <c r="A382" t="s">
        <v>960</v>
      </c>
      <c r="B382" t="s">
        <v>2171</v>
      </c>
      <c r="C382" t="s">
        <v>335</v>
      </c>
      <c r="D382">
        <v>45.99</v>
      </c>
      <c r="E382">
        <v>0.13400000000000001</v>
      </c>
      <c r="F382">
        <v>28.5</v>
      </c>
      <c r="G382" t="b">
        <v>1</v>
      </c>
      <c r="H382" t="b">
        <v>1</v>
      </c>
      <c r="I382">
        <v>60</v>
      </c>
      <c r="J382">
        <v>0.28639618138424822</v>
      </c>
    </row>
    <row r="383" spans="1:10" x14ac:dyDescent="0.3">
      <c r="A383" t="s">
        <v>961</v>
      </c>
      <c r="B383" t="s">
        <v>2172</v>
      </c>
      <c r="C383" t="s">
        <v>2038</v>
      </c>
      <c r="D383">
        <v>240.13</v>
      </c>
      <c r="E383">
        <v>0.35499999999999998</v>
      </c>
      <c r="F383">
        <v>263</v>
      </c>
      <c r="G383" t="b">
        <v>1</v>
      </c>
      <c r="H383" t="b">
        <v>1</v>
      </c>
      <c r="I383">
        <v>20264</v>
      </c>
      <c r="J383">
        <v>96.725536992840077</v>
      </c>
    </row>
    <row r="384" spans="1:10" x14ac:dyDescent="0.3">
      <c r="A384" t="s">
        <v>962</v>
      </c>
      <c r="B384" t="s">
        <v>2173</v>
      </c>
      <c r="C384" t="s">
        <v>342</v>
      </c>
      <c r="D384">
        <v>34.57</v>
      </c>
      <c r="E384">
        <v>0.13400000000000001</v>
      </c>
      <c r="F384">
        <v>28.5</v>
      </c>
      <c r="G384" t="b">
        <v>1</v>
      </c>
      <c r="H384" t="b">
        <v>1</v>
      </c>
      <c r="I384">
        <v>60</v>
      </c>
      <c r="J384">
        <v>0.28639618138424822</v>
      </c>
    </row>
    <row r="385" spans="1:10" x14ac:dyDescent="0.3">
      <c r="A385" t="s">
        <v>963</v>
      </c>
      <c r="B385" t="s">
        <v>2174</v>
      </c>
      <c r="C385" t="s">
        <v>340</v>
      </c>
      <c r="D385">
        <v>24.27</v>
      </c>
      <c r="E385">
        <v>0.13400000000000001</v>
      </c>
      <c r="F385">
        <v>28.5</v>
      </c>
      <c r="G385" t="b">
        <v>1</v>
      </c>
      <c r="H385" t="b">
        <v>1</v>
      </c>
      <c r="I385">
        <v>60</v>
      </c>
      <c r="J385">
        <v>0.28639618138424822</v>
      </c>
    </row>
    <row r="386" spans="1:10" x14ac:dyDescent="0.3">
      <c r="A386" t="s">
        <v>964</v>
      </c>
      <c r="B386" t="s">
        <v>2175</v>
      </c>
      <c r="C386" t="s">
        <v>181</v>
      </c>
      <c r="D386">
        <v>48.56</v>
      </c>
      <c r="E386">
        <v>0.16600000000000001</v>
      </c>
      <c r="F386">
        <v>43.1</v>
      </c>
      <c r="G386" t="b">
        <v>1</v>
      </c>
      <c r="H386" t="b">
        <v>1</v>
      </c>
      <c r="I386">
        <v>172</v>
      </c>
      <c r="J386">
        <v>0.82100238663484471</v>
      </c>
    </row>
    <row r="387" spans="1:10" x14ac:dyDescent="0.3">
      <c r="A387" t="s">
        <v>965</v>
      </c>
      <c r="B387" t="s">
        <v>2176</v>
      </c>
      <c r="C387" t="s">
        <v>2425</v>
      </c>
      <c r="D387">
        <v>28.08</v>
      </c>
      <c r="E387">
        <v>0.217</v>
      </c>
      <c r="F387">
        <v>82.5</v>
      </c>
      <c r="G387" t="b">
        <v>1</v>
      </c>
      <c r="H387" t="b">
        <v>1</v>
      </c>
      <c r="I387">
        <v>962</v>
      </c>
      <c r="J387">
        <v>4.5918854415274453</v>
      </c>
    </row>
    <row r="388" spans="1:10" x14ac:dyDescent="0.3">
      <c r="A388" t="s">
        <v>966</v>
      </c>
      <c r="B388" t="s">
        <v>2110</v>
      </c>
      <c r="C388" t="s">
        <v>2410</v>
      </c>
      <c r="D388">
        <v>8.23</v>
      </c>
      <c r="E388">
        <v>0.20499999999999999</v>
      </c>
      <c r="F388">
        <v>70.3</v>
      </c>
      <c r="G388" t="b">
        <v>1</v>
      </c>
      <c r="H388" t="b">
        <v>1</v>
      </c>
      <c r="I388">
        <v>630</v>
      </c>
      <c r="J388">
        <v>3.007159904534606</v>
      </c>
    </row>
    <row r="389" spans="1:10" x14ac:dyDescent="0.3">
      <c r="A389" t="s">
        <v>967</v>
      </c>
      <c r="B389" t="s">
        <v>2110</v>
      </c>
      <c r="C389" t="s">
        <v>2193</v>
      </c>
      <c r="D389">
        <v>73.06</v>
      </c>
      <c r="E389">
        <v>0.217</v>
      </c>
      <c r="F389">
        <v>82.5</v>
      </c>
      <c r="G389" t="b">
        <v>1</v>
      </c>
      <c r="H389" t="b">
        <v>1</v>
      </c>
      <c r="I389">
        <v>962</v>
      </c>
      <c r="J389">
        <v>4.5918854415274453</v>
      </c>
    </row>
    <row r="390" spans="1:10" x14ac:dyDescent="0.3">
      <c r="A390" t="s">
        <v>968</v>
      </c>
      <c r="B390" t="s">
        <v>2177</v>
      </c>
      <c r="C390" t="s">
        <v>338</v>
      </c>
      <c r="D390">
        <v>9.0500000000000007</v>
      </c>
      <c r="E390">
        <v>0.16600000000000001</v>
      </c>
      <c r="F390">
        <v>43.1</v>
      </c>
      <c r="G390" t="b">
        <v>1</v>
      </c>
      <c r="H390" t="b">
        <v>1</v>
      </c>
      <c r="I390">
        <v>172</v>
      </c>
      <c r="J390">
        <v>0.82100238663484471</v>
      </c>
    </row>
    <row r="391" spans="1:10" x14ac:dyDescent="0.3">
      <c r="A391" t="s">
        <v>969</v>
      </c>
      <c r="B391" t="s">
        <v>2178</v>
      </c>
      <c r="C391" t="s">
        <v>339</v>
      </c>
      <c r="D391">
        <v>44.58</v>
      </c>
      <c r="E391">
        <v>0.18</v>
      </c>
      <c r="F391">
        <v>54.5</v>
      </c>
      <c r="G391" t="b">
        <v>1</v>
      </c>
      <c r="H391" t="b">
        <v>1</v>
      </c>
      <c r="I391">
        <v>321</v>
      </c>
      <c r="J391">
        <v>1.532219570405728</v>
      </c>
    </row>
    <row r="392" spans="1:10" x14ac:dyDescent="0.3">
      <c r="A392" t="s">
        <v>970</v>
      </c>
      <c r="B392" t="s">
        <v>2174</v>
      </c>
      <c r="C392" t="s">
        <v>2179</v>
      </c>
      <c r="D392">
        <v>11.78</v>
      </c>
      <c r="E392">
        <v>0.254</v>
      </c>
      <c r="F392">
        <v>132.5</v>
      </c>
      <c r="G392" t="b">
        <v>1</v>
      </c>
      <c r="H392" t="b">
        <v>1</v>
      </c>
      <c r="I392">
        <v>3354</v>
      </c>
      <c r="J392">
        <v>16.009546539379471</v>
      </c>
    </row>
    <row r="393" spans="1:10" x14ac:dyDescent="0.3">
      <c r="A393" t="s">
        <v>971</v>
      </c>
      <c r="B393" t="s">
        <v>2146</v>
      </c>
      <c r="C393" t="s">
        <v>334</v>
      </c>
      <c r="D393">
        <v>17.03</v>
      </c>
      <c r="E393">
        <v>0.13400000000000001</v>
      </c>
      <c r="F393">
        <v>28.5</v>
      </c>
      <c r="G393" t="b">
        <v>1</v>
      </c>
      <c r="H393" t="b">
        <v>1</v>
      </c>
      <c r="I393">
        <v>60</v>
      </c>
      <c r="J393">
        <v>0.28639618138424822</v>
      </c>
    </row>
    <row r="394" spans="1:10" x14ac:dyDescent="0.3">
      <c r="A394" t="s">
        <v>972</v>
      </c>
      <c r="B394" t="s">
        <v>2179</v>
      </c>
      <c r="C394" t="s">
        <v>2146</v>
      </c>
      <c r="D394">
        <v>29.93</v>
      </c>
      <c r="E394">
        <v>0.254</v>
      </c>
      <c r="F394">
        <v>132.5</v>
      </c>
      <c r="G394" t="b">
        <v>1</v>
      </c>
      <c r="H394" t="b">
        <v>1</v>
      </c>
      <c r="I394">
        <v>3354</v>
      </c>
      <c r="J394">
        <v>16.009546539379471</v>
      </c>
    </row>
    <row r="395" spans="1:10" x14ac:dyDescent="0.3">
      <c r="A395" t="s">
        <v>973</v>
      </c>
      <c r="B395" t="s">
        <v>2180</v>
      </c>
      <c r="C395" t="s">
        <v>337</v>
      </c>
      <c r="D395">
        <v>180.66</v>
      </c>
      <c r="E395">
        <v>0.254</v>
      </c>
      <c r="F395">
        <v>132.5</v>
      </c>
      <c r="G395" t="b">
        <v>1</v>
      </c>
      <c r="H395" t="b">
        <v>1</v>
      </c>
      <c r="I395">
        <v>3354</v>
      </c>
      <c r="J395">
        <v>16.009546539379471</v>
      </c>
    </row>
    <row r="396" spans="1:10" x14ac:dyDescent="0.3">
      <c r="A396" t="s">
        <v>974</v>
      </c>
      <c r="B396" t="s">
        <v>2181</v>
      </c>
      <c r="C396" t="s">
        <v>333</v>
      </c>
      <c r="D396">
        <v>91.25</v>
      </c>
      <c r="E396">
        <v>0.18</v>
      </c>
      <c r="F396">
        <v>54.5</v>
      </c>
      <c r="G396" t="b">
        <v>1</v>
      </c>
      <c r="H396" t="b">
        <v>1</v>
      </c>
      <c r="I396">
        <v>321</v>
      </c>
      <c r="J396">
        <v>1.532219570405728</v>
      </c>
    </row>
    <row r="397" spans="1:10" x14ac:dyDescent="0.3">
      <c r="A397" t="s">
        <v>975</v>
      </c>
      <c r="B397" t="s">
        <v>2182</v>
      </c>
      <c r="C397" t="s">
        <v>1954</v>
      </c>
      <c r="D397">
        <v>52.74</v>
      </c>
      <c r="E397">
        <v>0.254</v>
      </c>
      <c r="F397">
        <v>132.5</v>
      </c>
      <c r="G397" t="b">
        <v>1</v>
      </c>
      <c r="H397" t="b">
        <v>1</v>
      </c>
      <c r="I397">
        <v>3354</v>
      </c>
      <c r="J397">
        <v>16.009546539379471</v>
      </c>
    </row>
    <row r="398" spans="1:10" x14ac:dyDescent="0.3">
      <c r="A398" t="s">
        <v>976</v>
      </c>
      <c r="B398" t="s">
        <v>2183</v>
      </c>
      <c r="C398" t="s">
        <v>2189</v>
      </c>
      <c r="D398">
        <v>7.74</v>
      </c>
      <c r="E398">
        <v>0.20499999999999999</v>
      </c>
      <c r="F398">
        <v>70.3</v>
      </c>
      <c r="G398" t="b">
        <v>1</v>
      </c>
      <c r="H398" t="b">
        <v>1</v>
      </c>
      <c r="I398">
        <v>630</v>
      </c>
      <c r="J398">
        <v>3.007159904534606</v>
      </c>
    </row>
    <row r="399" spans="1:10" x14ac:dyDescent="0.3">
      <c r="A399" t="s">
        <v>977</v>
      </c>
      <c r="B399" t="s">
        <v>2184</v>
      </c>
      <c r="C399" t="s">
        <v>2183</v>
      </c>
      <c r="D399">
        <v>62.4</v>
      </c>
      <c r="E399">
        <v>0.20499999999999999</v>
      </c>
      <c r="F399">
        <v>70.3</v>
      </c>
      <c r="G399" t="b">
        <v>1</v>
      </c>
      <c r="H399" t="b">
        <v>1</v>
      </c>
      <c r="I399">
        <v>630</v>
      </c>
      <c r="J399">
        <v>3.007159904534606</v>
      </c>
    </row>
    <row r="400" spans="1:10" x14ac:dyDescent="0.3">
      <c r="A400" t="s">
        <v>978</v>
      </c>
      <c r="B400" t="s">
        <v>2181</v>
      </c>
      <c r="C400" t="s">
        <v>2184</v>
      </c>
      <c r="D400">
        <v>5.3</v>
      </c>
      <c r="E400">
        <v>0.217</v>
      </c>
      <c r="F400">
        <v>82.5</v>
      </c>
      <c r="G400" t="b">
        <v>1</v>
      </c>
      <c r="H400" t="b">
        <v>1</v>
      </c>
      <c r="I400">
        <v>962</v>
      </c>
      <c r="J400">
        <v>4.5918854415274453</v>
      </c>
    </row>
    <row r="401" spans="1:10" x14ac:dyDescent="0.3">
      <c r="A401" t="s">
        <v>979</v>
      </c>
      <c r="B401" t="s">
        <v>2185</v>
      </c>
      <c r="C401" t="s">
        <v>2024</v>
      </c>
      <c r="D401">
        <v>19</v>
      </c>
      <c r="E401">
        <v>0.35499999999999998</v>
      </c>
      <c r="F401">
        <v>263</v>
      </c>
      <c r="G401" t="b">
        <v>1</v>
      </c>
      <c r="H401" t="b">
        <v>1</v>
      </c>
      <c r="I401">
        <v>20264</v>
      </c>
      <c r="J401">
        <v>96.725536992840077</v>
      </c>
    </row>
    <row r="402" spans="1:10" x14ac:dyDescent="0.3">
      <c r="A402" t="s">
        <v>980</v>
      </c>
      <c r="B402" t="s">
        <v>2186</v>
      </c>
      <c r="C402" t="s">
        <v>2185</v>
      </c>
      <c r="D402">
        <v>90.91</v>
      </c>
      <c r="E402">
        <v>0.35499999999999998</v>
      </c>
      <c r="F402">
        <v>263</v>
      </c>
      <c r="G402" t="b">
        <v>1</v>
      </c>
      <c r="H402" t="b">
        <v>1</v>
      </c>
      <c r="I402">
        <v>20264</v>
      </c>
      <c r="J402">
        <v>96.725536992840077</v>
      </c>
    </row>
    <row r="403" spans="1:10" x14ac:dyDescent="0.3">
      <c r="A403" t="s">
        <v>981</v>
      </c>
      <c r="B403" t="s">
        <v>2187</v>
      </c>
      <c r="C403" t="s">
        <v>330</v>
      </c>
      <c r="D403">
        <v>23.64</v>
      </c>
      <c r="E403">
        <v>0.18</v>
      </c>
      <c r="F403">
        <v>54.5</v>
      </c>
      <c r="G403" t="b">
        <v>1</v>
      </c>
      <c r="H403" t="b">
        <v>1</v>
      </c>
      <c r="I403">
        <v>321</v>
      </c>
      <c r="J403">
        <v>1.532219570405728</v>
      </c>
    </row>
    <row r="404" spans="1:10" x14ac:dyDescent="0.3">
      <c r="A404" t="s">
        <v>982</v>
      </c>
      <c r="B404" t="s">
        <v>331</v>
      </c>
      <c r="C404" t="s">
        <v>2187</v>
      </c>
      <c r="D404">
        <v>14</v>
      </c>
      <c r="E404">
        <v>0.63300000000000001</v>
      </c>
      <c r="F404">
        <v>54.5</v>
      </c>
      <c r="G404" t="b">
        <v>1</v>
      </c>
      <c r="H404" t="b">
        <v>1</v>
      </c>
      <c r="I404">
        <v>321</v>
      </c>
      <c r="J404">
        <v>1.532219570405728</v>
      </c>
    </row>
    <row r="405" spans="1:10" x14ac:dyDescent="0.3">
      <c r="A405" t="s">
        <v>983</v>
      </c>
      <c r="B405" t="s">
        <v>2188</v>
      </c>
      <c r="C405" t="s">
        <v>1986</v>
      </c>
      <c r="D405">
        <v>72.39</v>
      </c>
      <c r="E405">
        <v>0.20499999999999999</v>
      </c>
      <c r="F405">
        <v>70.3</v>
      </c>
      <c r="G405" t="b">
        <v>1</v>
      </c>
      <c r="H405" t="b">
        <v>1</v>
      </c>
      <c r="I405">
        <v>630</v>
      </c>
      <c r="J405">
        <v>3.007159904534606</v>
      </c>
    </row>
    <row r="406" spans="1:10" x14ac:dyDescent="0.3">
      <c r="A406" t="s">
        <v>984</v>
      </c>
      <c r="B406" t="s">
        <v>2189</v>
      </c>
      <c r="C406" t="s">
        <v>69</v>
      </c>
      <c r="D406">
        <v>81.23</v>
      </c>
      <c r="E406">
        <v>0.18</v>
      </c>
      <c r="F406">
        <v>54.5</v>
      </c>
      <c r="G406" t="b">
        <v>1</v>
      </c>
      <c r="H406" t="b">
        <v>1</v>
      </c>
      <c r="I406">
        <v>321</v>
      </c>
      <c r="J406">
        <v>1.532219570405728</v>
      </c>
    </row>
    <row r="407" spans="1:10" x14ac:dyDescent="0.3">
      <c r="A407" t="s">
        <v>985</v>
      </c>
      <c r="B407" t="s">
        <v>2190</v>
      </c>
      <c r="C407" t="s">
        <v>2186</v>
      </c>
      <c r="D407">
        <v>1.37</v>
      </c>
      <c r="E407">
        <v>0.35499999999999998</v>
      </c>
      <c r="F407">
        <v>263</v>
      </c>
      <c r="G407" t="b">
        <v>1</v>
      </c>
      <c r="H407" t="b">
        <v>1</v>
      </c>
      <c r="I407">
        <v>20264</v>
      </c>
      <c r="J407">
        <v>96.725536992840077</v>
      </c>
    </row>
    <row r="408" spans="1:10" x14ac:dyDescent="0.3">
      <c r="A408" t="s">
        <v>986</v>
      </c>
      <c r="B408" t="s">
        <v>2179</v>
      </c>
      <c r="C408" t="s">
        <v>329</v>
      </c>
      <c r="D408">
        <v>53.86</v>
      </c>
      <c r="E408">
        <v>0.18</v>
      </c>
      <c r="F408">
        <v>54.5</v>
      </c>
      <c r="G408" t="b">
        <v>1</v>
      </c>
      <c r="H408" t="b">
        <v>1</v>
      </c>
      <c r="I408">
        <v>321</v>
      </c>
      <c r="J408">
        <v>1.532219570405728</v>
      </c>
    </row>
    <row r="409" spans="1:10" x14ac:dyDescent="0.3">
      <c r="A409" t="s">
        <v>987</v>
      </c>
      <c r="B409" t="s">
        <v>2186</v>
      </c>
      <c r="C409" t="s">
        <v>2181</v>
      </c>
      <c r="D409">
        <v>70.91</v>
      </c>
      <c r="E409">
        <v>0.217</v>
      </c>
      <c r="F409">
        <v>82.5</v>
      </c>
      <c r="G409" t="b">
        <v>1</v>
      </c>
      <c r="H409" t="b">
        <v>1</v>
      </c>
      <c r="I409">
        <v>962</v>
      </c>
      <c r="J409">
        <v>4.5918854415274453</v>
      </c>
    </row>
    <row r="410" spans="1:10" x14ac:dyDescent="0.3">
      <c r="A410" t="s">
        <v>988</v>
      </c>
      <c r="B410" t="s">
        <v>2131</v>
      </c>
      <c r="C410" t="s">
        <v>328</v>
      </c>
      <c r="D410">
        <v>37.11</v>
      </c>
      <c r="E410">
        <v>0.16600000000000001</v>
      </c>
      <c r="F410">
        <v>43.1</v>
      </c>
      <c r="G410" t="b">
        <v>1</v>
      </c>
      <c r="H410" t="b">
        <v>1</v>
      </c>
      <c r="I410">
        <v>172</v>
      </c>
      <c r="J410">
        <v>0.82100238663484471</v>
      </c>
    </row>
    <row r="411" spans="1:10" x14ac:dyDescent="0.3">
      <c r="A411" t="s">
        <v>989</v>
      </c>
      <c r="B411" t="s">
        <v>70</v>
      </c>
      <c r="C411" t="s">
        <v>2185</v>
      </c>
      <c r="D411">
        <v>81.760000000000005</v>
      </c>
      <c r="E411">
        <v>0.18</v>
      </c>
      <c r="F411">
        <v>54.5</v>
      </c>
      <c r="G411" t="b">
        <v>1</v>
      </c>
      <c r="H411" t="b">
        <v>1</v>
      </c>
      <c r="I411">
        <v>321</v>
      </c>
      <c r="J411">
        <v>1.532219570405728</v>
      </c>
    </row>
    <row r="412" spans="1:10" x14ac:dyDescent="0.3">
      <c r="A412" t="s">
        <v>990</v>
      </c>
      <c r="B412" t="s">
        <v>1954</v>
      </c>
      <c r="C412" t="s">
        <v>2188</v>
      </c>
      <c r="D412">
        <v>66.25</v>
      </c>
      <c r="E412">
        <v>0.217</v>
      </c>
      <c r="F412">
        <v>82.5</v>
      </c>
      <c r="G412" t="b">
        <v>1</v>
      </c>
      <c r="H412" t="b">
        <v>1</v>
      </c>
      <c r="I412">
        <v>962</v>
      </c>
      <c r="J412">
        <v>4.5918854415274453</v>
      </c>
    </row>
    <row r="413" spans="1:10" x14ac:dyDescent="0.3">
      <c r="A413" t="s">
        <v>991</v>
      </c>
      <c r="B413" t="s">
        <v>2191</v>
      </c>
      <c r="C413" t="s">
        <v>2291</v>
      </c>
      <c r="D413">
        <v>21.64</v>
      </c>
      <c r="E413">
        <v>0.254</v>
      </c>
      <c r="F413">
        <v>132.5</v>
      </c>
      <c r="G413" t="b">
        <v>1</v>
      </c>
      <c r="H413" t="b">
        <v>1</v>
      </c>
      <c r="I413">
        <v>3354</v>
      </c>
      <c r="J413">
        <v>16.009546539379471</v>
      </c>
    </row>
    <row r="414" spans="1:10" x14ac:dyDescent="0.3">
      <c r="A414" t="s">
        <v>992</v>
      </c>
      <c r="B414" t="s">
        <v>2192</v>
      </c>
      <c r="C414" t="s">
        <v>326</v>
      </c>
      <c r="D414">
        <v>45.12</v>
      </c>
      <c r="E414">
        <v>1</v>
      </c>
      <c r="F414">
        <v>100</v>
      </c>
      <c r="G414" t="b">
        <v>1</v>
      </c>
      <c r="H414" t="b">
        <v>1</v>
      </c>
      <c r="I414">
        <v>1915</v>
      </c>
      <c r="J414">
        <v>9.1408114558472544</v>
      </c>
    </row>
    <row r="415" spans="1:10" x14ac:dyDescent="0.3">
      <c r="A415" t="s">
        <v>993</v>
      </c>
      <c r="B415" t="s">
        <v>2193</v>
      </c>
      <c r="C415" t="s">
        <v>2125</v>
      </c>
      <c r="D415">
        <v>4.16</v>
      </c>
      <c r="E415">
        <v>0.248</v>
      </c>
      <c r="F415">
        <v>70.3</v>
      </c>
      <c r="G415" t="b">
        <v>1</v>
      </c>
      <c r="H415" t="b">
        <v>1</v>
      </c>
      <c r="I415">
        <v>630</v>
      </c>
      <c r="J415">
        <v>3.007159904534606</v>
      </c>
    </row>
    <row r="416" spans="1:10" x14ac:dyDescent="0.3">
      <c r="A416" t="s">
        <v>994</v>
      </c>
      <c r="B416" t="s">
        <v>2145</v>
      </c>
      <c r="C416" t="s">
        <v>323</v>
      </c>
      <c r="D416">
        <v>19.59</v>
      </c>
      <c r="E416">
        <v>1</v>
      </c>
      <c r="F416">
        <v>100</v>
      </c>
      <c r="G416" t="b">
        <v>1</v>
      </c>
      <c r="H416" t="b">
        <v>1</v>
      </c>
      <c r="I416">
        <v>1915</v>
      </c>
      <c r="J416">
        <v>9.1408114558472544</v>
      </c>
    </row>
    <row r="417" spans="1:10" x14ac:dyDescent="0.3">
      <c r="A417" t="s">
        <v>995</v>
      </c>
      <c r="B417" t="s">
        <v>2193</v>
      </c>
      <c r="C417" t="s">
        <v>2083</v>
      </c>
      <c r="D417">
        <v>151.88</v>
      </c>
      <c r="E417">
        <v>0.217</v>
      </c>
      <c r="F417">
        <v>82.5</v>
      </c>
      <c r="G417" t="b">
        <v>1</v>
      </c>
      <c r="H417" t="b">
        <v>1</v>
      </c>
      <c r="I417">
        <v>962</v>
      </c>
      <c r="J417">
        <v>4.5918854415274453</v>
      </c>
    </row>
    <row r="418" spans="1:10" x14ac:dyDescent="0.3">
      <c r="A418" t="s">
        <v>996</v>
      </c>
      <c r="B418" t="s">
        <v>2183</v>
      </c>
      <c r="C418" t="s">
        <v>325</v>
      </c>
      <c r="D418">
        <v>11.95</v>
      </c>
      <c r="E418">
        <v>1</v>
      </c>
      <c r="F418">
        <v>100</v>
      </c>
      <c r="G418" t="b">
        <v>1</v>
      </c>
      <c r="H418" t="b">
        <v>1</v>
      </c>
      <c r="I418">
        <v>1915</v>
      </c>
      <c r="J418">
        <v>9.1408114558472544</v>
      </c>
    </row>
    <row r="419" spans="1:10" x14ac:dyDescent="0.3">
      <c r="A419" t="s">
        <v>997</v>
      </c>
      <c r="B419" t="s">
        <v>2191</v>
      </c>
      <c r="C419" t="s">
        <v>324</v>
      </c>
      <c r="D419">
        <v>31.72</v>
      </c>
      <c r="E419">
        <v>0.18</v>
      </c>
      <c r="F419">
        <v>54.5</v>
      </c>
      <c r="G419" t="b">
        <v>1</v>
      </c>
      <c r="H419" t="b">
        <v>1</v>
      </c>
      <c r="I419">
        <v>321</v>
      </c>
      <c r="J419">
        <v>1.532219570405728</v>
      </c>
    </row>
    <row r="420" spans="1:10" x14ac:dyDescent="0.3">
      <c r="A420" t="s">
        <v>998</v>
      </c>
      <c r="B420" t="s">
        <v>2192</v>
      </c>
      <c r="C420" t="s">
        <v>2360</v>
      </c>
      <c r="D420">
        <v>5.52</v>
      </c>
      <c r="E420">
        <v>0.18</v>
      </c>
      <c r="F420">
        <v>54.5</v>
      </c>
      <c r="G420" t="b">
        <v>1</v>
      </c>
      <c r="H420" t="b">
        <v>1</v>
      </c>
      <c r="I420">
        <v>321</v>
      </c>
      <c r="J420">
        <v>1.532219570405728</v>
      </c>
    </row>
    <row r="421" spans="1:10" x14ac:dyDescent="0.3">
      <c r="A421" t="s">
        <v>999</v>
      </c>
      <c r="B421" t="s">
        <v>2178</v>
      </c>
      <c r="C421" t="s">
        <v>1992</v>
      </c>
      <c r="D421">
        <v>51.58</v>
      </c>
      <c r="E421">
        <v>0.254</v>
      </c>
      <c r="F421">
        <v>132.5</v>
      </c>
      <c r="G421" t="b">
        <v>1</v>
      </c>
      <c r="H421" t="b">
        <v>1</v>
      </c>
      <c r="I421">
        <v>3354</v>
      </c>
      <c r="J421">
        <v>16.009546539379471</v>
      </c>
    </row>
    <row r="422" spans="1:10" x14ac:dyDescent="0.3">
      <c r="A422" t="s">
        <v>1000</v>
      </c>
      <c r="B422" t="s">
        <v>2194</v>
      </c>
      <c r="C422" t="s">
        <v>322</v>
      </c>
      <c r="D422">
        <v>21.12</v>
      </c>
      <c r="E422">
        <v>0.13400000000000001</v>
      </c>
      <c r="F422">
        <v>28.5</v>
      </c>
      <c r="G422" t="b">
        <v>1</v>
      </c>
      <c r="H422" t="b">
        <v>1</v>
      </c>
      <c r="I422">
        <v>60</v>
      </c>
      <c r="J422">
        <v>0.28639618138424822</v>
      </c>
    </row>
    <row r="423" spans="1:10" x14ac:dyDescent="0.3">
      <c r="A423" t="s">
        <v>1001</v>
      </c>
      <c r="B423" t="s">
        <v>2195</v>
      </c>
      <c r="C423" t="s">
        <v>321</v>
      </c>
      <c r="D423">
        <v>50.08</v>
      </c>
      <c r="E423">
        <v>0.20499999999999999</v>
      </c>
      <c r="F423">
        <v>70.3</v>
      </c>
      <c r="G423" t="b">
        <v>1</v>
      </c>
      <c r="H423" t="b">
        <v>1</v>
      </c>
      <c r="I423">
        <v>630</v>
      </c>
      <c r="J423">
        <v>3.007159904534606</v>
      </c>
    </row>
    <row r="424" spans="1:10" x14ac:dyDescent="0.3">
      <c r="A424" t="s">
        <v>1002</v>
      </c>
      <c r="B424" t="s">
        <v>2195</v>
      </c>
      <c r="C424" t="s">
        <v>2182</v>
      </c>
      <c r="D424">
        <v>40.94</v>
      </c>
      <c r="E424">
        <v>0.41099999999999998</v>
      </c>
      <c r="F424">
        <v>312.7</v>
      </c>
      <c r="G424" t="b">
        <v>1</v>
      </c>
      <c r="H424" t="b">
        <v>1</v>
      </c>
      <c r="I424">
        <v>31872</v>
      </c>
      <c r="J424">
        <v>152.1336515513126</v>
      </c>
    </row>
    <row r="425" spans="1:10" x14ac:dyDescent="0.3">
      <c r="A425" t="s">
        <v>1003</v>
      </c>
      <c r="B425" t="s">
        <v>2196</v>
      </c>
      <c r="C425" t="s">
        <v>320</v>
      </c>
      <c r="D425">
        <v>35.520000000000003</v>
      </c>
      <c r="E425">
        <v>0.18</v>
      </c>
      <c r="F425">
        <v>54.5</v>
      </c>
      <c r="G425" t="b">
        <v>1</v>
      </c>
      <c r="H425" t="b">
        <v>1</v>
      </c>
      <c r="I425">
        <v>321</v>
      </c>
      <c r="J425">
        <v>1.532219570405728</v>
      </c>
    </row>
    <row r="426" spans="1:10" x14ac:dyDescent="0.3">
      <c r="A426" t="s">
        <v>1004</v>
      </c>
      <c r="B426" t="s">
        <v>2197</v>
      </c>
      <c r="C426" t="s">
        <v>2665</v>
      </c>
      <c r="D426">
        <v>17.86</v>
      </c>
      <c r="E426">
        <v>1</v>
      </c>
      <c r="F426">
        <v>100</v>
      </c>
      <c r="G426" t="b">
        <v>1</v>
      </c>
      <c r="H426" t="b">
        <v>1</v>
      </c>
      <c r="I426">
        <v>1915</v>
      </c>
      <c r="J426">
        <v>9.1408114558472544</v>
      </c>
    </row>
    <row r="427" spans="1:10" x14ac:dyDescent="0.3">
      <c r="A427" t="s">
        <v>1005</v>
      </c>
      <c r="B427" t="s">
        <v>2198</v>
      </c>
      <c r="C427" t="s">
        <v>2662</v>
      </c>
      <c r="D427">
        <v>364.07</v>
      </c>
      <c r="E427">
        <v>0.41099999999999998</v>
      </c>
      <c r="F427">
        <v>312.7</v>
      </c>
      <c r="G427" t="b">
        <v>1</v>
      </c>
      <c r="H427" t="b">
        <v>1</v>
      </c>
      <c r="I427">
        <v>31872</v>
      </c>
      <c r="J427">
        <v>152.1336515513126</v>
      </c>
    </row>
    <row r="428" spans="1:10" x14ac:dyDescent="0.3">
      <c r="A428" t="s">
        <v>1006</v>
      </c>
      <c r="B428" t="s">
        <v>2199</v>
      </c>
      <c r="C428" t="s">
        <v>2469</v>
      </c>
      <c r="D428">
        <v>20.93</v>
      </c>
      <c r="E428">
        <v>0.217</v>
      </c>
      <c r="F428">
        <v>82.5</v>
      </c>
      <c r="G428" t="b">
        <v>1</v>
      </c>
      <c r="H428" t="b">
        <v>1</v>
      </c>
      <c r="I428">
        <v>962</v>
      </c>
      <c r="J428">
        <v>4.5918854415274453</v>
      </c>
    </row>
    <row r="429" spans="1:10" x14ac:dyDescent="0.3">
      <c r="A429" t="s">
        <v>1007</v>
      </c>
      <c r="B429" t="s">
        <v>2200</v>
      </c>
      <c r="C429" t="s">
        <v>319</v>
      </c>
      <c r="D429">
        <v>61.72</v>
      </c>
      <c r="E429">
        <v>0.13400000000000001</v>
      </c>
      <c r="F429">
        <v>28.5</v>
      </c>
      <c r="G429" t="b">
        <v>1</v>
      </c>
      <c r="H429" t="b">
        <v>1</v>
      </c>
      <c r="I429">
        <v>60</v>
      </c>
      <c r="J429">
        <v>0.28639618138424822</v>
      </c>
    </row>
    <row r="430" spans="1:10" x14ac:dyDescent="0.3">
      <c r="A430" t="s">
        <v>1008</v>
      </c>
      <c r="B430" t="s">
        <v>2200</v>
      </c>
      <c r="C430" t="s">
        <v>2281</v>
      </c>
      <c r="D430">
        <v>2.41</v>
      </c>
      <c r="E430">
        <v>0.18</v>
      </c>
      <c r="F430">
        <v>54.5</v>
      </c>
      <c r="G430" t="b">
        <v>1</v>
      </c>
      <c r="H430" t="b">
        <v>1</v>
      </c>
      <c r="I430">
        <v>321</v>
      </c>
      <c r="J430">
        <v>1.532219570405728</v>
      </c>
    </row>
    <row r="431" spans="1:10" x14ac:dyDescent="0.3">
      <c r="A431" t="s">
        <v>1009</v>
      </c>
      <c r="B431" t="s">
        <v>2101</v>
      </c>
      <c r="C431" t="s">
        <v>2195</v>
      </c>
      <c r="D431">
        <v>1604.28</v>
      </c>
      <c r="E431">
        <v>0.41099999999999998</v>
      </c>
      <c r="F431">
        <v>312.7</v>
      </c>
      <c r="G431" t="b">
        <v>1</v>
      </c>
      <c r="H431" t="b">
        <v>1</v>
      </c>
      <c r="I431">
        <v>31872</v>
      </c>
      <c r="J431">
        <v>152.1336515513126</v>
      </c>
    </row>
    <row r="432" spans="1:10" x14ac:dyDescent="0.3">
      <c r="A432" t="s">
        <v>1010</v>
      </c>
      <c r="B432" t="s">
        <v>2201</v>
      </c>
      <c r="C432" t="s">
        <v>318</v>
      </c>
      <c r="D432">
        <v>56.99</v>
      </c>
      <c r="E432">
        <v>0.16600000000000001</v>
      </c>
      <c r="F432">
        <v>43.1</v>
      </c>
      <c r="G432" t="b">
        <v>1</v>
      </c>
      <c r="H432" t="b">
        <v>1</v>
      </c>
      <c r="I432">
        <v>172</v>
      </c>
      <c r="J432">
        <v>0.82100238663484471</v>
      </c>
    </row>
    <row r="433" spans="1:10" x14ac:dyDescent="0.3">
      <c r="A433" t="s">
        <v>1011</v>
      </c>
      <c r="B433" t="s">
        <v>2202</v>
      </c>
      <c r="C433" t="s">
        <v>2194</v>
      </c>
      <c r="D433">
        <v>20.21</v>
      </c>
      <c r="E433">
        <v>0.18</v>
      </c>
      <c r="F433">
        <v>54.5</v>
      </c>
      <c r="G433" t="b">
        <v>1</v>
      </c>
      <c r="H433" t="b">
        <v>1</v>
      </c>
      <c r="I433">
        <v>321</v>
      </c>
      <c r="J433">
        <v>1.532219570405728</v>
      </c>
    </row>
    <row r="434" spans="1:10" x14ac:dyDescent="0.3">
      <c r="A434" t="s">
        <v>1012</v>
      </c>
      <c r="B434" t="s">
        <v>2203</v>
      </c>
      <c r="C434" t="s">
        <v>316</v>
      </c>
      <c r="D434">
        <v>9.85</v>
      </c>
      <c r="E434">
        <v>0.13400000000000001</v>
      </c>
      <c r="F434">
        <v>28.5</v>
      </c>
      <c r="G434" t="b">
        <v>1</v>
      </c>
      <c r="H434" t="b">
        <v>1</v>
      </c>
      <c r="I434">
        <v>60</v>
      </c>
      <c r="J434">
        <v>0.28639618138424822</v>
      </c>
    </row>
    <row r="435" spans="1:10" x14ac:dyDescent="0.3">
      <c r="A435" t="s">
        <v>1013</v>
      </c>
      <c r="B435" t="s">
        <v>2204</v>
      </c>
      <c r="C435" t="s">
        <v>315</v>
      </c>
      <c r="D435">
        <v>31.09</v>
      </c>
      <c r="E435">
        <v>0.13400000000000001</v>
      </c>
      <c r="F435">
        <v>28.5</v>
      </c>
      <c r="G435" t="b">
        <v>1</v>
      </c>
      <c r="H435" t="b">
        <v>1</v>
      </c>
      <c r="I435">
        <v>60</v>
      </c>
      <c r="J435">
        <v>0.28639618138424822</v>
      </c>
    </row>
    <row r="436" spans="1:10" x14ac:dyDescent="0.3">
      <c r="A436" t="s">
        <v>1014</v>
      </c>
      <c r="B436" t="s">
        <v>2205</v>
      </c>
      <c r="C436" t="s">
        <v>314</v>
      </c>
      <c r="D436">
        <v>23.95</v>
      </c>
      <c r="E436">
        <v>0.13400000000000001</v>
      </c>
      <c r="F436">
        <v>28.5</v>
      </c>
      <c r="G436" t="b">
        <v>1</v>
      </c>
      <c r="H436" t="b">
        <v>1</v>
      </c>
      <c r="I436">
        <v>60</v>
      </c>
      <c r="J436">
        <v>0.28639618138424822</v>
      </c>
    </row>
    <row r="437" spans="1:10" x14ac:dyDescent="0.3">
      <c r="A437" t="s">
        <v>1015</v>
      </c>
      <c r="B437" t="s">
        <v>2204</v>
      </c>
      <c r="C437" t="s">
        <v>2207</v>
      </c>
      <c r="D437">
        <v>7.14</v>
      </c>
      <c r="E437">
        <v>0.18</v>
      </c>
      <c r="F437">
        <v>54.5</v>
      </c>
      <c r="G437" t="b">
        <v>1</v>
      </c>
      <c r="H437" t="b">
        <v>1</v>
      </c>
      <c r="I437">
        <v>321</v>
      </c>
      <c r="J437">
        <v>1.532219570405728</v>
      </c>
    </row>
    <row r="438" spans="1:10" x14ac:dyDescent="0.3">
      <c r="A438" t="s">
        <v>1016</v>
      </c>
      <c r="B438" t="s">
        <v>2202</v>
      </c>
      <c r="C438" t="s">
        <v>300</v>
      </c>
      <c r="D438">
        <v>6.76</v>
      </c>
      <c r="E438">
        <v>0.13400000000000001</v>
      </c>
      <c r="F438">
        <v>28.5</v>
      </c>
      <c r="G438" t="b">
        <v>1</v>
      </c>
      <c r="H438" t="b">
        <v>1</v>
      </c>
      <c r="I438">
        <v>60</v>
      </c>
      <c r="J438">
        <v>0.28639618138424822</v>
      </c>
    </row>
    <row r="439" spans="1:10" x14ac:dyDescent="0.3">
      <c r="A439" t="s">
        <v>1017</v>
      </c>
      <c r="B439" t="s">
        <v>2206</v>
      </c>
      <c r="C439" t="s">
        <v>313</v>
      </c>
      <c r="D439">
        <v>88.68</v>
      </c>
      <c r="E439">
        <v>0.18</v>
      </c>
      <c r="F439">
        <v>54.5</v>
      </c>
      <c r="G439" t="b">
        <v>1</v>
      </c>
      <c r="H439" t="b">
        <v>1</v>
      </c>
      <c r="I439">
        <v>321</v>
      </c>
      <c r="J439">
        <v>1.532219570405728</v>
      </c>
    </row>
    <row r="440" spans="1:10" x14ac:dyDescent="0.3">
      <c r="A440" t="s">
        <v>1018</v>
      </c>
      <c r="B440" t="s">
        <v>2207</v>
      </c>
      <c r="C440" t="s">
        <v>2238</v>
      </c>
      <c r="D440">
        <v>8.4499999999999993</v>
      </c>
      <c r="E440">
        <v>0.18</v>
      </c>
      <c r="F440">
        <v>54.5</v>
      </c>
      <c r="G440" t="b">
        <v>1</v>
      </c>
      <c r="H440" t="b">
        <v>1</v>
      </c>
      <c r="I440">
        <v>321</v>
      </c>
      <c r="J440">
        <v>1.532219570405728</v>
      </c>
    </row>
    <row r="441" spans="1:10" x14ac:dyDescent="0.3">
      <c r="A441" t="s">
        <v>1019</v>
      </c>
      <c r="B441" t="s">
        <v>2208</v>
      </c>
      <c r="C441" t="s">
        <v>2273</v>
      </c>
      <c r="D441">
        <v>3.65</v>
      </c>
      <c r="E441">
        <v>0.18</v>
      </c>
      <c r="F441">
        <v>54.5</v>
      </c>
      <c r="G441" t="b">
        <v>1</v>
      </c>
      <c r="H441" t="b">
        <v>1</v>
      </c>
      <c r="I441">
        <v>321</v>
      </c>
      <c r="J441">
        <v>1.532219570405728</v>
      </c>
    </row>
    <row r="442" spans="1:10" x14ac:dyDescent="0.3">
      <c r="A442" t="s">
        <v>1020</v>
      </c>
      <c r="B442" t="s">
        <v>2209</v>
      </c>
      <c r="C442" t="s">
        <v>311</v>
      </c>
      <c r="D442">
        <v>19.36</v>
      </c>
      <c r="E442">
        <v>0.18</v>
      </c>
      <c r="F442">
        <v>54.5</v>
      </c>
      <c r="G442" t="b">
        <v>1</v>
      </c>
      <c r="H442" t="b">
        <v>1</v>
      </c>
      <c r="I442">
        <v>321</v>
      </c>
      <c r="J442">
        <v>1.532219570405728</v>
      </c>
    </row>
    <row r="443" spans="1:10" x14ac:dyDescent="0.3">
      <c r="A443" t="s">
        <v>1021</v>
      </c>
      <c r="B443" t="s">
        <v>1971</v>
      </c>
      <c r="C443" t="s">
        <v>2209</v>
      </c>
      <c r="D443">
        <v>350.11</v>
      </c>
      <c r="E443">
        <v>0.41099999999999998</v>
      </c>
      <c r="F443">
        <v>312.7</v>
      </c>
      <c r="G443" t="b">
        <v>1</v>
      </c>
      <c r="H443" t="b">
        <v>1</v>
      </c>
      <c r="I443">
        <v>31872</v>
      </c>
      <c r="J443">
        <v>152.1336515513126</v>
      </c>
    </row>
    <row r="444" spans="1:10" x14ac:dyDescent="0.3">
      <c r="A444" t="s">
        <v>1022</v>
      </c>
      <c r="B444" t="s">
        <v>2118</v>
      </c>
      <c r="C444" t="s">
        <v>310</v>
      </c>
      <c r="D444">
        <v>24.93</v>
      </c>
      <c r="E444">
        <v>0.18</v>
      </c>
      <c r="F444">
        <v>54.5</v>
      </c>
      <c r="G444" t="b">
        <v>1</v>
      </c>
      <c r="H444" t="b">
        <v>1</v>
      </c>
      <c r="I444">
        <v>321</v>
      </c>
      <c r="J444">
        <v>1.532219570405728</v>
      </c>
    </row>
    <row r="445" spans="1:10" x14ac:dyDescent="0.3">
      <c r="A445" t="s">
        <v>1023</v>
      </c>
      <c r="B445" t="s">
        <v>2210</v>
      </c>
      <c r="C445" t="s">
        <v>2065</v>
      </c>
      <c r="D445">
        <v>72.61</v>
      </c>
      <c r="E445">
        <v>0.22500000000000001</v>
      </c>
      <c r="F445">
        <v>107.1</v>
      </c>
      <c r="G445" t="b">
        <v>1</v>
      </c>
      <c r="H445" t="b">
        <v>1</v>
      </c>
      <c r="I445">
        <v>1915</v>
      </c>
      <c r="J445">
        <v>9.1408114558472544</v>
      </c>
    </row>
    <row r="446" spans="1:10" x14ac:dyDescent="0.3">
      <c r="A446" t="s">
        <v>1024</v>
      </c>
      <c r="B446" t="s">
        <v>2211</v>
      </c>
      <c r="C446" t="s">
        <v>309</v>
      </c>
      <c r="D446">
        <v>5.54</v>
      </c>
      <c r="E446">
        <v>0.13400000000000001</v>
      </c>
      <c r="F446">
        <v>28.5</v>
      </c>
      <c r="G446" t="b">
        <v>1</v>
      </c>
      <c r="H446" t="b">
        <v>1</v>
      </c>
      <c r="I446">
        <v>60</v>
      </c>
      <c r="J446">
        <v>0.28639618138424822</v>
      </c>
    </row>
    <row r="447" spans="1:10" x14ac:dyDescent="0.3">
      <c r="A447" t="s">
        <v>1025</v>
      </c>
      <c r="B447" t="s">
        <v>2211</v>
      </c>
      <c r="C447" t="s">
        <v>2223</v>
      </c>
      <c r="D447">
        <v>36.58</v>
      </c>
      <c r="E447">
        <v>0.22500000000000001</v>
      </c>
      <c r="F447">
        <v>107.1</v>
      </c>
      <c r="G447" t="b">
        <v>1</v>
      </c>
      <c r="H447" t="b">
        <v>1</v>
      </c>
      <c r="I447">
        <v>1915</v>
      </c>
      <c r="J447">
        <v>9.1408114558472544</v>
      </c>
    </row>
    <row r="448" spans="1:10" x14ac:dyDescent="0.3">
      <c r="A448" t="s">
        <v>1026</v>
      </c>
      <c r="B448" t="s">
        <v>2207</v>
      </c>
      <c r="C448" t="s">
        <v>308</v>
      </c>
      <c r="D448">
        <v>42.33</v>
      </c>
      <c r="E448">
        <v>0.13400000000000001</v>
      </c>
      <c r="F448">
        <v>28.5</v>
      </c>
      <c r="G448" t="b">
        <v>1</v>
      </c>
      <c r="H448" t="b">
        <v>1</v>
      </c>
      <c r="I448">
        <v>60</v>
      </c>
      <c r="J448">
        <v>0.28639618138424822</v>
      </c>
    </row>
    <row r="449" spans="1:10" x14ac:dyDescent="0.3">
      <c r="A449" t="s">
        <v>1027</v>
      </c>
      <c r="B449" t="s">
        <v>2212</v>
      </c>
      <c r="C449" t="s">
        <v>2236</v>
      </c>
      <c r="D449">
        <v>217.55</v>
      </c>
      <c r="E449">
        <v>0.254</v>
      </c>
      <c r="F449">
        <v>132.5</v>
      </c>
      <c r="G449" t="b">
        <v>1</v>
      </c>
      <c r="H449" t="b">
        <v>1</v>
      </c>
      <c r="I449">
        <v>3354</v>
      </c>
      <c r="J449">
        <v>16.009546539379471</v>
      </c>
    </row>
    <row r="450" spans="1:10" x14ac:dyDescent="0.3">
      <c r="A450" t="s">
        <v>1028</v>
      </c>
      <c r="B450" t="s">
        <v>2213</v>
      </c>
      <c r="C450" t="s">
        <v>2230</v>
      </c>
      <c r="D450">
        <v>6.08</v>
      </c>
      <c r="E450">
        <v>0.18</v>
      </c>
      <c r="F450">
        <v>54.5</v>
      </c>
      <c r="G450" t="b">
        <v>1</v>
      </c>
      <c r="H450" t="b">
        <v>1</v>
      </c>
      <c r="I450">
        <v>321</v>
      </c>
      <c r="J450">
        <v>1.532219570405728</v>
      </c>
    </row>
    <row r="451" spans="1:10" x14ac:dyDescent="0.3">
      <c r="A451" t="s">
        <v>1029</v>
      </c>
      <c r="B451" t="s">
        <v>2214</v>
      </c>
      <c r="C451" t="s">
        <v>2213</v>
      </c>
      <c r="D451">
        <v>4.9800000000000004</v>
      </c>
      <c r="E451">
        <v>0.18</v>
      </c>
      <c r="F451">
        <v>54.5</v>
      </c>
      <c r="G451" t="b">
        <v>1</v>
      </c>
      <c r="H451" t="b">
        <v>1</v>
      </c>
      <c r="I451">
        <v>321</v>
      </c>
      <c r="J451">
        <v>1.532219570405728</v>
      </c>
    </row>
    <row r="452" spans="1:10" x14ac:dyDescent="0.3">
      <c r="A452" t="s">
        <v>1030</v>
      </c>
      <c r="B452" t="s">
        <v>2215</v>
      </c>
      <c r="C452" t="s">
        <v>312</v>
      </c>
      <c r="D452">
        <v>26.46</v>
      </c>
      <c r="E452">
        <v>0.13400000000000001</v>
      </c>
      <c r="F452">
        <v>28.5</v>
      </c>
      <c r="G452" t="b">
        <v>1</v>
      </c>
      <c r="H452" t="b">
        <v>1</v>
      </c>
      <c r="I452">
        <v>60</v>
      </c>
      <c r="J452">
        <v>0.28639618138424822</v>
      </c>
    </row>
    <row r="453" spans="1:10" x14ac:dyDescent="0.3">
      <c r="A453" t="s">
        <v>1031</v>
      </c>
      <c r="B453" t="s">
        <v>2216</v>
      </c>
      <c r="C453" t="s">
        <v>2214</v>
      </c>
      <c r="D453">
        <v>44.1</v>
      </c>
      <c r="E453">
        <v>0.18</v>
      </c>
      <c r="F453">
        <v>54.5</v>
      </c>
      <c r="G453" t="b">
        <v>1</v>
      </c>
      <c r="H453" t="b">
        <v>1</v>
      </c>
      <c r="I453">
        <v>321</v>
      </c>
      <c r="J453">
        <v>1.532219570405728</v>
      </c>
    </row>
    <row r="454" spans="1:10" x14ac:dyDescent="0.3">
      <c r="A454" t="s">
        <v>1032</v>
      </c>
      <c r="B454" t="s">
        <v>2217</v>
      </c>
      <c r="C454" t="s">
        <v>317</v>
      </c>
      <c r="D454">
        <v>14.33</v>
      </c>
      <c r="E454">
        <v>0.18</v>
      </c>
      <c r="F454">
        <v>54.5</v>
      </c>
      <c r="G454" t="b">
        <v>1</v>
      </c>
      <c r="H454" t="b">
        <v>1</v>
      </c>
      <c r="I454">
        <v>321</v>
      </c>
      <c r="J454">
        <v>1.532219570405728</v>
      </c>
    </row>
    <row r="455" spans="1:10" x14ac:dyDescent="0.3">
      <c r="A455" t="s">
        <v>1033</v>
      </c>
      <c r="B455" t="s">
        <v>2218</v>
      </c>
      <c r="C455" t="s">
        <v>2222</v>
      </c>
      <c r="D455">
        <v>46.66</v>
      </c>
      <c r="E455">
        <v>0.22500000000000001</v>
      </c>
      <c r="F455">
        <v>107.1</v>
      </c>
      <c r="G455" t="b">
        <v>1</v>
      </c>
      <c r="H455" t="b">
        <v>1</v>
      </c>
      <c r="I455">
        <v>1915</v>
      </c>
      <c r="J455">
        <v>9.1408114558472544</v>
      </c>
    </row>
    <row r="456" spans="1:10" x14ac:dyDescent="0.3">
      <c r="A456" t="s">
        <v>1034</v>
      </c>
      <c r="B456" t="s">
        <v>2219</v>
      </c>
      <c r="C456" t="s">
        <v>67</v>
      </c>
      <c r="D456">
        <v>77.86</v>
      </c>
      <c r="E456">
        <v>0.16600000000000001</v>
      </c>
      <c r="F456">
        <v>43.1</v>
      </c>
      <c r="G456" t="b">
        <v>1</v>
      </c>
      <c r="H456" t="b">
        <v>1</v>
      </c>
      <c r="I456">
        <v>172</v>
      </c>
      <c r="J456">
        <v>0.82100238663484471</v>
      </c>
    </row>
    <row r="457" spans="1:10" x14ac:dyDescent="0.3">
      <c r="A457" t="s">
        <v>1035</v>
      </c>
      <c r="B457" t="s">
        <v>2208</v>
      </c>
      <c r="C457" t="s">
        <v>2225</v>
      </c>
      <c r="D457">
        <v>81.64</v>
      </c>
      <c r="E457">
        <v>0.18</v>
      </c>
      <c r="F457">
        <v>54.5</v>
      </c>
      <c r="G457" t="b">
        <v>1</v>
      </c>
      <c r="H457" t="b">
        <v>1</v>
      </c>
      <c r="I457">
        <v>321</v>
      </c>
      <c r="J457">
        <v>1.532219570405728</v>
      </c>
    </row>
    <row r="458" spans="1:10" x14ac:dyDescent="0.3">
      <c r="A458" t="s">
        <v>1036</v>
      </c>
      <c r="B458" t="s">
        <v>2219</v>
      </c>
      <c r="C458" t="s">
        <v>2133</v>
      </c>
      <c r="D458">
        <v>17.28</v>
      </c>
      <c r="E458">
        <v>0.254</v>
      </c>
      <c r="F458">
        <v>132.5</v>
      </c>
      <c r="G458" t="b">
        <v>1</v>
      </c>
      <c r="H458" t="b">
        <v>1</v>
      </c>
      <c r="I458">
        <v>3354</v>
      </c>
      <c r="J458">
        <v>16.009546539379471</v>
      </c>
    </row>
    <row r="459" spans="1:10" x14ac:dyDescent="0.3">
      <c r="A459" t="s">
        <v>1037</v>
      </c>
      <c r="B459" t="s">
        <v>2220</v>
      </c>
      <c r="C459" t="s">
        <v>307</v>
      </c>
      <c r="D459">
        <v>21.34</v>
      </c>
      <c r="E459">
        <v>0.13400000000000001</v>
      </c>
      <c r="F459">
        <v>28.5</v>
      </c>
      <c r="G459" t="b">
        <v>1</v>
      </c>
      <c r="H459" t="b">
        <v>1</v>
      </c>
      <c r="I459">
        <v>60</v>
      </c>
      <c r="J459">
        <v>0.28639618138424822</v>
      </c>
    </row>
    <row r="460" spans="1:10" x14ac:dyDescent="0.3">
      <c r="A460" t="s">
        <v>1038</v>
      </c>
      <c r="B460" t="s">
        <v>2221</v>
      </c>
      <c r="C460" t="s">
        <v>306</v>
      </c>
      <c r="D460">
        <v>25.93</v>
      </c>
      <c r="E460">
        <v>0.13400000000000001</v>
      </c>
      <c r="F460">
        <v>28.5</v>
      </c>
      <c r="G460" t="b">
        <v>1</v>
      </c>
      <c r="H460" t="b">
        <v>1</v>
      </c>
      <c r="I460">
        <v>60</v>
      </c>
      <c r="J460">
        <v>0.28639618138424822</v>
      </c>
    </row>
    <row r="461" spans="1:10" x14ac:dyDescent="0.3">
      <c r="A461" t="s">
        <v>1039</v>
      </c>
      <c r="B461" t="s">
        <v>2221</v>
      </c>
      <c r="C461" t="s">
        <v>2234</v>
      </c>
      <c r="D461">
        <v>40.630000000000003</v>
      </c>
      <c r="E461">
        <v>0.22500000000000001</v>
      </c>
      <c r="F461">
        <v>107.1</v>
      </c>
      <c r="G461" t="b">
        <v>1</v>
      </c>
      <c r="H461" t="b">
        <v>1</v>
      </c>
      <c r="I461">
        <v>1915</v>
      </c>
      <c r="J461">
        <v>9.1408114558472544</v>
      </c>
    </row>
    <row r="462" spans="1:10" x14ac:dyDescent="0.3">
      <c r="A462" t="s">
        <v>1040</v>
      </c>
      <c r="B462" t="s">
        <v>2222</v>
      </c>
      <c r="C462" t="s">
        <v>304</v>
      </c>
      <c r="D462">
        <v>47.09</v>
      </c>
      <c r="E462">
        <v>0.16600000000000001</v>
      </c>
      <c r="F462">
        <v>43.1</v>
      </c>
      <c r="G462" t="b">
        <v>1</v>
      </c>
      <c r="H462" t="b">
        <v>1</v>
      </c>
      <c r="I462">
        <v>172</v>
      </c>
      <c r="J462">
        <v>0.82100238663484471</v>
      </c>
    </row>
    <row r="463" spans="1:10" x14ac:dyDescent="0.3">
      <c r="A463" t="s">
        <v>1041</v>
      </c>
      <c r="B463" t="s">
        <v>2149</v>
      </c>
      <c r="C463" t="s">
        <v>2140</v>
      </c>
      <c r="D463">
        <v>86.78</v>
      </c>
      <c r="E463">
        <v>0.20499999999999999</v>
      </c>
      <c r="F463">
        <v>70.3</v>
      </c>
      <c r="G463" t="b">
        <v>1</v>
      </c>
      <c r="H463" t="b">
        <v>1</v>
      </c>
      <c r="I463">
        <v>630</v>
      </c>
      <c r="J463">
        <v>3.007159904534606</v>
      </c>
    </row>
    <row r="464" spans="1:10" x14ac:dyDescent="0.3">
      <c r="A464" t="s">
        <v>1042</v>
      </c>
      <c r="B464" t="s">
        <v>2205</v>
      </c>
      <c r="C464" t="s">
        <v>2235</v>
      </c>
      <c r="D464">
        <v>17.21</v>
      </c>
      <c r="E464">
        <v>0.22500000000000001</v>
      </c>
      <c r="F464">
        <v>107.1</v>
      </c>
      <c r="G464" t="b">
        <v>1</v>
      </c>
      <c r="H464" t="b">
        <v>1</v>
      </c>
      <c r="I464">
        <v>1915</v>
      </c>
      <c r="J464">
        <v>9.1408114558472544</v>
      </c>
    </row>
    <row r="465" spans="1:10" x14ac:dyDescent="0.3">
      <c r="A465" t="s">
        <v>1043</v>
      </c>
      <c r="B465" t="s">
        <v>2223</v>
      </c>
      <c r="C465" t="s">
        <v>2205</v>
      </c>
      <c r="D465">
        <v>11.82</v>
      </c>
      <c r="E465">
        <v>0.22500000000000001</v>
      </c>
      <c r="F465">
        <v>107.1</v>
      </c>
      <c r="G465" t="b">
        <v>1</v>
      </c>
      <c r="H465" t="b">
        <v>1</v>
      </c>
      <c r="I465">
        <v>1915</v>
      </c>
      <c r="J465">
        <v>9.1408114558472544</v>
      </c>
    </row>
    <row r="466" spans="1:10" x14ac:dyDescent="0.3">
      <c r="A466" t="s">
        <v>1044</v>
      </c>
      <c r="B466" t="s">
        <v>2224</v>
      </c>
      <c r="C466" t="s">
        <v>303</v>
      </c>
      <c r="D466">
        <v>6.21</v>
      </c>
      <c r="E466">
        <v>0.13400000000000001</v>
      </c>
      <c r="F466">
        <v>28.5</v>
      </c>
      <c r="G466" t="b">
        <v>1</v>
      </c>
      <c r="H466" t="b">
        <v>1</v>
      </c>
      <c r="I466">
        <v>60</v>
      </c>
      <c r="J466">
        <v>0.28639618138424822</v>
      </c>
    </row>
    <row r="467" spans="1:10" x14ac:dyDescent="0.3">
      <c r="A467" t="s">
        <v>1045</v>
      </c>
      <c r="B467" t="s">
        <v>2225</v>
      </c>
      <c r="C467" t="s">
        <v>302</v>
      </c>
      <c r="D467">
        <v>6.33</v>
      </c>
      <c r="E467">
        <v>0.16600000000000001</v>
      </c>
      <c r="F467">
        <v>43.1</v>
      </c>
      <c r="G467" t="b">
        <v>1</v>
      </c>
      <c r="H467" t="b">
        <v>1</v>
      </c>
      <c r="I467">
        <v>172</v>
      </c>
      <c r="J467">
        <v>0.82100238663484471</v>
      </c>
    </row>
    <row r="468" spans="1:10" x14ac:dyDescent="0.3">
      <c r="A468" t="s">
        <v>1046</v>
      </c>
      <c r="B468" t="s">
        <v>2226</v>
      </c>
      <c r="C468" t="s">
        <v>2150</v>
      </c>
      <c r="D468">
        <v>0.87</v>
      </c>
      <c r="E468">
        <v>0.20499999999999999</v>
      </c>
      <c r="F468">
        <v>70.3</v>
      </c>
      <c r="G468" t="b">
        <v>1</v>
      </c>
      <c r="H468" t="b">
        <v>1</v>
      </c>
      <c r="I468">
        <v>630</v>
      </c>
      <c r="J468">
        <v>3.007159904534606</v>
      </c>
    </row>
    <row r="469" spans="1:10" x14ac:dyDescent="0.3">
      <c r="A469" t="s">
        <v>1047</v>
      </c>
      <c r="B469" t="s">
        <v>2224</v>
      </c>
      <c r="C469" t="s">
        <v>2003</v>
      </c>
      <c r="D469">
        <v>320.36</v>
      </c>
      <c r="E469">
        <v>0.22500000000000001</v>
      </c>
      <c r="F469">
        <v>107.1</v>
      </c>
      <c r="G469" t="b">
        <v>1</v>
      </c>
      <c r="H469" t="b">
        <v>1</v>
      </c>
      <c r="I469">
        <v>1915</v>
      </c>
      <c r="J469">
        <v>9.1408114558472544</v>
      </c>
    </row>
    <row r="470" spans="1:10" x14ac:dyDescent="0.3">
      <c r="A470" t="s">
        <v>1048</v>
      </c>
      <c r="B470" t="s">
        <v>2215</v>
      </c>
      <c r="C470" t="s">
        <v>2229</v>
      </c>
      <c r="D470">
        <v>1.37</v>
      </c>
      <c r="E470">
        <v>0.18</v>
      </c>
      <c r="F470">
        <v>54.5</v>
      </c>
      <c r="G470" t="b">
        <v>1</v>
      </c>
      <c r="H470" t="b">
        <v>1</v>
      </c>
      <c r="I470">
        <v>321</v>
      </c>
      <c r="J470">
        <v>1.532219570405728</v>
      </c>
    </row>
    <row r="471" spans="1:10" x14ac:dyDescent="0.3">
      <c r="A471" t="s">
        <v>1049</v>
      </c>
      <c r="B471" t="s">
        <v>2227</v>
      </c>
      <c r="C471" t="s">
        <v>2215</v>
      </c>
      <c r="D471">
        <v>55.17</v>
      </c>
      <c r="E471">
        <v>0.18</v>
      </c>
      <c r="F471">
        <v>54.5</v>
      </c>
      <c r="G471" t="b">
        <v>1</v>
      </c>
      <c r="H471" t="b">
        <v>1</v>
      </c>
      <c r="I471">
        <v>321</v>
      </c>
      <c r="J471">
        <v>1.532219570405728</v>
      </c>
    </row>
    <row r="472" spans="1:10" x14ac:dyDescent="0.3">
      <c r="A472" t="s">
        <v>1050</v>
      </c>
      <c r="B472" t="s">
        <v>2228</v>
      </c>
      <c r="C472" t="s">
        <v>2265</v>
      </c>
      <c r="D472">
        <v>26.64</v>
      </c>
      <c r="E472">
        <v>0.18</v>
      </c>
      <c r="F472">
        <v>54.5</v>
      </c>
      <c r="G472" t="b">
        <v>1</v>
      </c>
      <c r="H472" t="b">
        <v>1</v>
      </c>
      <c r="I472">
        <v>321</v>
      </c>
      <c r="J472">
        <v>1.532219570405728</v>
      </c>
    </row>
    <row r="473" spans="1:10" x14ac:dyDescent="0.3">
      <c r="A473" t="s">
        <v>1051</v>
      </c>
      <c r="B473" t="s">
        <v>2229</v>
      </c>
      <c r="C473" t="s">
        <v>2228</v>
      </c>
      <c r="D473">
        <v>10.15</v>
      </c>
      <c r="E473">
        <v>0.18</v>
      </c>
      <c r="F473">
        <v>54.5</v>
      </c>
      <c r="G473" t="b">
        <v>1</v>
      </c>
      <c r="H473" t="b">
        <v>1</v>
      </c>
      <c r="I473">
        <v>321</v>
      </c>
      <c r="J473">
        <v>1.532219570405728</v>
      </c>
    </row>
    <row r="474" spans="1:10" x14ac:dyDescent="0.3">
      <c r="A474" t="s">
        <v>1052</v>
      </c>
      <c r="B474" t="s">
        <v>2226</v>
      </c>
      <c r="C474" t="s">
        <v>299</v>
      </c>
      <c r="D474">
        <v>34.11</v>
      </c>
      <c r="E474">
        <v>0.16600000000000001</v>
      </c>
      <c r="F474">
        <v>43.1</v>
      </c>
      <c r="G474" t="b">
        <v>1</v>
      </c>
      <c r="H474" t="b">
        <v>1</v>
      </c>
      <c r="I474">
        <v>172</v>
      </c>
      <c r="J474">
        <v>0.82100238663484471</v>
      </c>
    </row>
    <row r="475" spans="1:10" x14ac:dyDescent="0.3">
      <c r="A475" t="s">
        <v>1053</v>
      </c>
      <c r="B475" t="s">
        <v>2230</v>
      </c>
      <c r="C475" t="s">
        <v>301</v>
      </c>
      <c r="D475">
        <v>19.510000000000002</v>
      </c>
      <c r="E475">
        <v>0.13400000000000001</v>
      </c>
      <c r="F475">
        <v>28.5</v>
      </c>
      <c r="G475" t="b">
        <v>1</v>
      </c>
      <c r="H475" t="b">
        <v>1</v>
      </c>
      <c r="I475">
        <v>60</v>
      </c>
      <c r="J475">
        <v>0.28639618138424822</v>
      </c>
    </row>
    <row r="476" spans="1:10" x14ac:dyDescent="0.3">
      <c r="A476" t="s">
        <v>1054</v>
      </c>
      <c r="B476" t="s">
        <v>2230</v>
      </c>
      <c r="C476" t="s">
        <v>2094</v>
      </c>
      <c r="D476">
        <v>3</v>
      </c>
      <c r="E476">
        <v>0.18</v>
      </c>
      <c r="F476">
        <v>54.5</v>
      </c>
      <c r="G476" t="b">
        <v>1</v>
      </c>
      <c r="H476" t="b">
        <v>1</v>
      </c>
      <c r="I476">
        <v>321</v>
      </c>
      <c r="J476">
        <v>1.532219570405728</v>
      </c>
    </row>
    <row r="477" spans="1:10" x14ac:dyDescent="0.3">
      <c r="A477" t="s">
        <v>1055</v>
      </c>
      <c r="B477" t="s">
        <v>2231</v>
      </c>
      <c r="C477" t="s">
        <v>284</v>
      </c>
      <c r="D477">
        <v>33.18</v>
      </c>
      <c r="E477">
        <v>0.13400000000000001</v>
      </c>
      <c r="F477">
        <v>28.5</v>
      </c>
      <c r="G477" t="b">
        <v>1</v>
      </c>
      <c r="H477" t="b">
        <v>1</v>
      </c>
      <c r="I477">
        <v>60</v>
      </c>
      <c r="J477">
        <v>0.28639618138424822</v>
      </c>
    </row>
    <row r="478" spans="1:10" x14ac:dyDescent="0.3">
      <c r="A478" t="s">
        <v>1056</v>
      </c>
      <c r="B478" t="s">
        <v>2232</v>
      </c>
      <c r="C478" t="s">
        <v>298</v>
      </c>
      <c r="D478">
        <v>84.2</v>
      </c>
      <c r="E478">
        <v>0.18</v>
      </c>
      <c r="F478">
        <v>54.5</v>
      </c>
      <c r="G478" t="b">
        <v>1</v>
      </c>
      <c r="H478" t="b">
        <v>1</v>
      </c>
      <c r="I478">
        <v>321</v>
      </c>
      <c r="J478">
        <v>1.532219570405728</v>
      </c>
    </row>
    <row r="479" spans="1:10" x14ac:dyDescent="0.3">
      <c r="A479" t="s">
        <v>1057</v>
      </c>
      <c r="B479" t="s">
        <v>2228</v>
      </c>
      <c r="C479" t="s">
        <v>297</v>
      </c>
      <c r="D479">
        <v>20.52</v>
      </c>
      <c r="E479">
        <v>0.13400000000000001</v>
      </c>
      <c r="F479">
        <v>28.5</v>
      </c>
      <c r="G479" t="b">
        <v>1</v>
      </c>
      <c r="H479" t="b">
        <v>1</v>
      </c>
      <c r="I479">
        <v>60</v>
      </c>
      <c r="J479">
        <v>0.28639618138424822</v>
      </c>
    </row>
    <row r="480" spans="1:10" x14ac:dyDescent="0.3">
      <c r="A480" t="s">
        <v>1058</v>
      </c>
      <c r="B480" t="s">
        <v>2233</v>
      </c>
      <c r="C480" t="s">
        <v>2177</v>
      </c>
      <c r="D480">
        <v>50.65</v>
      </c>
      <c r="E480">
        <v>0.217</v>
      </c>
      <c r="F480">
        <v>82.5</v>
      </c>
      <c r="G480" t="b">
        <v>1</v>
      </c>
      <c r="H480" t="b">
        <v>1</v>
      </c>
      <c r="I480">
        <v>962</v>
      </c>
      <c r="J480">
        <v>4.5918854415274453</v>
      </c>
    </row>
    <row r="481" spans="1:10" x14ac:dyDescent="0.3">
      <c r="A481" t="s">
        <v>1059</v>
      </c>
      <c r="B481" t="s">
        <v>2177</v>
      </c>
      <c r="C481" t="s">
        <v>2237</v>
      </c>
      <c r="D481">
        <v>178.57</v>
      </c>
      <c r="E481">
        <v>0.217</v>
      </c>
      <c r="F481">
        <v>82.5</v>
      </c>
      <c r="G481" t="b">
        <v>1</v>
      </c>
      <c r="H481" t="b">
        <v>1</v>
      </c>
      <c r="I481">
        <v>962</v>
      </c>
      <c r="J481">
        <v>4.5918854415274453</v>
      </c>
    </row>
    <row r="482" spans="1:10" x14ac:dyDescent="0.3">
      <c r="A482" t="s">
        <v>1060</v>
      </c>
      <c r="B482" t="s">
        <v>2234</v>
      </c>
      <c r="C482" t="s">
        <v>296</v>
      </c>
      <c r="D482">
        <v>30.6</v>
      </c>
      <c r="E482">
        <v>0.13400000000000001</v>
      </c>
      <c r="F482">
        <v>28.5</v>
      </c>
      <c r="G482" t="b">
        <v>1</v>
      </c>
      <c r="H482" t="b">
        <v>1</v>
      </c>
      <c r="I482">
        <v>60</v>
      </c>
      <c r="J482">
        <v>0.28639618138424822</v>
      </c>
    </row>
    <row r="483" spans="1:10" x14ac:dyDescent="0.3">
      <c r="A483" t="s">
        <v>1061</v>
      </c>
      <c r="B483" t="s">
        <v>2235</v>
      </c>
      <c r="C483" t="s">
        <v>295</v>
      </c>
      <c r="D483">
        <v>19.04</v>
      </c>
      <c r="E483">
        <v>0.13400000000000001</v>
      </c>
      <c r="F483">
        <v>28.5</v>
      </c>
      <c r="G483" t="b">
        <v>1</v>
      </c>
      <c r="H483" t="b">
        <v>1</v>
      </c>
      <c r="I483">
        <v>60</v>
      </c>
      <c r="J483">
        <v>0.28639618138424822</v>
      </c>
    </row>
    <row r="484" spans="1:10" x14ac:dyDescent="0.3">
      <c r="A484" t="s">
        <v>1062</v>
      </c>
      <c r="B484" t="s">
        <v>2236</v>
      </c>
      <c r="C484" t="s">
        <v>281</v>
      </c>
      <c r="D484">
        <v>37.159999999999997</v>
      </c>
      <c r="E484">
        <v>0.13400000000000001</v>
      </c>
      <c r="F484">
        <v>28.5</v>
      </c>
      <c r="G484" t="b">
        <v>1</v>
      </c>
      <c r="H484" t="b">
        <v>1</v>
      </c>
      <c r="I484">
        <v>60</v>
      </c>
      <c r="J484">
        <v>0.28639618138424822</v>
      </c>
    </row>
    <row r="485" spans="1:10" x14ac:dyDescent="0.3">
      <c r="A485" t="s">
        <v>1063</v>
      </c>
      <c r="B485" t="s">
        <v>2236</v>
      </c>
      <c r="C485" t="s">
        <v>2270</v>
      </c>
      <c r="D485">
        <v>60.43</v>
      </c>
      <c r="E485">
        <v>0.254</v>
      </c>
      <c r="F485">
        <v>132.5</v>
      </c>
      <c r="G485" t="b">
        <v>1</v>
      </c>
      <c r="H485" t="b">
        <v>1</v>
      </c>
      <c r="I485">
        <v>3354</v>
      </c>
      <c r="J485">
        <v>16.009546539379471</v>
      </c>
    </row>
    <row r="486" spans="1:10" x14ac:dyDescent="0.3">
      <c r="A486" t="s">
        <v>1064</v>
      </c>
      <c r="B486" t="s">
        <v>2229</v>
      </c>
      <c r="C486" t="s">
        <v>293</v>
      </c>
      <c r="D486">
        <v>17.670000000000002</v>
      </c>
      <c r="E486">
        <v>0.13400000000000001</v>
      </c>
      <c r="F486">
        <v>28.5</v>
      </c>
      <c r="G486" t="b">
        <v>1</v>
      </c>
      <c r="H486" t="b">
        <v>1</v>
      </c>
      <c r="I486">
        <v>60</v>
      </c>
      <c r="J486">
        <v>0.28639618138424822</v>
      </c>
    </row>
    <row r="487" spans="1:10" x14ac:dyDescent="0.3">
      <c r="A487" t="s">
        <v>1065</v>
      </c>
      <c r="B487" t="s">
        <v>2203</v>
      </c>
      <c r="C487" t="s">
        <v>2204</v>
      </c>
      <c r="D487">
        <v>10.63</v>
      </c>
      <c r="E487">
        <v>0.18</v>
      </c>
      <c r="F487">
        <v>54.5</v>
      </c>
      <c r="G487" t="b">
        <v>1</v>
      </c>
      <c r="H487" t="b">
        <v>1</v>
      </c>
      <c r="I487">
        <v>321</v>
      </c>
      <c r="J487">
        <v>1.532219570405728</v>
      </c>
    </row>
    <row r="488" spans="1:10" x14ac:dyDescent="0.3">
      <c r="A488" t="s">
        <v>1066</v>
      </c>
      <c r="B488" t="s">
        <v>2237</v>
      </c>
      <c r="C488" t="s">
        <v>282</v>
      </c>
      <c r="D488">
        <v>56.12</v>
      </c>
      <c r="E488">
        <v>0.16600000000000001</v>
      </c>
      <c r="F488">
        <v>43.1</v>
      </c>
      <c r="G488" t="b">
        <v>1</v>
      </c>
      <c r="H488" t="b">
        <v>1</v>
      </c>
      <c r="I488">
        <v>172</v>
      </c>
      <c r="J488">
        <v>0.82100238663484471</v>
      </c>
    </row>
    <row r="489" spans="1:10" x14ac:dyDescent="0.3">
      <c r="A489" t="s">
        <v>1067</v>
      </c>
      <c r="B489" t="s">
        <v>2238</v>
      </c>
      <c r="C489" t="s">
        <v>291</v>
      </c>
      <c r="D489">
        <v>9.3000000000000007</v>
      </c>
      <c r="E489">
        <v>0.13400000000000001</v>
      </c>
      <c r="F489">
        <v>28.5</v>
      </c>
      <c r="G489" t="b">
        <v>1</v>
      </c>
      <c r="H489" t="b">
        <v>1</v>
      </c>
      <c r="I489">
        <v>60</v>
      </c>
      <c r="J489">
        <v>0.28639618138424822</v>
      </c>
    </row>
    <row r="490" spans="1:10" x14ac:dyDescent="0.3">
      <c r="A490" t="s">
        <v>1068</v>
      </c>
      <c r="B490" t="s">
        <v>2227</v>
      </c>
      <c r="C490" t="s">
        <v>2224</v>
      </c>
      <c r="D490">
        <v>18.3</v>
      </c>
      <c r="E490">
        <v>0.22500000000000001</v>
      </c>
      <c r="F490">
        <v>107.1</v>
      </c>
      <c r="G490" t="b">
        <v>1</v>
      </c>
      <c r="H490" t="b">
        <v>1</v>
      </c>
      <c r="I490">
        <v>1915</v>
      </c>
      <c r="J490">
        <v>9.1408114558472544</v>
      </c>
    </row>
    <row r="491" spans="1:10" x14ac:dyDescent="0.3">
      <c r="A491" t="s">
        <v>1069</v>
      </c>
      <c r="B491" t="s">
        <v>2239</v>
      </c>
      <c r="C491" t="s">
        <v>2227</v>
      </c>
      <c r="D491">
        <v>71.680000000000007</v>
      </c>
      <c r="E491">
        <v>0.22500000000000001</v>
      </c>
      <c r="F491">
        <v>107.1</v>
      </c>
      <c r="G491" t="b">
        <v>1</v>
      </c>
      <c r="H491" t="b">
        <v>1</v>
      </c>
      <c r="I491">
        <v>1915</v>
      </c>
      <c r="J491">
        <v>9.1408114558472544</v>
      </c>
    </row>
    <row r="492" spans="1:10" x14ac:dyDescent="0.3">
      <c r="A492" t="s">
        <v>1070</v>
      </c>
      <c r="B492" t="s">
        <v>2240</v>
      </c>
      <c r="C492" t="s">
        <v>2239</v>
      </c>
      <c r="D492">
        <v>25.8</v>
      </c>
      <c r="E492">
        <v>0.22500000000000001</v>
      </c>
      <c r="F492">
        <v>107.1</v>
      </c>
      <c r="G492" t="b">
        <v>1</v>
      </c>
      <c r="H492" t="b">
        <v>1</v>
      </c>
      <c r="I492">
        <v>1915</v>
      </c>
      <c r="J492">
        <v>9.1408114558472544</v>
      </c>
    </row>
    <row r="493" spans="1:10" x14ac:dyDescent="0.3">
      <c r="A493" t="s">
        <v>1071</v>
      </c>
      <c r="B493" t="s">
        <v>2093</v>
      </c>
      <c r="C493" t="s">
        <v>2524</v>
      </c>
      <c r="D493">
        <v>37.28</v>
      </c>
      <c r="E493">
        <v>0.22500000000000001</v>
      </c>
      <c r="F493">
        <v>107.1</v>
      </c>
      <c r="G493" t="b">
        <v>1</v>
      </c>
      <c r="H493" t="b">
        <v>1</v>
      </c>
      <c r="I493">
        <v>1915</v>
      </c>
      <c r="J493">
        <v>9.1408114558472544</v>
      </c>
    </row>
    <row r="494" spans="1:10" x14ac:dyDescent="0.3">
      <c r="A494" t="s">
        <v>1072</v>
      </c>
      <c r="B494" t="s">
        <v>2241</v>
      </c>
      <c r="C494" t="s">
        <v>290</v>
      </c>
      <c r="D494">
        <v>8.5299999999999994</v>
      </c>
      <c r="E494">
        <v>0.16600000000000001</v>
      </c>
      <c r="F494">
        <v>43.1</v>
      </c>
      <c r="G494" t="b">
        <v>1</v>
      </c>
      <c r="H494" t="b">
        <v>1</v>
      </c>
      <c r="I494">
        <v>172</v>
      </c>
      <c r="J494">
        <v>0.82100238663484471</v>
      </c>
    </row>
    <row r="495" spans="1:10" x14ac:dyDescent="0.3">
      <c r="A495" t="s">
        <v>1073</v>
      </c>
      <c r="B495" t="s">
        <v>1947</v>
      </c>
      <c r="C495" t="s">
        <v>2241</v>
      </c>
      <c r="D495">
        <v>60.61</v>
      </c>
      <c r="E495">
        <v>0.22500000000000001</v>
      </c>
      <c r="F495">
        <v>107.1</v>
      </c>
      <c r="G495" t="b">
        <v>1</v>
      </c>
      <c r="H495" t="b">
        <v>1</v>
      </c>
      <c r="I495">
        <v>1915</v>
      </c>
      <c r="J495">
        <v>9.1408114558472544</v>
      </c>
    </row>
    <row r="496" spans="1:10" x14ac:dyDescent="0.3">
      <c r="A496" t="s">
        <v>1074</v>
      </c>
      <c r="B496" t="s">
        <v>2162</v>
      </c>
      <c r="C496" t="s">
        <v>289</v>
      </c>
      <c r="D496">
        <v>45.64</v>
      </c>
      <c r="E496">
        <v>0.16600000000000001</v>
      </c>
      <c r="F496">
        <v>43.1</v>
      </c>
      <c r="G496" t="b">
        <v>1</v>
      </c>
      <c r="H496" t="b">
        <v>1</v>
      </c>
      <c r="I496">
        <v>172</v>
      </c>
      <c r="J496">
        <v>0.82100238663484471</v>
      </c>
    </row>
    <row r="497" spans="1:10" x14ac:dyDescent="0.3">
      <c r="A497" t="s">
        <v>1075</v>
      </c>
      <c r="B497" t="s">
        <v>2242</v>
      </c>
      <c r="C497" t="s">
        <v>2148</v>
      </c>
      <c r="D497">
        <v>50.47</v>
      </c>
      <c r="E497">
        <v>0.22500000000000001</v>
      </c>
      <c r="F497">
        <v>107.1</v>
      </c>
      <c r="G497" t="b">
        <v>1</v>
      </c>
      <c r="H497" t="b">
        <v>1</v>
      </c>
      <c r="I497">
        <v>1915</v>
      </c>
      <c r="J497">
        <v>9.1408114558472544</v>
      </c>
    </row>
    <row r="498" spans="1:10" x14ac:dyDescent="0.3">
      <c r="A498" t="s">
        <v>1076</v>
      </c>
      <c r="B498" t="s">
        <v>2235</v>
      </c>
      <c r="C498" t="s">
        <v>2221</v>
      </c>
      <c r="D498">
        <v>41.27</v>
      </c>
      <c r="E498">
        <v>0.22500000000000001</v>
      </c>
      <c r="F498">
        <v>107.1</v>
      </c>
      <c r="G498" t="b">
        <v>1</v>
      </c>
      <c r="H498" t="b">
        <v>1</v>
      </c>
      <c r="I498">
        <v>1915</v>
      </c>
      <c r="J498">
        <v>9.1408114558472544</v>
      </c>
    </row>
    <row r="499" spans="1:10" x14ac:dyDescent="0.3">
      <c r="A499" t="s">
        <v>1077</v>
      </c>
      <c r="B499" t="s">
        <v>2231</v>
      </c>
      <c r="C499" t="s">
        <v>2093</v>
      </c>
      <c r="D499">
        <v>42.33</v>
      </c>
      <c r="E499">
        <v>0.22500000000000001</v>
      </c>
      <c r="F499">
        <v>107.1</v>
      </c>
      <c r="G499" t="b">
        <v>1</v>
      </c>
      <c r="H499" t="b">
        <v>1</v>
      </c>
      <c r="I499">
        <v>1915</v>
      </c>
      <c r="J499">
        <v>9.1408114558472544</v>
      </c>
    </row>
    <row r="500" spans="1:10" x14ac:dyDescent="0.3">
      <c r="A500" t="s">
        <v>1078</v>
      </c>
      <c r="B500" t="s">
        <v>2087</v>
      </c>
      <c r="C500" t="s">
        <v>288</v>
      </c>
      <c r="D500">
        <v>13.19</v>
      </c>
      <c r="E500">
        <v>0.13400000000000001</v>
      </c>
      <c r="F500">
        <v>28.5</v>
      </c>
      <c r="G500" t="b">
        <v>1</v>
      </c>
      <c r="H500" t="b">
        <v>1</v>
      </c>
      <c r="I500">
        <v>60</v>
      </c>
      <c r="J500">
        <v>0.28639618138424822</v>
      </c>
    </row>
    <row r="501" spans="1:10" x14ac:dyDescent="0.3">
      <c r="A501" t="s">
        <v>1079</v>
      </c>
      <c r="B501" t="s">
        <v>2239</v>
      </c>
      <c r="C501" t="s">
        <v>2087</v>
      </c>
      <c r="D501">
        <v>46.3</v>
      </c>
      <c r="E501">
        <v>0.18</v>
      </c>
      <c r="F501">
        <v>54.5</v>
      </c>
      <c r="G501" t="b">
        <v>1</v>
      </c>
      <c r="H501" t="b">
        <v>1</v>
      </c>
      <c r="I501">
        <v>321</v>
      </c>
      <c r="J501">
        <v>1.532219570405728</v>
      </c>
    </row>
    <row r="502" spans="1:10" x14ac:dyDescent="0.3">
      <c r="A502" t="s">
        <v>1080</v>
      </c>
      <c r="B502" t="s">
        <v>2243</v>
      </c>
      <c r="C502" t="s">
        <v>287</v>
      </c>
      <c r="D502">
        <v>43.83</v>
      </c>
      <c r="E502">
        <v>0.16600000000000001</v>
      </c>
      <c r="F502">
        <v>43.1</v>
      </c>
      <c r="G502" t="b">
        <v>1</v>
      </c>
      <c r="H502" t="b">
        <v>1</v>
      </c>
      <c r="I502">
        <v>172</v>
      </c>
      <c r="J502">
        <v>0.82100238663484471</v>
      </c>
    </row>
    <row r="503" spans="1:10" x14ac:dyDescent="0.3">
      <c r="A503" t="s">
        <v>1081</v>
      </c>
      <c r="B503" t="s">
        <v>2244</v>
      </c>
      <c r="C503" t="s">
        <v>1947</v>
      </c>
      <c r="D503">
        <v>42.79</v>
      </c>
      <c r="E503">
        <v>0.22500000000000001</v>
      </c>
      <c r="F503">
        <v>107.1</v>
      </c>
      <c r="G503" t="b">
        <v>1</v>
      </c>
      <c r="H503" t="b">
        <v>1</v>
      </c>
      <c r="I503">
        <v>1915</v>
      </c>
      <c r="J503">
        <v>9.1408114558472544</v>
      </c>
    </row>
    <row r="504" spans="1:10" x14ac:dyDescent="0.3">
      <c r="A504" t="s">
        <v>1082</v>
      </c>
      <c r="B504" t="s">
        <v>2148</v>
      </c>
      <c r="C504" t="s">
        <v>2233</v>
      </c>
      <c r="D504">
        <v>97.66</v>
      </c>
      <c r="E504">
        <v>0.22500000000000001</v>
      </c>
      <c r="F504">
        <v>107.1</v>
      </c>
      <c r="G504" t="b">
        <v>1</v>
      </c>
      <c r="H504" t="b">
        <v>1</v>
      </c>
      <c r="I504">
        <v>1915</v>
      </c>
      <c r="J504">
        <v>9.1408114558472544</v>
      </c>
    </row>
    <row r="505" spans="1:10" x14ac:dyDescent="0.3">
      <c r="A505" t="s">
        <v>1083</v>
      </c>
      <c r="B505" t="s">
        <v>2245</v>
      </c>
      <c r="C505" t="s">
        <v>274</v>
      </c>
      <c r="D505">
        <v>10.82</v>
      </c>
      <c r="E505">
        <v>0.16600000000000001</v>
      </c>
      <c r="F505">
        <v>43.1</v>
      </c>
      <c r="G505" t="b">
        <v>1</v>
      </c>
      <c r="H505" t="b">
        <v>1</v>
      </c>
      <c r="I505">
        <v>172</v>
      </c>
      <c r="J505">
        <v>0.82100238663484471</v>
      </c>
    </row>
    <row r="506" spans="1:10" x14ac:dyDescent="0.3">
      <c r="A506" t="s">
        <v>1084</v>
      </c>
      <c r="B506" t="s">
        <v>2246</v>
      </c>
      <c r="C506" t="s">
        <v>2245</v>
      </c>
      <c r="D506">
        <v>1.4</v>
      </c>
      <c r="E506">
        <v>0.18</v>
      </c>
      <c r="F506">
        <v>54.5</v>
      </c>
      <c r="G506" t="b">
        <v>1</v>
      </c>
      <c r="H506" t="b">
        <v>1</v>
      </c>
      <c r="I506">
        <v>321</v>
      </c>
      <c r="J506">
        <v>1.532219570405728</v>
      </c>
    </row>
    <row r="507" spans="1:10" x14ac:dyDescent="0.3">
      <c r="A507" t="s">
        <v>1085</v>
      </c>
      <c r="B507" t="s">
        <v>2247</v>
      </c>
      <c r="C507" t="s">
        <v>2246</v>
      </c>
      <c r="D507">
        <v>30.98</v>
      </c>
      <c r="E507">
        <v>0.18</v>
      </c>
      <c r="F507">
        <v>54.5</v>
      </c>
      <c r="G507" t="b">
        <v>1</v>
      </c>
      <c r="H507" t="b">
        <v>1</v>
      </c>
      <c r="I507">
        <v>321</v>
      </c>
      <c r="J507">
        <v>1.532219570405728</v>
      </c>
    </row>
    <row r="508" spans="1:10" x14ac:dyDescent="0.3">
      <c r="A508" t="s">
        <v>1086</v>
      </c>
      <c r="B508" t="s">
        <v>2248</v>
      </c>
      <c r="C508" t="s">
        <v>2244</v>
      </c>
      <c r="D508">
        <v>45.17</v>
      </c>
      <c r="E508">
        <v>0.22500000000000001</v>
      </c>
      <c r="F508">
        <v>107.1</v>
      </c>
      <c r="G508" t="b">
        <v>1</v>
      </c>
      <c r="H508" t="b">
        <v>1</v>
      </c>
      <c r="I508">
        <v>1915</v>
      </c>
      <c r="J508">
        <v>9.1408114558472544</v>
      </c>
    </row>
    <row r="509" spans="1:10" x14ac:dyDescent="0.3">
      <c r="A509" t="s">
        <v>1087</v>
      </c>
      <c r="B509" t="s">
        <v>2237</v>
      </c>
      <c r="C509" t="s">
        <v>2266</v>
      </c>
      <c r="D509">
        <v>79.23</v>
      </c>
      <c r="E509">
        <v>0.217</v>
      </c>
      <c r="F509">
        <v>82.5</v>
      </c>
      <c r="G509" t="b">
        <v>1</v>
      </c>
      <c r="H509" t="b">
        <v>1</v>
      </c>
      <c r="I509">
        <v>962</v>
      </c>
      <c r="J509">
        <v>4.5918854415274453</v>
      </c>
    </row>
    <row r="510" spans="1:10" x14ac:dyDescent="0.3">
      <c r="A510" t="s">
        <v>1088</v>
      </c>
      <c r="B510" t="s">
        <v>2234</v>
      </c>
      <c r="C510" t="s">
        <v>2231</v>
      </c>
      <c r="D510">
        <v>11.22</v>
      </c>
      <c r="E510">
        <v>0.22500000000000001</v>
      </c>
      <c r="F510">
        <v>107.1</v>
      </c>
      <c r="G510" t="b">
        <v>1</v>
      </c>
      <c r="H510" t="b">
        <v>1</v>
      </c>
      <c r="I510">
        <v>1915</v>
      </c>
      <c r="J510">
        <v>9.1408114558472544</v>
      </c>
    </row>
    <row r="511" spans="1:10" x14ac:dyDescent="0.3">
      <c r="A511" t="s">
        <v>1089</v>
      </c>
      <c r="B511" t="s">
        <v>2216</v>
      </c>
      <c r="C511" t="s">
        <v>283</v>
      </c>
      <c r="D511">
        <v>20.91</v>
      </c>
      <c r="E511">
        <v>0.13400000000000001</v>
      </c>
      <c r="F511">
        <v>28.5</v>
      </c>
      <c r="G511" t="b">
        <v>1</v>
      </c>
      <c r="H511" t="b">
        <v>1</v>
      </c>
      <c r="I511">
        <v>60</v>
      </c>
      <c r="J511">
        <v>0.28639618138424822</v>
      </c>
    </row>
    <row r="512" spans="1:10" x14ac:dyDescent="0.3">
      <c r="A512" t="s">
        <v>1090</v>
      </c>
      <c r="B512" t="s">
        <v>2249</v>
      </c>
      <c r="C512" t="s">
        <v>2211</v>
      </c>
      <c r="D512">
        <v>20.010000000000002</v>
      </c>
      <c r="E512">
        <v>0.22500000000000001</v>
      </c>
      <c r="F512">
        <v>107.1</v>
      </c>
      <c r="G512" t="b">
        <v>1</v>
      </c>
      <c r="H512" t="b">
        <v>1</v>
      </c>
      <c r="I512">
        <v>1915</v>
      </c>
      <c r="J512">
        <v>9.1408114558472544</v>
      </c>
    </row>
    <row r="513" spans="1:10" x14ac:dyDescent="0.3">
      <c r="A513" t="s">
        <v>1091</v>
      </c>
      <c r="B513" t="s">
        <v>2250</v>
      </c>
      <c r="C513" t="s">
        <v>280</v>
      </c>
      <c r="D513">
        <v>26.69</v>
      </c>
      <c r="E513">
        <v>0.13400000000000001</v>
      </c>
      <c r="F513">
        <v>28.5</v>
      </c>
      <c r="G513" t="b">
        <v>1</v>
      </c>
      <c r="H513" t="b">
        <v>1</v>
      </c>
      <c r="I513">
        <v>60</v>
      </c>
      <c r="J513">
        <v>0.28639618138424822</v>
      </c>
    </row>
    <row r="514" spans="1:10" x14ac:dyDescent="0.3">
      <c r="A514" t="s">
        <v>1092</v>
      </c>
      <c r="B514" t="s">
        <v>2243</v>
      </c>
      <c r="C514" t="s">
        <v>2136</v>
      </c>
      <c r="D514">
        <v>120.36</v>
      </c>
      <c r="E514">
        <v>0.254</v>
      </c>
      <c r="F514">
        <v>132.5</v>
      </c>
      <c r="G514" t="b">
        <v>1</v>
      </c>
      <c r="H514" t="b">
        <v>1</v>
      </c>
      <c r="I514">
        <v>3354</v>
      </c>
      <c r="J514">
        <v>16.009546539379471</v>
      </c>
    </row>
    <row r="515" spans="1:10" x14ac:dyDescent="0.3">
      <c r="A515" t="s">
        <v>1093</v>
      </c>
      <c r="B515" t="s">
        <v>2210</v>
      </c>
      <c r="C515" t="s">
        <v>2243</v>
      </c>
      <c r="D515">
        <v>144.16999999999999</v>
      </c>
      <c r="E515">
        <v>0.254</v>
      </c>
      <c r="F515">
        <v>132.5</v>
      </c>
      <c r="G515" t="b">
        <v>1</v>
      </c>
      <c r="H515" t="b">
        <v>1</v>
      </c>
      <c r="I515">
        <v>3354</v>
      </c>
      <c r="J515">
        <v>16.009546539379471</v>
      </c>
    </row>
    <row r="516" spans="1:10" x14ac:dyDescent="0.3">
      <c r="A516" t="s">
        <v>1094</v>
      </c>
      <c r="B516" t="s">
        <v>2251</v>
      </c>
      <c r="C516" t="s">
        <v>2247</v>
      </c>
      <c r="D516">
        <v>15.58</v>
      </c>
      <c r="E516">
        <v>0.18</v>
      </c>
      <c r="F516">
        <v>54.5</v>
      </c>
      <c r="G516" t="b">
        <v>1</v>
      </c>
      <c r="H516" t="b">
        <v>1</v>
      </c>
      <c r="I516">
        <v>321</v>
      </c>
      <c r="J516">
        <v>1.532219570405728</v>
      </c>
    </row>
    <row r="517" spans="1:10" x14ac:dyDescent="0.3">
      <c r="A517" t="s">
        <v>1095</v>
      </c>
      <c r="B517" t="s">
        <v>2171</v>
      </c>
      <c r="C517" t="s">
        <v>2212</v>
      </c>
      <c r="D517">
        <v>538.29999999999995</v>
      </c>
      <c r="E517">
        <v>0.254</v>
      </c>
      <c r="F517">
        <v>132.5</v>
      </c>
      <c r="G517" t="b">
        <v>1</v>
      </c>
      <c r="H517" t="b">
        <v>1</v>
      </c>
      <c r="I517">
        <v>3354</v>
      </c>
      <c r="J517">
        <v>16.009546539379471</v>
      </c>
    </row>
    <row r="518" spans="1:10" x14ac:dyDescent="0.3">
      <c r="A518" t="s">
        <v>1096</v>
      </c>
      <c r="B518" t="s">
        <v>2252</v>
      </c>
      <c r="C518" t="s">
        <v>266</v>
      </c>
      <c r="D518">
        <v>19.350000000000001</v>
      </c>
      <c r="E518">
        <v>0.13400000000000001</v>
      </c>
      <c r="F518">
        <v>28.5</v>
      </c>
      <c r="G518" t="b">
        <v>1</v>
      </c>
      <c r="H518" t="b">
        <v>1</v>
      </c>
      <c r="I518">
        <v>60</v>
      </c>
      <c r="J518">
        <v>0.28639618138424822</v>
      </c>
    </row>
    <row r="519" spans="1:10" x14ac:dyDescent="0.3">
      <c r="A519" t="s">
        <v>1097</v>
      </c>
      <c r="B519" t="s">
        <v>2251</v>
      </c>
      <c r="C519" t="s">
        <v>2272</v>
      </c>
      <c r="D519">
        <v>12.08</v>
      </c>
      <c r="E519">
        <v>0.254</v>
      </c>
      <c r="F519">
        <v>132.5</v>
      </c>
      <c r="G519" t="b">
        <v>1</v>
      </c>
      <c r="H519" t="b">
        <v>1</v>
      </c>
      <c r="I519">
        <v>3354</v>
      </c>
      <c r="J519">
        <v>16.009546539379471</v>
      </c>
    </row>
    <row r="520" spans="1:10" x14ac:dyDescent="0.3">
      <c r="A520" t="s">
        <v>1098</v>
      </c>
      <c r="B520" t="s">
        <v>2253</v>
      </c>
      <c r="C520" t="s">
        <v>279</v>
      </c>
      <c r="D520">
        <v>0.38</v>
      </c>
      <c r="E520">
        <v>0.18</v>
      </c>
      <c r="F520">
        <v>54.5</v>
      </c>
      <c r="G520" t="b">
        <v>1</v>
      </c>
      <c r="H520" t="b">
        <v>1</v>
      </c>
      <c r="I520">
        <v>321</v>
      </c>
      <c r="J520">
        <v>1.532219570405728</v>
      </c>
    </row>
    <row r="521" spans="1:10" x14ac:dyDescent="0.3">
      <c r="A521" t="s">
        <v>1099</v>
      </c>
      <c r="B521" t="s">
        <v>2253</v>
      </c>
      <c r="C521" t="s">
        <v>278</v>
      </c>
      <c r="D521">
        <v>0.36</v>
      </c>
      <c r="E521">
        <v>0.18</v>
      </c>
      <c r="F521">
        <v>54.5</v>
      </c>
      <c r="G521" t="b">
        <v>1</v>
      </c>
      <c r="H521" t="b">
        <v>1</v>
      </c>
      <c r="I521">
        <v>321</v>
      </c>
      <c r="J521">
        <v>1.532219570405728</v>
      </c>
    </row>
    <row r="522" spans="1:10" x14ac:dyDescent="0.3">
      <c r="A522" t="s">
        <v>1100</v>
      </c>
      <c r="B522" t="s">
        <v>1892</v>
      </c>
      <c r="C522" t="s">
        <v>2253</v>
      </c>
      <c r="D522">
        <v>98.99</v>
      </c>
      <c r="E522">
        <v>0.20499999999999999</v>
      </c>
      <c r="F522">
        <v>70.3</v>
      </c>
      <c r="G522" t="b">
        <v>1</v>
      </c>
      <c r="H522" t="b">
        <v>1</v>
      </c>
      <c r="I522">
        <v>630</v>
      </c>
      <c r="J522">
        <v>3.007159904534606</v>
      </c>
    </row>
    <row r="523" spans="1:10" x14ac:dyDescent="0.3">
      <c r="A523" t="s">
        <v>1101</v>
      </c>
      <c r="B523" t="s">
        <v>277</v>
      </c>
      <c r="C523" t="s">
        <v>2666</v>
      </c>
      <c r="D523">
        <v>58.05</v>
      </c>
      <c r="E523">
        <v>0.18</v>
      </c>
      <c r="F523">
        <v>54.5</v>
      </c>
      <c r="G523" t="b">
        <v>1</v>
      </c>
      <c r="H523" t="b">
        <v>1</v>
      </c>
      <c r="I523">
        <v>321</v>
      </c>
      <c r="J523">
        <v>1.532219570405728</v>
      </c>
    </row>
    <row r="524" spans="1:10" x14ac:dyDescent="0.3">
      <c r="A524" t="s">
        <v>1102</v>
      </c>
      <c r="B524" t="s">
        <v>2254</v>
      </c>
      <c r="C524" t="s">
        <v>271</v>
      </c>
      <c r="D524">
        <v>73.78</v>
      </c>
      <c r="E524">
        <v>0.13400000000000001</v>
      </c>
      <c r="F524">
        <v>28.5</v>
      </c>
      <c r="G524" t="b">
        <v>1</v>
      </c>
      <c r="H524" t="b">
        <v>1</v>
      </c>
      <c r="I524">
        <v>60</v>
      </c>
      <c r="J524">
        <v>0.28639618138424822</v>
      </c>
    </row>
    <row r="525" spans="1:10" x14ac:dyDescent="0.3">
      <c r="A525" t="s">
        <v>1103</v>
      </c>
      <c r="B525" t="s">
        <v>2255</v>
      </c>
      <c r="C525" t="s">
        <v>2254</v>
      </c>
      <c r="D525">
        <v>44.08</v>
      </c>
      <c r="E525">
        <v>0.16600000000000001</v>
      </c>
      <c r="F525">
        <v>43.1</v>
      </c>
      <c r="G525" t="b">
        <v>1</v>
      </c>
      <c r="H525" t="b">
        <v>1</v>
      </c>
      <c r="I525">
        <v>172</v>
      </c>
      <c r="J525">
        <v>0.82100238663484471</v>
      </c>
    </row>
    <row r="526" spans="1:10" x14ac:dyDescent="0.3">
      <c r="A526" t="s">
        <v>1104</v>
      </c>
      <c r="B526" t="s">
        <v>2247</v>
      </c>
      <c r="C526" t="s">
        <v>276</v>
      </c>
      <c r="D526">
        <v>4.0199999999999996</v>
      </c>
      <c r="E526">
        <v>0.16600000000000001</v>
      </c>
      <c r="F526">
        <v>43.1</v>
      </c>
      <c r="G526" t="b">
        <v>1</v>
      </c>
      <c r="H526" t="b">
        <v>1</v>
      </c>
      <c r="I526">
        <v>172</v>
      </c>
      <c r="J526">
        <v>0.82100238663484471</v>
      </c>
    </row>
    <row r="527" spans="1:10" x14ac:dyDescent="0.3">
      <c r="A527" t="s">
        <v>1105</v>
      </c>
      <c r="B527" t="s">
        <v>2246</v>
      </c>
      <c r="C527" t="s">
        <v>275</v>
      </c>
      <c r="D527">
        <v>13.3</v>
      </c>
      <c r="E527">
        <v>0.16600000000000001</v>
      </c>
      <c r="F527">
        <v>43.1</v>
      </c>
      <c r="G527" t="b">
        <v>1</v>
      </c>
      <c r="H527" t="b">
        <v>1</v>
      </c>
      <c r="I527">
        <v>172</v>
      </c>
      <c r="J527">
        <v>0.82100238663484471</v>
      </c>
    </row>
    <row r="528" spans="1:10" x14ac:dyDescent="0.3">
      <c r="A528" t="s">
        <v>1106</v>
      </c>
      <c r="B528" t="s">
        <v>2214</v>
      </c>
      <c r="C528" t="s">
        <v>286</v>
      </c>
      <c r="D528">
        <v>13.67</v>
      </c>
      <c r="E528">
        <v>0.13400000000000001</v>
      </c>
      <c r="F528">
        <v>28.5</v>
      </c>
      <c r="G528" t="b">
        <v>1</v>
      </c>
      <c r="H528" t="b">
        <v>1</v>
      </c>
      <c r="I528">
        <v>60</v>
      </c>
      <c r="J528">
        <v>0.28639618138424822</v>
      </c>
    </row>
    <row r="529" spans="1:10" x14ac:dyDescent="0.3">
      <c r="A529" t="s">
        <v>1107</v>
      </c>
      <c r="B529" t="s">
        <v>2213</v>
      </c>
      <c r="C529" t="s">
        <v>273</v>
      </c>
      <c r="D529">
        <v>24.72</v>
      </c>
      <c r="E529">
        <v>0.13400000000000001</v>
      </c>
      <c r="F529">
        <v>28.5</v>
      </c>
      <c r="G529" t="b">
        <v>1</v>
      </c>
      <c r="H529" t="b">
        <v>1</v>
      </c>
      <c r="I529">
        <v>60</v>
      </c>
      <c r="J529">
        <v>0.28639618138424822</v>
      </c>
    </row>
    <row r="530" spans="1:10" x14ac:dyDescent="0.3">
      <c r="A530" t="s">
        <v>1108</v>
      </c>
      <c r="B530" t="s">
        <v>2256</v>
      </c>
      <c r="C530" t="s">
        <v>267</v>
      </c>
      <c r="D530">
        <v>51.39</v>
      </c>
      <c r="E530">
        <v>0.13400000000000001</v>
      </c>
      <c r="F530">
        <v>28.5</v>
      </c>
      <c r="G530" t="b">
        <v>1</v>
      </c>
      <c r="H530" t="b">
        <v>1</v>
      </c>
      <c r="I530">
        <v>60</v>
      </c>
      <c r="J530">
        <v>0.28639618138424822</v>
      </c>
    </row>
    <row r="531" spans="1:10" x14ac:dyDescent="0.3">
      <c r="A531" t="s">
        <v>1109</v>
      </c>
      <c r="B531" t="s">
        <v>2209</v>
      </c>
      <c r="C531" t="s">
        <v>2048</v>
      </c>
      <c r="D531">
        <v>360.62</v>
      </c>
      <c r="E531">
        <v>0.41099999999999998</v>
      </c>
      <c r="F531">
        <v>312.7</v>
      </c>
      <c r="G531" t="b">
        <v>1</v>
      </c>
      <c r="H531" t="b">
        <v>1</v>
      </c>
      <c r="I531">
        <v>31872</v>
      </c>
      <c r="J531">
        <v>152.1336515513126</v>
      </c>
    </row>
    <row r="532" spans="1:10" x14ac:dyDescent="0.3">
      <c r="A532" t="s">
        <v>1110</v>
      </c>
      <c r="B532" t="s">
        <v>2089</v>
      </c>
      <c r="C532" t="s">
        <v>2522</v>
      </c>
      <c r="D532">
        <v>419.38</v>
      </c>
      <c r="E532">
        <v>0.28199999999999997</v>
      </c>
      <c r="F532">
        <v>160.30000000000001</v>
      </c>
      <c r="G532" t="b">
        <v>1</v>
      </c>
      <c r="H532" t="b">
        <v>1</v>
      </c>
      <c r="I532">
        <v>5533</v>
      </c>
      <c r="J532">
        <v>26.410501193317419</v>
      </c>
    </row>
    <row r="533" spans="1:10" x14ac:dyDescent="0.3">
      <c r="A533" t="s">
        <v>1111</v>
      </c>
      <c r="B533" t="s">
        <v>2212</v>
      </c>
      <c r="C533" t="s">
        <v>272</v>
      </c>
      <c r="D533">
        <v>21.91</v>
      </c>
      <c r="E533">
        <v>0.13400000000000001</v>
      </c>
      <c r="F533">
        <v>28.5</v>
      </c>
      <c r="G533" t="b">
        <v>1</v>
      </c>
      <c r="H533" t="b">
        <v>1</v>
      </c>
      <c r="I533">
        <v>60</v>
      </c>
      <c r="J533">
        <v>0.28639618138424822</v>
      </c>
    </row>
    <row r="534" spans="1:10" x14ac:dyDescent="0.3">
      <c r="A534" t="s">
        <v>1112</v>
      </c>
      <c r="B534" t="s">
        <v>2194</v>
      </c>
      <c r="C534" t="s">
        <v>2216</v>
      </c>
      <c r="D534">
        <v>3</v>
      </c>
      <c r="E534">
        <v>0.18</v>
      </c>
      <c r="F534">
        <v>54.5</v>
      </c>
      <c r="G534" t="b">
        <v>1</v>
      </c>
      <c r="H534" t="b">
        <v>1</v>
      </c>
      <c r="I534">
        <v>321</v>
      </c>
      <c r="J534">
        <v>1.532219570405728</v>
      </c>
    </row>
    <row r="535" spans="1:10" x14ac:dyDescent="0.3">
      <c r="A535" t="s">
        <v>1113</v>
      </c>
      <c r="B535" t="s">
        <v>2223</v>
      </c>
      <c r="C535" t="s">
        <v>2202</v>
      </c>
      <c r="D535">
        <v>10.59</v>
      </c>
      <c r="E535">
        <v>0.18</v>
      </c>
      <c r="F535">
        <v>54.5</v>
      </c>
      <c r="G535" t="b">
        <v>1</v>
      </c>
      <c r="H535" t="b">
        <v>1</v>
      </c>
      <c r="I535">
        <v>321</v>
      </c>
      <c r="J535">
        <v>1.532219570405728</v>
      </c>
    </row>
    <row r="536" spans="1:10" x14ac:dyDescent="0.3">
      <c r="A536" t="s">
        <v>1114</v>
      </c>
      <c r="B536" t="s">
        <v>2150</v>
      </c>
      <c r="C536" t="s">
        <v>270</v>
      </c>
      <c r="D536">
        <v>44.09</v>
      </c>
      <c r="E536">
        <v>0.13400000000000001</v>
      </c>
      <c r="F536">
        <v>28.5</v>
      </c>
      <c r="G536" t="b">
        <v>1</v>
      </c>
      <c r="H536" t="b">
        <v>1</v>
      </c>
      <c r="I536">
        <v>60</v>
      </c>
      <c r="J536">
        <v>0.28639618138424822</v>
      </c>
    </row>
    <row r="537" spans="1:10" x14ac:dyDescent="0.3">
      <c r="A537" t="s">
        <v>1115</v>
      </c>
      <c r="B537" t="s">
        <v>2257</v>
      </c>
      <c r="C537" t="s">
        <v>269</v>
      </c>
      <c r="D537">
        <v>36.07</v>
      </c>
      <c r="E537">
        <v>0.18</v>
      </c>
      <c r="F537">
        <v>54.5</v>
      </c>
      <c r="G537" t="b">
        <v>1</v>
      </c>
      <c r="H537" t="b">
        <v>1</v>
      </c>
      <c r="I537">
        <v>321</v>
      </c>
      <c r="J537">
        <v>1.532219570405728</v>
      </c>
    </row>
    <row r="538" spans="1:10" x14ac:dyDescent="0.3">
      <c r="A538" t="s">
        <v>1116</v>
      </c>
      <c r="B538" t="s">
        <v>2258</v>
      </c>
      <c r="C538" t="s">
        <v>2301</v>
      </c>
      <c r="D538">
        <v>90.14</v>
      </c>
      <c r="E538">
        <v>0.41099999999999998</v>
      </c>
      <c r="F538">
        <v>312.7</v>
      </c>
      <c r="G538" t="b">
        <v>1</v>
      </c>
      <c r="H538" t="b">
        <v>1</v>
      </c>
      <c r="I538">
        <v>31872</v>
      </c>
      <c r="J538">
        <v>152.1336515513126</v>
      </c>
    </row>
    <row r="539" spans="1:10" x14ac:dyDescent="0.3">
      <c r="A539" t="s">
        <v>1117</v>
      </c>
      <c r="B539" t="s">
        <v>2250</v>
      </c>
      <c r="C539" t="s">
        <v>268</v>
      </c>
      <c r="D539">
        <v>6.67</v>
      </c>
      <c r="E539">
        <v>0.13400000000000001</v>
      </c>
      <c r="F539">
        <v>28.5</v>
      </c>
      <c r="G539" t="b">
        <v>1</v>
      </c>
      <c r="H539" t="b">
        <v>1</v>
      </c>
      <c r="I539">
        <v>60</v>
      </c>
      <c r="J539">
        <v>0.28639618138424822</v>
      </c>
    </row>
    <row r="540" spans="1:10" x14ac:dyDescent="0.3">
      <c r="A540" t="s">
        <v>1118</v>
      </c>
      <c r="B540" t="s">
        <v>2259</v>
      </c>
      <c r="C540" t="s">
        <v>2660</v>
      </c>
      <c r="D540">
        <v>64.5</v>
      </c>
      <c r="E540">
        <v>0.22500000000000001</v>
      </c>
      <c r="F540">
        <v>107.1</v>
      </c>
      <c r="G540" t="b">
        <v>1</v>
      </c>
      <c r="H540" t="b">
        <v>1</v>
      </c>
      <c r="I540">
        <v>1915</v>
      </c>
      <c r="J540">
        <v>9.1408114558472544</v>
      </c>
    </row>
    <row r="541" spans="1:10" x14ac:dyDescent="0.3">
      <c r="A541" t="s">
        <v>1119</v>
      </c>
      <c r="B541" t="s">
        <v>2260</v>
      </c>
      <c r="C541" t="s">
        <v>2252</v>
      </c>
      <c r="D541">
        <v>49.79</v>
      </c>
      <c r="E541">
        <v>0.18</v>
      </c>
      <c r="F541">
        <v>54.5</v>
      </c>
      <c r="G541" t="b">
        <v>1</v>
      </c>
      <c r="H541" t="b">
        <v>1</v>
      </c>
      <c r="I541">
        <v>321</v>
      </c>
      <c r="J541">
        <v>1.532219570405728</v>
      </c>
    </row>
    <row r="542" spans="1:10" x14ac:dyDescent="0.3">
      <c r="A542" t="s">
        <v>1120</v>
      </c>
      <c r="B542" t="s">
        <v>2242</v>
      </c>
      <c r="C542" t="s">
        <v>2210</v>
      </c>
      <c r="D542">
        <v>77.819999999999993</v>
      </c>
      <c r="E542">
        <v>0.254</v>
      </c>
      <c r="F542">
        <v>132.5</v>
      </c>
      <c r="G542" t="b">
        <v>1</v>
      </c>
      <c r="H542" t="b">
        <v>1</v>
      </c>
      <c r="I542">
        <v>3354</v>
      </c>
      <c r="J542">
        <v>16.009546539379471</v>
      </c>
    </row>
    <row r="543" spans="1:10" x14ac:dyDescent="0.3">
      <c r="A543" t="s">
        <v>1121</v>
      </c>
      <c r="B543" t="s">
        <v>2261</v>
      </c>
      <c r="C543" t="s">
        <v>2421</v>
      </c>
      <c r="D543">
        <v>6.37</v>
      </c>
      <c r="E543">
        <v>0.28199999999999997</v>
      </c>
      <c r="F543">
        <v>160.30000000000001</v>
      </c>
      <c r="G543" t="b">
        <v>1</v>
      </c>
      <c r="H543" t="b">
        <v>1</v>
      </c>
      <c r="I543">
        <v>5533</v>
      </c>
      <c r="J543">
        <v>26.410501193317419</v>
      </c>
    </row>
    <row r="544" spans="1:10" x14ac:dyDescent="0.3">
      <c r="A544" t="s">
        <v>1122</v>
      </c>
      <c r="B544" t="s">
        <v>2262</v>
      </c>
      <c r="C544" t="s">
        <v>2158</v>
      </c>
      <c r="D544">
        <v>637.5</v>
      </c>
      <c r="E544">
        <v>0.254</v>
      </c>
      <c r="F544">
        <v>132.5</v>
      </c>
      <c r="G544" t="b">
        <v>1</v>
      </c>
      <c r="H544" t="b">
        <v>1</v>
      </c>
      <c r="I544">
        <v>3354</v>
      </c>
      <c r="J544">
        <v>16.009546539379471</v>
      </c>
    </row>
    <row r="545" spans="1:10" x14ac:dyDescent="0.3">
      <c r="A545" t="s">
        <v>1123</v>
      </c>
      <c r="B545" t="s">
        <v>2263</v>
      </c>
      <c r="C545" t="s">
        <v>2151</v>
      </c>
      <c r="D545">
        <v>42.07</v>
      </c>
      <c r="E545">
        <v>0.20499999999999999</v>
      </c>
      <c r="F545">
        <v>70.3</v>
      </c>
      <c r="G545" t="b">
        <v>1</v>
      </c>
      <c r="H545" t="b">
        <v>1</v>
      </c>
      <c r="I545">
        <v>630</v>
      </c>
      <c r="J545">
        <v>3.007159904534606</v>
      </c>
    </row>
    <row r="546" spans="1:10" x14ac:dyDescent="0.3">
      <c r="A546" t="s">
        <v>1124</v>
      </c>
      <c r="B546" t="s">
        <v>2264</v>
      </c>
      <c r="C546" t="s">
        <v>265</v>
      </c>
      <c r="D546">
        <v>2.79</v>
      </c>
      <c r="E546">
        <v>0.16600000000000001</v>
      </c>
      <c r="F546">
        <v>43.1</v>
      </c>
      <c r="G546" t="b">
        <v>1</v>
      </c>
      <c r="H546" t="b">
        <v>1</v>
      </c>
      <c r="I546">
        <v>172</v>
      </c>
      <c r="J546">
        <v>0.82100238663484471</v>
      </c>
    </row>
    <row r="547" spans="1:10" x14ac:dyDescent="0.3">
      <c r="A547" t="s">
        <v>1125</v>
      </c>
      <c r="B547" t="s">
        <v>1990</v>
      </c>
      <c r="C547" t="s">
        <v>2262</v>
      </c>
      <c r="D547">
        <v>47.88</v>
      </c>
      <c r="E547">
        <v>0.254</v>
      </c>
      <c r="F547">
        <v>132.5</v>
      </c>
      <c r="G547" t="b">
        <v>1</v>
      </c>
      <c r="H547" t="b">
        <v>1</v>
      </c>
      <c r="I547">
        <v>3354</v>
      </c>
      <c r="J547">
        <v>16.009546539379471</v>
      </c>
    </row>
    <row r="548" spans="1:10" x14ac:dyDescent="0.3">
      <c r="A548" t="s">
        <v>1126</v>
      </c>
      <c r="B548" t="s">
        <v>2248</v>
      </c>
      <c r="C548" t="s">
        <v>2481</v>
      </c>
      <c r="D548">
        <v>106.62</v>
      </c>
      <c r="E548">
        <v>0.20499999999999999</v>
      </c>
      <c r="F548">
        <v>70.3</v>
      </c>
      <c r="G548" t="b">
        <v>1</v>
      </c>
      <c r="H548" t="b">
        <v>1</v>
      </c>
      <c r="I548">
        <v>630</v>
      </c>
      <c r="J548">
        <v>3.007159904534606</v>
      </c>
    </row>
    <row r="549" spans="1:10" x14ac:dyDescent="0.3">
      <c r="A549" t="s">
        <v>1127</v>
      </c>
      <c r="B549" t="s">
        <v>2265</v>
      </c>
      <c r="C549" t="s">
        <v>294</v>
      </c>
      <c r="D549">
        <v>24.33</v>
      </c>
      <c r="E549">
        <v>0.13400000000000001</v>
      </c>
      <c r="F549">
        <v>28.5</v>
      </c>
      <c r="G549" t="b">
        <v>1</v>
      </c>
      <c r="H549" t="b">
        <v>1</v>
      </c>
      <c r="I549">
        <v>60</v>
      </c>
      <c r="J549">
        <v>0.28639618138424822</v>
      </c>
    </row>
    <row r="550" spans="1:10" x14ac:dyDescent="0.3">
      <c r="A550" t="s">
        <v>1128</v>
      </c>
      <c r="B550" t="s">
        <v>2265</v>
      </c>
      <c r="C550" t="s">
        <v>2203</v>
      </c>
      <c r="D550">
        <v>7.4</v>
      </c>
      <c r="E550">
        <v>0.18</v>
      </c>
      <c r="F550">
        <v>54.5</v>
      </c>
      <c r="G550" t="b">
        <v>1</v>
      </c>
      <c r="H550" t="b">
        <v>1</v>
      </c>
      <c r="I550">
        <v>321</v>
      </c>
      <c r="J550">
        <v>1.532219570405728</v>
      </c>
    </row>
    <row r="551" spans="1:10" x14ac:dyDescent="0.3">
      <c r="A551" t="s">
        <v>1129</v>
      </c>
      <c r="B551" t="s">
        <v>2266</v>
      </c>
      <c r="C551" t="s">
        <v>2018</v>
      </c>
      <c r="D551">
        <v>64.2</v>
      </c>
      <c r="E551">
        <v>0.18</v>
      </c>
      <c r="F551">
        <v>54.5</v>
      </c>
      <c r="G551" t="b">
        <v>1</v>
      </c>
      <c r="H551" t="b">
        <v>1</v>
      </c>
      <c r="I551">
        <v>321</v>
      </c>
      <c r="J551">
        <v>1.532219570405728</v>
      </c>
    </row>
    <row r="552" spans="1:10" x14ac:dyDescent="0.3">
      <c r="A552" t="s">
        <v>1130</v>
      </c>
      <c r="B552" t="s">
        <v>2267</v>
      </c>
      <c r="C552" t="s">
        <v>264</v>
      </c>
      <c r="D552">
        <v>8.5299999999999994</v>
      </c>
      <c r="E552">
        <v>0.13400000000000001</v>
      </c>
      <c r="F552">
        <v>28.5</v>
      </c>
      <c r="G552" t="b">
        <v>1</v>
      </c>
      <c r="H552" t="b">
        <v>1</v>
      </c>
      <c r="I552">
        <v>60</v>
      </c>
      <c r="J552">
        <v>0.28639618138424822</v>
      </c>
    </row>
    <row r="553" spans="1:10" x14ac:dyDescent="0.3">
      <c r="A553" t="s">
        <v>1131</v>
      </c>
      <c r="B553" t="s">
        <v>2198</v>
      </c>
      <c r="C553" t="s">
        <v>1965</v>
      </c>
      <c r="D553">
        <v>3476.59</v>
      </c>
      <c r="E553">
        <v>0.40400000000000003</v>
      </c>
      <c r="F553">
        <v>393.8</v>
      </c>
      <c r="G553" t="b">
        <v>1</v>
      </c>
      <c r="H553" t="b">
        <v>1</v>
      </c>
      <c r="I553">
        <v>58221</v>
      </c>
      <c r="J553">
        <v>277.90453460620517</v>
      </c>
    </row>
    <row r="554" spans="1:10" x14ac:dyDescent="0.3">
      <c r="A554" t="s">
        <v>1132</v>
      </c>
      <c r="B554" t="s">
        <v>2268</v>
      </c>
      <c r="C554" t="s">
        <v>2149</v>
      </c>
      <c r="D554">
        <v>69.37</v>
      </c>
      <c r="E554">
        <v>0.20499999999999999</v>
      </c>
      <c r="F554">
        <v>70.3</v>
      </c>
      <c r="G554" t="b">
        <v>1</v>
      </c>
      <c r="H554" t="b">
        <v>1</v>
      </c>
      <c r="I554">
        <v>630</v>
      </c>
      <c r="J554">
        <v>3.007159904534606</v>
      </c>
    </row>
    <row r="555" spans="1:10" x14ac:dyDescent="0.3">
      <c r="A555" t="s">
        <v>1133</v>
      </c>
      <c r="B555" t="s">
        <v>2269</v>
      </c>
      <c r="C555" t="s">
        <v>2268</v>
      </c>
      <c r="D555">
        <v>251.32</v>
      </c>
      <c r="E555">
        <v>0.217</v>
      </c>
      <c r="F555">
        <v>82.5</v>
      </c>
      <c r="G555" t="b">
        <v>1</v>
      </c>
      <c r="H555" t="b">
        <v>1</v>
      </c>
      <c r="I555">
        <v>962</v>
      </c>
      <c r="J555">
        <v>4.5918854415274453</v>
      </c>
    </row>
    <row r="556" spans="1:10" x14ac:dyDescent="0.3">
      <c r="A556" t="s">
        <v>1134</v>
      </c>
      <c r="B556" t="s">
        <v>2270</v>
      </c>
      <c r="C556" t="s">
        <v>292</v>
      </c>
      <c r="D556">
        <v>44.18</v>
      </c>
      <c r="E556">
        <v>0.18</v>
      </c>
      <c r="F556">
        <v>54.5</v>
      </c>
      <c r="G556" t="b">
        <v>1</v>
      </c>
      <c r="H556" t="b">
        <v>1</v>
      </c>
      <c r="I556">
        <v>321</v>
      </c>
      <c r="J556">
        <v>1.532219570405728</v>
      </c>
    </row>
    <row r="557" spans="1:10" x14ac:dyDescent="0.3">
      <c r="A557" t="s">
        <v>1135</v>
      </c>
      <c r="B557" t="s">
        <v>2271</v>
      </c>
      <c r="C557" t="s">
        <v>262</v>
      </c>
      <c r="D557">
        <v>67.099999999999994</v>
      </c>
      <c r="E557">
        <v>0.18</v>
      </c>
      <c r="F557">
        <v>54.5</v>
      </c>
      <c r="G557" t="b">
        <v>1</v>
      </c>
      <c r="H557" t="b">
        <v>1</v>
      </c>
      <c r="I557">
        <v>321</v>
      </c>
      <c r="J557">
        <v>1.532219570405728</v>
      </c>
    </row>
    <row r="558" spans="1:10" x14ac:dyDescent="0.3">
      <c r="A558" t="s">
        <v>1136</v>
      </c>
      <c r="B558" t="s">
        <v>2266</v>
      </c>
      <c r="C558" t="s">
        <v>2666</v>
      </c>
      <c r="D558">
        <v>10.6</v>
      </c>
      <c r="E558">
        <v>0.20499999999999999</v>
      </c>
      <c r="F558">
        <v>70.3</v>
      </c>
      <c r="G558" t="b">
        <v>1</v>
      </c>
      <c r="H558" t="b">
        <v>1</v>
      </c>
      <c r="I558">
        <v>630</v>
      </c>
      <c r="J558">
        <v>3.007159904534606</v>
      </c>
    </row>
    <row r="559" spans="1:10" x14ac:dyDescent="0.3">
      <c r="A559" t="s">
        <v>1137</v>
      </c>
      <c r="B559" t="s">
        <v>2272</v>
      </c>
      <c r="C559" t="s">
        <v>2178</v>
      </c>
      <c r="D559">
        <v>72.63</v>
      </c>
      <c r="E559">
        <v>0.254</v>
      </c>
      <c r="F559">
        <v>132.5</v>
      </c>
      <c r="G559" t="b">
        <v>1</v>
      </c>
      <c r="H559" t="b">
        <v>1</v>
      </c>
      <c r="I559">
        <v>3354</v>
      </c>
      <c r="J559">
        <v>16.009546539379471</v>
      </c>
    </row>
    <row r="560" spans="1:10" x14ac:dyDescent="0.3">
      <c r="A560" t="s">
        <v>1138</v>
      </c>
      <c r="B560" t="s">
        <v>2273</v>
      </c>
      <c r="C560" t="s">
        <v>2280</v>
      </c>
      <c r="D560">
        <v>57.57</v>
      </c>
      <c r="E560">
        <v>0.16600000000000001</v>
      </c>
      <c r="F560">
        <v>43.1</v>
      </c>
      <c r="G560" t="b">
        <v>1</v>
      </c>
      <c r="H560" t="b">
        <v>1</v>
      </c>
      <c r="I560">
        <v>172</v>
      </c>
      <c r="J560">
        <v>0.82100238663484471</v>
      </c>
    </row>
    <row r="561" spans="1:10" x14ac:dyDescent="0.3">
      <c r="A561" t="s">
        <v>1139</v>
      </c>
      <c r="B561" t="s">
        <v>2263</v>
      </c>
      <c r="C561" t="s">
        <v>261</v>
      </c>
      <c r="D561">
        <v>26.12</v>
      </c>
      <c r="E561">
        <v>0.13400000000000001</v>
      </c>
      <c r="F561">
        <v>28.5</v>
      </c>
      <c r="G561" t="b">
        <v>1</v>
      </c>
      <c r="H561" t="b">
        <v>1</v>
      </c>
      <c r="I561">
        <v>60</v>
      </c>
      <c r="J561">
        <v>0.28639618138424822</v>
      </c>
    </row>
    <row r="562" spans="1:10" x14ac:dyDescent="0.3">
      <c r="A562" t="s">
        <v>1140</v>
      </c>
      <c r="B562" t="s">
        <v>2274</v>
      </c>
      <c r="C562" t="s">
        <v>259</v>
      </c>
      <c r="D562">
        <v>44.69</v>
      </c>
      <c r="E562">
        <v>0.13400000000000001</v>
      </c>
      <c r="F562">
        <v>28.5</v>
      </c>
      <c r="G562" t="b">
        <v>1</v>
      </c>
      <c r="H562" t="b">
        <v>1</v>
      </c>
      <c r="I562">
        <v>60</v>
      </c>
      <c r="J562">
        <v>0.28639618138424822</v>
      </c>
    </row>
    <row r="563" spans="1:10" x14ac:dyDescent="0.3">
      <c r="A563" t="s">
        <v>1141</v>
      </c>
      <c r="B563" t="s">
        <v>2275</v>
      </c>
      <c r="C563" t="s">
        <v>258</v>
      </c>
      <c r="D563">
        <v>18.899999999999999</v>
      </c>
      <c r="E563">
        <v>0.13400000000000001</v>
      </c>
      <c r="F563">
        <v>28.5</v>
      </c>
      <c r="G563" t="b">
        <v>1</v>
      </c>
      <c r="H563" t="b">
        <v>1</v>
      </c>
      <c r="I563">
        <v>60</v>
      </c>
      <c r="J563">
        <v>0.28639618138424822</v>
      </c>
    </row>
    <row r="564" spans="1:10" x14ac:dyDescent="0.3">
      <c r="A564" t="s">
        <v>1142</v>
      </c>
      <c r="B564" t="s">
        <v>2276</v>
      </c>
      <c r="C564" t="s">
        <v>257</v>
      </c>
      <c r="D564">
        <v>22.77</v>
      </c>
      <c r="E564">
        <v>0.13400000000000001</v>
      </c>
      <c r="F564">
        <v>28.5</v>
      </c>
      <c r="G564" t="b">
        <v>1</v>
      </c>
      <c r="H564" t="b">
        <v>1</v>
      </c>
      <c r="I564">
        <v>60</v>
      </c>
      <c r="J564">
        <v>0.28639618138424822</v>
      </c>
    </row>
    <row r="565" spans="1:10" x14ac:dyDescent="0.3">
      <c r="A565" t="s">
        <v>1143</v>
      </c>
      <c r="B565" t="s">
        <v>2277</v>
      </c>
      <c r="C565" t="s">
        <v>1965</v>
      </c>
      <c r="D565">
        <v>471.34</v>
      </c>
      <c r="E565">
        <v>0.40400000000000003</v>
      </c>
      <c r="F565">
        <v>393.8</v>
      </c>
      <c r="G565" t="b">
        <v>1</v>
      </c>
      <c r="H565" t="b">
        <v>1</v>
      </c>
      <c r="I565">
        <v>58221</v>
      </c>
      <c r="J565">
        <v>277.90453460620517</v>
      </c>
    </row>
    <row r="566" spans="1:10" x14ac:dyDescent="0.3">
      <c r="A566" t="s">
        <v>1144</v>
      </c>
      <c r="B566" t="s">
        <v>2278</v>
      </c>
      <c r="C566" t="s">
        <v>2275</v>
      </c>
      <c r="D566">
        <v>34.61</v>
      </c>
      <c r="E566">
        <v>0.254</v>
      </c>
      <c r="F566">
        <v>132.5</v>
      </c>
      <c r="G566" t="b">
        <v>1</v>
      </c>
      <c r="H566" t="b">
        <v>1</v>
      </c>
      <c r="I566">
        <v>3354</v>
      </c>
      <c r="J566">
        <v>16.009546539379471</v>
      </c>
    </row>
    <row r="567" spans="1:10" x14ac:dyDescent="0.3">
      <c r="A567" t="s">
        <v>1145</v>
      </c>
      <c r="B567" t="s">
        <v>2267</v>
      </c>
      <c r="C567" t="s">
        <v>2200</v>
      </c>
      <c r="D567">
        <v>5.39</v>
      </c>
      <c r="E567">
        <v>0.18</v>
      </c>
      <c r="F567">
        <v>54.5</v>
      </c>
      <c r="G567" t="b">
        <v>1</v>
      </c>
      <c r="H567" t="b">
        <v>1</v>
      </c>
      <c r="I567">
        <v>321</v>
      </c>
      <c r="J567">
        <v>1.532219570405728</v>
      </c>
    </row>
    <row r="568" spans="1:10" x14ac:dyDescent="0.3">
      <c r="A568" t="s">
        <v>1146</v>
      </c>
      <c r="B568" t="s">
        <v>2279</v>
      </c>
      <c r="C568" t="s">
        <v>285</v>
      </c>
      <c r="D568">
        <v>23.18</v>
      </c>
      <c r="E568">
        <v>0.13400000000000001</v>
      </c>
      <c r="F568">
        <v>28.5</v>
      </c>
      <c r="G568" t="b">
        <v>1</v>
      </c>
      <c r="H568" t="b">
        <v>1</v>
      </c>
      <c r="I568">
        <v>60</v>
      </c>
      <c r="J568">
        <v>0.28639618138424822</v>
      </c>
    </row>
    <row r="569" spans="1:10" x14ac:dyDescent="0.3">
      <c r="A569" t="s">
        <v>1147</v>
      </c>
      <c r="B569" t="s">
        <v>2280</v>
      </c>
      <c r="C569" t="s">
        <v>2250</v>
      </c>
      <c r="D569">
        <v>2.1800000000000002</v>
      </c>
      <c r="E569">
        <v>0.13400000000000001</v>
      </c>
      <c r="F569">
        <v>28.5</v>
      </c>
      <c r="G569" t="b">
        <v>1</v>
      </c>
      <c r="H569" t="b">
        <v>1</v>
      </c>
      <c r="I569">
        <v>60</v>
      </c>
      <c r="J569">
        <v>0.28639618138424822</v>
      </c>
    </row>
    <row r="570" spans="1:10" x14ac:dyDescent="0.3">
      <c r="A570" t="s">
        <v>1148</v>
      </c>
      <c r="B570" t="s">
        <v>2270</v>
      </c>
      <c r="C570" t="s">
        <v>2251</v>
      </c>
      <c r="D570">
        <v>139.07</v>
      </c>
      <c r="E570">
        <v>0.254</v>
      </c>
      <c r="F570">
        <v>132.5</v>
      </c>
      <c r="G570" t="b">
        <v>1</v>
      </c>
      <c r="H570" t="b">
        <v>1</v>
      </c>
      <c r="I570">
        <v>3354</v>
      </c>
      <c r="J570">
        <v>16.009546539379471</v>
      </c>
    </row>
    <row r="571" spans="1:10" x14ac:dyDescent="0.3">
      <c r="A571" t="s">
        <v>1149</v>
      </c>
      <c r="B571" t="s">
        <v>2281</v>
      </c>
      <c r="C571" t="s">
        <v>2667</v>
      </c>
      <c r="D571">
        <v>6.52</v>
      </c>
      <c r="E571">
        <v>0.18</v>
      </c>
      <c r="F571">
        <v>54.5</v>
      </c>
      <c r="G571" t="b">
        <v>1</v>
      </c>
      <c r="H571" t="b">
        <v>1</v>
      </c>
      <c r="I571">
        <v>321</v>
      </c>
      <c r="J571">
        <v>1.532219570405728</v>
      </c>
    </row>
    <row r="572" spans="1:10" x14ac:dyDescent="0.3">
      <c r="A572" t="s">
        <v>1150</v>
      </c>
      <c r="B572" t="s">
        <v>2282</v>
      </c>
      <c r="C572" t="s">
        <v>2119</v>
      </c>
      <c r="D572">
        <v>46.13</v>
      </c>
      <c r="E572">
        <v>0.22500000000000001</v>
      </c>
      <c r="F572">
        <v>107.1</v>
      </c>
      <c r="G572" t="b">
        <v>1</v>
      </c>
      <c r="H572" t="b">
        <v>1</v>
      </c>
      <c r="I572">
        <v>1915</v>
      </c>
      <c r="J572">
        <v>9.1408114558472544</v>
      </c>
    </row>
    <row r="573" spans="1:10" x14ac:dyDescent="0.3">
      <c r="A573" t="s">
        <v>1151</v>
      </c>
      <c r="B573" t="s">
        <v>1953</v>
      </c>
      <c r="C573" t="s">
        <v>2623</v>
      </c>
      <c r="D573">
        <v>169.61</v>
      </c>
      <c r="E573">
        <v>0.40400000000000003</v>
      </c>
      <c r="F573">
        <v>393.8</v>
      </c>
      <c r="G573" t="b">
        <v>1</v>
      </c>
      <c r="H573" t="b">
        <v>1</v>
      </c>
      <c r="I573">
        <v>58221</v>
      </c>
      <c r="J573">
        <v>277.90453460620517</v>
      </c>
    </row>
    <row r="574" spans="1:10" x14ac:dyDescent="0.3">
      <c r="A574" t="s">
        <v>1152</v>
      </c>
      <c r="B574" t="s">
        <v>2283</v>
      </c>
      <c r="C574" t="s">
        <v>2171</v>
      </c>
      <c r="D574">
        <v>100.14</v>
      </c>
      <c r="E574">
        <v>0.254</v>
      </c>
      <c r="F574">
        <v>132.5</v>
      </c>
      <c r="G574" t="b">
        <v>1</v>
      </c>
      <c r="H574" t="b">
        <v>1</v>
      </c>
      <c r="I574">
        <v>3354</v>
      </c>
      <c r="J574">
        <v>16.009546539379471</v>
      </c>
    </row>
    <row r="575" spans="1:10" x14ac:dyDescent="0.3">
      <c r="A575" t="s">
        <v>1153</v>
      </c>
      <c r="B575" t="s">
        <v>2284</v>
      </c>
      <c r="C575" t="s">
        <v>255</v>
      </c>
      <c r="D575">
        <v>50.35</v>
      </c>
      <c r="E575">
        <v>0.13400000000000001</v>
      </c>
      <c r="F575">
        <v>28.5</v>
      </c>
      <c r="G575" t="b">
        <v>1</v>
      </c>
      <c r="H575" t="b">
        <v>1</v>
      </c>
      <c r="I575">
        <v>60</v>
      </c>
      <c r="J575">
        <v>0.28639618138424822</v>
      </c>
    </row>
    <row r="576" spans="1:10" x14ac:dyDescent="0.3">
      <c r="A576" t="s">
        <v>1154</v>
      </c>
      <c r="B576" t="s">
        <v>2285</v>
      </c>
      <c r="C576" t="s">
        <v>1958</v>
      </c>
      <c r="D576">
        <v>1245.74</v>
      </c>
      <c r="E576">
        <v>0.41099999999999998</v>
      </c>
      <c r="F576">
        <v>312.7</v>
      </c>
      <c r="G576" t="b">
        <v>1</v>
      </c>
      <c r="H576" t="b">
        <v>1</v>
      </c>
      <c r="I576">
        <v>31872</v>
      </c>
      <c r="J576">
        <v>152.1336515513126</v>
      </c>
    </row>
    <row r="577" spans="1:10" x14ac:dyDescent="0.3">
      <c r="A577" t="s">
        <v>1155</v>
      </c>
      <c r="B577" t="s">
        <v>2286</v>
      </c>
      <c r="C577" t="s">
        <v>2130</v>
      </c>
      <c r="D577">
        <v>1.18</v>
      </c>
      <c r="E577">
        <v>0.18</v>
      </c>
      <c r="F577">
        <v>54.5</v>
      </c>
      <c r="G577" t="b">
        <v>1</v>
      </c>
      <c r="H577" t="b">
        <v>1</v>
      </c>
      <c r="I577">
        <v>321</v>
      </c>
      <c r="J577">
        <v>1.532219570405728</v>
      </c>
    </row>
    <row r="578" spans="1:10" x14ac:dyDescent="0.3">
      <c r="A578" t="s">
        <v>1156</v>
      </c>
      <c r="B578" t="s">
        <v>2287</v>
      </c>
      <c r="C578" t="s">
        <v>254</v>
      </c>
      <c r="D578">
        <v>34.51</v>
      </c>
      <c r="E578">
        <v>0.13400000000000001</v>
      </c>
      <c r="F578">
        <v>28.5</v>
      </c>
      <c r="G578" t="b">
        <v>1</v>
      </c>
      <c r="H578" t="b">
        <v>1</v>
      </c>
      <c r="I578">
        <v>60</v>
      </c>
      <c r="J578">
        <v>0.28639618138424822</v>
      </c>
    </row>
    <row r="579" spans="1:10" x14ac:dyDescent="0.3">
      <c r="A579" t="s">
        <v>1157</v>
      </c>
      <c r="B579" t="s">
        <v>2288</v>
      </c>
      <c r="C579" t="s">
        <v>8</v>
      </c>
      <c r="D579">
        <v>3.68</v>
      </c>
      <c r="E579">
        <v>0.35499999999999998</v>
      </c>
      <c r="F579">
        <v>263</v>
      </c>
      <c r="G579" t="b">
        <v>1</v>
      </c>
      <c r="H579" t="b">
        <v>1</v>
      </c>
      <c r="I579">
        <v>20264</v>
      </c>
      <c r="J579">
        <v>96.725536992840077</v>
      </c>
    </row>
    <row r="580" spans="1:10" x14ac:dyDescent="0.3">
      <c r="A580" t="s">
        <v>1158</v>
      </c>
      <c r="B580" t="s">
        <v>1999</v>
      </c>
      <c r="C580" t="s">
        <v>2285</v>
      </c>
      <c r="D580">
        <v>101.52</v>
      </c>
      <c r="E580">
        <v>0.41099999999999998</v>
      </c>
      <c r="F580">
        <v>312.7</v>
      </c>
      <c r="G580" t="b">
        <v>1</v>
      </c>
      <c r="H580" t="b">
        <v>1</v>
      </c>
      <c r="I580">
        <v>31872</v>
      </c>
      <c r="J580">
        <v>152.1336515513126</v>
      </c>
    </row>
    <row r="581" spans="1:10" x14ac:dyDescent="0.3">
      <c r="A581" t="s">
        <v>1159</v>
      </c>
      <c r="B581" t="s">
        <v>2163</v>
      </c>
      <c r="C581" t="s">
        <v>2298</v>
      </c>
      <c r="D581">
        <v>25.94</v>
      </c>
      <c r="E581">
        <v>0.16600000000000001</v>
      </c>
      <c r="F581">
        <v>43.1</v>
      </c>
      <c r="G581" t="b">
        <v>1</v>
      </c>
      <c r="H581" t="b">
        <v>1</v>
      </c>
      <c r="I581">
        <v>172</v>
      </c>
      <c r="J581">
        <v>0.82100238663484471</v>
      </c>
    </row>
    <row r="582" spans="1:10" x14ac:dyDescent="0.3">
      <c r="A582" t="s">
        <v>1160</v>
      </c>
      <c r="B582" t="s">
        <v>2157</v>
      </c>
      <c r="C582" t="s">
        <v>2163</v>
      </c>
      <c r="D582">
        <v>5.2</v>
      </c>
      <c r="E582">
        <v>0.16600000000000001</v>
      </c>
      <c r="F582">
        <v>43.1</v>
      </c>
      <c r="G582" t="b">
        <v>1</v>
      </c>
      <c r="H582" t="b">
        <v>1</v>
      </c>
      <c r="I582">
        <v>172</v>
      </c>
      <c r="J582">
        <v>0.82100238663484471</v>
      </c>
    </row>
    <row r="583" spans="1:10" x14ac:dyDescent="0.3">
      <c r="A583" t="s">
        <v>1161</v>
      </c>
      <c r="B583" t="s">
        <v>2289</v>
      </c>
      <c r="C583" t="s">
        <v>356</v>
      </c>
      <c r="D583">
        <v>8.59</v>
      </c>
      <c r="E583">
        <v>0.13400000000000001</v>
      </c>
      <c r="F583">
        <v>28.5</v>
      </c>
      <c r="G583" t="b">
        <v>1</v>
      </c>
      <c r="H583" t="b">
        <v>1</v>
      </c>
      <c r="I583">
        <v>60</v>
      </c>
      <c r="J583">
        <v>0.28639618138424822</v>
      </c>
    </row>
    <row r="584" spans="1:10" x14ac:dyDescent="0.3">
      <c r="A584" t="s">
        <v>1162</v>
      </c>
      <c r="B584" t="s">
        <v>2130</v>
      </c>
      <c r="C584" t="s">
        <v>253</v>
      </c>
      <c r="D584">
        <v>23.27</v>
      </c>
      <c r="E584">
        <v>0.13400000000000001</v>
      </c>
      <c r="F584">
        <v>28.5</v>
      </c>
      <c r="G584" t="b">
        <v>1</v>
      </c>
      <c r="H584" t="b">
        <v>1</v>
      </c>
      <c r="I584">
        <v>60</v>
      </c>
      <c r="J584">
        <v>0.28639618138424822</v>
      </c>
    </row>
    <row r="585" spans="1:10" x14ac:dyDescent="0.3">
      <c r="A585" t="s">
        <v>1163</v>
      </c>
      <c r="B585" t="s">
        <v>2169</v>
      </c>
      <c r="C585" t="s">
        <v>354</v>
      </c>
      <c r="D585">
        <v>26.48</v>
      </c>
      <c r="E585">
        <v>0.13400000000000001</v>
      </c>
      <c r="F585">
        <v>28.5</v>
      </c>
      <c r="G585" t="b">
        <v>1</v>
      </c>
      <c r="H585" t="b">
        <v>1</v>
      </c>
      <c r="I585">
        <v>60</v>
      </c>
      <c r="J585">
        <v>0.28639618138424822</v>
      </c>
    </row>
    <row r="586" spans="1:10" x14ac:dyDescent="0.3">
      <c r="A586" t="s">
        <v>1164</v>
      </c>
      <c r="B586" t="s">
        <v>2290</v>
      </c>
      <c r="C586" t="s">
        <v>252</v>
      </c>
      <c r="D586">
        <v>41.18</v>
      </c>
      <c r="E586">
        <v>0.13400000000000001</v>
      </c>
      <c r="F586">
        <v>28.5</v>
      </c>
      <c r="G586" t="b">
        <v>1</v>
      </c>
      <c r="H586" t="b">
        <v>1</v>
      </c>
      <c r="I586">
        <v>60</v>
      </c>
      <c r="J586">
        <v>0.28639618138424822</v>
      </c>
    </row>
    <row r="587" spans="1:10" x14ac:dyDescent="0.3">
      <c r="A587" t="s">
        <v>1165</v>
      </c>
      <c r="B587" t="s">
        <v>2232</v>
      </c>
      <c r="C587" t="s">
        <v>2277</v>
      </c>
      <c r="D587">
        <v>108.03</v>
      </c>
      <c r="E587">
        <v>0.41099999999999998</v>
      </c>
      <c r="F587">
        <v>312.7</v>
      </c>
      <c r="G587" t="b">
        <v>1</v>
      </c>
      <c r="H587" t="b">
        <v>1</v>
      </c>
      <c r="I587">
        <v>31872</v>
      </c>
      <c r="J587">
        <v>152.1336515513126</v>
      </c>
    </row>
    <row r="588" spans="1:10" x14ac:dyDescent="0.3">
      <c r="A588" t="s">
        <v>1166</v>
      </c>
      <c r="B588" t="s">
        <v>2291</v>
      </c>
      <c r="C588" t="s">
        <v>2167</v>
      </c>
      <c r="D588">
        <v>57.14</v>
      </c>
      <c r="E588">
        <v>0.20499999999999999</v>
      </c>
      <c r="F588">
        <v>70.3</v>
      </c>
      <c r="G588" t="b">
        <v>1</v>
      </c>
      <c r="H588" t="b">
        <v>1</v>
      </c>
      <c r="I588">
        <v>630</v>
      </c>
      <c r="J588">
        <v>3.007159904534606</v>
      </c>
    </row>
    <row r="589" spans="1:10" x14ac:dyDescent="0.3">
      <c r="A589" t="s">
        <v>1167</v>
      </c>
      <c r="B589" t="s">
        <v>2291</v>
      </c>
      <c r="C589" t="s">
        <v>2422</v>
      </c>
      <c r="D589">
        <v>53.41</v>
      </c>
      <c r="E589">
        <v>0.254</v>
      </c>
      <c r="F589">
        <v>132.5</v>
      </c>
      <c r="G589" t="b">
        <v>1</v>
      </c>
      <c r="H589" t="b">
        <v>1</v>
      </c>
      <c r="I589">
        <v>3354</v>
      </c>
      <c r="J589">
        <v>16.009546539379471</v>
      </c>
    </row>
    <row r="590" spans="1:10" x14ac:dyDescent="0.3">
      <c r="A590" t="s">
        <v>1168</v>
      </c>
      <c r="B590" t="s">
        <v>2218</v>
      </c>
      <c r="C590" t="s">
        <v>251</v>
      </c>
      <c r="D590">
        <v>18.760000000000002</v>
      </c>
      <c r="E590">
        <v>0.16600000000000001</v>
      </c>
      <c r="F590">
        <v>43.1</v>
      </c>
      <c r="G590" t="b">
        <v>1</v>
      </c>
      <c r="H590" t="b">
        <v>1</v>
      </c>
      <c r="I590">
        <v>172</v>
      </c>
      <c r="J590">
        <v>0.82100238663484471</v>
      </c>
    </row>
    <row r="591" spans="1:10" x14ac:dyDescent="0.3">
      <c r="A591" t="s">
        <v>1169</v>
      </c>
      <c r="B591" t="s">
        <v>2292</v>
      </c>
      <c r="C591" t="s">
        <v>2139</v>
      </c>
      <c r="D591">
        <v>72.52</v>
      </c>
      <c r="E591">
        <v>0.20499999999999999</v>
      </c>
      <c r="F591">
        <v>70.3</v>
      </c>
      <c r="G591" t="b">
        <v>1</v>
      </c>
      <c r="H591" t="b">
        <v>1</v>
      </c>
      <c r="I591">
        <v>630</v>
      </c>
      <c r="J591">
        <v>3.007159904534606</v>
      </c>
    </row>
    <row r="592" spans="1:10" x14ac:dyDescent="0.3">
      <c r="A592" t="s">
        <v>1170</v>
      </c>
      <c r="B592" t="s">
        <v>2293</v>
      </c>
      <c r="C592" t="s">
        <v>250</v>
      </c>
      <c r="D592">
        <v>29.77</v>
      </c>
      <c r="E592">
        <v>0.13400000000000001</v>
      </c>
      <c r="F592">
        <v>28.5</v>
      </c>
      <c r="G592" t="b">
        <v>1</v>
      </c>
      <c r="H592" t="b">
        <v>1</v>
      </c>
      <c r="I592">
        <v>60</v>
      </c>
      <c r="J592">
        <v>0.28639618138424822</v>
      </c>
    </row>
    <row r="593" spans="1:10" x14ac:dyDescent="0.3">
      <c r="A593" t="s">
        <v>1171</v>
      </c>
      <c r="B593" t="s">
        <v>2294</v>
      </c>
      <c r="C593" t="s">
        <v>249</v>
      </c>
      <c r="D593">
        <v>10.65</v>
      </c>
      <c r="E593">
        <v>0.13400000000000001</v>
      </c>
      <c r="F593">
        <v>28.5</v>
      </c>
      <c r="G593" t="b">
        <v>1</v>
      </c>
      <c r="H593" t="b">
        <v>1</v>
      </c>
      <c r="I593">
        <v>60</v>
      </c>
      <c r="J593">
        <v>0.28639618138424822</v>
      </c>
    </row>
    <row r="594" spans="1:10" x14ac:dyDescent="0.3">
      <c r="A594" t="s">
        <v>1172</v>
      </c>
      <c r="B594" t="s">
        <v>2165</v>
      </c>
      <c r="C594" t="s">
        <v>248</v>
      </c>
      <c r="D594">
        <v>9.83</v>
      </c>
      <c r="E594">
        <v>0.13400000000000001</v>
      </c>
      <c r="F594">
        <v>28.5</v>
      </c>
      <c r="G594" t="b">
        <v>1</v>
      </c>
      <c r="H594" t="b">
        <v>1</v>
      </c>
      <c r="I594">
        <v>60</v>
      </c>
      <c r="J594">
        <v>0.28639618138424822</v>
      </c>
    </row>
    <row r="595" spans="1:10" x14ac:dyDescent="0.3">
      <c r="A595" t="s">
        <v>1173</v>
      </c>
      <c r="B595" t="s">
        <v>2295</v>
      </c>
      <c r="C595" t="s">
        <v>235</v>
      </c>
      <c r="D595">
        <v>30.59</v>
      </c>
      <c r="E595">
        <v>0.16600000000000001</v>
      </c>
      <c r="F595">
        <v>43.1</v>
      </c>
      <c r="G595" t="b">
        <v>1</v>
      </c>
      <c r="H595" t="b">
        <v>1</v>
      </c>
      <c r="I595">
        <v>172</v>
      </c>
      <c r="J595">
        <v>0.82100238663484471</v>
      </c>
    </row>
    <row r="596" spans="1:10" x14ac:dyDescent="0.3">
      <c r="A596" t="s">
        <v>1174</v>
      </c>
      <c r="B596" t="s">
        <v>2296</v>
      </c>
      <c r="C596" t="s">
        <v>246</v>
      </c>
      <c r="D596">
        <v>19.420000000000002</v>
      </c>
      <c r="E596">
        <v>0.13400000000000001</v>
      </c>
      <c r="F596">
        <v>28.5</v>
      </c>
      <c r="G596" t="b">
        <v>1</v>
      </c>
      <c r="H596" t="b">
        <v>1</v>
      </c>
      <c r="I596">
        <v>60</v>
      </c>
      <c r="J596">
        <v>0.28639618138424822</v>
      </c>
    </row>
    <row r="597" spans="1:10" x14ac:dyDescent="0.3">
      <c r="A597" t="s">
        <v>1175</v>
      </c>
      <c r="B597" t="s">
        <v>2154</v>
      </c>
      <c r="C597" t="s">
        <v>244</v>
      </c>
      <c r="D597">
        <v>26.66</v>
      </c>
      <c r="E597">
        <v>0.13400000000000001</v>
      </c>
      <c r="F597">
        <v>28.5</v>
      </c>
      <c r="G597" t="b">
        <v>1</v>
      </c>
      <c r="H597" t="b">
        <v>1</v>
      </c>
      <c r="I597">
        <v>60</v>
      </c>
      <c r="J597">
        <v>0.28639618138424822</v>
      </c>
    </row>
    <row r="598" spans="1:10" x14ac:dyDescent="0.3">
      <c r="A598" t="s">
        <v>1176</v>
      </c>
      <c r="B598" t="s">
        <v>2272</v>
      </c>
      <c r="C598" t="s">
        <v>243</v>
      </c>
      <c r="D598">
        <v>37.520000000000003</v>
      </c>
      <c r="E598">
        <v>0.16600000000000001</v>
      </c>
      <c r="F598">
        <v>43.1</v>
      </c>
      <c r="G598" t="b">
        <v>1</v>
      </c>
      <c r="H598" t="b">
        <v>1</v>
      </c>
      <c r="I598">
        <v>172</v>
      </c>
      <c r="J598">
        <v>0.82100238663484471</v>
      </c>
    </row>
    <row r="599" spans="1:10" x14ac:dyDescent="0.3">
      <c r="A599" t="s">
        <v>1177</v>
      </c>
      <c r="B599" t="s">
        <v>2297</v>
      </c>
      <c r="C599" t="s">
        <v>247</v>
      </c>
      <c r="D599">
        <v>48.46</v>
      </c>
      <c r="E599">
        <v>0.13400000000000001</v>
      </c>
      <c r="F599">
        <v>28.5</v>
      </c>
      <c r="G599" t="b">
        <v>1</v>
      </c>
      <c r="H599" t="b">
        <v>1</v>
      </c>
      <c r="I599">
        <v>60</v>
      </c>
      <c r="J599">
        <v>0.28639618138424822</v>
      </c>
    </row>
    <row r="600" spans="1:10" x14ac:dyDescent="0.3">
      <c r="A600" t="s">
        <v>1178</v>
      </c>
      <c r="B600" t="s">
        <v>2298</v>
      </c>
      <c r="C600" t="s">
        <v>347</v>
      </c>
      <c r="D600">
        <v>53.22</v>
      </c>
      <c r="E600">
        <v>0.13400000000000001</v>
      </c>
      <c r="F600">
        <v>28.5</v>
      </c>
      <c r="G600" t="b">
        <v>1</v>
      </c>
      <c r="H600" t="b">
        <v>1</v>
      </c>
      <c r="I600">
        <v>60</v>
      </c>
      <c r="J600">
        <v>0.28639618138424822</v>
      </c>
    </row>
    <row r="601" spans="1:10" x14ac:dyDescent="0.3">
      <c r="A601" t="s">
        <v>1179</v>
      </c>
      <c r="B601" t="s">
        <v>2299</v>
      </c>
      <c r="C601" t="s">
        <v>241</v>
      </c>
      <c r="D601">
        <v>26.45</v>
      </c>
      <c r="E601">
        <v>0.13400000000000001</v>
      </c>
      <c r="F601">
        <v>28.5</v>
      </c>
      <c r="G601" t="b">
        <v>1</v>
      </c>
      <c r="H601" t="b">
        <v>1</v>
      </c>
      <c r="I601">
        <v>60</v>
      </c>
      <c r="J601">
        <v>0.28639618138424822</v>
      </c>
    </row>
    <row r="602" spans="1:10" x14ac:dyDescent="0.3">
      <c r="A602" t="s">
        <v>1180</v>
      </c>
      <c r="B602" t="s">
        <v>2129</v>
      </c>
      <c r="C602" t="s">
        <v>240</v>
      </c>
      <c r="D602">
        <v>21.04</v>
      </c>
      <c r="E602">
        <v>0.13400000000000001</v>
      </c>
      <c r="F602">
        <v>28.5</v>
      </c>
      <c r="G602" t="b">
        <v>1</v>
      </c>
      <c r="H602" t="b">
        <v>1</v>
      </c>
      <c r="I602">
        <v>60</v>
      </c>
      <c r="J602">
        <v>0.28639618138424822</v>
      </c>
    </row>
    <row r="603" spans="1:10" x14ac:dyDescent="0.3">
      <c r="A603" t="s">
        <v>1181</v>
      </c>
      <c r="B603" t="s">
        <v>2274</v>
      </c>
      <c r="C603" t="s">
        <v>2263</v>
      </c>
      <c r="D603">
        <v>32.58</v>
      </c>
      <c r="E603">
        <v>0.20499999999999999</v>
      </c>
      <c r="F603">
        <v>70.3</v>
      </c>
      <c r="G603" t="b">
        <v>1</v>
      </c>
      <c r="H603" t="b">
        <v>1</v>
      </c>
      <c r="I603">
        <v>630</v>
      </c>
      <c r="J603">
        <v>3.007159904534606</v>
      </c>
    </row>
    <row r="604" spans="1:10" x14ac:dyDescent="0.3">
      <c r="A604" t="s">
        <v>1182</v>
      </c>
      <c r="B604" t="s">
        <v>2296</v>
      </c>
      <c r="C604" t="s">
        <v>2165</v>
      </c>
      <c r="D604">
        <v>51.42</v>
      </c>
      <c r="E604">
        <v>0.217</v>
      </c>
      <c r="F604">
        <v>82.5</v>
      </c>
      <c r="G604" t="b">
        <v>1</v>
      </c>
      <c r="H604" t="b">
        <v>1</v>
      </c>
      <c r="I604">
        <v>962</v>
      </c>
      <c r="J604">
        <v>4.5918854415274453</v>
      </c>
    </row>
    <row r="605" spans="1:10" x14ac:dyDescent="0.3">
      <c r="A605" t="s">
        <v>1183</v>
      </c>
      <c r="B605" t="s">
        <v>2281</v>
      </c>
      <c r="C605" t="s">
        <v>238</v>
      </c>
      <c r="D605">
        <v>22.54</v>
      </c>
      <c r="E605">
        <v>0.13400000000000001</v>
      </c>
      <c r="F605">
        <v>28.5</v>
      </c>
      <c r="G605" t="b">
        <v>1</v>
      </c>
      <c r="H605" t="b">
        <v>1</v>
      </c>
      <c r="I605">
        <v>60</v>
      </c>
      <c r="J605">
        <v>0.28639618138424822</v>
      </c>
    </row>
    <row r="606" spans="1:10" x14ac:dyDescent="0.3">
      <c r="A606" t="s">
        <v>1184</v>
      </c>
      <c r="B606" t="s">
        <v>2300</v>
      </c>
      <c r="C606" t="s">
        <v>2264</v>
      </c>
      <c r="D606">
        <v>87.42</v>
      </c>
      <c r="E606">
        <v>0.22500000000000001</v>
      </c>
      <c r="F606">
        <v>107.1</v>
      </c>
      <c r="G606" t="b">
        <v>1</v>
      </c>
      <c r="H606" t="b">
        <v>1</v>
      </c>
      <c r="I606">
        <v>1915</v>
      </c>
      <c r="J606">
        <v>9.1408114558472544</v>
      </c>
    </row>
    <row r="607" spans="1:10" x14ac:dyDescent="0.3">
      <c r="A607" t="s">
        <v>1185</v>
      </c>
      <c r="B607" t="s">
        <v>2301</v>
      </c>
      <c r="C607" t="s">
        <v>2013</v>
      </c>
      <c r="D607">
        <v>288.89999999999998</v>
      </c>
      <c r="E607">
        <v>0.41099999999999998</v>
      </c>
      <c r="F607">
        <v>312.7</v>
      </c>
      <c r="G607" t="b">
        <v>1</v>
      </c>
      <c r="H607" t="b">
        <v>1</v>
      </c>
      <c r="I607">
        <v>31872</v>
      </c>
      <c r="J607">
        <v>152.1336515513126</v>
      </c>
    </row>
    <row r="608" spans="1:10" x14ac:dyDescent="0.3">
      <c r="A608" t="s">
        <v>1186</v>
      </c>
      <c r="B608" t="s">
        <v>2301</v>
      </c>
      <c r="C608" t="s">
        <v>2299</v>
      </c>
      <c r="D608">
        <v>70.36</v>
      </c>
      <c r="E608">
        <v>0.18</v>
      </c>
      <c r="F608">
        <v>54.5</v>
      </c>
      <c r="G608" t="b">
        <v>1</v>
      </c>
      <c r="H608" t="b">
        <v>1</v>
      </c>
      <c r="I608">
        <v>321</v>
      </c>
      <c r="J608">
        <v>1.532219570405728</v>
      </c>
    </row>
    <row r="609" spans="1:10" x14ac:dyDescent="0.3">
      <c r="A609" t="s">
        <v>1187</v>
      </c>
      <c r="B609" t="s">
        <v>2302</v>
      </c>
      <c r="C609" t="s">
        <v>234</v>
      </c>
      <c r="D609">
        <v>5.23</v>
      </c>
      <c r="E609">
        <v>0.13400000000000001</v>
      </c>
      <c r="F609">
        <v>28.5</v>
      </c>
      <c r="G609" t="b">
        <v>1</v>
      </c>
      <c r="H609" t="b">
        <v>1</v>
      </c>
      <c r="I609">
        <v>60</v>
      </c>
      <c r="J609">
        <v>0.28639618138424822</v>
      </c>
    </row>
    <row r="610" spans="1:10" x14ac:dyDescent="0.3">
      <c r="A610" t="s">
        <v>1188</v>
      </c>
      <c r="B610" t="s">
        <v>2302</v>
      </c>
      <c r="C610" t="s">
        <v>233</v>
      </c>
      <c r="D610">
        <v>2.4900000000000002</v>
      </c>
      <c r="E610">
        <v>0.13400000000000001</v>
      </c>
      <c r="F610">
        <v>28.5</v>
      </c>
      <c r="G610" t="b">
        <v>1</v>
      </c>
      <c r="H610" t="b">
        <v>1</v>
      </c>
      <c r="I610">
        <v>60</v>
      </c>
      <c r="J610">
        <v>0.28639618138424822</v>
      </c>
    </row>
    <row r="611" spans="1:10" x14ac:dyDescent="0.3">
      <c r="A611" t="s">
        <v>1189</v>
      </c>
      <c r="B611" t="s">
        <v>2286</v>
      </c>
      <c r="C611" t="s">
        <v>245</v>
      </c>
      <c r="D611">
        <v>29.95</v>
      </c>
      <c r="E611">
        <v>0.13400000000000001</v>
      </c>
      <c r="F611">
        <v>28.5</v>
      </c>
      <c r="G611" t="b">
        <v>1</v>
      </c>
      <c r="H611" t="b">
        <v>1</v>
      </c>
      <c r="I611">
        <v>60</v>
      </c>
      <c r="J611">
        <v>0.28639618138424822</v>
      </c>
    </row>
    <row r="612" spans="1:10" x14ac:dyDescent="0.3">
      <c r="A612" t="s">
        <v>1190</v>
      </c>
      <c r="B612" t="s">
        <v>2303</v>
      </c>
      <c r="C612" t="s">
        <v>2276</v>
      </c>
      <c r="D612">
        <v>14.43</v>
      </c>
      <c r="E612">
        <v>0.18</v>
      </c>
      <c r="F612">
        <v>54.5</v>
      </c>
      <c r="G612" t="b">
        <v>1</v>
      </c>
      <c r="H612" t="b">
        <v>1</v>
      </c>
      <c r="I612">
        <v>321</v>
      </c>
      <c r="J612">
        <v>1.532219570405728</v>
      </c>
    </row>
    <row r="613" spans="1:10" x14ac:dyDescent="0.3">
      <c r="A613" t="s">
        <v>1191</v>
      </c>
      <c r="B613" t="s">
        <v>2161</v>
      </c>
      <c r="C613" t="s">
        <v>2302</v>
      </c>
      <c r="D613">
        <v>37.56</v>
      </c>
      <c r="E613">
        <v>0.16600000000000001</v>
      </c>
      <c r="F613">
        <v>43.1</v>
      </c>
      <c r="G613" t="b">
        <v>1</v>
      </c>
      <c r="H613" t="b">
        <v>1</v>
      </c>
      <c r="I613">
        <v>172</v>
      </c>
      <c r="J613">
        <v>0.82100238663484471</v>
      </c>
    </row>
    <row r="614" spans="1:10" x14ac:dyDescent="0.3">
      <c r="A614" t="s">
        <v>1192</v>
      </c>
      <c r="B614" t="s">
        <v>2151</v>
      </c>
      <c r="C614" t="s">
        <v>232</v>
      </c>
      <c r="D614">
        <v>47.38</v>
      </c>
      <c r="E614">
        <v>0.13400000000000001</v>
      </c>
      <c r="F614">
        <v>28.5</v>
      </c>
      <c r="G614" t="b">
        <v>1</v>
      </c>
      <c r="H614" t="b">
        <v>1</v>
      </c>
      <c r="I614">
        <v>60</v>
      </c>
      <c r="J614">
        <v>0.28639618138424822</v>
      </c>
    </row>
    <row r="615" spans="1:10" x14ac:dyDescent="0.3">
      <c r="A615" t="s">
        <v>1193</v>
      </c>
      <c r="B615" t="s">
        <v>2304</v>
      </c>
      <c r="C615" t="s">
        <v>68</v>
      </c>
      <c r="D615">
        <v>22.07</v>
      </c>
      <c r="E615">
        <v>0.13400000000000001</v>
      </c>
      <c r="F615">
        <v>28.5</v>
      </c>
      <c r="G615" t="b">
        <v>1</v>
      </c>
      <c r="H615" t="b">
        <v>1</v>
      </c>
      <c r="I615">
        <v>60</v>
      </c>
      <c r="J615">
        <v>0.28639618138424822</v>
      </c>
    </row>
    <row r="616" spans="1:10" x14ac:dyDescent="0.3">
      <c r="A616" t="s">
        <v>1194</v>
      </c>
      <c r="B616" t="s">
        <v>2299</v>
      </c>
      <c r="C616" t="s">
        <v>2668</v>
      </c>
      <c r="D616">
        <v>6</v>
      </c>
      <c r="E616">
        <v>0.18</v>
      </c>
      <c r="F616">
        <v>54.5</v>
      </c>
      <c r="G616" t="b">
        <v>1</v>
      </c>
      <c r="H616" t="b">
        <v>1</v>
      </c>
      <c r="I616">
        <v>321</v>
      </c>
      <c r="J616">
        <v>1.532219570405728</v>
      </c>
    </row>
    <row r="617" spans="1:10" x14ac:dyDescent="0.3">
      <c r="A617" t="s">
        <v>1195</v>
      </c>
      <c r="B617" t="s">
        <v>2304</v>
      </c>
      <c r="C617" t="s">
        <v>2220</v>
      </c>
      <c r="D617">
        <v>8.18</v>
      </c>
      <c r="E617">
        <v>0.18</v>
      </c>
      <c r="F617">
        <v>54.5</v>
      </c>
      <c r="G617" t="b">
        <v>1</v>
      </c>
      <c r="H617" t="b">
        <v>1</v>
      </c>
      <c r="I617">
        <v>321</v>
      </c>
      <c r="J617">
        <v>1.532219570405728</v>
      </c>
    </row>
    <row r="618" spans="1:10" x14ac:dyDescent="0.3">
      <c r="A618" t="s">
        <v>1196</v>
      </c>
      <c r="B618" t="s">
        <v>2287</v>
      </c>
      <c r="C618" t="s">
        <v>2286</v>
      </c>
      <c r="D618">
        <v>33.94</v>
      </c>
      <c r="E618">
        <v>0.18</v>
      </c>
      <c r="F618">
        <v>54.5</v>
      </c>
      <c r="G618" t="b">
        <v>1</v>
      </c>
      <c r="H618" t="b">
        <v>1</v>
      </c>
      <c r="I618">
        <v>321</v>
      </c>
      <c r="J618">
        <v>1.532219570405728</v>
      </c>
    </row>
    <row r="619" spans="1:10" x14ac:dyDescent="0.3">
      <c r="A619" t="s">
        <v>1197</v>
      </c>
      <c r="B619" t="s">
        <v>2284</v>
      </c>
      <c r="C619" t="s">
        <v>2287</v>
      </c>
      <c r="D619">
        <v>21.92</v>
      </c>
      <c r="E619">
        <v>0.18</v>
      </c>
      <c r="F619">
        <v>54.5</v>
      </c>
      <c r="G619" t="b">
        <v>1</v>
      </c>
      <c r="H619" t="b">
        <v>1</v>
      </c>
      <c r="I619">
        <v>321</v>
      </c>
      <c r="J619">
        <v>1.532219570405728</v>
      </c>
    </row>
    <row r="620" spans="1:10" x14ac:dyDescent="0.3">
      <c r="A620" t="s">
        <v>1198</v>
      </c>
      <c r="B620" t="s">
        <v>2289</v>
      </c>
      <c r="C620" t="s">
        <v>2284</v>
      </c>
      <c r="D620">
        <v>1.01</v>
      </c>
      <c r="E620">
        <v>0.18</v>
      </c>
      <c r="F620">
        <v>54.5</v>
      </c>
      <c r="G620" t="b">
        <v>1</v>
      </c>
      <c r="H620" t="b">
        <v>1</v>
      </c>
      <c r="I620">
        <v>321</v>
      </c>
      <c r="J620">
        <v>1.532219570405728</v>
      </c>
    </row>
    <row r="621" spans="1:10" x14ac:dyDescent="0.3">
      <c r="A621" t="s">
        <v>1199</v>
      </c>
      <c r="B621" t="s">
        <v>2160</v>
      </c>
      <c r="C621" t="s">
        <v>2157</v>
      </c>
      <c r="D621">
        <v>90.6</v>
      </c>
      <c r="E621">
        <v>0.20499999999999999</v>
      </c>
      <c r="F621">
        <v>70.3</v>
      </c>
      <c r="G621" t="b">
        <v>1</v>
      </c>
      <c r="H621" t="b">
        <v>1</v>
      </c>
      <c r="I621">
        <v>630</v>
      </c>
      <c r="J621">
        <v>3.007159904534606</v>
      </c>
    </row>
    <row r="622" spans="1:10" x14ac:dyDescent="0.3">
      <c r="A622" t="s">
        <v>1200</v>
      </c>
      <c r="B622" t="s">
        <v>2305</v>
      </c>
      <c r="C622" t="s">
        <v>2480</v>
      </c>
      <c r="D622">
        <v>93.16</v>
      </c>
      <c r="E622">
        <v>0.217</v>
      </c>
      <c r="F622">
        <v>82.5</v>
      </c>
      <c r="G622" t="b">
        <v>1</v>
      </c>
      <c r="H622" t="b">
        <v>1</v>
      </c>
      <c r="I622">
        <v>962</v>
      </c>
      <c r="J622">
        <v>4.5918854415274453</v>
      </c>
    </row>
    <row r="623" spans="1:10" x14ac:dyDescent="0.3">
      <c r="A623" t="s">
        <v>1201</v>
      </c>
      <c r="B623" t="s">
        <v>2305</v>
      </c>
      <c r="C623" t="s">
        <v>222</v>
      </c>
      <c r="D623">
        <v>43.39</v>
      </c>
      <c r="E623">
        <v>0.16600000000000001</v>
      </c>
      <c r="F623">
        <v>43.1</v>
      </c>
      <c r="G623" t="b">
        <v>1</v>
      </c>
      <c r="H623" t="b">
        <v>1</v>
      </c>
      <c r="I623">
        <v>172</v>
      </c>
      <c r="J623">
        <v>0.82100238663484471</v>
      </c>
    </row>
    <row r="624" spans="1:10" x14ac:dyDescent="0.3">
      <c r="A624" t="s">
        <v>1202</v>
      </c>
      <c r="B624" t="s">
        <v>2306</v>
      </c>
      <c r="C624" t="s">
        <v>228</v>
      </c>
      <c r="D624">
        <v>140.93</v>
      </c>
      <c r="E624">
        <v>0.18</v>
      </c>
      <c r="F624">
        <v>54.5</v>
      </c>
      <c r="G624" t="b">
        <v>1</v>
      </c>
      <c r="H624" t="b">
        <v>1</v>
      </c>
      <c r="I624">
        <v>321</v>
      </c>
      <c r="J624">
        <v>1.532219570405728</v>
      </c>
    </row>
    <row r="625" spans="1:10" x14ac:dyDescent="0.3">
      <c r="A625" t="s">
        <v>1203</v>
      </c>
      <c r="B625" t="s">
        <v>2256</v>
      </c>
      <c r="C625" t="s">
        <v>2303</v>
      </c>
      <c r="D625">
        <v>50.96</v>
      </c>
      <c r="E625">
        <v>0.20499999999999999</v>
      </c>
      <c r="F625">
        <v>70.3</v>
      </c>
      <c r="G625" t="b">
        <v>1</v>
      </c>
      <c r="H625" t="b">
        <v>1</v>
      </c>
      <c r="I625">
        <v>630</v>
      </c>
      <c r="J625">
        <v>3.007159904534606</v>
      </c>
    </row>
    <row r="626" spans="1:10" x14ac:dyDescent="0.3">
      <c r="A626" t="s">
        <v>1204</v>
      </c>
      <c r="B626" t="s">
        <v>2260</v>
      </c>
      <c r="C626" t="s">
        <v>2295</v>
      </c>
      <c r="D626">
        <v>80.459999999999994</v>
      </c>
      <c r="E626">
        <v>0.217</v>
      </c>
      <c r="F626">
        <v>82.5</v>
      </c>
      <c r="G626" t="b">
        <v>1</v>
      </c>
      <c r="H626" t="b">
        <v>1</v>
      </c>
      <c r="I626">
        <v>962</v>
      </c>
      <c r="J626">
        <v>4.5918854415274453</v>
      </c>
    </row>
    <row r="627" spans="1:10" x14ac:dyDescent="0.3">
      <c r="A627" t="s">
        <v>1205</v>
      </c>
      <c r="B627" t="s">
        <v>2142</v>
      </c>
      <c r="C627" t="s">
        <v>2129</v>
      </c>
      <c r="D627">
        <v>58.84</v>
      </c>
      <c r="E627">
        <v>0.18</v>
      </c>
      <c r="F627">
        <v>54.5</v>
      </c>
      <c r="G627" t="b">
        <v>1</v>
      </c>
      <c r="H627" t="b">
        <v>1</v>
      </c>
      <c r="I627">
        <v>321</v>
      </c>
      <c r="J627">
        <v>1.532219570405728</v>
      </c>
    </row>
    <row r="628" spans="1:10" x14ac:dyDescent="0.3">
      <c r="A628" t="s">
        <v>1206</v>
      </c>
      <c r="B628" t="s">
        <v>2155</v>
      </c>
      <c r="C628" t="s">
        <v>2267</v>
      </c>
      <c r="D628">
        <v>18.7</v>
      </c>
      <c r="E628">
        <v>0.18</v>
      </c>
      <c r="F628">
        <v>54.5</v>
      </c>
      <c r="G628" t="b">
        <v>1</v>
      </c>
      <c r="H628" t="b">
        <v>1</v>
      </c>
      <c r="I628">
        <v>321</v>
      </c>
      <c r="J628">
        <v>1.532219570405728</v>
      </c>
    </row>
    <row r="629" spans="1:10" x14ac:dyDescent="0.3">
      <c r="A629" t="s">
        <v>1207</v>
      </c>
      <c r="B629" t="s">
        <v>2276</v>
      </c>
      <c r="C629" t="s">
        <v>2155</v>
      </c>
      <c r="D629">
        <v>25.86</v>
      </c>
      <c r="E629">
        <v>0.18</v>
      </c>
      <c r="F629">
        <v>54.5</v>
      </c>
      <c r="G629" t="b">
        <v>1</v>
      </c>
      <c r="H629" t="b">
        <v>1</v>
      </c>
      <c r="I629">
        <v>321</v>
      </c>
      <c r="J629">
        <v>1.532219570405728</v>
      </c>
    </row>
    <row r="630" spans="1:10" x14ac:dyDescent="0.3">
      <c r="A630" t="s">
        <v>1208</v>
      </c>
      <c r="B630" t="s">
        <v>2297</v>
      </c>
      <c r="C630" t="s">
        <v>2161</v>
      </c>
      <c r="D630">
        <v>58.26</v>
      </c>
      <c r="E630">
        <v>0.217</v>
      </c>
      <c r="F630">
        <v>82.5</v>
      </c>
      <c r="G630" t="b">
        <v>1</v>
      </c>
      <c r="H630" t="b">
        <v>1</v>
      </c>
      <c r="I630">
        <v>962</v>
      </c>
      <c r="J630">
        <v>4.5918854415274453</v>
      </c>
    </row>
    <row r="631" spans="1:10" x14ac:dyDescent="0.3">
      <c r="A631" t="s">
        <v>1209</v>
      </c>
      <c r="B631" t="s">
        <v>2222</v>
      </c>
      <c r="C631" t="s">
        <v>2290</v>
      </c>
      <c r="D631">
        <v>120.58</v>
      </c>
      <c r="E631">
        <v>0.22500000000000001</v>
      </c>
      <c r="F631">
        <v>107.1</v>
      </c>
      <c r="G631" t="b">
        <v>1</v>
      </c>
      <c r="H631" t="b">
        <v>1</v>
      </c>
      <c r="I631">
        <v>1915</v>
      </c>
      <c r="J631">
        <v>9.1408114558472544</v>
      </c>
    </row>
    <row r="632" spans="1:10" x14ac:dyDescent="0.3">
      <c r="A632" t="s">
        <v>1210</v>
      </c>
      <c r="B632" t="s">
        <v>2303</v>
      </c>
      <c r="C632" t="s">
        <v>2169</v>
      </c>
      <c r="D632">
        <v>70.8</v>
      </c>
      <c r="E632">
        <v>0.18</v>
      </c>
      <c r="F632">
        <v>54.5</v>
      </c>
      <c r="G632" t="b">
        <v>1</v>
      </c>
      <c r="H632" t="b">
        <v>1</v>
      </c>
      <c r="I632">
        <v>321</v>
      </c>
      <c r="J632">
        <v>1.532219570405728</v>
      </c>
    </row>
    <row r="633" spans="1:10" x14ac:dyDescent="0.3">
      <c r="A633" t="s">
        <v>1211</v>
      </c>
      <c r="B633" t="s">
        <v>2307</v>
      </c>
      <c r="C633" t="s">
        <v>230</v>
      </c>
      <c r="D633">
        <v>25.51</v>
      </c>
      <c r="E633">
        <v>0.16600000000000001</v>
      </c>
      <c r="F633">
        <v>43.1</v>
      </c>
      <c r="G633" t="b">
        <v>1</v>
      </c>
      <c r="H633" t="b">
        <v>1</v>
      </c>
      <c r="I633">
        <v>172</v>
      </c>
      <c r="J633">
        <v>0.82100238663484471</v>
      </c>
    </row>
    <row r="634" spans="1:10" x14ac:dyDescent="0.3">
      <c r="A634" t="s">
        <v>1212</v>
      </c>
      <c r="B634" t="s">
        <v>2307</v>
      </c>
      <c r="C634" t="s">
        <v>2317</v>
      </c>
      <c r="D634">
        <v>64.760000000000005</v>
      </c>
      <c r="E634">
        <v>0.20499999999999999</v>
      </c>
      <c r="F634">
        <v>70.3</v>
      </c>
      <c r="G634" t="b">
        <v>1</v>
      </c>
      <c r="H634" t="b">
        <v>1</v>
      </c>
      <c r="I634">
        <v>630</v>
      </c>
      <c r="J634">
        <v>3.007159904534606</v>
      </c>
    </row>
    <row r="635" spans="1:10" x14ac:dyDescent="0.3">
      <c r="A635" t="s">
        <v>1213</v>
      </c>
      <c r="B635" t="s">
        <v>2013</v>
      </c>
      <c r="C635" t="s">
        <v>2180</v>
      </c>
      <c r="D635">
        <v>666.38</v>
      </c>
      <c r="E635">
        <v>0.41099999999999998</v>
      </c>
      <c r="F635">
        <v>312.7</v>
      </c>
      <c r="G635" t="b">
        <v>1</v>
      </c>
      <c r="H635" t="b">
        <v>1</v>
      </c>
      <c r="I635">
        <v>31872</v>
      </c>
      <c r="J635">
        <v>152.1336515513126</v>
      </c>
    </row>
    <row r="636" spans="1:10" x14ac:dyDescent="0.3">
      <c r="A636" t="s">
        <v>1214</v>
      </c>
      <c r="B636" t="s">
        <v>2135</v>
      </c>
      <c r="C636" t="s">
        <v>2134</v>
      </c>
      <c r="D636">
        <v>2.48</v>
      </c>
      <c r="E636">
        <v>0.22500000000000001</v>
      </c>
      <c r="F636">
        <v>107.1</v>
      </c>
      <c r="G636" t="b">
        <v>1</v>
      </c>
      <c r="H636" t="b">
        <v>1</v>
      </c>
      <c r="I636">
        <v>1915</v>
      </c>
      <c r="J636">
        <v>9.1408114558472544</v>
      </c>
    </row>
    <row r="637" spans="1:10" x14ac:dyDescent="0.3">
      <c r="A637" t="s">
        <v>1215</v>
      </c>
      <c r="B637" t="s">
        <v>2290</v>
      </c>
      <c r="C637" t="s">
        <v>2135</v>
      </c>
      <c r="D637">
        <v>27.71</v>
      </c>
      <c r="E637">
        <v>0.22500000000000001</v>
      </c>
      <c r="F637">
        <v>107.1</v>
      </c>
      <c r="G637" t="b">
        <v>1</v>
      </c>
      <c r="H637" t="b">
        <v>1</v>
      </c>
      <c r="I637">
        <v>1915</v>
      </c>
      <c r="J637">
        <v>9.1408114558472544</v>
      </c>
    </row>
    <row r="638" spans="1:10" x14ac:dyDescent="0.3">
      <c r="A638" t="s">
        <v>1216</v>
      </c>
      <c r="B638" t="s">
        <v>2308</v>
      </c>
      <c r="C638" t="s">
        <v>2218</v>
      </c>
      <c r="D638">
        <v>6.23</v>
      </c>
      <c r="E638">
        <v>0.22500000000000001</v>
      </c>
      <c r="F638">
        <v>107.1</v>
      </c>
      <c r="G638" t="b">
        <v>1</v>
      </c>
      <c r="H638" t="b">
        <v>1</v>
      </c>
      <c r="I638">
        <v>1915</v>
      </c>
      <c r="J638">
        <v>9.1408114558472544</v>
      </c>
    </row>
    <row r="639" spans="1:10" x14ac:dyDescent="0.3">
      <c r="A639" t="s">
        <v>1217</v>
      </c>
      <c r="B639" t="s">
        <v>2309</v>
      </c>
      <c r="C639" t="s">
        <v>2260</v>
      </c>
      <c r="D639">
        <v>18.03</v>
      </c>
      <c r="E639">
        <v>0.217</v>
      </c>
      <c r="F639">
        <v>82.5</v>
      </c>
      <c r="G639" t="b">
        <v>1</v>
      </c>
      <c r="H639" t="b">
        <v>1</v>
      </c>
      <c r="I639">
        <v>962</v>
      </c>
      <c r="J639">
        <v>4.5918854415274453</v>
      </c>
    </row>
    <row r="640" spans="1:10" x14ac:dyDescent="0.3">
      <c r="A640" t="s">
        <v>1218</v>
      </c>
      <c r="B640" t="s">
        <v>2000</v>
      </c>
      <c r="C640" t="s">
        <v>1958</v>
      </c>
      <c r="D640">
        <v>106.69</v>
      </c>
      <c r="E640">
        <v>0.41099999999999998</v>
      </c>
      <c r="F640">
        <v>312.7</v>
      </c>
      <c r="G640" t="b">
        <v>1</v>
      </c>
      <c r="H640" t="b">
        <v>1</v>
      </c>
      <c r="I640">
        <v>31872</v>
      </c>
      <c r="J640">
        <v>152.1336515513126</v>
      </c>
    </row>
    <row r="641" spans="1:10" x14ac:dyDescent="0.3">
      <c r="A641" t="s">
        <v>1219</v>
      </c>
      <c r="B641" t="s">
        <v>2180</v>
      </c>
      <c r="C641" t="s">
        <v>2000</v>
      </c>
      <c r="D641">
        <v>164.09</v>
      </c>
      <c r="E641">
        <v>0.41099999999999998</v>
      </c>
      <c r="F641">
        <v>312.7</v>
      </c>
      <c r="G641" t="b">
        <v>1</v>
      </c>
      <c r="H641" t="b">
        <v>1</v>
      </c>
      <c r="I641">
        <v>31872</v>
      </c>
      <c r="J641">
        <v>152.1336515513126</v>
      </c>
    </row>
    <row r="642" spans="1:10" x14ac:dyDescent="0.3">
      <c r="A642" t="s">
        <v>1220</v>
      </c>
      <c r="B642" t="s">
        <v>2310</v>
      </c>
      <c r="C642" t="s">
        <v>225</v>
      </c>
      <c r="D642">
        <v>19.36</v>
      </c>
      <c r="E642">
        <v>1</v>
      </c>
      <c r="F642">
        <v>100</v>
      </c>
      <c r="G642" t="b">
        <v>1</v>
      </c>
      <c r="H642" t="b">
        <v>1</v>
      </c>
      <c r="I642">
        <v>1915</v>
      </c>
      <c r="J642">
        <v>9.1408114558472544</v>
      </c>
    </row>
    <row r="643" spans="1:10" x14ac:dyDescent="0.3">
      <c r="A643" t="s">
        <v>1221</v>
      </c>
      <c r="B643" t="s">
        <v>2310</v>
      </c>
      <c r="C643" t="s">
        <v>224</v>
      </c>
      <c r="D643">
        <v>2.85</v>
      </c>
      <c r="E643">
        <v>1</v>
      </c>
      <c r="F643">
        <v>100</v>
      </c>
      <c r="G643" t="b">
        <v>1</v>
      </c>
      <c r="H643" t="b">
        <v>1</v>
      </c>
      <c r="I643">
        <v>1915</v>
      </c>
      <c r="J643">
        <v>9.1408114558472544</v>
      </c>
    </row>
    <row r="644" spans="1:10" x14ac:dyDescent="0.3">
      <c r="A644" t="s">
        <v>1222</v>
      </c>
      <c r="B644" t="s">
        <v>2311</v>
      </c>
      <c r="C644" t="s">
        <v>2269</v>
      </c>
      <c r="D644">
        <v>78.69</v>
      </c>
      <c r="E644">
        <v>0.217</v>
      </c>
      <c r="F644">
        <v>82.5</v>
      </c>
      <c r="G644" t="b">
        <v>1</v>
      </c>
      <c r="H644" t="b">
        <v>1</v>
      </c>
      <c r="I644">
        <v>962</v>
      </c>
      <c r="J644">
        <v>4.5918854415274453</v>
      </c>
    </row>
    <row r="645" spans="1:10" x14ac:dyDescent="0.3">
      <c r="A645" t="s">
        <v>1223</v>
      </c>
      <c r="B645" t="s">
        <v>2295</v>
      </c>
      <c r="C645" t="s">
        <v>2311</v>
      </c>
      <c r="D645">
        <v>198.34</v>
      </c>
      <c r="E645">
        <v>0.217</v>
      </c>
      <c r="F645">
        <v>82.5</v>
      </c>
      <c r="G645" t="b">
        <v>1</v>
      </c>
      <c r="H645" t="b">
        <v>1</v>
      </c>
      <c r="I645">
        <v>962</v>
      </c>
      <c r="J645">
        <v>4.5918854415274453</v>
      </c>
    </row>
    <row r="646" spans="1:10" x14ac:dyDescent="0.3">
      <c r="A646" t="s">
        <v>1224</v>
      </c>
      <c r="B646" t="s">
        <v>2312</v>
      </c>
      <c r="C646" t="s">
        <v>2467</v>
      </c>
      <c r="D646">
        <v>34.43</v>
      </c>
      <c r="E646">
        <v>0.217</v>
      </c>
      <c r="F646">
        <v>82.5</v>
      </c>
      <c r="G646" t="b">
        <v>1</v>
      </c>
      <c r="H646" t="b">
        <v>1</v>
      </c>
      <c r="I646">
        <v>962</v>
      </c>
      <c r="J646">
        <v>4.5918854415274453</v>
      </c>
    </row>
    <row r="647" spans="1:10" x14ac:dyDescent="0.3">
      <c r="A647" t="s">
        <v>1225</v>
      </c>
      <c r="B647" t="s">
        <v>2313</v>
      </c>
      <c r="C647" t="s">
        <v>2307</v>
      </c>
      <c r="D647">
        <v>37.979999999999997</v>
      </c>
      <c r="E647">
        <v>0.20499999999999999</v>
      </c>
      <c r="F647">
        <v>70.3</v>
      </c>
      <c r="G647" t="b">
        <v>1</v>
      </c>
      <c r="H647" t="b">
        <v>1</v>
      </c>
      <c r="I647">
        <v>630</v>
      </c>
      <c r="J647">
        <v>3.007159904534606</v>
      </c>
    </row>
    <row r="648" spans="1:10" x14ac:dyDescent="0.3">
      <c r="A648" t="s">
        <v>1226</v>
      </c>
      <c r="B648" t="s">
        <v>2313</v>
      </c>
      <c r="C648" t="s">
        <v>2515</v>
      </c>
      <c r="D648">
        <v>2.73</v>
      </c>
      <c r="E648">
        <v>0.217</v>
      </c>
      <c r="F648">
        <v>82.5</v>
      </c>
      <c r="G648" t="b">
        <v>1</v>
      </c>
      <c r="H648" t="b">
        <v>1</v>
      </c>
      <c r="I648">
        <v>962</v>
      </c>
      <c r="J648">
        <v>4.5918854415274453</v>
      </c>
    </row>
    <row r="649" spans="1:10" x14ac:dyDescent="0.3">
      <c r="A649" t="s">
        <v>1227</v>
      </c>
      <c r="B649" t="s">
        <v>2314</v>
      </c>
      <c r="C649" t="s">
        <v>219</v>
      </c>
      <c r="D649">
        <v>1.71</v>
      </c>
      <c r="E649">
        <v>0.16600000000000001</v>
      </c>
      <c r="F649">
        <v>43.1</v>
      </c>
      <c r="G649" t="b">
        <v>1</v>
      </c>
      <c r="H649" t="b">
        <v>1</v>
      </c>
      <c r="I649">
        <v>172</v>
      </c>
      <c r="J649">
        <v>0.82100238663484471</v>
      </c>
    </row>
    <row r="650" spans="1:10" x14ac:dyDescent="0.3">
      <c r="A650" t="s">
        <v>1228</v>
      </c>
      <c r="B650" t="s">
        <v>2311</v>
      </c>
      <c r="C650" t="s">
        <v>220</v>
      </c>
      <c r="D650">
        <v>44.84</v>
      </c>
      <c r="E650">
        <v>0.16600000000000001</v>
      </c>
      <c r="F650">
        <v>43.1</v>
      </c>
      <c r="G650" t="b">
        <v>1</v>
      </c>
      <c r="H650" t="b">
        <v>1</v>
      </c>
      <c r="I650">
        <v>172</v>
      </c>
      <c r="J650">
        <v>0.82100238663484471</v>
      </c>
    </row>
    <row r="651" spans="1:10" x14ac:dyDescent="0.3">
      <c r="A651" t="s">
        <v>1229</v>
      </c>
      <c r="B651" t="s">
        <v>2315</v>
      </c>
      <c r="C651" t="s">
        <v>2314</v>
      </c>
      <c r="D651">
        <v>38.74</v>
      </c>
      <c r="E651">
        <v>0.18</v>
      </c>
      <c r="F651">
        <v>54.5</v>
      </c>
      <c r="G651" t="b">
        <v>1</v>
      </c>
      <c r="H651" t="b">
        <v>1</v>
      </c>
      <c r="I651">
        <v>321</v>
      </c>
      <c r="J651">
        <v>1.532219570405728</v>
      </c>
    </row>
    <row r="652" spans="1:10" x14ac:dyDescent="0.3">
      <c r="A652" t="s">
        <v>1230</v>
      </c>
      <c r="B652" t="s">
        <v>2315</v>
      </c>
      <c r="C652" t="s">
        <v>2452</v>
      </c>
      <c r="D652">
        <v>17.850000000000001</v>
      </c>
      <c r="E652">
        <v>0.18</v>
      </c>
      <c r="F652">
        <v>54.5</v>
      </c>
      <c r="G652" t="b">
        <v>1</v>
      </c>
      <c r="H652" t="b">
        <v>1</v>
      </c>
      <c r="I652">
        <v>321</v>
      </c>
      <c r="J652">
        <v>1.532219570405728</v>
      </c>
    </row>
    <row r="653" spans="1:10" x14ac:dyDescent="0.3">
      <c r="A653" t="s">
        <v>1231</v>
      </c>
      <c r="B653" t="s">
        <v>2316</v>
      </c>
      <c r="C653" t="s">
        <v>226</v>
      </c>
      <c r="D653">
        <v>67.989999999999995</v>
      </c>
      <c r="E653">
        <v>0.18</v>
      </c>
      <c r="F653">
        <v>54.5</v>
      </c>
      <c r="G653" t="b">
        <v>1</v>
      </c>
      <c r="H653" t="b">
        <v>1</v>
      </c>
      <c r="I653">
        <v>321</v>
      </c>
      <c r="J653">
        <v>1.532219570405728</v>
      </c>
    </row>
    <row r="654" spans="1:10" x14ac:dyDescent="0.3">
      <c r="A654" t="s">
        <v>1232</v>
      </c>
      <c r="B654" t="s">
        <v>2317</v>
      </c>
      <c r="C654" t="s">
        <v>229</v>
      </c>
      <c r="D654">
        <v>22.5</v>
      </c>
      <c r="E654">
        <v>0.16600000000000001</v>
      </c>
      <c r="F654">
        <v>43.1</v>
      </c>
      <c r="G654" t="b">
        <v>1</v>
      </c>
      <c r="H654" t="b">
        <v>1</v>
      </c>
      <c r="I654">
        <v>172</v>
      </c>
      <c r="J654">
        <v>0.82100238663484471</v>
      </c>
    </row>
    <row r="655" spans="1:10" x14ac:dyDescent="0.3">
      <c r="A655" t="s">
        <v>1233</v>
      </c>
      <c r="B655" t="s">
        <v>2269</v>
      </c>
      <c r="C655" t="s">
        <v>539</v>
      </c>
      <c r="D655">
        <v>35.6</v>
      </c>
      <c r="E655">
        <v>0.16600000000000001</v>
      </c>
      <c r="F655">
        <v>43.1</v>
      </c>
      <c r="G655" t="b">
        <v>1</v>
      </c>
      <c r="H655" t="b">
        <v>1</v>
      </c>
      <c r="I655">
        <v>172</v>
      </c>
      <c r="J655">
        <v>0.82100238663484471</v>
      </c>
    </row>
    <row r="656" spans="1:10" x14ac:dyDescent="0.3">
      <c r="A656" t="s">
        <v>1234</v>
      </c>
      <c r="B656" t="s">
        <v>2318</v>
      </c>
      <c r="C656" t="s">
        <v>217</v>
      </c>
      <c r="D656">
        <v>105.94</v>
      </c>
      <c r="E656">
        <v>0.18</v>
      </c>
      <c r="F656">
        <v>54.5</v>
      </c>
      <c r="G656" t="b">
        <v>1</v>
      </c>
      <c r="H656" t="b">
        <v>1</v>
      </c>
      <c r="I656">
        <v>321</v>
      </c>
      <c r="J656">
        <v>1.532219570405728</v>
      </c>
    </row>
    <row r="657" spans="1:10" x14ac:dyDescent="0.3">
      <c r="A657" t="s">
        <v>1235</v>
      </c>
      <c r="B657" t="s">
        <v>2314</v>
      </c>
      <c r="C657" t="s">
        <v>216</v>
      </c>
      <c r="D657">
        <v>1.79</v>
      </c>
      <c r="E657">
        <v>0.16600000000000001</v>
      </c>
      <c r="F657">
        <v>43.1</v>
      </c>
      <c r="G657" t="b">
        <v>1</v>
      </c>
      <c r="H657" t="b">
        <v>1</v>
      </c>
      <c r="I657">
        <v>172</v>
      </c>
      <c r="J657">
        <v>0.82100238663484471</v>
      </c>
    </row>
    <row r="658" spans="1:10" x14ac:dyDescent="0.3">
      <c r="A658" t="s">
        <v>1236</v>
      </c>
      <c r="B658" t="s">
        <v>2306</v>
      </c>
      <c r="C658" t="s">
        <v>2316</v>
      </c>
      <c r="D658">
        <v>1.7</v>
      </c>
      <c r="E658">
        <v>0.217</v>
      </c>
      <c r="F658">
        <v>82.5</v>
      </c>
      <c r="G658" t="b">
        <v>1</v>
      </c>
      <c r="H658" t="b">
        <v>1</v>
      </c>
      <c r="I658">
        <v>962</v>
      </c>
      <c r="J658">
        <v>4.5918854415274453</v>
      </c>
    </row>
    <row r="659" spans="1:10" x14ac:dyDescent="0.3">
      <c r="A659" t="s">
        <v>1237</v>
      </c>
      <c r="B659" t="s">
        <v>2262</v>
      </c>
      <c r="C659" t="s">
        <v>221</v>
      </c>
      <c r="D659">
        <v>13.83</v>
      </c>
      <c r="E659">
        <v>0.18</v>
      </c>
      <c r="F659">
        <v>54.5</v>
      </c>
      <c r="G659" t="b">
        <v>1</v>
      </c>
      <c r="H659" t="b">
        <v>1</v>
      </c>
      <c r="I659">
        <v>321</v>
      </c>
      <c r="J659">
        <v>1.532219570405728</v>
      </c>
    </row>
    <row r="660" spans="1:10" x14ac:dyDescent="0.3">
      <c r="A660" t="s">
        <v>1238</v>
      </c>
      <c r="B660" t="s">
        <v>2292</v>
      </c>
      <c r="C660" t="s">
        <v>213</v>
      </c>
      <c r="D660">
        <v>2.63</v>
      </c>
      <c r="E660">
        <v>0.13400000000000001</v>
      </c>
      <c r="F660">
        <v>28.5</v>
      </c>
      <c r="G660" t="b">
        <v>1</v>
      </c>
      <c r="H660" t="b">
        <v>1</v>
      </c>
      <c r="I660">
        <v>60</v>
      </c>
      <c r="J660">
        <v>0.28639618138424822</v>
      </c>
    </row>
    <row r="661" spans="1:10" x14ac:dyDescent="0.3">
      <c r="A661" t="s">
        <v>1239</v>
      </c>
      <c r="B661" t="s">
        <v>2201</v>
      </c>
      <c r="C661" t="s">
        <v>2170</v>
      </c>
      <c r="D661">
        <v>43.93</v>
      </c>
      <c r="E661">
        <v>0.30299999999999999</v>
      </c>
      <c r="F661">
        <v>107.1</v>
      </c>
      <c r="G661" t="b">
        <v>1</v>
      </c>
      <c r="H661" t="b">
        <v>1</v>
      </c>
      <c r="I661">
        <v>1915</v>
      </c>
      <c r="J661">
        <v>9.1408114558472544</v>
      </c>
    </row>
    <row r="662" spans="1:10" x14ac:dyDescent="0.3">
      <c r="A662" t="s">
        <v>1240</v>
      </c>
      <c r="B662" t="s">
        <v>1969</v>
      </c>
      <c r="C662" t="s">
        <v>2532</v>
      </c>
      <c r="D662">
        <v>35.5</v>
      </c>
      <c r="E662">
        <v>0.436</v>
      </c>
      <c r="F662">
        <v>160.30000000000001</v>
      </c>
      <c r="G662" t="b">
        <v>1</v>
      </c>
      <c r="H662" t="b">
        <v>1</v>
      </c>
      <c r="I662">
        <v>5533</v>
      </c>
      <c r="J662">
        <v>26.410501193317419</v>
      </c>
    </row>
    <row r="663" spans="1:10" x14ac:dyDescent="0.3">
      <c r="A663" t="s">
        <v>1241</v>
      </c>
      <c r="B663" t="s">
        <v>2319</v>
      </c>
      <c r="C663" t="s">
        <v>2328</v>
      </c>
      <c r="D663">
        <v>37.67</v>
      </c>
      <c r="E663">
        <v>0.22500000000000001</v>
      </c>
      <c r="F663">
        <v>107.1</v>
      </c>
      <c r="G663" t="b">
        <v>1</v>
      </c>
      <c r="H663" t="b">
        <v>1</v>
      </c>
      <c r="I663">
        <v>1915</v>
      </c>
      <c r="J663">
        <v>9.1408114558472544</v>
      </c>
    </row>
    <row r="664" spans="1:10" x14ac:dyDescent="0.3">
      <c r="A664" t="s">
        <v>1242</v>
      </c>
      <c r="B664" t="s">
        <v>2319</v>
      </c>
      <c r="C664" t="s">
        <v>2327</v>
      </c>
      <c r="D664">
        <v>18.670000000000002</v>
      </c>
      <c r="E664">
        <v>0.30299999999999999</v>
      </c>
      <c r="F664">
        <v>107.1</v>
      </c>
      <c r="G664" t="b">
        <v>1</v>
      </c>
      <c r="H664" t="b">
        <v>1</v>
      </c>
      <c r="I664">
        <v>1915</v>
      </c>
      <c r="J664">
        <v>9.1408114558472544</v>
      </c>
    </row>
    <row r="665" spans="1:10" x14ac:dyDescent="0.3">
      <c r="A665" t="s">
        <v>1243</v>
      </c>
      <c r="B665" t="s">
        <v>2320</v>
      </c>
      <c r="C665" t="s">
        <v>209</v>
      </c>
      <c r="D665">
        <v>15.4</v>
      </c>
      <c r="E665">
        <v>0.191</v>
      </c>
      <c r="F665">
        <v>43.1</v>
      </c>
      <c r="G665" t="b">
        <v>1</v>
      </c>
      <c r="H665" t="b">
        <v>1</v>
      </c>
      <c r="I665">
        <v>172</v>
      </c>
      <c r="J665">
        <v>0.82100238663484471</v>
      </c>
    </row>
    <row r="666" spans="1:10" x14ac:dyDescent="0.3">
      <c r="A666" t="s">
        <v>1244</v>
      </c>
      <c r="B666" t="s">
        <v>2321</v>
      </c>
      <c r="C666" t="s">
        <v>2206</v>
      </c>
      <c r="D666">
        <v>83.92</v>
      </c>
      <c r="E666">
        <v>0.21299999999999999</v>
      </c>
      <c r="F666">
        <v>54.5</v>
      </c>
      <c r="G666" t="b">
        <v>1</v>
      </c>
      <c r="H666" t="b">
        <v>1</v>
      </c>
      <c r="I666">
        <v>321</v>
      </c>
      <c r="J666">
        <v>1.532219570405728</v>
      </c>
    </row>
    <row r="667" spans="1:10" x14ac:dyDescent="0.3">
      <c r="A667" t="s">
        <v>1245</v>
      </c>
      <c r="B667" t="s">
        <v>2322</v>
      </c>
      <c r="C667" t="s">
        <v>2321</v>
      </c>
      <c r="D667">
        <v>6.53</v>
      </c>
      <c r="E667">
        <v>0.248</v>
      </c>
      <c r="F667">
        <v>70.3</v>
      </c>
      <c r="G667" t="b">
        <v>1</v>
      </c>
      <c r="H667" t="b">
        <v>1</v>
      </c>
      <c r="I667">
        <v>630</v>
      </c>
      <c r="J667">
        <v>3.007159904534606</v>
      </c>
    </row>
    <row r="668" spans="1:10" x14ac:dyDescent="0.3">
      <c r="A668" t="s">
        <v>1246</v>
      </c>
      <c r="B668" t="s">
        <v>2323</v>
      </c>
      <c r="C668" t="s">
        <v>2326</v>
      </c>
      <c r="D668">
        <v>35.26</v>
      </c>
      <c r="E668">
        <v>0.25900000000000001</v>
      </c>
      <c r="F668">
        <v>82.5</v>
      </c>
      <c r="G668" t="b">
        <v>1</v>
      </c>
      <c r="H668" t="b">
        <v>1</v>
      </c>
      <c r="I668">
        <v>962</v>
      </c>
      <c r="J668">
        <v>4.5918854415274453</v>
      </c>
    </row>
    <row r="669" spans="1:10" x14ac:dyDescent="0.3">
      <c r="A669" t="s">
        <v>1247</v>
      </c>
      <c r="B669" t="s">
        <v>2324</v>
      </c>
      <c r="C669" t="s">
        <v>2337</v>
      </c>
      <c r="D669">
        <v>28.23</v>
      </c>
      <c r="E669">
        <v>0.30299999999999999</v>
      </c>
      <c r="F669">
        <v>107.1</v>
      </c>
      <c r="G669" t="b">
        <v>1</v>
      </c>
      <c r="H669" t="b">
        <v>1</v>
      </c>
      <c r="I669">
        <v>1915</v>
      </c>
      <c r="J669">
        <v>9.1408114558472544</v>
      </c>
    </row>
    <row r="670" spans="1:10" x14ac:dyDescent="0.3">
      <c r="A670" t="s">
        <v>1248</v>
      </c>
      <c r="B670" t="s">
        <v>2324</v>
      </c>
      <c r="C670" t="s">
        <v>204</v>
      </c>
      <c r="D670">
        <v>11.67</v>
      </c>
      <c r="E670">
        <v>0.191</v>
      </c>
      <c r="F670">
        <v>43.1</v>
      </c>
      <c r="G670" t="b">
        <v>1</v>
      </c>
      <c r="H670" t="b">
        <v>1</v>
      </c>
      <c r="I670">
        <v>172</v>
      </c>
      <c r="J670">
        <v>0.82100238663484471</v>
      </c>
    </row>
    <row r="671" spans="1:10" x14ac:dyDescent="0.3">
      <c r="A671" t="s">
        <v>1249</v>
      </c>
      <c r="B671" t="s">
        <v>2325</v>
      </c>
      <c r="C671" t="s">
        <v>205</v>
      </c>
      <c r="D671">
        <v>69.06</v>
      </c>
      <c r="E671">
        <v>0.191</v>
      </c>
      <c r="F671">
        <v>43.1</v>
      </c>
      <c r="G671" t="b">
        <v>1</v>
      </c>
      <c r="H671" t="b">
        <v>1</v>
      </c>
      <c r="I671">
        <v>172</v>
      </c>
      <c r="J671">
        <v>0.82100238663484471</v>
      </c>
    </row>
    <row r="672" spans="1:10" x14ac:dyDescent="0.3">
      <c r="A672" t="s">
        <v>1250</v>
      </c>
      <c r="B672" t="s">
        <v>2326</v>
      </c>
      <c r="C672" t="s">
        <v>2325</v>
      </c>
      <c r="D672">
        <v>9.11</v>
      </c>
      <c r="E672">
        <v>0.25900000000000001</v>
      </c>
      <c r="F672">
        <v>82.5</v>
      </c>
      <c r="G672" t="b">
        <v>1</v>
      </c>
      <c r="H672" t="b">
        <v>1</v>
      </c>
      <c r="I672">
        <v>962</v>
      </c>
      <c r="J672">
        <v>4.5918854415274453</v>
      </c>
    </row>
    <row r="673" spans="1:10" x14ac:dyDescent="0.3">
      <c r="A673" t="s">
        <v>1251</v>
      </c>
      <c r="B673" t="s">
        <v>2326</v>
      </c>
      <c r="C673" t="s">
        <v>203</v>
      </c>
      <c r="D673">
        <v>17.77</v>
      </c>
      <c r="E673">
        <v>1</v>
      </c>
      <c r="F673">
        <v>100</v>
      </c>
      <c r="G673" t="b">
        <v>1</v>
      </c>
      <c r="H673" t="b">
        <v>1</v>
      </c>
      <c r="I673">
        <v>1915</v>
      </c>
      <c r="J673">
        <v>9.1408114558472544</v>
      </c>
    </row>
    <row r="674" spans="1:10" x14ac:dyDescent="0.3">
      <c r="A674" t="s">
        <v>1252</v>
      </c>
      <c r="B674" t="s">
        <v>2066</v>
      </c>
      <c r="C674" t="s">
        <v>1971</v>
      </c>
      <c r="D674">
        <v>203.51</v>
      </c>
      <c r="E674">
        <v>0.37</v>
      </c>
      <c r="F674">
        <v>210.1</v>
      </c>
      <c r="G674" t="b">
        <v>1</v>
      </c>
      <c r="H674" t="b">
        <v>1</v>
      </c>
      <c r="I674">
        <v>11253</v>
      </c>
      <c r="J674">
        <v>53.713603818615738</v>
      </c>
    </row>
    <row r="675" spans="1:10" x14ac:dyDescent="0.3">
      <c r="A675" t="s">
        <v>1253</v>
      </c>
      <c r="B675" t="s">
        <v>2294</v>
      </c>
      <c r="C675" t="s">
        <v>2330</v>
      </c>
      <c r="D675">
        <v>20.69</v>
      </c>
      <c r="E675">
        <v>0.30299999999999999</v>
      </c>
      <c r="F675">
        <v>107.1</v>
      </c>
      <c r="G675" t="b">
        <v>1</v>
      </c>
      <c r="H675" t="b">
        <v>1</v>
      </c>
      <c r="I675">
        <v>1915</v>
      </c>
      <c r="J675">
        <v>9.1408114558472544</v>
      </c>
    </row>
    <row r="676" spans="1:10" x14ac:dyDescent="0.3">
      <c r="A676" t="s">
        <v>1254</v>
      </c>
      <c r="B676" t="s">
        <v>2327</v>
      </c>
      <c r="C676" t="s">
        <v>201</v>
      </c>
      <c r="D676">
        <v>28.36</v>
      </c>
      <c r="E676">
        <v>0.191</v>
      </c>
      <c r="F676">
        <v>43.1</v>
      </c>
      <c r="G676" t="b">
        <v>1</v>
      </c>
      <c r="H676" t="b">
        <v>1</v>
      </c>
      <c r="I676">
        <v>172</v>
      </c>
      <c r="J676">
        <v>0.82100238663484471</v>
      </c>
    </row>
    <row r="677" spans="1:10" x14ac:dyDescent="0.3">
      <c r="A677" t="s">
        <v>1255</v>
      </c>
      <c r="B677" t="s">
        <v>2328</v>
      </c>
      <c r="C677" t="s">
        <v>211</v>
      </c>
      <c r="D677">
        <v>41.38</v>
      </c>
      <c r="E677">
        <v>0.191</v>
      </c>
      <c r="F677">
        <v>43.1</v>
      </c>
      <c r="G677" t="b">
        <v>1</v>
      </c>
      <c r="H677" t="b">
        <v>1</v>
      </c>
      <c r="I677">
        <v>172</v>
      </c>
      <c r="J677">
        <v>0.82100238663484471</v>
      </c>
    </row>
    <row r="678" spans="1:10" x14ac:dyDescent="0.3">
      <c r="A678" t="s">
        <v>1256</v>
      </c>
      <c r="B678" t="s">
        <v>2329</v>
      </c>
      <c r="C678" t="s">
        <v>2320</v>
      </c>
      <c r="D678">
        <v>141.78</v>
      </c>
      <c r="E678">
        <v>0.36399999999999999</v>
      </c>
      <c r="F678">
        <v>132.5</v>
      </c>
      <c r="G678" t="b">
        <v>1</v>
      </c>
      <c r="H678" t="b">
        <v>1</v>
      </c>
      <c r="I678">
        <v>3354</v>
      </c>
      <c r="J678">
        <v>16.009546539379471</v>
      </c>
    </row>
    <row r="679" spans="1:10" x14ac:dyDescent="0.3">
      <c r="A679" t="s">
        <v>1257</v>
      </c>
      <c r="B679" t="s">
        <v>2330</v>
      </c>
      <c r="C679" t="s">
        <v>2332</v>
      </c>
      <c r="D679">
        <v>1.81</v>
      </c>
      <c r="E679">
        <v>0.217</v>
      </c>
      <c r="F679">
        <v>82.5</v>
      </c>
      <c r="G679" t="b">
        <v>1</v>
      </c>
      <c r="H679" t="b">
        <v>1</v>
      </c>
      <c r="I679">
        <v>962</v>
      </c>
      <c r="J679">
        <v>4.5918854415274453</v>
      </c>
    </row>
    <row r="680" spans="1:10" x14ac:dyDescent="0.3">
      <c r="A680" t="s">
        <v>1258</v>
      </c>
      <c r="B680" t="s">
        <v>2330</v>
      </c>
      <c r="C680" t="s">
        <v>200</v>
      </c>
      <c r="D680">
        <v>100.93</v>
      </c>
      <c r="E680">
        <v>0.191</v>
      </c>
      <c r="F680">
        <v>43.1</v>
      </c>
      <c r="G680" t="b">
        <v>1</v>
      </c>
      <c r="H680" t="b">
        <v>1</v>
      </c>
      <c r="I680">
        <v>172</v>
      </c>
      <c r="J680">
        <v>0.82100238663484471</v>
      </c>
    </row>
    <row r="681" spans="1:10" x14ac:dyDescent="0.3">
      <c r="A681" t="s">
        <v>1259</v>
      </c>
      <c r="B681" t="s">
        <v>2007</v>
      </c>
      <c r="C681" t="s">
        <v>2080</v>
      </c>
      <c r="D681">
        <v>24.17</v>
      </c>
      <c r="E681">
        <v>0.191</v>
      </c>
      <c r="F681">
        <v>43.1</v>
      </c>
      <c r="G681" t="b">
        <v>1</v>
      </c>
      <c r="H681" t="b">
        <v>1</v>
      </c>
      <c r="I681">
        <v>172</v>
      </c>
      <c r="J681">
        <v>0.82100238663484471</v>
      </c>
    </row>
    <row r="682" spans="1:10" x14ac:dyDescent="0.3">
      <c r="A682" t="s">
        <v>1260</v>
      </c>
      <c r="B682" t="s">
        <v>2331</v>
      </c>
      <c r="C682" t="s">
        <v>2007</v>
      </c>
      <c r="D682">
        <v>28.77</v>
      </c>
      <c r="E682">
        <v>0.37</v>
      </c>
      <c r="F682">
        <v>210.1</v>
      </c>
      <c r="G682" t="b">
        <v>1</v>
      </c>
      <c r="H682" t="b">
        <v>1</v>
      </c>
      <c r="I682">
        <v>11253</v>
      </c>
      <c r="J682">
        <v>53.713603818615738</v>
      </c>
    </row>
    <row r="683" spans="1:10" x14ac:dyDescent="0.3">
      <c r="A683" t="s">
        <v>1261</v>
      </c>
      <c r="B683" t="s">
        <v>2331</v>
      </c>
      <c r="C683" t="s">
        <v>199</v>
      </c>
      <c r="D683">
        <v>120.06</v>
      </c>
      <c r="E683">
        <v>0.20499999999999999</v>
      </c>
      <c r="F683">
        <v>70.3</v>
      </c>
      <c r="G683" t="b">
        <v>1</v>
      </c>
      <c r="H683" t="b">
        <v>1</v>
      </c>
      <c r="I683">
        <v>630</v>
      </c>
      <c r="J683">
        <v>3.007159904534606</v>
      </c>
    </row>
    <row r="684" spans="1:10" x14ac:dyDescent="0.3">
      <c r="A684" t="s">
        <v>1262</v>
      </c>
      <c r="B684" t="s">
        <v>2084</v>
      </c>
      <c r="C684" t="s">
        <v>2022</v>
      </c>
      <c r="D684">
        <v>121.25</v>
      </c>
      <c r="E684">
        <v>0.30599999999999999</v>
      </c>
      <c r="F684">
        <v>132.5</v>
      </c>
      <c r="G684" t="b">
        <v>1</v>
      </c>
      <c r="H684" t="b">
        <v>1</v>
      </c>
      <c r="I684">
        <v>3354</v>
      </c>
      <c r="J684">
        <v>16.009546539379471</v>
      </c>
    </row>
    <row r="685" spans="1:10" x14ac:dyDescent="0.3">
      <c r="A685" t="s">
        <v>1263</v>
      </c>
      <c r="B685" t="s">
        <v>2332</v>
      </c>
      <c r="C685" t="s">
        <v>2563</v>
      </c>
      <c r="D685">
        <v>44.07</v>
      </c>
      <c r="E685">
        <v>0.217</v>
      </c>
      <c r="F685">
        <v>82.5</v>
      </c>
      <c r="G685" t="b">
        <v>1</v>
      </c>
      <c r="H685" t="b">
        <v>1</v>
      </c>
      <c r="I685">
        <v>962</v>
      </c>
      <c r="J685">
        <v>4.5918854415274453</v>
      </c>
    </row>
    <row r="686" spans="1:10" x14ac:dyDescent="0.3">
      <c r="A686" t="s">
        <v>1264</v>
      </c>
      <c r="B686" t="s">
        <v>2333</v>
      </c>
      <c r="C686" t="s">
        <v>2528</v>
      </c>
      <c r="D686">
        <v>321.52</v>
      </c>
      <c r="E686">
        <v>0.30299999999999999</v>
      </c>
      <c r="F686">
        <v>107.1</v>
      </c>
      <c r="G686" t="b">
        <v>1</v>
      </c>
      <c r="H686" t="b">
        <v>1</v>
      </c>
      <c r="I686">
        <v>1915</v>
      </c>
      <c r="J686">
        <v>9.1408114558472544</v>
      </c>
    </row>
    <row r="687" spans="1:10" x14ac:dyDescent="0.3">
      <c r="A687" t="s">
        <v>1265</v>
      </c>
      <c r="B687" t="s">
        <v>2334</v>
      </c>
      <c r="C687" t="s">
        <v>198</v>
      </c>
      <c r="D687">
        <v>6.98</v>
      </c>
      <c r="E687">
        <v>0.252</v>
      </c>
      <c r="F687">
        <v>43.1</v>
      </c>
      <c r="G687" t="b">
        <v>1</v>
      </c>
      <c r="H687" t="b">
        <v>1</v>
      </c>
      <c r="I687">
        <v>172</v>
      </c>
      <c r="J687">
        <v>0.82100238663484471</v>
      </c>
    </row>
    <row r="688" spans="1:10" x14ac:dyDescent="0.3">
      <c r="A688" t="s">
        <v>1266</v>
      </c>
      <c r="B688" t="s">
        <v>2335</v>
      </c>
      <c r="C688" t="s">
        <v>197</v>
      </c>
      <c r="D688">
        <v>3.41</v>
      </c>
      <c r="E688">
        <v>0.191</v>
      </c>
      <c r="F688">
        <v>43.1</v>
      </c>
      <c r="G688" t="b">
        <v>1</v>
      </c>
      <c r="H688" t="b">
        <v>1</v>
      </c>
      <c r="I688">
        <v>172</v>
      </c>
      <c r="J688">
        <v>0.82100238663484471</v>
      </c>
    </row>
    <row r="689" spans="1:10" x14ac:dyDescent="0.3">
      <c r="A689" t="s">
        <v>1267</v>
      </c>
      <c r="B689" t="s">
        <v>2336</v>
      </c>
      <c r="C689" t="s">
        <v>2335</v>
      </c>
      <c r="D689">
        <v>9.16</v>
      </c>
      <c r="E689">
        <v>0.248</v>
      </c>
      <c r="F689">
        <v>70.3</v>
      </c>
      <c r="G689" t="b">
        <v>1</v>
      </c>
      <c r="H689" t="b">
        <v>1</v>
      </c>
      <c r="I689">
        <v>630</v>
      </c>
      <c r="J689">
        <v>3.007159904534606</v>
      </c>
    </row>
    <row r="690" spans="1:10" x14ac:dyDescent="0.3">
      <c r="A690" t="s">
        <v>1268</v>
      </c>
      <c r="B690" t="s">
        <v>2336</v>
      </c>
      <c r="C690" t="s">
        <v>196</v>
      </c>
      <c r="D690">
        <v>10.44</v>
      </c>
      <c r="E690">
        <v>0.191</v>
      </c>
      <c r="F690">
        <v>43.1</v>
      </c>
      <c r="G690" t="b">
        <v>1</v>
      </c>
      <c r="H690" t="b">
        <v>1</v>
      </c>
      <c r="I690">
        <v>172</v>
      </c>
      <c r="J690">
        <v>0.82100238663484471</v>
      </c>
    </row>
    <row r="691" spans="1:10" x14ac:dyDescent="0.3">
      <c r="A691" t="s">
        <v>1269</v>
      </c>
      <c r="B691" t="s">
        <v>2337</v>
      </c>
      <c r="C691" t="s">
        <v>2336</v>
      </c>
      <c r="D691">
        <v>4.8099999999999996</v>
      </c>
      <c r="E691">
        <v>0.248</v>
      </c>
      <c r="F691">
        <v>70.3</v>
      </c>
      <c r="G691" t="b">
        <v>1</v>
      </c>
      <c r="H691" t="b">
        <v>1</v>
      </c>
      <c r="I691">
        <v>630</v>
      </c>
      <c r="J691">
        <v>3.007159904534606</v>
      </c>
    </row>
    <row r="692" spans="1:10" x14ac:dyDescent="0.3">
      <c r="A692" t="s">
        <v>1270</v>
      </c>
      <c r="B692" t="s">
        <v>2338</v>
      </c>
      <c r="C692" t="s">
        <v>2324</v>
      </c>
      <c r="D692">
        <v>105.8</v>
      </c>
      <c r="E692">
        <v>0.30299999999999999</v>
      </c>
      <c r="F692">
        <v>107.1</v>
      </c>
      <c r="G692" t="b">
        <v>1</v>
      </c>
      <c r="H692" t="b">
        <v>1</v>
      </c>
      <c r="I692">
        <v>1915</v>
      </c>
      <c r="J692">
        <v>9.1408114558472544</v>
      </c>
    </row>
    <row r="693" spans="1:10" x14ac:dyDescent="0.3">
      <c r="A693" t="s">
        <v>1271</v>
      </c>
      <c r="B693" t="s">
        <v>2325</v>
      </c>
      <c r="C693" t="s">
        <v>2334</v>
      </c>
      <c r="D693">
        <v>62.52</v>
      </c>
      <c r="E693">
        <v>0.25900000000000001</v>
      </c>
      <c r="F693">
        <v>82.5</v>
      </c>
      <c r="G693" t="b">
        <v>1</v>
      </c>
      <c r="H693" t="b">
        <v>1</v>
      </c>
      <c r="I693">
        <v>962</v>
      </c>
      <c r="J693">
        <v>4.5918854415274453</v>
      </c>
    </row>
    <row r="694" spans="1:10" x14ac:dyDescent="0.3">
      <c r="A694" t="s">
        <v>1272</v>
      </c>
      <c r="B694" t="s">
        <v>2339</v>
      </c>
      <c r="C694" t="s">
        <v>2357</v>
      </c>
      <c r="D694">
        <v>8.5500000000000007</v>
      </c>
      <c r="E694">
        <v>0.24299999999999999</v>
      </c>
      <c r="F694">
        <v>54.5</v>
      </c>
      <c r="G694" t="b">
        <v>1</v>
      </c>
      <c r="H694" t="b">
        <v>1</v>
      </c>
      <c r="I694">
        <v>321</v>
      </c>
      <c r="J694">
        <v>1.532219570405728</v>
      </c>
    </row>
    <row r="695" spans="1:10" x14ac:dyDescent="0.3">
      <c r="A695" t="s">
        <v>1273</v>
      </c>
      <c r="B695" t="s">
        <v>2340</v>
      </c>
      <c r="C695" t="s">
        <v>2343</v>
      </c>
      <c r="D695">
        <v>273.72000000000003</v>
      </c>
      <c r="E695">
        <v>0.30299999999999999</v>
      </c>
      <c r="F695">
        <v>107.1</v>
      </c>
      <c r="G695" t="b">
        <v>1</v>
      </c>
      <c r="H695" t="b">
        <v>1</v>
      </c>
      <c r="I695">
        <v>1915</v>
      </c>
      <c r="J695">
        <v>9.1408114558472544</v>
      </c>
    </row>
    <row r="696" spans="1:10" x14ac:dyDescent="0.3">
      <c r="A696" t="s">
        <v>1274</v>
      </c>
      <c r="B696" t="s">
        <v>2341</v>
      </c>
      <c r="C696" t="s">
        <v>193</v>
      </c>
      <c r="D696">
        <v>296.24</v>
      </c>
      <c r="E696">
        <v>0.30299999999999999</v>
      </c>
      <c r="F696">
        <v>107.1</v>
      </c>
      <c r="G696" t="b">
        <v>1</v>
      </c>
      <c r="H696" t="b">
        <v>1</v>
      </c>
      <c r="I696">
        <v>1915</v>
      </c>
      <c r="J696">
        <v>9.1408114558472544</v>
      </c>
    </row>
    <row r="697" spans="1:10" x14ac:dyDescent="0.3">
      <c r="A697" t="s">
        <v>1275</v>
      </c>
      <c r="B697" t="s">
        <v>2099</v>
      </c>
      <c r="C697" t="s">
        <v>2114</v>
      </c>
      <c r="D697">
        <v>37.81</v>
      </c>
      <c r="E697">
        <v>0.30299999999999999</v>
      </c>
      <c r="F697">
        <v>107.1</v>
      </c>
      <c r="G697" t="b">
        <v>1</v>
      </c>
      <c r="H697" t="b">
        <v>1</v>
      </c>
      <c r="I697">
        <v>1915</v>
      </c>
      <c r="J697">
        <v>9.1408114558472544</v>
      </c>
    </row>
    <row r="698" spans="1:10" x14ac:dyDescent="0.3">
      <c r="A698" t="s">
        <v>1276</v>
      </c>
      <c r="B698" t="s">
        <v>2105</v>
      </c>
      <c r="C698" t="s">
        <v>1970</v>
      </c>
      <c r="D698">
        <v>38.82</v>
      </c>
      <c r="E698">
        <v>0.48299999999999998</v>
      </c>
      <c r="F698">
        <v>210.1</v>
      </c>
      <c r="G698" t="b">
        <v>1</v>
      </c>
      <c r="H698" t="b">
        <v>1</v>
      </c>
      <c r="I698">
        <v>11253</v>
      </c>
      <c r="J698">
        <v>53.713603818615738</v>
      </c>
    </row>
    <row r="699" spans="1:10" x14ac:dyDescent="0.3">
      <c r="A699" t="s">
        <v>1277</v>
      </c>
      <c r="B699" t="s">
        <v>2342</v>
      </c>
      <c r="C699" t="s">
        <v>2344</v>
      </c>
      <c r="D699">
        <v>11.03</v>
      </c>
      <c r="E699">
        <v>0.36399999999999999</v>
      </c>
      <c r="F699">
        <v>132.5</v>
      </c>
      <c r="G699" t="b">
        <v>1</v>
      </c>
      <c r="H699" t="b">
        <v>1</v>
      </c>
      <c r="I699">
        <v>3354</v>
      </c>
      <c r="J699">
        <v>16.009546539379471</v>
      </c>
    </row>
    <row r="700" spans="1:10" x14ac:dyDescent="0.3">
      <c r="A700" t="s">
        <v>1278</v>
      </c>
      <c r="B700" t="s">
        <v>2342</v>
      </c>
      <c r="C700" t="s">
        <v>191</v>
      </c>
      <c r="D700">
        <v>11.14</v>
      </c>
      <c r="E700">
        <v>1</v>
      </c>
      <c r="F700">
        <v>100</v>
      </c>
      <c r="G700" t="b">
        <v>1</v>
      </c>
      <c r="H700" t="b">
        <v>1</v>
      </c>
      <c r="I700">
        <v>1915</v>
      </c>
      <c r="J700">
        <v>9.1408114558472544</v>
      </c>
    </row>
    <row r="701" spans="1:10" x14ac:dyDescent="0.3">
      <c r="A701" t="s">
        <v>1279</v>
      </c>
      <c r="B701" t="s">
        <v>2109</v>
      </c>
      <c r="C701" t="s">
        <v>2192</v>
      </c>
      <c r="D701">
        <v>36.64</v>
      </c>
      <c r="E701">
        <v>0.18</v>
      </c>
      <c r="F701">
        <v>54.5</v>
      </c>
      <c r="G701" t="b">
        <v>1</v>
      </c>
      <c r="H701" t="b">
        <v>1</v>
      </c>
      <c r="I701">
        <v>321</v>
      </c>
      <c r="J701">
        <v>1.532219570405728</v>
      </c>
    </row>
    <row r="702" spans="1:10" x14ac:dyDescent="0.3">
      <c r="A702" t="s">
        <v>1280</v>
      </c>
      <c r="B702" t="s">
        <v>2342</v>
      </c>
      <c r="C702" t="s">
        <v>2320</v>
      </c>
      <c r="D702">
        <v>110.14</v>
      </c>
      <c r="E702">
        <v>0.36399999999999999</v>
      </c>
      <c r="F702">
        <v>132.5</v>
      </c>
      <c r="G702" t="b">
        <v>1</v>
      </c>
      <c r="H702" t="b">
        <v>1</v>
      </c>
      <c r="I702">
        <v>3354</v>
      </c>
      <c r="J702">
        <v>16.009546539379471</v>
      </c>
    </row>
    <row r="703" spans="1:10" x14ac:dyDescent="0.3">
      <c r="A703" t="s">
        <v>1281</v>
      </c>
      <c r="B703" t="s">
        <v>2329</v>
      </c>
      <c r="C703" t="s">
        <v>190</v>
      </c>
      <c r="D703">
        <v>12.51</v>
      </c>
      <c r="E703">
        <v>0.191</v>
      </c>
      <c r="F703">
        <v>43.1</v>
      </c>
      <c r="G703" t="b">
        <v>1</v>
      </c>
      <c r="H703" t="b">
        <v>1</v>
      </c>
      <c r="I703">
        <v>172</v>
      </c>
      <c r="J703">
        <v>0.82100238663484471</v>
      </c>
    </row>
    <row r="704" spans="1:10" x14ac:dyDescent="0.3">
      <c r="A704" t="s">
        <v>1282</v>
      </c>
      <c r="B704" t="s">
        <v>2343</v>
      </c>
      <c r="C704" t="s">
        <v>189</v>
      </c>
      <c r="D704">
        <v>287.95999999999998</v>
      </c>
      <c r="E704">
        <v>0.25900000000000001</v>
      </c>
      <c r="F704">
        <v>82.5</v>
      </c>
      <c r="G704" t="b">
        <v>1</v>
      </c>
      <c r="H704" t="b">
        <v>1</v>
      </c>
      <c r="I704">
        <v>962</v>
      </c>
      <c r="J704">
        <v>4.5918854415274453</v>
      </c>
    </row>
    <row r="705" spans="1:10" x14ac:dyDescent="0.3">
      <c r="A705" t="s">
        <v>1283</v>
      </c>
      <c r="B705" t="s">
        <v>2344</v>
      </c>
      <c r="C705" t="s">
        <v>2638</v>
      </c>
      <c r="D705">
        <v>29.28</v>
      </c>
      <c r="E705">
        <v>0.30299999999999999</v>
      </c>
      <c r="F705">
        <v>107.1</v>
      </c>
      <c r="G705" t="b">
        <v>1</v>
      </c>
      <c r="H705" t="b">
        <v>1</v>
      </c>
      <c r="I705">
        <v>1915</v>
      </c>
      <c r="J705">
        <v>9.1408114558472544</v>
      </c>
    </row>
    <row r="706" spans="1:10" x14ac:dyDescent="0.3">
      <c r="A706" t="s">
        <v>1284</v>
      </c>
      <c r="B706" t="s">
        <v>2345</v>
      </c>
      <c r="C706" t="s">
        <v>188</v>
      </c>
      <c r="D706">
        <v>90.55</v>
      </c>
      <c r="E706">
        <v>0.21299999999999999</v>
      </c>
      <c r="F706">
        <v>54.5</v>
      </c>
      <c r="G706" t="b">
        <v>1</v>
      </c>
      <c r="H706" t="b">
        <v>1</v>
      </c>
      <c r="I706">
        <v>321</v>
      </c>
      <c r="J706">
        <v>1.532219570405728</v>
      </c>
    </row>
    <row r="707" spans="1:10" x14ac:dyDescent="0.3">
      <c r="A707" t="s">
        <v>1285</v>
      </c>
      <c r="B707" t="s">
        <v>2344</v>
      </c>
      <c r="C707" t="s">
        <v>2345</v>
      </c>
      <c r="D707">
        <v>173.33</v>
      </c>
      <c r="E707">
        <v>0.36399999999999999</v>
      </c>
      <c r="F707">
        <v>132.5</v>
      </c>
      <c r="G707" t="b">
        <v>1</v>
      </c>
      <c r="H707" t="b">
        <v>1</v>
      </c>
      <c r="I707">
        <v>3354</v>
      </c>
      <c r="J707">
        <v>16.009546539379471</v>
      </c>
    </row>
    <row r="708" spans="1:10" x14ac:dyDescent="0.3">
      <c r="A708" t="s">
        <v>1286</v>
      </c>
      <c r="B708" t="s">
        <v>2346</v>
      </c>
      <c r="C708" t="s">
        <v>2669</v>
      </c>
      <c r="D708">
        <v>30.85</v>
      </c>
      <c r="E708">
        <v>0.36399999999999999</v>
      </c>
      <c r="F708">
        <v>132.5</v>
      </c>
      <c r="G708" t="b">
        <v>1</v>
      </c>
      <c r="H708" t="b">
        <v>1</v>
      </c>
      <c r="I708">
        <v>3354</v>
      </c>
      <c r="J708">
        <v>16.009546539379471</v>
      </c>
    </row>
    <row r="709" spans="1:10" x14ac:dyDescent="0.3">
      <c r="A709" t="s">
        <v>1287</v>
      </c>
      <c r="B709" t="s">
        <v>2347</v>
      </c>
      <c r="C709" t="s">
        <v>2346</v>
      </c>
      <c r="D709">
        <v>65.37</v>
      </c>
      <c r="E709">
        <v>0.30299999999999999</v>
      </c>
      <c r="F709">
        <v>107.1</v>
      </c>
      <c r="G709" t="b">
        <v>1</v>
      </c>
      <c r="H709" t="b">
        <v>1</v>
      </c>
      <c r="I709">
        <v>1915</v>
      </c>
      <c r="J709">
        <v>9.1408114558472544</v>
      </c>
    </row>
    <row r="710" spans="1:10" x14ac:dyDescent="0.3">
      <c r="A710" t="s">
        <v>1288</v>
      </c>
      <c r="B710" t="s">
        <v>2348</v>
      </c>
      <c r="C710" t="s">
        <v>187</v>
      </c>
      <c r="D710">
        <v>40.08</v>
      </c>
      <c r="E710">
        <v>0.248</v>
      </c>
      <c r="F710">
        <v>70.3</v>
      </c>
      <c r="G710" t="b">
        <v>1</v>
      </c>
      <c r="H710" t="b">
        <v>1</v>
      </c>
      <c r="I710">
        <v>630</v>
      </c>
      <c r="J710">
        <v>3.007159904534606</v>
      </c>
    </row>
    <row r="711" spans="1:10" x14ac:dyDescent="0.3">
      <c r="A711" t="s">
        <v>1289</v>
      </c>
      <c r="B711" t="s">
        <v>2349</v>
      </c>
      <c r="C711" t="s">
        <v>2570</v>
      </c>
      <c r="D711">
        <v>30.36</v>
      </c>
      <c r="E711">
        <v>0.25900000000000001</v>
      </c>
      <c r="F711">
        <v>82.5</v>
      </c>
      <c r="G711" t="b">
        <v>1</v>
      </c>
      <c r="H711" t="b">
        <v>1</v>
      </c>
      <c r="I711">
        <v>962</v>
      </c>
      <c r="J711">
        <v>4.5918854415274453</v>
      </c>
    </row>
    <row r="712" spans="1:10" x14ac:dyDescent="0.3">
      <c r="A712" t="s">
        <v>1290</v>
      </c>
      <c r="B712" t="s">
        <v>2350</v>
      </c>
      <c r="C712" t="s">
        <v>72</v>
      </c>
      <c r="D712">
        <v>43.61</v>
      </c>
      <c r="E712">
        <v>0.13400000000000001</v>
      </c>
      <c r="F712">
        <v>28.5</v>
      </c>
      <c r="G712" t="b">
        <v>1</v>
      </c>
      <c r="H712" t="b">
        <v>1</v>
      </c>
      <c r="I712">
        <v>60</v>
      </c>
      <c r="J712">
        <v>0.28639618138424822</v>
      </c>
    </row>
    <row r="713" spans="1:10" x14ac:dyDescent="0.3">
      <c r="A713" t="s">
        <v>1291</v>
      </c>
      <c r="B713" t="s">
        <v>2350</v>
      </c>
      <c r="C713" t="s">
        <v>186</v>
      </c>
      <c r="D713">
        <v>9.68</v>
      </c>
      <c r="E713">
        <v>0.16600000000000001</v>
      </c>
      <c r="F713">
        <v>43.1</v>
      </c>
      <c r="G713" t="b">
        <v>1</v>
      </c>
      <c r="H713" t="b">
        <v>1</v>
      </c>
      <c r="I713">
        <v>172</v>
      </c>
      <c r="J713">
        <v>0.82100238663484471</v>
      </c>
    </row>
    <row r="714" spans="1:10" x14ac:dyDescent="0.3">
      <c r="A714" t="s">
        <v>1292</v>
      </c>
      <c r="B714" t="s">
        <v>2351</v>
      </c>
      <c r="C714" t="s">
        <v>2350</v>
      </c>
      <c r="D714">
        <v>18.22</v>
      </c>
      <c r="E714">
        <v>0.16600000000000001</v>
      </c>
      <c r="F714">
        <v>43.1</v>
      </c>
      <c r="G714" t="b">
        <v>1</v>
      </c>
      <c r="H714" t="b">
        <v>1</v>
      </c>
      <c r="I714">
        <v>172</v>
      </c>
      <c r="J714">
        <v>0.82100238663484471</v>
      </c>
    </row>
    <row r="715" spans="1:10" x14ac:dyDescent="0.3">
      <c r="A715" t="s">
        <v>1293</v>
      </c>
      <c r="B715" t="s">
        <v>2352</v>
      </c>
      <c r="C715" t="s">
        <v>2491</v>
      </c>
      <c r="D715">
        <v>176.72</v>
      </c>
      <c r="E715">
        <v>0.254</v>
      </c>
      <c r="F715">
        <v>132.5</v>
      </c>
      <c r="G715" t="b">
        <v>1</v>
      </c>
      <c r="H715" t="b">
        <v>1</v>
      </c>
      <c r="I715">
        <v>3354</v>
      </c>
      <c r="J715">
        <v>16.009546539379471</v>
      </c>
    </row>
    <row r="716" spans="1:10" x14ac:dyDescent="0.3">
      <c r="A716" t="s">
        <v>1294</v>
      </c>
      <c r="B716" t="s">
        <v>2353</v>
      </c>
      <c r="C716" t="s">
        <v>185</v>
      </c>
      <c r="D716">
        <v>19.899999999999999</v>
      </c>
      <c r="E716">
        <v>1</v>
      </c>
      <c r="F716">
        <v>100</v>
      </c>
      <c r="G716" t="b">
        <v>1</v>
      </c>
      <c r="H716" t="b">
        <v>1</v>
      </c>
      <c r="I716">
        <v>1915</v>
      </c>
      <c r="J716">
        <v>9.1408114558472544</v>
      </c>
    </row>
    <row r="717" spans="1:10" x14ac:dyDescent="0.3">
      <c r="A717" t="s">
        <v>1295</v>
      </c>
      <c r="B717" t="s">
        <v>2353</v>
      </c>
      <c r="C717" t="s">
        <v>2173</v>
      </c>
      <c r="D717">
        <v>26.03</v>
      </c>
      <c r="E717">
        <v>1</v>
      </c>
      <c r="F717">
        <v>100</v>
      </c>
      <c r="G717" t="b">
        <v>1</v>
      </c>
      <c r="H717" t="b">
        <v>1</v>
      </c>
      <c r="I717">
        <v>1915</v>
      </c>
      <c r="J717">
        <v>9.1408114558472544</v>
      </c>
    </row>
    <row r="718" spans="1:10" x14ac:dyDescent="0.3">
      <c r="A718" t="s">
        <v>1296</v>
      </c>
      <c r="B718" t="s">
        <v>2354</v>
      </c>
      <c r="C718" t="s">
        <v>1972</v>
      </c>
      <c r="D718">
        <v>26.9</v>
      </c>
      <c r="E718">
        <v>0.37</v>
      </c>
      <c r="F718">
        <v>210.1</v>
      </c>
      <c r="G718" t="b">
        <v>1</v>
      </c>
      <c r="H718" t="b">
        <v>1</v>
      </c>
      <c r="I718">
        <v>11253</v>
      </c>
      <c r="J718">
        <v>53.713603818615738</v>
      </c>
    </row>
    <row r="719" spans="1:10" x14ac:dyDescent="0.3">
      <c r="A719" t="s">
        <v>1297</v>
      </c>
      <c r="B719" t="s">
        <v>2321</v>
      </c>
      <c r="C719" t="s">
        <v>182</v>
      </c>
      <c r="D719">
        <v>51.48</v>
      </c>
      <c r="E719">
        <v>0.248</v>
      </c>
      <c r="F719">
        <v>70.3</v>
      </c>
      <c r="G719" t="b">
        <v>1</v>
      </c>
      <c r="H719" t="b">
        <v>1</v>
      </c>
      <c r="I719">
        <v>630</v>
      </c>
      <c r="J719">
        <v>3.007159904534606</v>
      </c>
    </row>
    <row r="720" spans="1:10" x14ac:dyDescent="0.3">
      <c r="A720" t="s">
        <v>1298</v>
      </c>
      <c r="B720" t="s">
        <v>2322</v>
      </c>
      <c r="C720" t="s">
        <v>2175</v>
      </c>
      <c r="D720">
        <v>5.32</v>
      </c>
      <c r="E720">
        <v>0.248</v>
      </c>
      <c r="F720">
        <v>70.3</v>
      </c>
      <c r="G720" t="b">
        <v>1</v>
      </c>
      <c r="H720" t="b">
        <v>1</v>
      </c>
      <c r="I720">
        <v>630</v>
      </c>
      <c r="J720">
        <v>3.007159904534606</v>
      </c>
    </row>
    <row r="721" spans="1:10" x14ac:dyDescent="0.3">
      <c r="A721" t="s">
        <v>1299</v>
      </c>
      <c r="B721" t="s">
        <v>2332</v>
      </c>
      <c r="C721" t="s">
        <v>2109</v>
      </c>
      <c r="D721">
        <v>104.7</v>
      </c>
      <c r="E721">
        <v>0.18</v>
      </c>
      <c r="F721">
        <v>54.5</v>
      </c>
      <c r="G721" t="b">
        <v>1</v>
      </c>
      <c r="H721" t="b">
        <v>1</v>
      </c>
      <c r="I721">
        <v>321</v>
      </c>
      <c r="J721">
        <v>1.532219570405728</v>
      </c>
    </row>
    <row r="722" spans="1:10" x14ac:dyDescent="0.3">
      <c r="A722" t="s">
        <v>1300</v>
      </c>
      <c r="B722" t="s">
        <v>1939</v>
      </c>
      <c r="C722" t="s">
        <v>1910</v>
      </c>
      <c r="D722">
        <v>89.07</v>
      </c>
      <c r="E722">
        <v>0.436</v>
      </c>
      <c r="F722">
        <v>160.30000000000001</v>
      </c>
      <c r="G722" t="b">
        <v>1</v>
      </c>
      <c r="H722" t="b">
        <v>1</v>
      </c>
      <c r="I722">
        <v>5533</v>
      </c>
      <c r="J722">
        <v>26.410501193317419</v>
      </c>
    </row>
    <row r="723" spans="1:10" x14ac:dyDescent="0.3">
      <c r="A723" t="s">
        <v>1301</v>
      </c>
      <c r="B723" t="s">
        <v>2355</v>
      </c>
      <c r="C723" t="s">
        <v>1939</v>
      </c>
      <c r="D723">
        <v>36.31</v>
      </c>
      <c r="E723">
        <v>0.436</v>
      </c>
      <c r="F723">
        <v>160.30000000000001</v>
      </c>
      <c r="G723" t="b">
        <v>1</v>
      </c>
      <c r="H723" t="b">
        <v>1</v>
      </c>
      <c r="I723">
        <v>5533</v>
      </c>
      <c r="J723">
        <v>26.410501193317419</v>
      </c>
    </row>
    <row r="724" spans="1:10" x14ac:dyDescent="0.3">
      <c r="A724" t="s">
        <v>1302</v>
      </c>
      <c r="B724" t="s">
        <v>2356</v>
      </c>
      <c r="C724" t="s">
        <v>2648</v>
      </c>
      <c r="D724">
        <v>34.090000000000003</v>
      </c>
      <c r="E724">
        <v>0.36399999999999999</v>
      </c>
      <c r="F724">
        <v>132.5</v>
      </c>
      <c r="G724" t="b">
        <v>1</v>
      </c>
      <c r="H724" t="b">
        <v>1</v>
      </c>
      <c r="I724">
        <v>3354</v>
      </c>
      <c r="J724">
        <v>16.009546539379471</v>
      </c>
    </row>
    <row r="725" spans="1:10" x14ac:dyDescent="0.3">
      <c r="A725" t="s">
        <v>1303</v>
      </c>
      <c r="B725" t="s">
        <v>2357</v>
      </c>
      <c r="C725" t="s">
        <v>179</v>
      </c>
      <c r="D725">
        <v>7.69</v>
      </c>
      <c r="E725">
        <v>0.252</v>
      </c>
      <c r="F725">
        <v>43.1</v>
      </c>
      <c r="G725" t="b">
        <v>1</v>
      </c>
      <c r="H725" t="b">
        <v>1</v>
      </c>
      <c r="I725">
        <v>172</v>
      </c>
      <c r="J725">
        <v>0.82100238663484471</v>
      </c>
    </row>
    <row r="726" spans="1:10" x14ac:dyDescent="0.3">
      <c r="A726" t="s">
        <v>1304</v>
      </c>
      <c r="B726" t="s">
        <v>2357</v>
      </c>
      <c r="C726" t="s">
        <v>178</v>
      </c>
      <c r="D726">
        <v>4.6500000000000004</v>
      </c>
      <c r="E726">
        <v>0.252</v>
      </c>
      <c r="F726">
        <v>43.1</v>
      </c>
      <c r="G726" t="b">
        <v>1</v>
      </c>
      <c r="H726" t="b">
        <v>1</v>
      </c>
      <c r="I726">
        <v>172</v>
      </c>
      <c r="J726">
        <v>0.82100238663484471</v>
      </c>
    </row>
    <row r="727" spans="1:10" x14ac:dyDescent="0.3">
      <c r="A727" t="s">
        <v>1305</v>
      </c>
      <c r="B727" t="s">
        <v>2335</v>
      </c>
      <c r="C727" t="s">
        <v>2322</v>
      </c>
      <c r="D727">
        <v>63.13</v>
      </c>
      <c r="E727">
        <v>0.248</v>
      </c>
      <c r="F727">
        <v>70.3</v>
      </c>
      <c r="G727" t="b">
        <v>1</v>
      </c>
      <c r="H727" t="b">
        <v>1</v>
      </c>
      <c r="I727">
        <v>630</v>
      </c>
      <c r="J727">
        <v>3.007159904534606</v>
      </c>
    </row>
    <row r="728" spans="1:10" x14ac:dyDescent="0.3">
      <c r="A728" t="s">
        <v>1306</v>
      </c>
      <c r="B728" t="s">
        <v>2338</v>
      </c>
      <c r="C728" t="s">
        <v>176</v>
      </c>
      <c r="D728">
        <v>31.95</v>
      </c>
      <c r="E728">
        <v>0.191</v>
      </c>
      <c r="F728">
        <v>43.1</v>
      </c>
      <c r="G728" t="b">
        <v>1</v>
      </c>
      <c r="H728" t="b">
        <v>1</v>
      </c>
      <c r="I728">
        <v>172</v>
      </c>
      <c r="J728">
        <v>0.82100238663484471</v>
      </c>
    </row>
    <row r="729" spans="1:10" x14ac:dyDescent="0.3">
      <c r="A729" t="s">
        <v>1307</v>
      </c>
      <c r="B729" t="s">
        <v>2358</v>
      </c>
      <c r="C729" t="s">
        <v>2329</v>
      </c>
      <c r="D729">
        <v>3.87</v>
      </c>
      <c r="E729">
        <v>0.36399999999999999</v>
      </c>
      <c r="F729">
        <v>132.5</v>
      </c>
      <c r="G729" t="b">
        <v>1</v>
      </c>
      <c r="H729" t="b">
        <v>1</v>
      </c>
      <c r="I729">
        <v>3354</v>
      </c>
      <c r="J729">
        <v>16.009546539379471</v>
      </c>
    </row>
    <row r="730" spans="1:10" x14ac:dyDescent="0.3">
      <c r="A730" t="s">
        <v>1308</v>
      </c>
      <c r="B730" t="s">
        <v>2340</v>
      </c>
      <c r="C730" t="s">
        <v>175</v>
      </c>
      <c r="D730">
        <v>53.57</v>
      </c>
      <c r="E730">
        <v>0.191</v>
      </c>
      <c r="F730">
        <v>43.1</v>
      </c>
      <c r="G730" t="b">
        <v>1</v>
      </c>
      <c r="H730" t="b">
        <v>1</v>
      </c>
      <c r="I730">
        <v>172</v>
      </c>
      <c r="J730">
        <v>0.82100238663484471</v>
      </c>
    </row>
    <row r="731" spans="1:10" x14ac:dyDescent="0.3">
      <c r="A731" t="s">
        <v>1309</v>
      </c>
      <c r="B731" t="s">
        <v>2358</v>
      </c>
      <c r="C731" t="s">
        <v>2340</v>
      </c>
      <c r="D731">
        <v>8.75</v>
      </c>
      <c r="E731">
        <v>1</v>
      </c>
      <c r="F731">
        <v>100</v>
      </c>
      <c r="G731" t="b">
        <v>1</v>
      </c>
      <c r="H731" t="b">
        <v>1</v>
      </c>
      <c r="I731">
        <v>1915</v>
      </c>
      <c r="J731">
        <v>9.1408114558472544</v>
      </c>
    </row>
    <row r="732" spans="1:10" x14ac:dyDescent="0.3">
      <c r="A732" t="s">
        <v>1310</v>
      </c>
      <c r="B732" t="s">
        <v>2359</v>
      </c>
      <c r="C732" t="s">
        <v>1945</v>
      </c>
      <c r="D732">
        <v>114.24</v>
      </c>
      <c r="E732">
        <v>0.36399999999999999</v>
      </c>
      <c r="F732">
        <v>132.5</v>
      </c>
      <c r="G732" t="b">
        <v>1</v>
      </c>
      <c r="H732" t="b">
        <v>1</v>
      </c>
      <c r="I732">
        <v>3354</v>
      </c>
      <c r="J732">
        <v>16.009546539379471</v>
      </c>
    </row>
    <row r="733" spans="1:10" x14ac:dyDescent="0.3">
      <c r="A733" t="s">
        <v>1311</v>
      </c>
      <c r="B733" t="s">
        <v>2360</v>
      </c>
      <c r="C733" t="s">
        <v>174</v>
      </c>
      <c r="D733">
        <v>13.85</v>
      </c>
      <c r="E733">
        <v>0.16600000000000001</v>
      </c>
      <c r="F733">
        <v>43.1</v>
      </c>
      <c r="G733" t="b">
        <v>1</v>
      </c>
      <c r="H733" t="b">
        <v>1</v>
      </c>
      <c r="I733">
        <v>172</v>
      </c>
      <c r="J733">
        <v>0.82100238663484471</v>
      </c>
    </row>
    <row r="734" spans="1:10" x14ac:dyDescent="0.3">
      <c r="A734" t="s">
        <v>1312</v>
      </c>
      <c r="B734" t="s">
        <v>2361</v>
      </c>
      <c r="C734" t="s">
        <v>2099</v>
      </c>
      <c r="D734">
        <v>56.54</v>
      </c>
      <c r="E734">
        <v>0.30299999999999999</v>
      </c>
      <c r="F734">
        <v>107.1</v>
      </c>
      <c r="G734" t="b">
        <v>1</v>
      </c>
      <c r="H734" t="b">
        <v>1</v>
      </c>
      <c r="I734">
        <v>1915</v>
      </c>
      <c r="J734">
        <v>9.1408114558472544</v>
      </c>
    </row>
    <row r="735" spans="1:10" x14ac:dyDescent="0.3">
      <c r="A735" t="s">
        <v>1313</v>
      </c>
      <c r="B735" t="s">
        <v>2362</v>
      </c>
      <c r="C735" t="s">
        <v>2544</v>
      </c>
      <c r="D735">
        <v>0.81</v>
      </c>
      <c r="E735">
        <v>0.48299999999999998</v>
      </c>
      <c r="F735">
        <v>210.1</v>
      </c>
      <c r="G735" t="b">
        <v>1</v>
      </c>
      <c r="H735" t="b">
        <v>1</v>
      </c>
      <c r="I735">
        <v>11253</v>
      </c>
      <c r="J735">
        <v>53.713603818615738</v>
      </c>
    </row>
    <row r="736" spans="1:10" x14ac:dyDescent="0.3">
      <c r="A736" t="s">
        <v>1314</v>
      </c>
      <c r="B736" t="s">
        <v>2363</v>
      </c>
      <c r="C736" t="s">
        <v>172</v>
      </c>
      <c r="D736">
        <v>36.43</v>
      </c>
      <c r="E736">
        <v>0.191</v>
      </c>
      <c r="F736">
        <v>43.1</v>
      </c>
      <c r="G736" t="b">
        <v>1</v>
      </c>
      <c r="H736" t="b">
        <v>1</v>
      </c>
      <c r="I736">
        <v>172</v>
      </c>
      <c r="J736">
        <v>0.82100238663484471</v>
      </c>
    </row>
    <row r="737" spans="1:10" x14ac:dyDescent="0.3">
      <c r="A737" t="s">
        <v>1315</v>
      </c>
      <c r="B737" t="s">
        <v>2349</v>
      </c>
      <c r="C737" t="s">
        <v>2347</v>
      </c>
      <c r="D737">
        <v>120.99</v>
      </c>
      <c r="E737">
        <v>0.36399999999999999</v>
      </c>
      <c r="F737">
        <v>132.5</v>
      </c>
      <c r="G737" t="b">
        <v>1</v>
      </c>
      <c r="H737" t="b">
        <v>1</v>
      </c>
      <c r="I737">
        <v>3354</v>
      </c>
      <c r="J737">
        <v>16.009546539379471</v>
      </c>
    </row>
    <row r="738" spans="1:10" x14ac:dyDescent="0.3">
      <c r="A738" t="s">
        <v>1316</v>
      </c>
      <c r="B738" t="s">
        <v>2364</v>
      </c>
      <c r="C738" t="s">
        <v>171</v>
      </c>
      <c r="D738">
        <v>23.88</v>
      </c>
      <c r="E738">
        <v>0.21299999999999999</v>
      </c>
      <c r="F738">
        <v>54.5</v>
      </c>
      <c r="G738" t="b">
        <v>1</v>
      </c>
      <c r="H738" t="b">
        <v>1</v>
      </c>
      <c r="I738">
        <v>321</v>
      </c>
      <c r="J738">
        <v>1.532219570405728</v>
      </c>
    </row>
    <row r="739" spans="1:10" x14ac:dyDescent="0.3">
      <c r="A739" t="s">
        <v>1317</v>
      </c>
      <c r="B739" t="s">
        <v>2363</v>
      </c>
      <c r="C739" t="s">
        <v>2364</v>
      </c>
      <c r="D739">
        <v>26.29</v>
      </c>
      <c r="E739">
        <v>0.25900000000000001</v>
      </c>
      <c r="F739">
        <v>82.5</v>
      </c>
      <c r="G739" t="b">
        <v>1</v>
      </c>
      <c r="H739" t="b">
        <v>1</v>
      </c>
      <c r="I739">
        <v>962</v>
      </c>
      <c r="J739">
        <v>4.5918854415274453</v>
      </c>
    </row>
    <row r="740" spans="1:10" x14ac:dyDescent="0.3">
      <c r="A740" t="s">
        <v>1318</v>
      </c>
      <c r="B740" t="s">
        <v>2362</v>
      </c>
      <c r="C740" t="s">
        <v>2116</v>
      </c>
      <c r="D740">
        <v>43.21</v>
      </c>
      <c r="E740">
        <v>0.25900000000000001</v>
      </c>
      <c r="F740">
        <v>82.5</v>
      </c>
      <c r="G740" t="b">
        <v>1</v>
      </c>
      <c r="H740" t="b">
        <v>1</v>
      </c>
      <c r="I740">
        <v>962</v>
      </c>
      <c r="J740">
        <v>4.5918854415274453</v>
      </c>
    </row>
    <row r="741" spans="1:10" x14ac:dyDescent="0.3">
      <c r="A741" t="s">
        <v>1319</v>
      </c>
      <c r="B741" t="s">
        <v>2356</v>
      </c>
      <c r="C741" t="s">
        <v>169</v>
      </c>
      <c r="D741">
        <v>8.6999999999999993</v>
      </c>
      <c r="E741">
        <v>0.191</v>
      </c>
      <c r="F741">
        <v>43.1</v>
      </c>
      <c r="G741" t="b">
        <v>1</v>
      </c>
      <c r="H741" t="b">
        <v>1</v>
      </c>
      <c r="I741">
        <v>172</v>
      </c>
      <c r="J741">
        <v>0.82100238663484471</v>
      </c>
    </row>
    <row r="742" spans="1:10" x14ac:dyDescent="0.3">
      <c r="A742" t="s">
        <v>1320</v>
      </c>
      <c r="B742" t="s">
        <v>2339</v>
      </c>
      <c r="C742" t="s">
        <v>2643</v>
      </c>
      <c r="D742">
        <v>192.25</v>
      </c>
      <c r="E742">
        <v>0.25900000000000001</v>
      </c>
      <c r="F742">
        <v>82.5</v>
      </c>
      <c r="G742" t="b">
        <v>1</v>
      </c>
      <c r="H742" t="b">
        <v>1</v>
      </c>
      <c r="I742">
        <v>962</v>
      </c>
      <c r="J742">
        <v>4.5918854415274453</v>
      </c>
    </row>
    <row r="743" spans="1:10" x14ac:dyDescent="0.3">
      <c r="A743" t="s">
        <v>1321</v>
      </c>
      <c r="B743" t="s">
        <v>2365</v>
      </c>
      <c r="C743" t="s">
        <v>2514</v>
      </c>
      <c r="D743">
        <v>86.95</v>
      </c>
      <c r="E743">
        <v>0.29299999999999998</v>
      </c>
      <c r="F743">
        <v>210.1</v>
      </c>
      <c r="G743" t="b">
        <v>1</v>
      </c>
      <c r="H743" t="b">
        <v>1</v>
      </c>
      <c r="I743">
        <v>11253</v>
      </c>
      <c r="J743">
        <v>53.713603818615738</v>
      </c>
    </row>
    <row r="744" spans="1:10" x14ac:dyDescent="0.3">
      <c r="A744" t="s">
        <v>1322</v>
      </c>
      <c r="B744" t="s">
        <v>2366</v>
      </c>
      <c r="C744" t="s">
        <v>168</v>
      </c>
      <c r="D744">
        <v>17.75</v>
      </c>
      <c r="E744">
        <v>1</v>
      </c>
      <c r="F744">
        <v>100</v>
      </c>
      <c r="G744" t="b">
        <v>1</v>
      </c>
      <c r="H744" t="b">
        <v>1</v>
      </c>
      <c r="I744">
        <v>1915</v>
      </c>
      <c r="J744">
        <v>9.1408114558472544</v>
      </c>
    </row>
    <row r="745" spans="1:10" x14ac:dyDescent="0.3">
      <c r="A745" t="s">
        <v>1323</v>
      </c>
      <c r="B745" t="s">
        <v>2367</v>
      </c>
      <c r="C745" t="s">
        <v>2366</v>
      </c>
      <c r="D745">
        <v>5.34</v>
      </c>
      <c r="E745">
        <v>1</v>
      </c>
      <c r="F745">
        <v>100</v>
      </c>
      <c r="G745" t="b">
        <v>1</v>
      </c>
      <c r="H745" t="b">
        <v>1</v>
      </c>
      <c r="I745">
        <v>1915</v>
      </c>
      <c r="J745">
        <v>9.1408114558472544</v>
      </c>
    </row>
    <row r="746" spans="1:10" x14ac:dyDescent="0.3">
      <c r="A746" t="s">
        <v>1324</v>
      </c>
      <c r="B746" t="s">
        <v>2368</v>
      </c>
      <c r="C746" t="s">
        <v>2367</v>
      </c>
      <c r="D746">
        <v>11.35</v>
      </c>
      <c r="E746">
        <v>0.217</v>
      </c>
      <c r="F746">
        <v>82.5</v>
      </c>
      <c r="G746" t="b">
        <v>1</v>
      </c>
      <c r="H746" t="b">
        <v>1</v>
      </c>
      <c r="I746">
        <v>962</v>
      </c>
      <c r="J746">
        <v>4.5918854415274453</v>
      </c>
    </row>
    <row r="747" spans="1:10" x14ac:dyDescent="0.3">
      <c r="A747" t="s">
        <v>1325</v>
      </c>
      <c r="B747" t="s">
        <v>2368</v>
      </c>
      <c r="C747" t="s">
        <v>167</v>
      </c>
      <c r="D747">
        <v>4.8499999999999996</v>
      </c>
      <c r="E747">
        <v>1</v>
      </c>
      <c r="F747">
        <v>100</v>
      </c>
      <c r="G747" t="b">
        <v>1</v>
      </c>
      <c r="H747" t="b">
        <v>1</v>
      </c>
      <c r="I747">
        <v>1915</v>
      </c>
      <c r="J747">
        <v>9.1408114558472544</v>
      </c>
    </row>
    <row r="748" spans="1:10" x14ac:dyDescent="0.3">
      <c r="A748" t="s">
        <v>1326</v>
      </c>
      <c r="B748" t="s">
        <v>2369</v>
      </c>
      <c r="C748" t="s">
        <v>2518</v>
      </c>
      <c r="D748">
        <v>15.6</v>
      </c>
      <c r="E748">
        <v>1</v>
      </c>
      <c r="F748">
        <v>100</v>
      </c>
      <c r="G748" t="b">
        <v>1</v>
      </c>
      <c r="H748" t="b">
        <v>1</v>
      </c>
      <c r="I748">
        <v>1915</v>
      </c>
      <c r="J748">
        <v>9.1408114558472544</v>
      </c>
    </row>
    <row r="749" spans="1:10" x14ac:dyDescent="0.3">
      <c r="A749" t="s">
        <v>1327</v>
      </c>
      <c r="B749" t="s">
        <v>2370</v>
      </c>
      <c r="C749" t="s">
        <v>166</v>
      </c>
      <c r="D749">
        <v>14.56</v>
      </c>
      <c r="E749">
        <v>1</v>
      </c>
      <c r="F749">
        <v>100</v>
      </c>
      <c r="G749" t="b">
        <v>1</v>
      </c>
      <c r="H749" t="b">
        <v>1</v>
      </c>
      <c r="I749">
        <v>1915</v>
      </c>
      <c r="J749">
        <v>9.1408114558472544</v>
      </c>
    </row>
    <row r="750" spans="1:10" x14ac:dyDescent="0.3">
      <c r="A750" t="s">
        <v>1328</v>
      </c>
      <c r="B750" t="s">
        <v>2355</v>
      </c>
      <c r="C750" t="s">
        <v>2096</v>
      </c>
      <c r="D750">
        <v>46.28</v>
      </c>
      <c r="E750">
        <v>0.25900000000000001</v>
      </c>
      <c r="F750">
        <v>82.5</v>
      </c>
      <c r="G750" t="b">
        <v>1</v>
      </c>
      <c r="H750" t="b">
        <v>1</v>
      </c>
      <c r="I750">
        <v>962</v>
      </c>
      <c r="J750">
        <v>4.5918854415274453</v>
      </c>
    </row>
    <row r="751" spans="1:10" x14ac:dyDescent="0.3">
      <c r="A751" t="s">
        <v>1329</v>
      </c>
      <c r="B751" t="s">
        <v>2371</v>
      </c>
      <c r="C751" t="s">
        <v>163</v>
      </c>
      <c r="D751">
        <v>72</v>
      </c>
      <c r="E751">
        <v>0.18</v>
      </c>
      <c r="F751">
        <v>54.5</v>
      </c>
      <c r="G751" t="b">
        <v>1</v>
      </c>
      <c r="H751" t="b">
        <v>1</v>
      </c>
      <c r="I751">
        <v>321</v>
      </c>
      <c r="J751">
        <v>1.532219570405728</v>
      </c>
    </row>
    <row r="752" spans="1:10" x14ac:dyDescent="0.3">
      <c r="A752" t="s">
        <v>1330</v>
      </c>
      <c r="B752" t="s">
        <v>2371</v>
      </c>
      <c r="C752" t="s">
        <v>2423</v>
      </c>
      <c r="D752">
        <v>89.41</v>
      </c>
      <c r="E752">
        <v>0.254</v>
      </c>
      <c r="F752">
        <v>132.5</v>
      </c>
      <c r="G752" t="b">
        <v>1</v>
      </c>
      <c r="H752" t="b">
        <v>1</v>
      </c>
      <c r="I752">
        <v>3354</v>
      </c>
      <c r="J752">
        <v>16.009546539379471</v>
      </c>
    </row>
    <row r="753" spans="1:10" x14ac:dyDescent="0.3">
      <c r="A753" t="s">
        <v>1331</v>
      </c>
      <c r="B753" t="s">
        <v>2372</v>
      </c>
      <c r="C753" t="s">
        <v>162</v>
      </c>
      <c r="D753">
        <v>90.72</v>
      </c>
      <c r="E753">
        <v>0.16600000000000001</v>
      </c>
      <c r="F753">
        <v>43.1</v>
      </c>
      <c r="G753" t="b">
        <v>1</v>
      </c>
      <c r="H753" t="b">
        <v>1</v>
      </c>
      <c r="I753">
        <v>172</v>
      </c>
      <c r="J753">
        <v>0.82100238663484471</v>
      </c>
    </row>
    <row r="754" spans="1:10" x14ac:dyDescent="0.3">
      <c r="A754" t="s">
        <v>1332</v>
      </c>
      <c r="B754" t="s">
        <v>2373</v>
      </c>
      <c r="C754" t="s">
        <v>2372</v>
      </c>
      <c r="D754">
        <v>69.28</v>
      </c>
      <c r="E754">
        <v>0.20499999999999999</v>
      </c>
      <c r="F754">
        <v>70.3</v>
      </c>
      <c r="G754" t="b">
        <v>1</v>
      </c>
      <c r="H754" t="b">
        <v>1</v>
      </c>
      <c r="I754">
        <v>630</v>
      </c>
      <c r="J754">
        <v>3.007159904534606</v>
      </c>
    </row>
    <row r="755" spans="1:10" x14ac:dyDescent="0.3">
      <c r="A755" t="s">
        <v>1333</v>
      </c>
      <c r="B755" t="s">
        <v>2374</v>
      </c>
      <c r="C755" t="s">
        <v>161</v>
      </c>
      <c r="D755">
        <v>21.35</v>
      </c>
      <c r="E755">
        <v>1</v>
      </c>
      <c r="F755">
        <v>100</v>
      </c>
      <c r="G755" t="b">
        <v>1</v>
      </c>
      <c r="H755" t="b">
        <v>1</v>
      </c>
      <c r="I755">
        <v>1915</v>
      </c>
      <c r="J755">
        <v>9.1408114558472544</v>
      </c>
    </row>
    <row r="756" spans="1:10" x14ac:dyDescent="0.3">
      <c r="A756" t="s">
        <v>1334</v>
      </c>
      <c r="B756" t="s">
        <v>1977</v>
      </c>
      <c r="C756" t="s">
        <v>160</v>
      </c>
      <c r="D756">
        <v>11.76</v>
      </c>
      <c r="E756">
        <v>1</v>
      </c>
      <c r="F756">
        <v>100</v>
      </c>
      <c r="G756" t="b">
        <v>1</v>
      </c>
      <c r="H756" t="b">
        <v>1</v>
      </c>
      <c r="I756">
        <v>1915</v>
      </c>
      <c r="J756">
        <v>9.1408114558472544</v>
      </c>
    </row>
    <row r="757" spans="1:10" x14ac:dyDescent="0.3">
      <c r="A757" t="s">
        <v>1335</v>
      </c>
      <c r="B757" t="s">
        <v>2375</v>
      </c>
      <c r="C757" t="s">
        <v>1977</v>
      </c>
      <c r="D757">
        <v>124.08</v>
      </c>
      <c r="E757">
        <v>0.28199999999999997</v>
      </c>
      <c r="F757">
        <v>160.30000000000001</v>
      </c>
      <c r="G757" t="b">
        <v>1</v>
      </c>
      <c r="H757" t="b">
        <v>1</v>
      </c>
      <c r="I757">
        <v>5533</v>
      </c>
      <c r="J757">
        <v>26.410501193317419</v>
      </c>
    </row>
    <row r="758" spans="1:10" x14ac:dyDescent="0.3">
      <c r="A758" t="s">
        <v>1336</v>
      </c>
      <c r="B758" t="s">
        <v>2376</v>
      </c>
      <c r="C758" t="s">
        <v>159</v>
      </c>
      <c r="D758">
        <v>7.74</v>
      </c>
      <c r="E758">
        <v>1</v>
      </c>
      <c r="F758">
        <v>100</v>
      </c>
      <c r="G758" t="b">
        <v>1</v>
      </c>
      <c r="H758" t="b">
        <v>1</v>
      </c>
      <c r="I758">
        <v>1915</v>
      </c>
      <c r="J758">
        <v>9.1408114558472544</v>
      </c>
    </row>
    <row r="759" spans="1:10" x14ac:dyDescent="0.3">
      <c r="A759" t="s">
        <v>1337</v>
      </c>
      <c r="B759" t="s">
        <v>2376</v>
      </c>
      <c r="C759" t="s">
        <v>158</v>
      </c>
      <c r="D759">
        <v>7.42</v>
      </c>
      <c r="E759">
        <v>1</v>
      </c>
      <c r="F759">
        <v>100</v>
      </c>
      <c r="G759" t="b">
        <v>1</v>
      </c>
      <c r="H759" t="b">
        <v>1</v>
      </c>
      <c r="I759">
        <v>1915</v>
      </c>
      <c r="J759">
        <v>9.1408114558472544</v>
      </c>
    </row>
    <row r="760" spans="1:10" x14ac:dyDescent="0.3">
      <c r="A760" t="s">
        <v>1338</v>
      </c>
      <c r="B760" t="s">
        <v>2375</v>
      </c>
      <c r="C760" t="s">
        <v>2376</v>
      </c>
      <c r="D760">
        <v>33.81</v>
      </c>
      <c r="E760">
        <v>1</v>
      </c>
      <c r="F760">
        <v>100</v>
      </c>
      <c r="G760" t="b">
        <v>1</v>
      </c>
      <c r="H760" t="b">
        <v>1</v>
      </c>
      <c r="I760">
        <v>1915</v>
      </c>
      <c r="J760">
        <v>9.1408114558472544</v>
      </c>
    </row>
    <row r="761" spans="1:10" x14ac:dyDescent="0.3">
      <c r="A761" t="s">
        <v>1339</v>
      </c>
      <c r="B761" t="s">
        <v>2377</v>
      </c>
      <c r="C761" t="s">
        <v>2375</v>
      </c>
      <c r="D761">
        <v>46.14</v>
      </c>
      <c r="E761">
        <v>0.28199999999999997</v>
      </c>
      <c r="F761">
        <v>160.30000000000001</v>
      </c>
      <c r="G761" t="b">
        <v>1</v>
      </c>
      <c r="H761" t="b">
        <v>1</v>
      </c>
      <c r="I761">
        <v>5533</v>
      </c>
      <c r="J761">
        <v>26.410501193317419</v>
      </c>
    </row>
    <row r="762" spans="1:10" x14ac:dyDescent="0.3">
      <c r="A762" t="s">
        <v>1340</v>
      </c>
      <c r="B762" t="s">
        <v>2378</v>
      </c>
      <c r="C762" t="s">
        <v>157</v>
      </c>
      <c r="D762">
        <v>7.22</v>
      </c>
      <c r="E762">
        <v>1</v>
      </c>
      <c r="F762">
        <v>100</v>
      </c>
      <c r="G762" t="b">
        <v>1</v>
      </c>
      <c r="H762" t="b">
        <v>1</v>
      </c>
      <c r="I762">
        <v>1915</v>
      </c>
      <c r="J762">
        <v>9.1408114558472544</v>
      </c>
    </row>
    <row r="763" spans="1:10" x14ac:dyDescent="0.3">
      <c r="A763" t="s">
        <v>1341</v>
      </c>
      <c r="B763" t="s">
        <v>2377</v>
      </c>
      <c r="C763" t="s">
        <v>156</v>
      </c>
      <c r="D763">
        <v>35.46</v>
      </c>
      <c r="E763">
        <v>1</v>
      </c>
      <c r="F763">
        <v>100</v>
      </c>
      <c r="G763" t="b">
        <v>1</v>
      </c>
      <c r="H763" t="b">
        <v>1</v>
      </c>
      <c r="I763">
        <v>1915</v>
      </c>
      <c r="J763">
        <v>9.1408114558472544</v>
      </c>
    </row>
    <row r="764" spans="1:10" x14ac:dyDescent="0.3">
      <c r="A764" t="s">
        <v>1342</v>
      </c>
      <c r="B764" t="s">
        <v>2378</v>
      </c>
      <c r="C764" t="s">
        <v>2377</v>
      </c>
      <c r="D764">
        <v>1.41</v>
      </c>
      <c r="E764">
        <v>0.28199999999999997</v>
      </c>
      <c r="F764">
        <v>160.30000000000001</v>
      </c>
      <c r="G764" t="b">
        <v>1</v>
      </c>
      <c r="H764" t="b">
        <v>1</v>
      </c>
      <c r="I764">
        <v>5533</v>
      </c>
      <c r="J764">
        <v>26.410501193317419</v>
      </c>
    </row>
    <row r="765" spans="1:10" x14ac:dyDescent="0.3">
      <c r="A765" t="s">
        <v>1343</v>
      </c>
      <c r="B765" t="s">
        <v>2379</v>
      </c>
      <c r="C765" t="s">
        <v>2511</v>
      </c>
      <c r="D765">
        <v>97.49</v>
      </c>
      <c r="E765">
        <v>0.37</v>
      </c>
      <c r="F765">
        <v>210.1</v>
      </c>
      <c r="G765" t="b">
        <v>1</v>
      </c>
      <c r="H765" t="b">
        <v>1</v>
      </c>
      <c r="I765">
        <v>11253</v>
      </c>
      <c r="J765">
        <v>53.713603818615738</v>
      </c>
    </row>
    <row r="766" spans="1:10" x14ac:dyDescent="0.3">
      <c r="A766" t="s">
        <v>1344</v>
      </c>
      <c r="B766" t="s">
        <v>2380</v>
      </c>
      <c r="C766" t="s">
        <v>155</v>
      </c>
      <c r="D766">
        <v>6.87</v>
      </c>
      <c r="E766">
        <v>1</v>
      </c>
      <c r="F766">
        <v>100</v>
      </c>
      <c r="G766" t="b">
        <v>1</v>
      </c>
      <c r="H766" t="b">
        <v>1</v>
      </c>
      <c r="I766">
        <v>1915</v>
      </c>
      <c r="J766">
        <v>9.1408114558472544</v>
      </c>
    </row>
    <row r="767" spans="1:10" x14ac:dyDescent="0.3">
      <c r="A767" t="s">
        <v>1345</v>
      </c>
      <c r="B767" t="s">
        <v>2381</v>
      </c>
      <c r="C767" t="s">
        <v>154</v>
      </c>
      <c r="D767">
        <v>17.2</v>
      </c>
      <c r="E767">
        <v>1</v>
      </c>
      <c r="F767">
        <v>100</v>
      </c>
      <c r="G767" t="b">
        <v>1</v>
      </c>
      <c r="H767" t="b">
        <v>1</v>
      </c>
      <c r="I767">
        <v>1915</v>
      </c>
      <c r="J767">
        <v>9.1408114558472544</v>
      </c>
    </row>
    <row r="768" spans="1:10" x14ac:dyDescent="0.3">
      <c r="A768" t="s">
        <v>1346</v>
      </c>
      <c r="B768" t="s">
        <v>2380</v>
      </c>
      <c r="C768" t="s">
        <v>153</v>
      </c>
      <c r="D768">
        <v>38.28</v>
      </c>
      <c r="E768">
        <v>1</v>
      </c>
      <c r="F768">
        <v>100</v>
      </c>
      <c r="G768" t="b">
        <v>1</v>
      </c>
      <c r="H768" t="b">
        <v>1</v>
      </c>
      <c r="I768">
        <v>1915</v>
      </c>
      <c r="J768">
        <v>9.1408114558472544</v>
      </c>
    </row>
    <row r="769" spans="1:10" x14ac:dyDescent="0.3">
      <c r="A769" t="s">
        <v>1347</v>
      </c>
      <c r="B769" t="s">
        <v>2381</v>
      </c>
      <c r="C769" t="s">
        <v>2380</v>
      </c>
      <c r="D769">
        <v>10.31</v>
      </c>
      <c r="E769">
        <v>1</v>
      </c>
      <c r="F769">
        <v>100</v>
      </c>
      <c r="G769" t="b">
        <v>1</v>
      </c>
      <c r="H769" t="b">
        <v>1</v>
      </c>
      <c r="I769">
        <v>1915</v>
      </c>
      <c r="J769">
        <v>9.1408114558472544</v>
      </c>
    </row>
    <row r="770" spans="1:10" x14ac:dyDescent="0.3">
      <c r="A770" t="s">
        <v>1348</v>
      </c>
      <c r="B770" t="s">
        <v>2379</v>
      </c>
      <c r="C770" t="s">
        <v>2381</v>
      </c>
      <c r="D770">
        <v>24.27</v>
      </c>
      <c r="E770">
        <v>1</v>
      </c>
      <c r="F770">
        <v>100</v>
      </c>
      <c r="G770" t="b">
        <v>1</v>
      </c>
      <c r="H770" t="b">
        <v>1</v>
      </c>
      <c r="I770">
        <v>1915</v>
      </c>
      <c r="J770">
        <v>9.1408114558472544</v>
      </c>
    </row>
    <row r="771" spans="1:10" x14ac:dyDescent="0.3">
      <c r="A771" t="s">
        <v>1349</v>
      </c>
      <c r="B771" t="s">
        <v>2382</v>
      </c>
      <c r="C771" t="s">
        <v>151</v>
      </c>
      <c r="D771">
        <v>3.7</v>
      </c>
      <c r="E771">
        <v>1</v>
      </c>
      <c r="F771">
        <v>100</v>
      </c>
      <c r="G771" t="b">
        <v>1</v>
      </c>
      <c r="H771" t="b">
        <v>1</v>
      </c>
      <c r="I771">
        <v>1915</v>
      </c>
      <c r="J771">
        <v>9.1408114558472544</v>
      </c>
    </row>
    <row r="772" spans="1:10" x14ac:dyDescent="0.3">
      <c r="A772" t="s">
        <v>1350</v>
      </c>
      <c r="B772" t="s">
        <v>2383</v>
      </c>
      <c r="C772" t="s">
        <v>2191</v>
      </c>
      <c r="D772">
        <v>28.42</v>
      </c>
      <c r="E772">
        <v>0.254</v>
      </c>
      <c r="F772">
        <v>132.5</v>
      </c>
      <c r="G772" t="b">
        <v>1</v>
      </c>
      <c r="H772" t="b">
        <v>1</v>
      </c>
      <c r="I772">
        <v>3354</v>
      </c>
      <c r="J772">
        <v>16.009546539379471</v>
      </c>
    </row>
    <row r="773" spans="1:10" x14ac:dyDescent="0.3">
      <c r="A773" t="s">
        <v>1351</v>
      </c>
      <c r="B773" t="s">
        <v>2384</v>
      </c>
      <c r="C773" t="s">
        <v>2011</v>
      </c>
      <c r="D773">
        <v>440.55</v>
      </c>
      <c r="E773">
        <v>0.217</v>
      </c>
      <c r="F773">
        <v>82.5</v>
      </c>
      <c r="G773" t="b">
        <v>1</v>
      </c>
      <c r="H773" t="b">
        <v>1</v>
      </c>
      <c r="I773">
        <v>962</v>
      </c>
      <c r="J773">
        <v>4.5918854415274453</v>
      </c>
    </row>
    <row r="774" spans="1:10" x14ac:dyDescent="0.3">
      <c r="A774" t="s">
        <v>1352</v>
      </c>
      <c r="B774" t="s">
        <v>2352</v>
      </c>
      <c r="C774" t="s">
        <v>2394</v>
      </c>
      <c r="D774">
        <v>60.09</v>
      </c>
      <c r="E774">
        <v>0.217</v>
      </c>
      <c r="F774">
        <v>82.5</v>
      </c>
      <c r="G774" t="b">
        <v>1</v>
      </c>
      <c r="H774" t="b">
        <v>1</v>
      </c>
      <c r="I774">
        <v>962</v>
      </c>
      <c r="J774">
        <v>4.5918854415274453</v>
      </c>
    </row>
    <row r="775" spans="1:10" x14ac:dyDescent="0.3">
      <c r="A775" t="s">
        <v>1353</v>
      </c>
      <c r="B775" t="s">
        <v>2374</v>
      </c>
      <c r="C775" t="s">
        <v>2147</v>
      </c>
      <c r="D775">
        <v>44.35</v>
      </c>
      <c r="E775">
        <v>0.254</v>
      </c>
      <c r="F775">
        <v>132.5</v>
      </c>
      <c r="G775" t="b">
        <v>1</v>
      </c>
      <c r="H775" t="b">
        <v>1</v>
      </c>
      <c r="I775">
        <v>3354</v>
      </c>
      <c r="J775">
        <v>16.009546539379471</v>
      </c>
    </row>
    <row r="776" spans="1:10" x14ac:dyDescent="0.3">
      <c r="A776" t="s">
        <v>1354</v>
      </c>
      <c r="B776" t="s">
        <v>2385</v>
      </c>
      <c r="C776" t="s">
        <v>2565</v>
      </c>
      <c r="D776">
        <v>9.7100000000000009</v>
      </c>
      <c r="E776">
        <v>0.29299999999999998</v>
      </c>
      <c r="F776">
        <v>210.1</v>
      </c>
      <c r="G776" t="b">
        <v>1</v>
      </c>
      <c r="H776" t="b">
        <v>1</v>
      </c>
      <c r="I776">
        <v>11253</v>
      </c>
      <c r="J776">
        <v>53.713603818615738</v>
      </c>
    </row>
    <row r="777" spans="1:10" x14ac:dyDescent="0.3">
      <c r="A777" t="s">
        <v>1355</v>
      </c>
      <c r="B777" t="s">
        <v>2386</v>
      </c>
      <c r="C777" t="s">
        <v>2403</v>
      </c>
      <c r="D777">
        <v>322.52</v>
      </c>
      <c r="E777">
        <v>0.22500000000000001</v>
      </c>
      <c r="F777">
        <v>107.1</v>
      </c>
      <c r="G777" t="b">
        <v>1</v>
      </c>
      <c r="H777" t="b">
        <v>1</v>
      </c>
      <c r="I777">
        <v>1915</v>
      </c>
      <c r="J777">
        <v>9.1408114558472544</v>
      </c>
    </row>
    <row r="778" spans="1:10" x14ac:dyDescent="0.3">
      <c r="A778" t="s">
        <v>1356</v>
      </c>
      <c r="B778" t="s">
        <v>2278</v>
      </c>
      <c r="C778" t="s">
        <v>2283</v>
      </c>
      <c r="D778">
        <v>614.95000000000005</v>
      </c>
      <c r="E778">
        <v>0.41099999999999998</v>
      </c>
      <c r="F778">
        <v>312.7</v>
      </c>
      <c r="G778" t="b">
        <v>1</v>
      </c>
      <c r="H778" t="b">
        <v>1</v>
      </c>
      <c r="I778">
        <v>31872</v>
      </c>
      <c r="J778">
        <v>152.1336515513126</v>
      </c>
    </row>
    <row r="779" spans="1:10" x14ac:dyDescent="0.3">
      <c r="A779" t="s">
        <v>1357</v>
      </c>
      <c r="B779" t="s">
        <v>2387</v>
      </c>
      <c r="C779" t="s">
        <v>148</v>
      </c>
      <c r="D779">
        <v>18.29</v>
      </c>
      <c r="E779">
        <v>1</v>
      </c>
      <c r="F779">
        <v>100</v>
      </c>
      <c r="G779" t="b">
        <v>1</v>
      </c>
      <c r="H779" t="b">
        <v>1</v>
      </c>
      <c r="I779">
        <v>1915</v>
      </c>
      <c r="J779">
        <v>9.1408114558472544</v>
      </c>
    </row>
    <row r="780" spans="1:10" x14ac:dyDescent="0.3">
      <c r="A780" t="s">
        <v>1358</v>
      </c>
      <c r="B780" t="s">
        <v>2282</v>
      </c>
      <c r="C780" t="s">
        <v>2387</v>
      </c>
      <c r="D780">
        <v>76.22</v>
      </c>
      <c r="E780">
        <v>0.28199999999999997</v>
      </c>
      <c r="F780">
        <v>160.30000000000001</v>
      </c>
      <c r="G780" t="b">
        <v>1</v>
      </c>
      <c r="H780" t="b">
        <v>1</v>
      </c>
      <c r="I780">
        <v>5533</v>
      </c>
      <c r="J780">
        <v>26.410501193317419</v>
      </c>
    </row>
    <row r="781" spans="1:10" x14ac:dyDescent="0.3">
      <c r="A781" t="s">
        <v>1359</v>
      </c>
      <c r="B781" t="s">
        <v>2388</v>
      </c>
      <c r="C781" t="s">
        <v>147</v>
      </c>
      <c r="D781">
        <v>10.78</v>
      </c>
      <c r="E781">
        <v>0.25900000000000001</v>
      </c>
      <c r="F781">
        <v>82.5</v>
      </c>
      <c r="G781" t="b">
        <v>1</v>
      </c>
      <c r="H781" t="b">
        <v>1</v>
      </c>
      <c r="I781">
        <v>962</v>
      </c>
      <c r="J781">
        <v>4.5918854415274453</v>
      </c>
    </row>
    <row r="782" spans="1:10" x14ac:dyDescent="0.3">
      <c r="A782" t="s">
        <v>1360</v>
      </c>
      <c r="B782" t="s">
        <v>2389</v>
      </c>
      <c r="C782" t="s">
        <v>2388</v>
      </c>
      <c r="D782">
        <v>91.73</v>
      </c>
      <c r="E782">
        <v>0.25900000000000001</v>
      </c>
      <c r="F782">
        <v>82.5</v>
      </c>
      <c r="G782" t="b">
        <v>1</v>
      </c>
      <c r="H782" t="b">
        <v>1</v>
      </c>
      <c r="I782">
        <v>962</v>
      </c>
      <c r="J782">
        <v>4.5918854415274453</v>
      </c>
    </row>
    <row r="783" spans="1:10" x14ac:dyDescent="0.3">
      <c r="A783" t="s">
        <v>1361</v>
      </c>
      <c r="B783" t="s">
        <v>2390</v>
      </c>
      <c r="C783" t="s">
        <v>146</v>
      </c>
      <c r="D783">
        <v>6.1</v>
      </c>
      <c r="E783">
        <v>1</v>
      </c>
      <c r="F783">
        <v>100</v>
      </c>
      <c r="G783" t="b">
        <v>1</v>
      </c>
      <c r="H783" t="b">
        <v>1</v>
      </c>
      <c r="I783">
        <v>1915</v>
      </c>
      <c r="J783">
        <v>9.1408114558472544</v>
      </c>
    </row>
    <row r="784" spans="1:10" x14ac:dyDescent="0.3">
      <c r="A784" t="s">
        <v>1362</v>
      </c>
      <c r="B784" t="s">
        <v>2391</v>
      </c>
      <c r="C784" t="s">
        <v>145</v>
      </c>
      <c r="D784">
        <v>8.08</v>
      </c>
      <c r="E784">
        <v>1</v>
      </c>
      <c r="F784">
        <v>100</v>
      </c>
      <c r="G784" t="b">
        <v>1</v>
      </c>
      <c r="H784" t="b">
        <v>1</v>
      </c>
      <c r="I784">
        <v>1915</v>
      </c>
      <c r="J784">
        <v>9.1408114558472544</v>
      </c>
    </row>
    <row r="785" spans="1:10" x14ac:dyDescent="0.3">
      <c r="A785" t="s">
        <v>1363</v>
      </c>
      <c r="B785" t="s">
        <v>2391</v>
      </c>
      <c r="C785" t="s">
        <v>144</v>
      </c>
      <c r="D785">
        <v>11.97</v>
      </c>
      <c r="E785">
        <v>1</v>
      </c>
      <c r="F785">
        <v>100</v>
      </c>
      <c r="G785" t="b">
        <v>1</v>
      </c>
      <c r="H785" t="b">
        <v>1</v>
      </c>
      <c r="I785">
        <v>1915</v>
      </c>
      <c r="J785">
        <v>9.1408114558472544</v>
      </c>
    </row>
    <row r="786" spans="1:10" x14ac:dyDescent="0.3">
      <c r="A786" t="s">
        <v>1364</v>
      </c>
      <c r="B786" t="s">
        <v>2392</v>
      </c>
      <c r="C786" t="s">
        <v>143</v>
      </c>
      <c r="D786">
        <v>21.25</v>
      </c>
      <c r="E786">
        <v>1</v>
      </c>
      <c r="F786">
        <v>100</v>
      </c>
      <c r="G786" t="b">
        <v>1</v>
      </c>
      <c r="H786" t="b">
        <v>1</v>
      </c>
      <c r="I786">
        <v>1915</v>
      </c>
      <c r="J786">
        <v>9.1408114558472544</v>
      </c>
    </row>
    <row r="787" spans="1:10" x14ac:dyDescent="0.3">
      <c r="A787" t="s">
        <v>1365</v>
      </c>
      <c r="B787" t="s">
        <v>2392</v>
      </c>
      <c r="C787" t="s">
        <v>2409</v>
      </c>
      <c r="D787">
        <v>25.33</v>
      </c>
      <c r="E787">
        <v>0.217</v>
      </c>
      <c r="F787">
        <v>82.5</v>
      </c>
      <c r="G787" t="b">
        <v>1</v>
      </c>
      <c r="H787" t="b">
        <v>1</v>
      </c>
      <c r="I787">
        <v>962</v>
      </c>
      <c r="J787">
        <v>4.5918854415274453</v>
      </c>
    </row>
    <row r="788" spans="1:10" x14ac:dyDescent="0.3">
      <c r="A788" t="s">
        <v>1366</v>
      </c>
      <c r="B788" t="s">
        <v>2393</v>
      </c>
      <c r="C788" t="s">
        <v>142</v>
      </c>
      <c r="D788">
        <v>20.46</v>
      </c>
      <c r="E788">
        <v>1</v>
      </c>
      <c r="F788">
        <v>100</v>
      </c>
      <c r="G788" t="b">
        <v>1</v>
      </c>
      <c r="H788" t="b">
        <v>1</v>
      </c>
      <c r="I788">
        <v>1915</v>
      </c>
      <c r="J788">
        <v>9.1408114558472544</v>
      </c>
    </row>
    <row r="789" spans="1:10" x14ac:dyDescent="0.3">
      <c r="A789" t="s">
        <v>1367</v>
      </c>
      <c r="B789" t="s">
        <v>2393</v>
      </c>
      <c r="C789" t="s">
        <v>2392</v>
      </c>
      <c r="D789">
        <v>19</v>
      </c>
      <c r="E789">
        <v>0.217</v>
      </c>
      <c r="F789">
        <v>82.5</v>
      </c>
      <c r="G789" t="b">
        <v>1</v>
      </c>
      <c r="H789" t="b">
        <v>1</v>
      </c>
      <c r="I789">
        <v>962</v>
      </c>
      <c r="J789">
        <v>4.5918854415274453</v>
      </c>
    </row>
    <row r="790" spans="1:10" x14ac:dyDescent="0.3">
      <c r="A790" t="s">
        <v>1368</v>
      </c>
      <c r="B790" t="s">
        <v>2394</v>
      </c>
      <c r="C790" t="s">
        <v>141</v>
      </c>
      <c r="D790">
        <v>7.68</v>
      </c>
      <c r="E790">
        <v>1</v>
      </c>
      <c r="F790">
        <v>100</v>
      </c>
      <c r="G790" t="b">
        <v>1</v>
      </c>
      <c r="H790" t="b">
        <v>1</v>
      </c>
      <c r="I790">
        <v>1915</v>
      </c>
      <c r="J790">
        <v>9.1408114558472544</v>
      </c>
    </row>
    <row r="791" spans="1:10" x14ac:dyDescent="0.3">
      <c r="A791" t="s">
        <v>1369</v>
      </c>
      <c r="B791" t="s">
        <v>2394</v>
      </c>
      <c r="C791" t="s">
        <v>2393</v>
      </c>
      <c r="D791">
        <v>28.63</v>
      </c>
      <c r="E791">
        <v>0.217</v>
      </c>
      <c r="F791">
        <v>82.5</v>
      </c>
      <c r="G791" t="b">
        <v>1</v>
      </c>
      <c r="H791" t="b">
        <v>1</v>
      </c>
      <c r="I791">
        <v>962</v>
      </c>
      <c r="J791">
        <v>4.5918854415274453</v>
      </c>
    </row>
    <row r="792" spans="1:10" x14ac:dyDescent="0.3">
      <c r="A792" t="s">
        <v>1370</v>
      </c>
      <c r="B792" t="s">
        <v>2395</v>
      </c>
      <c r="C792" t="s">
        <v>140</v>
      </c>
      <c r="D792">
        <v>22.17</v>
      </c>
      <c r="E792">
        <v>0.13400000000000001</v>
      </c>
      <c r="F792">
        <v>28.5</v>
      </c>
      <c r="G792" t="b">
        <v>1</v>
      </c>
      <c r="H792" t="b">
        <v>1</v>
      </c>
      <c r="I792">
        <v>60</v>
      </c>
      <c r="J792">
        <v>0.28639618138424822</v>
      </c>
    </row>
    <row r="793" spans="1:10" x14ac:dyDescent="0.3">
      <c r="A793" t="s">
        <v>1371</v>
      </c>
      <c r="B793" t="s">
        <v>2395</v>
      </c>
      <c r="C793" t="s">
        <v>139</v>
      </c>
      <c r="D793">
        <v>14.09</v>
      </c>
      <c r="E793">
        <v>1</v>
      </c>
      <c r="F793">
        <v>100</v>
      </c>
      <c r="G793" t="b">
        <v>1</v>
      </c>
      <c r="H793" t="b">
        <v>1</v>
      </c>
      <c r="I793">
        <v>1915</v>
      </c>
      <c r="J793">
        <v>9.1408114558472544</v>
      </c>
    </row>
    <row r="794" spans="1:10" x14ac:dyDescent="0.3">
      <c r="A794" t="s">
        <v>1372</v>
      </c>
      <c r="B794" t="s">
        <v>2396</v>
      </c>
      <c r="C794" t="s">
        <v>138</v>
      </c>
      <c r="D794">
        <v>19.64</v>
      </c>
      <c r="E794">
        <v>1</v>
      </c>
      <c r="F794">
        <v>100</v>
      </c>
      <c r="G794" t="b">
        <v>1</v>
      </c>
      <c r="H794" t="b">
        <v>1</v>
      </c>
      <c r="I794">
        <v>1915</v>
      </c>
      <c r="J794">
        <v>9.1408114558472544</v>
      </c>
    </row>
    <row r="795" spans="1:10" x14ac:dyDescent="0.3">
      <c r="A795" t="s">
        <v>1373</v>
      </c>
      <c r="B795" t="s">
        <v>2397</v>
      </c>
      <c r="C795" t="s">
        <v>137</v>
      </c>
      <c r="D795">
        <v>12.86</v>
      </c>
      <c r="E795">
        <v>1</v>
      </c>
      <c r="F795">
        <v>100</v>
      </c>
      <c r="G795" t="b">
        <v>1</v>
      </c>
      <c r="H795" t="b">
        <v>1</v>
      </c>
      <c r="I795">
        <v>1915</v>
      </c>
      <c r="J795">
        <v>9.1408114558472544</v>
      </c>
    </row>
    <row r="796" spans="1:10" x14ac:dyDescent="0.3">
      <c r="A796" t="s">
        <v>1374</v>
      </c>
      <c r="B796" t="s">
        <v>2397</v>
      </c>
      <c r="C796" t="s">
        <v>2396</v>
      </c>
      <c r="D796">
        <v>13.93</v>
      </c>
      <c r="E796">
        <v>0.217</v>
      </c>
      <c r="F796">
        <v>82.5</v>
      </c>
      <c r="G796" t="b">
        <v>1</v>
      </c>
      <c r="H796" t="b">
        <v>1</v>
      </c>
      <c r="I796">
        <v>962</v>
      </c>
      <c r="J796">
        <v>4.5918854415274453</v>
      </c>
    </row>
    <row r="797" spans="1:10" x14ac:dyDescent="0.3">
      <c r="A797" t="s">
        <v>1375</v>
      </c>
      <c r="B797" t="s">
        <v>2398</v>
      </c>
      <c r="C797" t="s">
        <v>136</v>
      </c>
      <c r="D797">
        <v>22.96</v>
      </c>
      <c r="E797">
        <v>1</v>
      </c>
      <c r="F797">
        <v>100</v>
      </c>
      <c r="G797" t="b">
        <v>1</v>
      </c>
      <c r="H797" t="b">
        <v>1</v>
      </c>
      <c r="I797">
        <v>1915</v>
      </c>
      <c r="J797">
        <v>9.1408114558472544</v>
      </c>
    </row>
    <row r="798" spans="1:10" x14ac:dyDescent="0.3">
      <c r="A798" t="s">
        <v>1376</v>
      </c>
      <c r="B798" t="s">
        <v>2399</v>
      </c>
      <c r="C798" t="s">
        <v>135</v>
      </c>
      <c r="D798">
        <v>5.69</v>
      </c>
      <c r="E798">
        <v>1</v>
      </c>
      <c r="F798">
        <v>100</v>
      </c>
      <c r="G798" t="b">
        <v>1</v>
      </c>
      <c r="H798" t="b">
        <v>1</v>
      </c>
      <c r="I798">
        <v>1915</v>
      </c>
      <c r="J798">
        <v>9.1408114558472544</v>
      </c>
    </row>
    <row r="799" spans="1:10" x14ac:dyDescent="0.3">
      <c r="A799" t="s">
        <v>1377</v>
      </c>
      <c r="B799" t="s">
        <v>2399</v>
      </c>
      <c r="C799" t="s">
        <v>134</v>
      </c>
      <c r="D799">
        <v>4.62</v>
      </c>
      <c r="E799">
        <v>1</v>
      </c>
      <c r="F799">
        <v>100</v>
      </c>
      <c r="G799" t="b">
        <v>1</v>
      </c>
      <c r="H799" t="b">
        <v>1</v>
      </c>
      <c r="I799">
        <v>1915</v>
      </c>
      <c r="J799">
        <v>9.1408114558472544</v>
      </c>
    </row>
    <row r="800" spans="1:10" x14ac:dyDescent="0.3">
      <c r="A800" t="s">
        <v>1378</v>
      </c>
      <c r="B800" t="s">
        <v>2400</v>
      </c>
      <c r="C800" t="s">
        <v>2472</v>
      </c>
      <c r="D800">
        <v>16.11</v>
      </c>
      <c r="E800">
        <v>0.28199999999999997</v>
      </c>
      <c r="F800">
        <v>160.30000000000001</v>
      </c>
      <c r="G800" t="b">
        <v>1</v>
      </c>
      <c r="H800" t="b">
        <v>1</v>
      </c>
      <c r="I800">
        <v>5533</v>
      </c>
      <c r="J800">
        <v>26.410501193317419</v>
      </c>
    </row>
    <row r="801" spans="1:10" x14ac:dyDescent="0.3">
      <c r="A801" t="s">
        <v>1379</v>
      </c>
      <c r="B801" t="s">
        <v>2401</v>
      </c>
      <c r="C801" t="s">
        <v>2485</v>
      </c>
      <c r="D801">
        <v>119.31</v>
      </c>
      <c r="E801">
        <v>0.28199999999999997</v>
      </c>
      <c r="F801">
        <v>160.30000000000001</v>
      </c>
      <c r="G801" t="b">
        <v>1</v>
      </c>
      <c r="H801" t="b">
        <v>1</v>
      </c>
      <c r="I801">
        <v>5533</v>
      </c>
      <c r="J801">
        <v>26.410501193317419</v>
      </c>
    </row>
    <row r="802" spans="1:10" x14ac:dyDescent="0.3">
      <c r="A802" t="s">
        <v>1380</v>
      </c>
      <c r="B802" t="s">
        <v>2402</v>
      </c>
      <c r="C802" t="s">
        <v>133</v>
      </c>
      <c r="D802">
        <v>6.56</v>
      </c>
      <c r="E802">
        <v>0.16600000000000001</v>
      </c>
      <c r="F802">
        <v>43.1</v>
      </c>
      <c r="G802" t="b">
        <v>1</v>
      </c>
      <c r="H802" t="b">
        <v>1</v>
      </c>
      <c r="I802">
        <v>172</v>
      </c>
      <c r="J802">
        <v>0.82100238663484471</v>
      </c>
    </row>
    <row r="803" spans="1:10" x14ac:dyDescent="0.3">
      <c r="A803" t="s">
        <v>1381</v>
      </c>
      <c r="B803" t="s">
        <v>2217</v>
      </c>
      <c r="C803" t="s">
        <v>2373</v>
      </c>
      <c r="D803">
        <v>21.56</v>
      </c>
      <c r="E803">
        <v>0.37</v>
      </c>
      <c r="F803">
        <v>210.1</v>
      </c>
      <c r="G803" t="b">
        <v>1</v>
      </c>
      <c r="H803" t="b">
        <v>1</v>
      </c>
      <c r="I803">
        <v>11253</v>
      </c>
      <c r="J803">
        <v>53.713603818615738</v>
      </c>
    </row>
    <row r="804" spans="1:10" x14ac:dyDescent="0.3">
      <c r="A804" t="s">
        <v>1382</v>
      </c>
      <c r="B804" t="s">
        <v>2379</v>
      </c>
      <c r="C804" t="s">
        <v>2449</v>
      </c>
      <c r="D804">
        <v>118.38</v>
      </c>
      <c r="E804">
        <v>0.37</v>
      </c>
      <c r="F804">
        <v>210.1</v>
      </c>
      <c r="G804" t="b">
        <v>1</v>
      </c>
      <c r="H804" t="b">
        <v>1</v>
      </c>
      <c r="I804">
        <v>11253</v>
      </c>
      <c r="J804">
        <v>53.713603818615738</v>
      </c>
    </row>
    <row r="805" spans="1:10" x14ac:dyDescent="0.3">
      <c r="A805" t="s">
        <v>1383</v>
      </c>
      <c r="B805" t="s">
        <v>2403</v>
      </c>
      <c r="C805" t="s">
        <v>2248</v>
      </c>
      <c r="D805">
        <v>2.39</v>
      </c>
      <c r="E805">
        <v>0.20499999999999999</v>
      </c>
      <c r="F805">
        <v>70.3</v>
      </c>
      <c r="G805" t="b">
        <v>1</v>
      </c>
      <c r="H805" t="b">
        <v>1</v>
      </c>
      <c r="I805">
        <v>630</v>
      </c>
      <c r="J805">
        <v>3.007159904534606</v>
      </c>
    </row>
    <row r="806" spans="1:10" x14ac:dyDescent="0.3">
      <c r="A806" t="s">
        <v>1384</v>
      </c>
      <c r="B806" t="s">
        <v>2404</v>
      </c>
      <c r="C806" t="s">
        <v>132</v>
      </c>
      <c r="D806">
        <v>15.66</v>
      </c>
      <c r="E806">
        <v>1</v>
      </c>
      <c r="F806">
        <v>100</v>
      </c>
      <c r="G806" t="b">
        <v>1</v>
      </c>
      <c r="H806" t="b">
        <v>1</v>
      </c>
      <c r="I806">
        <v>1915</v>
      </c>
      <c r="J806">
        <v>9.1408114558472544</v>
      </c>
    </row>
    <row r="807" spans="1:10" x14ac:dyDescent="0.3">
      <c r="A807" t="s">
        <v>1385</v>
      </c>
      <c r="B807" t="s">
        <v>2405</v>
      </c>
      <c r="C807" t="s">
        <v>85</v>
      </c>
      <c r="D807">
        <v>111.99</v>
      </c>
      <c r="E807">
        <v>0.16600000000000001</v>
      </c>
      <c r="F807">
        <v>43.1</v>
      </c>
      <c r="G807" t="b">
        <v>1</v>
      </c>
      <c r="H807" t="b">
        <v>1</v>
      </c>
      <c r="I807">
        <v>172</v>
      </c>
      <c r="J807">
        <v>0.82100238663484471</v>
      </c>
    </row>
    <row r="808" spans="1:10" x14ac:dyDescent="0.3">
      <c r="A808" t="s">
        <v>1386</v>
      </c>
      <c r="B808" t="s">
        <v>2406</v>
      </c>
      <c r="C808" t="s">
        <v>129</v>
      </c>
      <c r="D808">
        <v>1.1499999999999999</v>
      </c>
      <c r="E808">
        <v>1</v>
      </c>
      <c r="F808">
        <v>100</v>
      </c>
      <c r="G808" t="b">
        <v>1</v>
      </c>
      <c r="H808" t="b">
        <v>1</v>
      </c>
      <c r="I808">
        <v>1915</v>
      </c>
      <c r="J808">
        <v>9.1408114558472544</v>
      </c>
    </row>
    <row r="809" spans="1:10" x14ac:dyDescent="0.3">
      <c r="A809" t="s">
        <v>1387</v>
      </c>
      <c r="B809" t="s">
        <v>2064</v>
      </c>
      <c r="C809" t="s">
        <v>128</v>
      </c>
      <c r="D809">
        <v>3.94</v>
      </c>
      <c r="E809">
        <v>0.16600000000000001</v>
      </c>
      <c r="F809">
        <v>43.1</v>
      </c>
      <c r="G809" t="b">
        <v>1</v>
      </c>
      <c r="H809" t="b">
        <v>1</v>
      </c>
      <c r="I809">
        <v>172</v>
      </c>
      <c r="J809">
        <v>0.82100238663484471</v>
      </c>
    </row>
    <row r="810" spans="1:10" x14ac:dyDescent="0.3">
      <c r="A810" t="s">
        <v>1388</v>
      </c>
      <c r="B810" t="s">
        <v>2407</v>
      </c>
      <c r="C810" t="s">
        <v>2084</v>
      </c>
      <c r="D810">
        <v>33.799999999999997</v>
      </c>
      <c r="E810">
        <v>0.30599999999999999</v>
      </c>
      <c r="F810">
        <v>132.5</v>
      </c>
      <c r="G810" t="b">
        <v>1</v>
      </c>
      <c r="H810" t="b">
        <v>1</v>
      </c>
      <c r="I810">
        <v>3354</v>
      </c>
      <c r="J810">
        <v>16.009546539379471</v>
      </c>
    </row>
    <row r="811" spans="1:10" x14ac:dyDescent="0.3">
      <c r="A811" t="s">
        <v>1389</v>
      </c>
      <c r="B811" t="s">
        <v>2166</v>
      </c>
      <c r="C811" t="s">
        <v>2450</v>
      </c>
      <c r="D811">
        <v>5.38</v>
      </c>
      <c r="E811">
        <v>0.28199999999999997</v>
      </c>
      <c r="F811">
        <v>160.30000000000001</v>
      </c>
      <c r="G811" t="b">
        <v>1</v>
      </c>
      <c r="H811" t="b">
        <v>1</v>
      </c>
      <c r="I811">
        <v>5533</v>
      </c>
      <c r="J811">
        <v>26.410501193317419</v>
      </c>
    </row>
    <row r="812" spans="1:10" x14ac:dyDescent="0.3">
      <c r="A812" t="s">
        <v>1390</v>
      </c>
      <c r="B812" t="s">
        <v>2074</v>
      </c>
      <c r="C812" t="s">
        <v>127</v>
      </c>
      <c r="D812">
        <v>119.15</v>
      </c>
      <c r="E812">
        <v>0.18</v>
      </c>
      <c r="F812">
        <v>54.5</v>
      </c>
      <c r="G812" t="b">
        <v>1</v>
      </c>
      <c r="H812" t="b">
        <v>1</v>
      </c>
      <c r="I812">
        <v>321</v>
      </c>
      <c r="J812">
        <v>1.532219570405728</v>
      </c>
    </row>
    <row r="813" spans="1:10" x14ac:dyDescent="0.3">
      <c r="A813" t="s">
        <v>1391</v>
      </c>
      <c r="B813" t="s">
        <v>2259</v>
      </c>
      <c r="C813" t="s">
        <v>126</v>
      </c>
      <c r="D813">
        <v>99.34</v>
      </c>
      <c r="E813">
        <v>1</v>
      </c>
      <c r="F813">
        <v>100</v>
      </c>
      <c r="G813" t="b">
        <v>1</v>
      </c>
      <c r="H813" t="b">
        <v>1</v>
      </c>
      <c r="I813">
        <v>1915</v>
      </c>
      <c r="J813">
        <v>9.1408114558472544</v>
      </c>
    </row>
    <row r="814" spans="1:10" x14ac:dyDescent="0.3">
      <c r="A814" t="s">
        <v>1392</v>
      </c>
      <c r="B814" t="s">
        <v>2408</v>
      </c>
      <c r="C814" t="s">
        <v>2036</v>
      </c>
      <c r="D814">
        <v>17.72</v>
      </c>
      <c r="E814">
        <v>0.28199999999999997</v>
      </c>
      <c r="F814">
        <v>160.30000000000001</v>
      </c>
      <c r="G814" t="b">
        <v>1</v>
      </c>
      <c r="H814" t="b">
        <v>1</v>
      </c>
      <c r="I814">
        <v>5533</v>
      </c>
      <c r="J814">
        <v>26.410501193317419</v>
      </c>
    </row>
    <row r="815" spans="1:10" x14ac:dyDescent="0.3">
      <c r="A815" t="s">
        <v>1393</v>
      </c>
      <c r="B815" t="s">
        <v>2409</v>
      </c>
      <c r="C815" t="s">
        <v>2391</v>
      </c>
      <c r="D815">
        <v>2.25</v>
      </c>
      <c r="E815">
        <v>1</v>
      </c>
      <c r="F815">
        <v>100</v>
      </c>
      <c r="G815" t="b">
        <v>1</v>
      </c>
      <c r="H815" t="b">
        <v>1</v>
      </c>
      <c r="I815">
        <v>1915</v>
      </c>
      <c r="J815">
        <v>9.1408114558472544</v>
      </c>
    </row>
    <row r="816" spans="1:10" x14ac:dyDescent="0.3">
      <c r="A816" t="s">
        <v>1394</v>
      </c>
      <c r="B816" t="s">
        <v>2410</v>
      </c>
      <c r="C816" t="s">
        <v>125</v>
      </c>
      <c r="D816">
        <v>73.55</v>
      </c>
      <c r="E816">
        <v>0.16600000000000001</v>
      </c>
      <c r="F816">
        <v>43.1</v>
      </c>
      <c r="G816" t="b">
        <v>1</v>
      </c>
      <c r="H816" t="b">
        <v>1</v>
      </c>
      <c r="I816">
        <v>172</v>
      </c>
      <c r="J816">
        <v>0.82100238663484471</v>
      </c>
    </row>
    <row r="817" spans="1:10" x14ac:dyDescent="0.3">
      <c r="A817" t="s">
        <v>1395</v>
      </c>
      <c r="B817" t="s">
        <v>2386</v>
      </c>
      <c r="C817" t="s">
        <v>2431</v>
      </c>
      <c r="D817">
        <v>55.17</v>
      </c>
      <c r="E817">
        <v>0.217</v>
      </c>
      <c r="F817">
        <v>82.5</v>
      </c>
      <c r="G817" t="b">
        <v>1</v>
      </c>
      <c r="H817" t="b">
        <v>1</v>
      </c>
      <c r="I817">
        <v>962</v>
      </c>
      <c r="J817">
        <v>4.5918854415274453</v>
      </c>
    </row>
    <row r="818" spans="1:10" x14ac:dyDescent="0.3">
      <c r="A818" t="s">
        <v>1396</v>
      </c>
      <c r="B818" t="s">
        <v>2388</v>
      </c>
      <c r="C818" t="s">
        <v>124</v>
      </c>
      <c r="D818">
        <v>5.51</v>
      </c>
      <c r="E818">
        <v>1</v>
      </c>
      <c r="F818">
        <v>100</v>
      </c>
      <c r="G818" t="b">
        <v>1</v>
      </c>
      <c r="H818" t="b">
        <v>1</v>
      </c>
      <c r="I818">
        <v>1915</v>
      </c>
      <c r="J818">
        <v>9.1408114558472544</v>
      </c>
    </row>
    <row r="819" spans="1:10" x14ac:dyDescent="0.3">
      <c r="A819" t="s">
        <v>1397</v>
      </c>
      <c r="B819" t="s">
        <v>2411</v>
      </c>
      <c r="C819" t="s">
        <v>2468</v>
      </c>
      <c r="D819">
        <v>4.6399999999999997</v>
      </c>
      <c r="E819">
        <v>0.217</v>
      </c>
      <c r="F819">
        <v>82.5</v>
      </c>
      <c r="G819" t="b">
        <v>1</v>
      </c>
      <c r="H819" t="b">
        <v>1</v>
      </c>
      <c r="I819">
        <v>962</v>
      </c>
      <c r="J819">
        <v>4.5918854415274453</v>
      </c>
    </row>
    <row r="820" spans="1:10" x14ac:dyDescent="0.3">
      <c r="A820" t="s">
        <v>1398</v>
      </c>
      <c r="B820" t="s">
        <v>2412</v>
      </c>
      <c r="C820" t="s">
        <v>123</v>
      </c>
      <c r="D820">
        <v>43.06</v>
      </c>
      <c r="E820">
        <v>0.21299999999999999</v>
      </c>
      <c r="F820">
        <v>54.5</v>
      </c>
      <c r="G820" t="b">
        <v>1</v>
      </c>
      <c r="H820" t="b">
        <v>1</v>
      </c>
      <c r="I820">
        <v>321</v>
      </c>
      <c r="J820">
        <v>1.532219570405728</v>
      </c>
    </row>
    <row r="821" spans="1:10" x14ac:dyDescent="0.3">
      <c r="A821" t="s">
        <v>1399</v>
      </c>
      <c r="B821" t="s">
        <v>2413</v>
      </c>
      <c r="C821" t="s">
        <v>122</v>
      </c>
      <c r="D821">
        <v>8.41</v>
      </c>
      <c r="E821">
        <v>1</v>
      </c>
      <c r="F821">
        <v>100</v>
      </c>
      <c r="G821" t="b">
        <v>1</v>
      </c>
      <c r="H821" t="b">
        <v>1</v>
      </c>
      <c r="I821">
        <v>1915</v>
      </c>
      <c r="J821">
        <v>9.1408114558472544</v>
      </c>
    </row>
    <row r="822" spans="1:10" x14ac:dyDescent="0.3">
      <c r="A822" t="s">
        <v>1400</v>
      </c>
      <c r="B822" t="s">
        <v>2414</v>
      </c>
      <c r="C822" t="s">
        <v>121</v>
      </c>
      <c r="D822">
        <v>6.24</v>
      </c>
      <c r="E822">
        <v>1</v>
      </c>
      <c r="F822">
        <v>100</v>
      </c>
      <c r="G822" t="b">
        <v>1</v>
      </c>
      <c r="H822" t="b">
        <v>1</v>
      </c>
      <c r="I822">
        <v>1915</v>
      </c>
      <c r="J822">
        <v>9.1408114558472544</v>
      </c>
    </row>
    <row r="823" spans="1:10" x14ac:dyDescent="0.3">
      <c r="A823" t="s">
        <v>1401</v>
      </c>
      <c r="B823" t="s">
        <v>2413</v>
      </c>
      <c r="C823" t="s">
        <v>2414</v>
      </c>
      <c r="D823">
        <v>14.82</v>
      </c>
      <c r="E823">
        <v>0.28199999999999997</v>
      </c>
      <c r="F823">
        <v>160.30000000000001</v>
      </c>
      <c r="G823" t="b">
        <v>1</v>
      </c>
      <c r="H823" t="b">
        <v>1</v>
      </c>
      <c r="I823">
        <v>5533</v>
      </c>
      <c r="J823">
        <v>26.410501193317419</v>
      </c>
    </row>
    <row r="824" spans="1:10" x14ac:dyDescent="0.3">
      <c r="A824" t="s">
        <v>1402</v>
      </c>
      <c r="B824" t="s">
        <v>2097</v>
      </c>
      <c r="C824" t="s">
        <v>2413</v>
      </c>
      <c r="D824">
        <v>113.6</v>
      </c>
      <c r="E824">
        <v>0.28199999999999997</v>
      </c>
      <c r="F824">
        <v>160.30000000000001</v>
      </c>
      <c r="G824" t="b">
        <v>1</v>
      </c>
      <c r="H824" t="b">
        <v>1</v>
      </c>
      <c r="I824">
        <v>5533</v>
      </c>
      <c r="J824">
        <v>26.410501193317419</v>
      </c>
    </row>
    <row r="825" spans="1:10" x14ac:dyDescent="0.3">
      <c r="A825" t="s">
        <v>1403</v>
      </c>
      <c r="B825" t="s">
        <v>2384</v>
      </c>
      <c r="C825" t="s">
        <v>2097</v>
      </c>
      <c r="D825">
        <v>0.71</v>
      </c>
      <c r="E825">
        <v>0.28199999999999997</v>
      </c>
      <c r="F825">
        <v>160.30000000000001</v>
      </c>
      <c r="G825" t="b">
        <v>1</v>
      </c>
      <c r="H825" t="b">
        <v>1</v>
      </c>
      <c r="I825">
        <v>5533</v>
      </c>
      <c r="J825">
        <v>26.410501193317419</v>
      </c>
    </row>
    <row r="826" spans="1:10" x14ac:dyDescent="0.3">
      <c r="A826" t="s">
        <v>1404</v>
      </c>
      <c r="B826" t="s">
        <v>2415</v>
      </c>
      <c r="C826" t="s">
        <v>119</v>
      </c>
      <c r="D826">
        <v>2.77</v>
      </c>
      <c r="E826">
        <v>1</v>
      </c>
      <c r="F826">
        <v>100</v>
      </c>
      <c r="G826" t="b">
        <v>1</v>
      </c>
      <c r="H826" t="b">
        <v>1</v>
      </c>
      <c r="I826">
        <v>1915</v>
      </c>
      <c r="J826">
        <v>9.1408114558472544</v>
      </c>
    </row>
    <row r="827" spans="1:10" x14ac:dyDescent="0.3">
      <c r="A827" t="s">
        <v>1405</v>
      </c>
      <c r="B827" t="s">
        <v>2373</v>
      </c>
      <c r="C827" t="s">
        <v>2473</v>
      </c>
      <c r="D827">
        <v>51.29</v>
      </c>
      <c r="E827">
        <v>0.37</v>
      </c>
      <c r="F827">
        <v>210.1</v>
      </c>
      <c r="G827" t="b">
        <v>1</v>
      </c>
      <c r="H827" t="b">
        <v>1</v>
      </c>
      <c r="I827">
        <v>11253</v>
      </c>
      <c r="J827">
        <v>53.713603818615738</v>
      </c>
    </row>
    <row r="828" spans="1:10" x14ac:dyDescent="0.3">
      <c r="A828" t="s">
        <v>1406</v>
      </c>
      <c r="B828" t="s">
        <v>2416</v>
      </c>
      <c r="C828" t="s">
        <v>2412</v>
      </c>
      <c r="D828">
        <v>6.1</v>
      </c>
      <c r="E828">
        <v>1</v>
      </c>
      <c r="F828">
        <v>100</v>
      </c>
      <c r="G828" t="b">
        <v>1</v>
      </c>
      <c r="H828" t="b">
        <v>1</v>
      </c>
      <c r="I828">
        <v>1915</v>
      </c>
      <c r="J828">
        <v>9.1408114558472544</v>
      </c>
    </row>
    <row r="829" spans="1:10" x14ac:dyDescent="0.3">
      <c r="A829" t="s">
        <v>1407</v>
      </c>
      <c r="B829" t="s">
        <v>2417</v>
      </c>
      <c r="C829" t="s">
        <v>2399</v>
      </c>
      <c r="D829">
        <v>13.14</v>
      </c>
      <c r="E829">
        <v>1</v>
      </c>
      <c r="F829">
        <v>100</v>
      </c>
      <c r="G829" t="b">
        <v>1</v>
      </c>
      <c r="H829" t="b">
        <v>1</v>
      </c>
      <c r="I829">
        <v>1915</v>
      </c>
      <c r="J829">
        <v>9.1408114558472544</v>
      </c>
    </row>
    <row r="830" spans="1:10" x14ac:dyDescent="0.3">
      <c r="A830" t="s">
        <v>1408</v>
      </c>
      <c r="B830" t="s">
        <v>2418</v>
      </c>
      <c r="C830" t="s">
        <v>116</v>
      </c>
      <c r="D830">
        <v>4.84</v>
      </c>
      <c r="E830">
        <v>1</v>
      </c>
      <c r="F830">
        <v>100</v>
      </c>
      <c r="G830" t="b">
        <v>1</v>
      </c>
      <c r="H830" t="b">
        <v>1</v>
      </c>
      <c r="I830">
        <v>1915</v>
      </c>
      <c r="J830">
        <v>9.1408114558472544</v>
      </c>
    </row>
    <row r="831" spans="1:10" x14ac:dyDescent="0.3">
      <c r="A831" t="s">
        <v>1409</v>
      </c>
      <c r="B831" t="s">
        <v>2396</v>
      </c>
      <c r="C831" t="s">
        <v>115</v>
      </c>
      <c r="D831">
        <v>28.68</v>
      </c>
      <c r="E831">
        <v>1</v>
      </c>
      <c r="F831">
        <v>100</v>
      </c>
      <c r="G831" t="b">
        <v>1</v>
      </c>
      <c r="H831" t="b">
        <v>1</v>
      </c>
      <c r="I831">
        <v>1915</v>
      </c>
      <c r="J831">
        <v>9.1408114558472544</v>
      </c>
    </row>
    <row r="832" spans="1:10" x14ac:dyDescent="0.3">
      <c r="A832" t="s">
        <v>1410</v>
      </c>
      <c r="B832" t="s">
        <v>2419</v>
      </c>
      <c r="C832" t="s">
        <v>114</v>
      </c>
      <c r="D832">
        <v>8.66</v>
      </c>
      <c r="E832">
        <v>1</v>
      </c>
      <c r="F832">
        <v>100</v>
      </c>
      <c r="G832" t="b">
        <v>1</v>
      </c>
      <c r="H832" t="b">
        <v>1</v>
      </c>
      <c r="I832">
        <v>1915</v>
      </c>
      <c r="J832">
        <v>9.1408114558472544</v>
      </c>
    </row>
    <row r="833" spans="1:10" x14ac:dyDescent="0.3">
      <c r="A833" t="s">
        <v>1411</v>
      </c>
      <c r="B833" t="s">
        <v>2419</v>
      </c>
      <c r="C833" t="s">
        <v>2395</v>
      </c>
      <c r="D833">
        <v>14.52</v>
      </c>
      <c r="E833">
        <v>1</v>
      </c>
      <c r="F833">
        <v>100</v>
      </c>
      <c r="G833" t="b">
        <v>1</v>
      </c>
      <c r="H833" t="b">
        <v>1</v>
      </c>
      <c r="I833">
        <v>1915</v>
      </c>
      <c r="J833">
        <v>9.1408114558472544</v>
      </c>
    </row>
    <row r="834" spans="1:10" x14ac:dyDescent="0.3">
      <c r="A834" t="s">
        <v>1412</v>
      </c>
      <c r="B834" t="s">
        <v>2396</v>
      </c>
      <c r="C834" t="s">
        <v>2419</v>
      </c>
      <c r="D834">
        <v>3.75</v>
      </c>
      <c r="E834">
        <v>1</v>
      </c>
      <c r="F834">
        <v>100</v>
      </c>
      <c r="G834" t="b">
        <v>1</v>
      </c>
      <c r="H834" t="b">
        <v>1</v>
      </c>
      <c r="I834">
        <v>1915</v>
      </c>
      <c r="J834">
        <v>9.1408114558472544</v>
      </c>
    </row>
    <row r="835" spans="1:10" x14ac:dyDescent="0.3">
      <c r="A835" t="s">
        <v>1413</v>
      </c>
      <c r="B835" t="s">
        <v>2418</v>
      </c>
      <c r="C835" t="s">
        <v>2397</v>
      </c>
      <c r="D835">
        <v>6.71</v>
      </c>
      <c r="E835">
        <v>0.217</v>
      </c>
      <c r="F835">
        <v>82.5</v>
      </c>
      <c r="G835" t="b">
        <v>1</v>
      </c>
      <c r="H835" t="b">
        <v>1</v>
      </c>
      <c r="I835">
        <v>962</v>
      </c>
      <c r="J835">
        <v>4.5918854415274453</v>
      </c>
    </row>
    <row r="836" spans="1:10" x14ac:dyDescent="0.3">
      <c r="A836" t="s">
        <v>1414</v>
      </c>
      <c r="B836" t="s">
        <v>2417</v>
      </c>
      <c r="C836" t="s">
        <v>2398</v>
      </c>
      <c r="D836">
        <v>13.88</v>
      </c>
      <c r="E836">
        <v>0.217</v>
      </c>
      <c r="F836">
        <v>82.5</v>
      </c>
      <c r="G836" t="b">
        <v>1</v>
      </c>
      <c r="H836" t="b">
        <v>1</v>
      </c>
      <c r="I836">
        <v>962</v>
      </c>
      <c r="J836">
        <v>4.5918854415274453</v>
      </c>
    </row>
    <row r="837" spans="1:10" x14ac:dyDescent="0.3">
      <c r="A837" t="s">
        <v>1415</v>
      </c>
      <c r="B837" t="s">
        <v>2420</v>
      </c>
      <c r="C837" t="s">
        <v>2417</v>
      </c>
      <c r="D837">
        <v>17.93</v>
      </c>
      <c r="E837">
        <v>0.217</v>
      </c>
      <c r="F837">
        <v>82.5</v>
      </c>
      <c r="G837" t="b">
        <v>1</v>
      </c>
      <c r="H837" t="b">
        <v>1</v>
      </c>
      <c r="I837">
        <v>962</v>
      </c>
      <c r="J837">
        <v>4.5918854415274453</v>
      </c>
    </row>
    <row r="838" spans="1:10" x14ac:dyDescent="0.3">
      <c r="A838" t="s">
        <v>1416</v>
      </c>
      <c r="B838" t="s">
        <v>2421</v>
      </c>
      <c r="C838" t="s">
        <v>2416</v>
      </c>
      <c r="D838">
        <v>19.88</v>
      </c>
      <c r="E838">
        <v>0.28199999999999997</v>
      </c>
      <c r="F838">
        <v>160.30000000000001</v>
      </c>
      <c r="G838" t="b">
        <v>1</v>
      </c>
      <c r="H838" t="b">
        <v>1</v>
      </c>
      <c r="I838">
        <v>5533</v>
      </c>
      <c r="J838">
        <v>26.410501193317419</v>
      </c>
    </row>
    <row r="839" spans="1:10" x14ac:dyDescent="0.3">
      <c r="A839" t="s">
        <v>1417</v>
      </c>
      <c r="B839" t="s">
        <v>2421</v>
      </c>
      <c r="C839" t="s">
        <v>113</v>
      </c>
      <c r="D839">
        <v>29.75</v>
      </c>
      <c r="E839">
        <v>1</v>
      </c>
      <c r="F839">
        <v>100</v>
      </c>
      <c r="G839" t="b">
        <v>1</v>
      </c>
      <c r="H839" t="b">
        <v>1</v>
      </c>
      <c r="I839">
        <v>1915</v>
      </c>
      <c r="J839">
        <v>9.1408114558472544</v>
      </c>
    </row>
    <row r="840" spans="1:10" x14ac:dyDescent="0.3">
      <c r="A840" t="s">
        <v>1418</v>
      </c>
      <c r="B840" t="s">
        <v>2261</v>
      </c>
      <c r="C840" t="s">
        <v>112</v>
      </c>
      <c r="D840">
        <v>3.08</v>
      </c>
      <c r="E840">
        <v>1</v>
      </c>
      <c r="F840">
        <v>100</v>
      </c>
      <c r="G840" t="b">
        <v>1</v>
      </c>
      <c r="H840" t="b">
        <v>1</v>
      </c>
      <c r="I840">
        <v>1915</v>
      </c>
      <c r="J840">
        <v>9.1408114558472544</v>
      </c>
    </row>
    <row r="841" spans="1:10" x14ac:dyDescent="0.3">
      <c r="A841" t="s">
        <v>1419</v>
      </c>
      <c r="B841" t="s">
        <v>2422</v>
      </c>
      <c r="C841" t="s">
        <v>1990</v>
      </c>
      <c r="D841">
        <v>84.82</v>
      </c>
      <c r="E841">
        <v>0.254</v>
      </c>
      <c r="F841">
        <v>132.5</v>
      </c>
      <c r="G841" t="b">
        <v>1</v>
      </c>
      <c r="H841" t="b">
        <v>1</v>
      </c>
      <c r="I841">
        <v>3354</v>
      </c>
      <c r="J841">
        <v>16.009546539379471</v>
      </c>
    </row>
    <row r="842" spans="1:10" x14ac:dyDescent="0.3">
      <c r="A842" t="s">
        <v>1420</v>
      </c>
      <c r="B842" t="s">
        <v>2422</v>
      </c>
      <c r="C842" t="s">
        <v>111</v>
      </c>
      <c r="D842">
        <v>66.28</v>
      </c>
      <c r="E842">
        <v>0.18</v>
      </c>
      <c r="F842">
        <v>54.5</v>
      </c>
      <c r="G842" t="b">
        <v>1</v>
      </c>
      <c r="H842" t="b">
        <v>1</v>
      </c>
      <c r="I842">
        <v>321</v>
      </c>
      <c r="J842">
        <v>1.532219570405728</v>
      </c>
    </row>
    <row r="843" spans="1:10" x14ac:dyDescent="0.3">
      <c r="A843" t="s">
        <v>1421</v>
      </c>
      <c r="B843" t="s">
        <v>2423</v>
      </c>
      <c r="C843" t="s">
        <v>2063</v>
      </c>
      <c r="D843">
        <v>1.25</v>
      </c>
      <c r="E843">
        <v>0.29299999999999998</v>
      </c>
      <c r="F843">
        <v>210.1</v>
      </c>
      <c r="G843" t="b">
        <v>1</v>
      </c>
      <c r="H843" t="b">
        <v>1</v>
      </c>
      <c r="I843">
        <v>11253</v>
      </c>
      <c r="J843">
        <v>53.713603818615738</v>
      </c>
    </row>
    <row r="844" spans="1:10" x14ac:dyDescent="0.3">
      <c r="A844" t="s">
        <v>1422</v>
      </c>
      <c r="B844" t="s">
        <v>2412</v>
      </c>
      <c r="C844" t="s">
        <v>84</v>
      </c>
      <c r="D844">
        <v>125.91</v>
      </c>
      <c r="E844">
        <v>0.25900000000000001</v>
      </c>
      <c r="F844">
        <v>82.5</v>
      </c>
      <c r="G844" t="b">
        <v>1</v>
      </c>
      <c r="H844" t="b">
        <v>1</v>
      </c>
      <c r="I844">
        <v>962</v>
      </c>
      <c r="J844">
        <v>4.5918854415274453</v>
      </c>
    </row>
    <row r="845" spans="1:10" x14ac:dyDescent="0.3">
      <c r="A845" t="s">
        <v>1423</v>
      </c>
      <c r="B845" t="s">
        <v>2404</v>
      </c>
      <c r="C845" t="s">
        <v>2508</v>
      </c>
      <c r="D845">
        <v>26.81</v>
      </c>
      <c r="E845">
        <v>0.217</v>
      </c>
      <c r="F845">
        <v>82.5</v>
      </c>
      <c r="G845" t="b">
        <v>1</v>
      </c>
      <c r="H845" t="b">
        <v>1</v>
      </c>
      <c r="I845">
        <v>962</v>
      </c>
      <c r="J845">
        <v>4.5918854415274453</v>
      </c>
    </row>
    <row r="846" spans="1:10" x14ac:dyDescent="0.3">
      <c r="A846" t="s">
        <v>1424</v>
      </c>
      <c r="B846" t="s">
        <v>2424</v>
      </c>
      <c r="C846" t="s">
        <v>2404</v>
      </c>
      <c r="D846">
        <v>5.17</v>
      </c>
      <c r="E846">
        <v>0.217</v>
      </c>
      <c r="F846">
        <v>82.5</v>
      </c>
      <c r="G846" t="b">
        <v>1</v>
      </c>
      <c r="H846" t="b">
        <v>1</v>
      </c>
      <c r="I846">
        <v>962</v>
      </c>
      <c r="J846">
        <v>4.5918854415274453</v>
      </c>
    </row>
    <row r="847" spans="1:10" x14ac:dyDescent="0.3">
      <c r="A847" t="s">
        <v>1425</v>
      </c>
      <c r="B847" t="s">
        <v>110</v>
      </c>
      <c r="C847" t="s">
        <v>2434</v>
      </c>
      <c r="D847">
        <v>13.97</v>
      </c>
      <c r="E847">
        <v>1</v>
      </c>
      <c r="F847">
        <v>100</v>
      </c>
      <c r="G847" t="b">
        <v>1</v>
      </c>
      <c r="H847" t="b">
        <v>1</v>
      </c>
      <c r="I847">
        <v>1915</v>
      </c>
      <c r="J847">
        <v>9.1408114558472544</v>
      </c>
    </row>
    <row r="848" spans="1:10" x14ac:dyDescent="0.3">
      <c r="A848" t="s">
        <v>1426</v>
      </c>
      <c r="B848" t="s">
        <v>2037</v>
      </c>
      <c r="C848" t="s">
        <v>109</v>
      </c>
      <c r="D848">
        <v>12.78</v>
      </c>
      <c r="E848">
        <v>1</v>
      </c>
      <c r="F848">
        <v>100</v>
      </c>
      <c r="G848" t="b">
        <v>1</v>
      </c>
      <c r="H848" t="b">
        <v>1</v>
      </c>
      <c r="I848">
        <v>1915</v>
      </c>
      <c r="J848">
        <v>9.1408114558472544</v>
      </c>
    </row>
    <row r="849" spans="1:10" x14ac:dyDescent="0.3">
      <c r="A849" t="s">
        <v>1427</v>
      </c>
      <c r="B849" t="s">
        <v>2425</v>
      </c>
      <c r="C849" t="s">
        <v>2493</v>
      </c>
      <c r="D849">
        <v>1.59</v>
      </c>
      <c r="E849">
        <v>0.217</v>
      </c>
      <c r="F849">
        <v>82.5</v>
      </c>
      <c r="G849" t="b">
        <v>1</v>
      </c>
      <c r="H849" t="b">
        <v>1</v>
      </c>
      <c r="I849">
        <v>962</v>
      </c>
      <c r="J849">
        <v>4.5918854415274453</v>
      </c>
    </row>
    <row r="850" spans="1:10" x14ac:dyDescent="0.3">
      <c r="A850" t="s">
        <v>1428</v>
      </c>
      <c r="B850" t="s">
        <v>2398</v>
      </c>
      <c r="C850" t="s">
        <v>2418</v>
      </c>
      <c r="D850">
        <v>40.01</v>
      </c>
      <c r="E850">
        <v>0.217</v>
      </c>
      <c r="F850">
        <v>82.5</v>
      </c>
      <c r="G850" t="b">
        <v>1</v>
      </c>
      <c r="H850" t="b">
        <v>1</v>
      </c>
      <c r="I850">
        <v>962</v>
      </c>
      <c r="J850">
        <v>4.5918854415274453</v>
      </c>
    </row>
    <row r="851" spans="1:10" x14ac:dyDescent="0.3">
      <c r="A851" t="s">
        <v>1429</v>
      </c>
      <c r="B851" t="s">
        <v>2426</v>
      </c>
      <c r="C851" t="s">
        <v>1904</v>
      </c>
      <c r="D851">
        <v>0.43</v>
      </c>
      <c r="E851">
        <v>0.156</v>
      </c>
      <c r="F851">
        <v>28.5</v>
      </c>
      <c r="G851" t="b">
        <v>1</v>
      </c>
      <c r="H851" t="b">
        <v>1</v>
      </c>
      <c r="I851">
        <v>60</v>
      </c>
      <c r="J851">
        <v>0.28639618138424822</v>
      </c>
    </row>
    <row r="852" spans="1:10" x14ac:dyDescent="0.3">
      <c r="A852" t="s">
        <v>1430</v>
      </c>
      <c r="B852" t="s">
        <v>2124</v>
      </c>
      <c r="C852" t="s">
        <v>1914</v>
      </c>
      <c r="D852">
        <v>42.87</v>
      </c>
      <c r="E852">
        <v>0.63300000000000001</v>
      </c>
      <c r="F852">
        <v>54.5</v>
      </c>
      <c r="G852" t="b">
        <v>1</v>
      </c>
      <c r="H852" t="b">
        <v>1</v>
      </c>
      <c r="I852">
        <v>321</v>
      </c>
      <c r="J852">
        <v>1.532219570405728</v>
      </c>
    </row>
    <row r="853" spans="1:10" x14ac:dyDescent="0.3">
      <c r="A853" t="s">
        <v>1431</v>
      </c>
      <c r="B853" t="s">
        <v>2427</v>
      </c>
      <c r="C853" t="s">
        <v>2124</v>
      </c>
      <c r="D853">
        <v>11.1</v>
      </c>
      <c r="E853">
        <v>0.18</v>
      </c>
      <c r="F853">
        <v>54.5</v>
      </c>
      <c r="G853" t="b">
        <v>1</v>
      </c>
      <c r="H853" t="b">
        <v>1</v>
      </c>
      <c r="I853">
        <v>321</v>
      </c>
      <c r="J853">
        <v>1.532219570405728</v>
      </c>
    </row>
    <row r="854" spans="1:10" x14ac:dyDescent="0.3">
      <c r="A854" t="s">
        <v>1432</v>
      </c>
      <c r="B854" t="s">
        <v>2427</v>
      </c>
      <c r="C854" t="s">
        <v>107</v>
      </c>
      <c r="D854">
        <v>10.65</v>
      </c>
      <c r="E854">
        <v>1</v>
      </c>
      <c r="F854">
        <v>100</v>
      </c>
      <c r="G854" t="b">
        <v>1</v>
      </c>
      <c r="H854" t="b">
        <v>1</v>
      </c>
      <c r="I854">
        <v>1915</v>
      </c>
      <c r="J854">
        <v>9.1408114558472544</v>
      </c>
    </row>
    <row r="855" spans="1:10" x14ac:dyDescent="0.3">
      <c r="A855" t="s">
        <v>1433</v>
      </c>
      <c r="B855" t="s">
        <v>2428</v>
      </c>
      <c r="C855" t="s">
        <v>2427</v>
      </c>
      <c r="D855">
        <v>20.98</v>
      </c>
      <c r="E855">
        <v>0.18</v>
      </c>
      <c r="F855">
        <v>54.5</v>
      </c>
      <c r="G855" t="b">
        <v>1</v>
      </c>
      <c r="H855" t="b">
        <v>1</v>
      </c>
      <c r="I855">
        <v>321</v>
      </c>
      <c r="J855">
        <v>1.532219570405728</v>
      </c>
    </row>
    <row r="856" spans="1:10" x14ac:dyDescent="0.3">
      <c r="A856" t="s">
        <v>1434</v>
      </c>
      <c r="B856" t="s">
        <v>2428</v>
      </c>
      <c r="C856" t="s">
        <v>106</v>
      </c>
      <c r="D856">
        <v>3.41</v>
      </c>
      <c r="E856">
        <v>1</v>
      </c>
      <c r="F856">
        <v>100</v>
      </c>
      <c r="G856" t="b">
        <v>1</v>
      </c>
      <c r="H856" t="b">
        <v>1</v>
      </c>
      <c r="I856">
        <v>1915</v>
      </c>
      <c r="J856">
        <v>9.1408114558472544</v>
      </c>
    </row>
    <row r="857" spans="1:10" x14ac:dyDescent="0.3">
      <c r="A857" t="s">
        <v>1435</v>
      </c>
      <c r="B857" t="s">
        <v>2428</v>
      </c>
      <c r="C857" t="s">
        <v>105</v>
      </c>
      <c r="D857">
        <v>8.48</v>
      </c>
      <c r="E857">
        <v>1</v>
      </c>
      <c r="F857">
        <v>100</v>
      </c>
      <c r="G857" t="b">
        <v>1</v>
      </c>
      <c r="H857" t="b">
        <v>1</v>
      </c>
      <c r="I857">
        <v>1915</v>
      </c>
      <c r="J857">
        <v>9.1408114558472544</v>
      </c>
    </row>
    <row r="858" spans="1:10" x14ac:dyDescent="0.3">
      <c r="A858" t="s">
        <v>1436</v>
      </c>
      <c r="B858" t="s">
        <v>2429</v>
      </c>
      <c r="C858" t="s">
        <v>2428</v>
      </c>
      <c r="D858">
        <v>17.77</v>
      </c>
      <c r="E858">
        <v>0.18</v>
      </c>
      <c r="F858">
        <v>54.5</v>
      </c>
      <c r="G858" t="b">
        <v>1</v>
      </c>
      <c r="H858" t="b">
        <v>1</v>
      </c>
      <c r="I858">
        <v>321</v>
      </c>
      <c r="J858">
        <v>1.532219570405728</v>
      </c>
    </row>
    <row r="859" spans="1:10" x14ac:dyDescent="0.3">
      <c r="A859" t="s">
        <v>1437</v>
      </c>
      <c r="B859" t="s">
        <v>2430</v>
      </c>
      <c r="C859" t="s">
        <v>104</v>
      </c>
      <c r="D859">
        <v>5.58</v>
      </c>
      <c r="E859">
        <v>1</v>
      </c>
      <c r="F859">
        <v>100</v>
      </c>
      <c r="G859" t="b">
        <v>1</v>
      </c>
      <c r="H859" t="b">
        <v>1</v>
      </c>
      <c r="I859">
        <v>1915</v>
      </c>
      <c r="J859">
        <v>9.1408114558472544</v>
      </c>
    </row>
    <row r="860" spans="1:10" x14ac:dyDescent="0.3">
      <c r="A860" t="s">
        <v>1438</v>
      </c>
      <c r="B860" t="s">
        <v>2431</v>
      </c>
      <c r="C860" t="s">
        <v>102</v>
      </c>
      <c r="D860">
        <v>27.19</v>
      </c>
      <c r="E860">
        <v>0.18</v>
      </c>
      <c r="F860">
        <v>54.5</v>
      </c>
      <c r="G860" t="b">
        <v>1</v>
      </c>
      <c r="H860" t="b">
        <v>1</v>
      </c>
      <c r="I860">
        <v>321</v>
      </c>
      <c r="J860">
        <v>1.532219570405728</v>
      </c>
    </row>
    <row r="861" spans="1:10" x14ac:dyDescent="0.3">
      <c r="A861" t="s">
        <v>1439</v>
      </c>
      <c r="B861" t="s">
        <v>2028</v>
      </c>
      <c r="C861" t="s">
        <v>2432</v>
      </c>
      <c r="D861">
        <v>0.15</v>
      </c>
      <c r="E861">
        <v>0.16600000000000001</v>
      </c>
      <c r="F861">
        <v>43.1</v>
      </c>
      <c r="G861" t="b">
        <v>1</v>
      </c>
      <c r="H861" t="b">
        <v>1</v>
      </c>
      <c r="I861">
        <v>172</v>
      </c>
      <c r="J861">
        <v>0.82100238663484471</v>
      </c>
    </row>
    <row r="862" spans="1:10" x14ac:dyDescent="0.3">
      <c r="A862" t="s">
        <v>1440</v>
      </c>
      <c r="B862" t="s">
        <v>2432</v>
      </c>
      <c r="C862" t="s">
        <v>150</v>
      </c>
      <c r="D862">
        <v>60.77</v>
      </c>
      <c r="E862">
        <v>0.16600000000000001</v>
      </c>
      <c r="F862">
        <v>43.1</v>
      </c>
      <c r="G862" t="b">
        <v>1</v>
      </c>
      <c r="H862" t="b">
        <v>1</v>
      </c>
      <c r="I862">
        <v>172</v>
      </c>
      <c r="J862">
        <v>0.82100238663484471</v>
      </c>
    </row>
    <row r="863" spans="1:10" x14ac:dyDescent="0.3">
      <c r="A863" t="s">
        <v>1441</v>
      </c>
      <c r="B863" t="s">
        <v>2113</v>
      </c>
      <c r="C863" t="s">
        <v>100</v>
      </c>
      <c r="D863">
        <v>157.55000000000001</v>
      </c>
      <c r="E863">
        <v>0.22500000000000001</v>
      </c>
      <c r="F863">
        <v>107.1</v>
      </c>
      <c r="G863" t="b">
        <v>1</v>
      </c>
      <c r="H863" t="b">
        <v>1</v>
      </c>
      <c r="I863">
        <v>1915</v>
      </c>
      <c r="J863">
        <v>9.1408114558472544</v>
      </c>
    </row>
    <row r="864" spans="1:10" x14ac:dyDescent="0.3">
      <c r="A864" t="s">
        <v>1442</v>
      </c>
      <c r="B864" t="s">
        <v>2433</v>
      </c>
      <c r="C864" t="s">
        <v>2331</v>
      </c>
      <c r="D864">
        <v>252.58</v>
      </c>
      <c r="E864">
        <v>0.37</v>
      </c>
      <c r="F864">
        <v>210.1</v>
      </c>
      <c r="G864" t="b">
        <v>1</v>
      </c>
      <c r="H864" t="b">
        <v>1</v>
      </c>
      <c r="I864">
        <v>11253</v>
      </c>
      <c r="J864">
        <v>53.713603818615738</v>
      </c>
    </row>
    <row r="865" spans="1:10" x14ac:dyDescent="0.3">
      <c r="A865" t="s">
        <v>1443</v>
      </c>
      <c r="B865" t="s">
        <v>2402</v>
      </c>
      <c r="C865" t="s">
        <v>99</v>
      </c>
      <c r="D865">
        <v>23.29</v>
      </c>
      <c r="E865">
        <v>0.13400000000000001</v>
      </c>
      <c r="F865">
        <v>28.5</v>
      </c>
      <c r="G865" t="b">
        <v>1</v>
      </c>
      <c r="H865" t="b">
        <v>1</v>
      </c>
      <c r="I865">
        <v>60</v>
      </c>
      <c r="J865">
        <v>0.28639618138424822</v>
      </c>
    </row>
    <row r="866" spans="1:10" x14ac:dyDescent="0.3">
      <c r="A866" t="s">
        <v>1444</v>
      </c>
      <c r="B866" t="s">
        <v>2434</v>
      </c>
      <c r="C866" t="s">
        <v>98</v>
      </c>
      <c r="D866">
        <v>19.739999999999998</v>
      </c>
      <c r="E866">
        <v>1</v>
      </c>
      <c r="F866">
        <v>100</v>
      </c>
      <c r="G866" t="b">
        <v>1</v>
      </c>
      <c r="H866" t="b">
        <v>1</v>
      </c>
      <c r="I866">
        <v>1915</v>
      </c>
      <c r="J866">
        <v>9.1408114558472544</v>
      </c>
    </row>
    <row r="867" spans="1:10" x14ac:dyDescent="0.3">
      <c r="A867" t="s">
        <v>1445</v>
      </c>
      <c r="B867" t="s">
        <v>2434</v>
      </c>
      <c r="C867" t="s">
        <v>2424</v>
      </c>
      <c r="D867">
        <v>5.75</v>
      </c>
      <c r="E867">
        <v>1</v>
      </c>
      <c r="F867">
        <v>100</v>
      </c>
      <c r="G867" t="b">
        <v>1</v>
      </c>
      <c r="H867" t="b">
        <v>1</v>
      </c>
      <c r="I867">
        <v>1915</v>
      </c>
      <c r="J867">
        <v>9.1408114558472544</v>
      </c>
    </row>
    <row r="868" spans="1:10" x14ac:dyDescent="0.3">
      <c r="A868" t="s">
        <v>1446</v>
      </c>
      <c r="B868" t="s">
        <v>2435</v>
      </c>
      <c r="C868" t="s">
        <v>97</v>
      </c>
      <c r="D868">
        <v>8.15</v>
      </c>
      <c r="E868">
        <v>1</v>
      </c>
      <c r="F868">
        <v>100</v>
      </c>
      <c r="G868" t="b">
        <v>1</v>
      </c>
      <c r="H868" t="b">
        <v>1</v>
      </c>
      <c r="I868">
        <v>1915</v>
      </c>
      <c r="J868">
        <v>9.1408114558472544</v>
      </c>
    </row>
    <row r="869" spans="1:10" x14ac:dyDescent="0.3">
      <c r="A869" t="s">
        <v>1447</v>
      </c>
      <c r="B869" t="s">
        <v>2436</v>
      </c>
      <c r="C869" t="s">
        <v>2435</v>
      </c>
      <c r="D869">
        <v>20.149999999999999</v>
      </c>
      <c r="E869">
        <v>1</v>
      </c>
      <c r="F869">
        <v>100</v>
      </c>
      <c r="G869" t="b">
        <v>1</v>
      </c>
      <c r="H869" t="b">
        <v>1</v>
      </c>
      <c r="I869">
        <v>1915</v>
      </c>
      <c r="J869">
        <v>9.1408114558472544</v>
      </c>
    </row>
    <row r="870" spans="1:10" x14ac:dyDescent="0.3">
      <c r="A870" t="s">
        <v>1448</v>
      </c>
      <c r="B870" t="s">
        <v>2437</v>
      </c>
      <c r="C870" t="s">
        <v>96</v>
      </c>
      <c r="D870">
        <v>6.7</v>
      </c>
      <c r="E870">
        <v>1</v>
      </c>
      <c r="F870">
        <v>100</v>
      </c>
      <c r="G870" t="b">
        <v>1</v>
      </c>
      <c r="H870" t="b">
        <v>1</v>
      </c>
      <c r="I870">
        <v>1915</v>
      </c>
      <c r="J870">
        <v>9.1408114558472544</v>
      </c>
    </row>
    <row r="871" spans="1:10" x14ac:dyDescent="0.3">
      <c r="A871" t="s">
        <v>1449</v>
      </c>
      <c r="B871" t="s">
        <v>2437</v>
      </c>
      <c r="C871" t="s">
        <v>2436</v>
      </c>
      <c r="D871">
        <v>6.75</v>
      </c>
      <c r="E871">
        <v>0.217</v>
      </c>
      <c r="F871">
        <v>82.5</v>
      </c>
      <c r="G871" t="b">
        <v>1</v>
      </c>
      <c r="H871" t="b">
        <v>1</v>
      </c>
      <c r="I871">
        <v>962</v>
      </c>
      <c r="J871">
        <v>4.5918854415274453</v>
      </c>
    </row>
    <row r="872" spans="1:10" x14ac:dyDescent="0.3">
      <c r="A872" t="s">
        <v>1450</v>
      </c>
      <c r="B872" t="s">
        <v>2438</v>
      </c>
      <c r="C872" t="s">
        <v>95</v>
      </c>
      <c r="D872">
        <v>6.56</v>
      </c>
      <c r="E872">
        <v>1</v>
      </c>
      <c r="F872">
        <v>100</v>
      </c>
      <c r="G872" t="b">
        <v>1</v>
      </c>
      <c r="H872" t="b">
        <v>1</v>
      </c>
      <c r="I872">
        <v>1915</v>
      </c>
      <c r="J872">
        <v>9.1408114558472544</v>
      </c>
    </row>
    <row r="873" spans="1:10" x14ac:dyDescent="0.3">
      <c r="A873" t="s">
        <v>1451</v>
      </c>
      <c r="B873" t="s">
        <v>118</v>
      </c>
      <c r="C873" t="s">
        <v>2415</v>
      </c>
      <c r="D873">
        <v>27.52</v>
      </c>
      <c r="E873">
        <v>0.217</v>
      </c>
      <c r="F873">
        <v>82.5</v>
      </c>
      <c r="G873" t="b">
        <v>1</v>
      </c>
      <c r="H873" t="b">
        <v>1</v>
      </c>
      <c r="I873">
        <v>962</v>
      </c>
      <c r="J873">
        <v>4.5918854415274453</v>
      </c>
    </row>
    <row r="874" spans="1:10" x14ac:dyDescent="0.3">
      <c r="A874" t="s">
        <v>1452</v>
      </c>
      <c r="B874" t="s">
        <v>2439</v>
      </c>
      <c r="C874" t="s">
        <v>94</v>
      </c>
      <c r="D874">
        <v>50.43</v>
      </c>
      <c r="E874">
        <v>0.13400000000000001</v>
      </c>
      <c r="F874">
        <v>28.5</v>
      </c>
      <c r="G874" t="b">
        <v>1</v>
      </c>
      <c r="H874" t="b">
        <v>1</v>
      </c>
      <c r="I874">
        <v>60</v>
      </c>
      <c r="J874">
        <v>0.28639618138424822</v>
      </c>
    </row>
    <row r="875" spans="1:10" x14ac:dyDescent="0.3">
      <c r="A875" t="s">
        <v>1453</v>
      </c>
      <c r="B875" t="s">
        <v>2440</v>
      </c>
      <c r="C875" t="s">
        <v>93</v>
      </c>
      <c r="D875">
        <v>43.35</v>
      </c>
      <c r="E875">
        <v>0.16600000000000001</v>
      </c>
      <c r="F875">
        <v>43.1</v>
      </c>
      <c r="G875" t="b">
        <v>1</v>
      </c>
      <c r="H875" t="b">
        <v>1</v>
      </c>
      <c r="I875">
        <v>172</v>
      </c>
      <c r="J875">
        <v>0.82100238663484471</v>
      </c>
    </row>
    <row r="876" spans="1:10" x14ac:dyDescent="0.3">
      <c r="A876" t="s">
        <v>1454</v>
      </c>
      <c r="B876" t="s">
        <v>2440</v>
      </c>
      <c r="C876" t="s">
        <v>92</v>
      </c>
      <c r="D876">
        <v>6.91</v>
      </c>
      <c r="E876">
        <v>0.16600000000000001</v>
      </c>
      <c r="F876">
        <v>43.1</v>
      </c>
      <c r="G876" t="b">
        <v>1</v>
      </c>
      <c r="H876" t="b">
        <v>1</v>
      </c>
      <c r="I876">
        <v>172</v>
      </c>
      <c r="J876">
        <v>0.82100238663484471</v>
      </c>
    </row>
    <row r="877" spans="1:10" x14ac:dyDescent="0.3">
      <c r="A877" t="s">
        <v>1455</v>
      </c>
      <c r="B877" t="s">
        <v>2441</v>
      </c>
      <c r="C877" t="s">
        <v>91</v>
      </c>
      <c r="D877">
        <v>43.02</v>
      </c>
      <c r="E877">
        <v>0.13400000000000001</v>
      </c>
      <c r="F877">
        <v>28.5</v>
      </c>
      <c r="G877" t="b">
        <v>1</v>
      </c>
      <c r="H877" t="b">
        <v>1</v>
      </c>
      <c r="I877">
        <v>60</v>
      </c>
      <c r="J877">
        <v>0.28639618138424822</v>
      </c>
    </row>
    <row r="878" spans="1:10" x14ac:dyDescent="0.3">
      <c r="A878" t="s">
        <v>1456</v>
      </c>
      <c r="B878" t="s">
        <v>2063</v>
      </c>
      <c r="C878" t="s">
        <v>416</v>
      </c>
      <c r="D878">
        <v>63.6</v>
      </c>
      <c r="E878">
        <v>0.217</v>
      </c>
      <c r="F878">
        <v>82.5</v>
      </c>
      <c r="G878" t="b">
        <v>1</v>
      </c>
      <c r="H878" t="b">
        <v>1</v>
      </c>
      <c r="I878">
        <v>962</v>
      </c>
      <c r="J878">
        <v>4.5918854415274453</v>
      </c>
    </row>
    <row r="879" spans="1:10" x14ac:dyDescent="0.3">
      <c r="A879" t="s">
        <v>1457</v>
      </c>
      <c r="B879" t="s">
        <v>2441</v>
      </c>
      <c r="C879" t="s">
        <v>2371</v>
      </c>
      <c r="D879">
        <v>1.91</v>
      </c>
      <c r="E879">
        <v>0.254</v>
      </c>
      <c r="F879">
        <v>132.5</v>
      </c>
      <c r="G879" t="b">
        <v>1</v>
      </c>
      <c r="H879" t="b">
        <v>1</v>
      </c>
      <c r="I879">
        <v>3354</v>
      </c>
      <c r="J879">
        <v>16.009546539379471</v>
      </c>
    </row>
    <row r="880" spans="1:10" x14ac:dyDescent="0.3">
      <c r="A880" t="s">
        <v>1458</v>
      </c>
      <c r="B880" t="s">
        <v>2442</v>
      </c>
      <c r="C880" t="s">
        <v>90</v>
      </c>
      <c r="D880">
        <v>10.44</v>
      </c>
      <c r="E880">
        <v>0.16600000000000001</v>
      </c>
      <c r="F880">
        <v>43.1</v>
      </c>
      <c r="G880" t="b">
        <v>1</v>
      </c>
      <c r="H880" t="b">
        <v>1</v>
      </c>
      <c r="I880">
        <v>172</v>
      </c>
      <c r="J880">
        <v>0.82100238663484471</v>
      </c>
    </row>
    <row r="881" spans="1:10" x14ac:dyDescent="0.3">
      <c r="A881" t="s">
        <v>1459</v>
      </c>
      <c r="B881" t="s">
        <v>2318</v>
      </c>
      <c r="C881" t="s">
        <v>2378</v>
      </c>
      <c r="D881">
        <v>34.35</v>
      </c>
      <c r="E881">
        <v>0.28199999999999997</v>
      </c>
      <c r="F881">
        <v>160.30000000000001</v>
      </c>
      <c r="G881" t="b">
        <v>1</v>
      </c>
      <c r="H881" t="b">
        <v>1</v>
      </c>
      <c r="I881">
        <v>5533</v>
      </c>
      <c r="J881">
        <v>26.410501193317419</v>
      </c>
    </row>
    <row r="882" spans="1:10" x14ac:dyDescent="0.3">
      <c r="A882" t="s">
        <v>1460</v>
      </c>
      <c r="B882" t="s">
        <v>2443</v>
      </c>
      <c r="C882" t="s">
        <v>2143</v>
      </c>
      <c r="D882">
        <v>7.58</v>
      </c>
      <c r="E882">
        <v>0.28199999999999997</v>
      </c>
      <c r="F882">
        <v>160.30000000000001</v>
      </c>
      <c r="G882" t="b">
        <v>1</v>
      </c>
      <c r="H882" t="b">
        <v>1</v>
      </c>
      <c r="I882">
        <v>5533</v>
      </c>
      <c r="J882">
        <v>26.410501193317419</v>
      </c>
    </row>
    <row r="883" spans="1:10" x14ac:dyDescent="0.3">
      <c r="A883" t="s">
        <v>1461</v>
      </c>
      <c r="B883" t="s">
        <v>2442</v>
      </c>
      <c r="C883" t="s">
        <v>2513</v>
      </c>
      <c r="D883">
        <v>14.21</v>
      </c>
      <c r="E883">
        <v>0.248</v>
      </c>
      <c r="F883">
        <v>70.3</v>
      </c>
      <c r="G883" t="b">
        <v>1</v>
      </c>
      <c r="H883" t="b">
        <v>1</v>
      </c>
      <c r="I883">
        <v>630</v>
      </c>
      <c r="J883">
        <v>3.007159904534606</v>
      </c>
    </row>
    <row r="884" spans="1:10" x14ac:dyDescent="0.3">
      <c r="A884" t="s">
        <v>1462</v>
      </c>
      <c r="B884" t="s">
        <v>2405</v>
      </c>
      <c r="C884" t="s">
        <v>2442</v>
      </c>
      <c r="D884">
        <v>74.260000000000005</v>
      </c>
      <c r="E884">
        <v>0.248</v>
      </c>
      <c r="F884">
        <v>70.3</v>
      </c>
      <c r="G884" t="b">
        <v>1</v>
      </c>
      <c r="H884" t="b">
        <v>1</v>
      </c>
      <c r="I884">
        <v>630</v>
      </c>
      <c r="J884">
        <v>3.007159904534606</v>
      </c>
    </row>
    <row r="885" spans="1:10" x14ac:dyDescent="0.3">
      <c r="A885" t="s">
        <v>1463</v>
      </c>
      <c r="B885" t="s">
        <v>89</v>
      </c>
      <c r="C885" t="s">
        <v>2405</v>
      </c>
      <c r="D885">
        <v>10.87</v>
      </c>
      <c r="E885">
        <v>1</v>
      </c>
      <c r="F885">
        <v>100</v>
      </c>
      <c r="G885" t="b">
        <v>1</v>
      </c>
      <c r="H885" t="b">
        <v>1</v>
      </c>
      <c r="I885">
        <v>1915</v>
      </c>
      <c r="J885">
        <v>9.1408114558472544</v>
      </c>
    </row>
    <row r="886" spans="1:10" x14ac:dyDescent="0.3">
      <c r="A886" t="s">
        <v>1464</v>
      </c>
      <c r="B886" t="s">
        <v>2444</v>
      </c>
      <c r="C886" t="s">
        <v>2408</v>
      </c>
      <c r="D886">
        <v>2.42</v>
      </c>
      <c r="E886">
        <v>0.28199999999999997</v>
      </c>
      <c r="F886">
        <v>160.30000000000001</v>
      </c>
      <c r="G886" t="b">
        <v>1</v>
      </c>
      <c r="H886" t="b">
        <v>1</v>
      </c>
      <c r="I886">
        <v>5533</v>
      </c>
      <c r="J886">
        <v>26.410501193317419</v>
      </c>
    </row>
    <row r="887" spans="1:10" x14ac:dyDescent="0.3">
      <c r="A887" t="s">
        <v>1465</v>
      </c>
      <c r="B887" t="s">
        <v>2445</v>
      </c>
      <c r="C887" t="s">
        <v>2255</v>
      </c>
      <c r="D887">
        <v>8.7899999999999991</v>
      </c>
      <c r="E887">
        <v>0.18</v>
      </c>
      <c r="F887">
        <v>54.5</v>
      </c>
      <c r="G887" t="b">
        <v>1</v>
      </c>
      <c r="H887" t="b">
        <v>1</v>
      </c>
      <c r="I887">
        <v>321</v>
      </c>
      <c r="J887">
        <v>1.532219570405728</v>
      </c>
    </row>
    <row r="888" spans="1:10" x14ac:dyDescent="0.3">
      <c r="A888" t="s">
        <v>1466</v>
      </c>
      <c r="B888" t="s">
        <v>2255</v>
      </c>
      <c r="C888" t="s">
        <v>88</v>
      </c>
      <c r="D888">
        <v>17.34</v>
      </c>
      <c r="E888">
        <v>0.18</v>
      </c>
      <c r="F888">
        <v>54.5</v>
      </c>
      <c r="G888" t="b">
        <v>1</v>
      </c>
      <c r="H888" t="b">
        <v>1</v>
      </c>
      <c r="I888">
        <v>321</v>
      </c>
      <c r="J888">
        <v>1.532219570405728</v>
      </c>
    </row>
    <row r="889" spans="1:10" x14ac:dyDescent="0.3">
      <c r="A889" t="s">
        <v>1467</v>
      </c>
      <c r="B889" t="s">
        <v>2414</v>
      </c>
      <c r="C889" t="s">
        <v>2166</v>
      </c>
      <c r="D889">
        <v>7.38</v>
      </c>
      <c r="E889">
        <v>0.28199999999999997</v>
      </c>
      <c r="F889">
        <v>160.30000000000001</v>
      </c>
      <c r="G889" t="b">
        <v>1</v>
      </c>
      <c r="H889" t="b">
        <v>1</v>
      </c>
      <c r="I889">
        <v>5533</v>
      </c>
      <c r="J889">
        <v>26.410501193317419</v>
      </c>
    </row>
    <row r="890" spans="1:10" x14ac:dyDescent="0.3">
      <c r="A890" t="s">
        <v>1468</v>
      </c>
      <c r="B890" t="s">
        <v>2132</v>
      </c>
      <c r="C890" t="s">
        <v>2278</v>
      </c>
      <c r="D890">
        <v>1042.01</v>
      </c>
      <c r="E890">
        <v>0.41099999999999998</v>
      </c>
      <c r="F890">
        <v>312.7</v>
      </c>
      <c r="G890" t="b">
        <v>1</v>
      </c>
      <c r="H890" t="b">
        <v>1</v>
      </c>
      <c r="I890">
        <v>31872</v>
      </c>
      <c r="J890">
        <v>152.1336515513126</v>
      </c>
    </row>
    <row r="891" spans="1:10" x14ac:dyDescent="0.3">
      <c r="A891" t="s">
        <v>1469</v>
      </c>
      <c r="B891" t="s">
        <v>2446</v>
      </c>
      <c r="C891" t="s">
        <v>2564</v>
      </c>
      <c r="D891">
        <v>1.46</v>
      </c>
      <c r="E891">
        <v>0.217</v>
      </c>
      <c r="F891">
        <v>82.5</v>
      </c>
      <c r="G891" t="b">
        <v>1</v>
      </c>
      <c r="H891" t="b">
        <v>1</v>
      </c>
      <c r="I891">
        <v>962</v>
      </c>
      <c r="J891">
        <v>4.5918854415274453</v>
      </c>
    </row>
    <row r="892" spans="1:10" x14ac:dyDescent="0.3">
      <c r="A892" t="s">
        <v>1470</v>
      </c>
      <c r="B892" t="s">
        <v>2447</v>
      </c>
      <c r="C892" t="s">
        <v>2446</v>
      </c>
      <c r="D892">
        <v>12.79</v>
      </c>
      <c r="E892">
        <v>0.217</v>
      </c>
      <c r="F892">
        <v>82.5</v>
      </c>
      <c r="G892" t="b">
        <v>1</v>
      </c>
      <c r="H892" t="b">
        <v>1</v>
      </c>
      <c r="I892">
        <v>962</v>
      </c>
      <c r="J892">
        <v>4.5918854415274453</v>
      </c>
    </row>
    <row r="893" spans="1:10" x14ac:dyDescent="0.3">
      <c r="A893" t="s">
        <v>1471</v>
      </c>
      <c r="B893" t="s">
        <v>2447</v>
      </c>
      <c r="C893" t="s">
        <v>87</v>
      </c>
      <c r="D893">
        <v>11.28</v>
      </c>
      <c r="E893">
        <v>1</v>
      </c>
      <c r="F893">
        <v>100</v>
      </c>
      <c r="G893" t="b">
        <v>1</v>
      </c>
      <c r="H893" t="b">
        <v>1</v>
      </c>
      <c r="I893">
        <v>1915</v>
      </c>
      <c r="J893">
        <v>9.1408114558472544</v>
      </c>
    </row>
    <row r="894" spans="1:10" x14ac:dyDescent="0.3">
      <c r="A894" t="s">
        <v>1472</v>
      </c>
      <c r="B894" t="s">
        <v>2448</v>
      </c>
      <c r="C894" t="s">
        <v>2517</v>
      </c>
      <c r="D894">
        <v>27.15</v>
      </c>
      <c r="E894">
        <v>1</v>
      </c>
      <c r="F894">
        <v>100</v>
      </c>
      <c r="G894" t="b">
        <v>1</v>
      </c>
      <c r="H894" t="b">
        <v>1</v>
      </c>
      <c r="I894">
        <v>1915</v>
      </c>
      <c r="J894">
        <v>9.1408114558472544</v>
      </c>
    </row>
    <row r="895" spans="1:10" x14ac:dyDescent="0.3">
      <c r="A895" t="s">
        <v>1473</v>
      </c>
      <c r="B895" t="s">
        <v>2300</v>
      </c>
      <c r="C895" t="s">
        <v>2565</v>
      </c>
      <c r="D895">
        <v>10.71</v>
      </c>
      <c r="E895">
        <v>0.22500000000000001</v>
      </c>
      <c r="F895">
        <v>107.1</v>
      </c>
      <c r="G895" t="b">
        <v>1</v>
      </c>
      <c r="H895" t="b">
        <v>1</v>
      </c>
      <c r="I895">
        <v>1915</v>
      </c>
      <c r="J895">
        <v>9.1408114558472544</v>
      </c>
    </row>
    <row r="896" spans="1:10" x14ac:dyDescent="0.3">
      <c r="A896" t="s">
        <v>1474</v>
      </c>
      <c r="B896" t="s">
        <v>2449</v>
      </c>
      <c r="C896" t="s">
        <v>86</v>
      </c>
      <c r="D896">
        <v>17.8</v>
      </c>
      <c r="E896">
        <v>0.13400000000000001</v>
      </c>
      <c r="F896">
        <v>28.5</v>
      </c>
      <c r="G896" t="b">
        <v>1</v>
      </c>
      <c r="H896" t="b">
        <v>1</v>
      </c>
      <c r="I896">
        <v>60</v>
      </c>
      <c r="J896">
        <v>0.28639618138424822</v>
      </c>
    </row>
    <row r="897" spans="1:10" x14ac:dyDescent="0.3">
      <c r="A897" t="s">
        <v>1475</v>
      </c>
      <c r="B897" t="s">
        <v>2449</v>
      </c>
      <c r="C897" t="s">
        <v>2217</v>
      </c>
      <c r="D897">
        <v>27.09</v>
      </c>
      <c r="E897">
        <v>0.37</v>
      </c>
      <c r="F897">
        <v>210.1</v>
      </c>
      <c r="G897" t="b">
        <v>1</v>
      </c>
      <c r="H897" t="b">
        <v>1</v>
      </c>
      <c r="I897">
        <v>11253</v>
      </c>
      <c r="J897">
        <v>53.713603818615738</v>
      </c>
    </row>
    <row r="898" spans="1:10" x14ac:dyDescent="0.3">
      <c r="A898" t="s">
        <v>1476</v>
      </c>
      <c r="B898" t="s">
        <v>2450</v>
      </c>
      <c r="C898" t="s">
        <v>164</v>
      </c>
      <c r="D898">
        <v>49.41</v>
      </c>
      <c r="E898">
        <v>1</v>
      </c>
      <c r="F898">
        <v>100</v>
      </c>
      <c r="G898" t="b">
        <v>1</v>
      </c>
      <c r="H898" t="b">
        <v>1</v>
      </c>
      <c r="I898">
        <v>1915</v>
      </c>
      <c r="J898">
        <v>9.1408114558472544</v>
      </c>
    </row>
    <row r="899" spans="1:10" x14ac:dyDescent="0.3">
      <c r="A899" t="s">
        <v>1477</v>
      </c>
      <c r="B899" t="s">
        <v>2451</v>
      </c>
      <c r="C899" t="s">
        <v>1991</v>
      </c>
      <c r="D899">
        <v>153.94</v>
      </c>
      <c r="E899">
        <v>0.248</v>
      </c>
      <c r="F899">
        <v>70.3</v>
      </c>
      <c r="G899" t="b">
        <v>1</v>
      </c>
      <c r="H899" t="b">
        <v>1</v>
      </c>
      <c r="I899">
        <v>630</v>
      </c>
      <c r="J899">
        <v>3.007159904534606</v>
      </c>
    </row>
    <row r="900" spans="1:10" x14ac:dyDescent="0.3">
      <c r="A900" t="s">
        <v>1478</v>
      </c>
      <c r="B900" t="s">
        <v>83</v>
      </c>
      <c r="C900" t="s">
        <v>2451</v>
      </c>
      <c r="D900">
        <v>35.729999999999997</v>
      </c>
      <c r="E900">
        <v>0.21299999999999999</v>
      </c>
      <c r="F900">
        <v>54.5</v>
      </c>
      <c r="G900" t="b">
        <v>1</v>
      </c>
      <c r="H900" t="b">
        <v>1</v>
      </c>
      <c r="I900">
        <v>321</v>
      </c>
      <c r="J900">
        <v>1.532219570405728</v>
      </c>
    </row>
    <row r="901" spans="1:10" x14ac:dyDescent="0.3">
      <c r="A901" t="s">
        <v>1479</v>
      </c>
      <c r="B901" t="s">
        <v>2452</v>
      </c>
      <c r="C901" t="s">
        <v>82</v>
      </c>
      <c r="D901">
        <v>12.87</v>
      </c>
      <c r="E901">
        <v>0.16600000000000001</v>
      </c>
      <c r="F901">
        <v>43.1</v>
      </c>
      <c r="G901" t="b">
        <v>1</v>
      </c>
      <c r="H901" t="b">
        <v>1</v>
      </c>
      <c r="I901">
        <v>172</v>
      </c>
      <c r="J901">
        <v>0.82100238663484471</v>
      </c>
    </row>
    <row r="902" spans="1:10" x14ac:dyDescent="0.3">
      <c r="A902" t="s">
        <v>1480</v>
      </c>
      <c r="B902" t="s">
        <v>2453</v>
      </c>
      <c r="C902" t="s">
        <v>81</v>
      </c>
      <c r="D902">
        <v>51.53</v>
      </c>
      <c r="E902">
        <v>1</v>
      </c>
      <c r="F902">
        <v>100</v>
      </c>
      <c r="G902" t="b">
        <v>1</v>
      </c>
      <c r="H902" t="b">
        <v>1</v>
      </c>
      <c r="I902">
        <v>1915</v>
      </c>
      <c r="J902">
        <v>9.1408114558472544</v>
      </c>
    </row>
    <row r="903" spans="1:10" x14ac:dyDescent="0.3">
      <c r="A903" t="s">
        <v>1481</v>
      </c>
      <c r="B903" t="s">
        <v>2389</v>
      </c>
      <c r="C903" t="s">
        <v>1891</v>
      </c>
      <c r="D903">
        <v>63.18</v>
      </c>
      <c r="E903">
        <v>0.28199999999999997</v>
      </c>
      <c r="F903">
        <v>160.30000000000001</v>
      </c>
      <c r="G903" t="b">
        <v>1</v>
      </c>
      <c r="H903" t="b">
        <v>1</v>
      </c>
      <c r="I903">
        <v>5533</v>
      </c>
      <c r="J903">
        <v>26.410501193317419</v>
      </c>
    </row>
    <row r="904" spans="1:10" x14ac:dyDescent="0.3">
      <c r="A904" t="s">
        <v>1482</v>
      </c>
      <c r="B904" t="s">
        <v>2420</v>
      </c>
      <c r="C904" t="s">
        <v>80</v>
      </c>
      <c r="D904">
        <v>23.13</v>
      </c>
      <c r="E904">
        <v>1</v>
      </c>
      <c r="F904">
        <v>100</v>
      </c>
      <c r="G904" t="b">
        <v>1</v>
      </c>
      <c r="H904" t="b">
        <v>1</v>
      </c>
      <c r="I904">
        <v>1915</v>
      </c>
      <c r="J904">
        <v>9.1408114558472544</v>
      </c>
    </row>
    <row r="905" spans="1:10" x14ac:dyDescent="0.3">
      <c r="A905" t="s">
        <v>1483</v>
      </c>
      <c r="B905" t="s">
        <v>2424</v>
      </c>
      <c r="C905" t="s">
        <v>2420</v>
      </c>
      <c r="D905">
        <v>25.89</v>
      </c>
      <c r="E905">
        <v>0.217</v>
      </c>
      <c r="F905">
        <v>82.5</v>
      </c>
      <c r="G905" t="b">
        <v>1</v>
      </c>
      <c r="H905" t="b">
        <v>1</v>
      </c>
      <c r="I905">
        <v>962</v>
      </c>
      <c r="J905">
        <v>4.5918854415274453</v>
      </c>
    </row>
    <row r="906" spans="1:10" x14ac:dyDescent="0.3">
      <c r="A906" t="s">
        <v>1484</v>
      </c>
      <c r="B906" t="s">
        <v>2454</v>
      </c>
      <c r="C906" t="s">
        <v>2447</v>
      </c>
      <c r="D906">
        <v>21.62</v>
      </c>
      <c r="E906">
        <v>0.217</v>
      </c>
      <c r="F906">
        <v>82.5</v>
      </c>
      <c r="G906" t="b">
        <v>1</v>
      </c>
      <c r="H906" t="b">
        <v>1</v>
      </c>
      <c r="I906">
        <v>962</v>
      </c>
      <c r="J906">
        <v>4.5918854415274453</v>
      </c>
    </row>
    <row r="907" spans="1:10" x14ac:dyDescent="0.3">
      <c r="A907" t="s">
        <v>1485</v>
      </c>
      <c r="B907" t="s">
        <v>2454</v>
      </c>
      <c r="C907" t="s">
        <v>2390</v>
      </c>
      <c r="D907">
        <v>6.73</v>
      </c>
      <c r="E907">
        <v>1</v>
      </c>
      <c r="F907">
        <v>100</v>
      </c>
      <c r="G907" t="b">
        <v>1</v>
      </c>
      <c r="H907" t="b">
        <v>1</v>
      </c>
      <c r="I907">
        <v>1915</v>
      </c>
      <c r="J907">
        <v>9.1408114558472544</v>
      </c>
    </row>
    <row r="908" spans="1:10" x14ac:dyDescent="0.3">
      <c r="A908" t="s">
        <v>1486</v>
      </c>
      <c r="B908" t="s">
        <v>2409</v>
      </c>
      <c r="C908" t="s">
        <v>2454</v>
      </c>
      <c r="D908">
        <v>24.06</v>
      </c>
      <c r="E908">
        <v>0.217</v>
      </c>
      <c r="F908">
        <v>82.5</v>
      </c>
      <c r="G908" t="b">
        <v>1</v>
      </c>
      <c r="H908" t="b">
        <v>1</v>
      </c>
      <c r="I908">
        <v>962</v>
      </c>
      <c r="J908">
        <v>4.5918854415274453</v>
      </c>
    </row>
    <row r="909" spans="1:10" x14ac:dyDescent="0.3">
      <c r="A909" t="s">
        <v>1487</v>
      </c>
      <c r="B909" t="s">
        <v>1922</v>
      </c>
      <c r="C909" t="s">
        <v>2374</v>
      </c>
      <c r="D909">
        <v>66.42</v>
      </c>
      <c r="E909">
        <v>0.28199999999999997</v>
      </c>
      <c r="F909">
        <v>160.30000000000001</v>
      </c>
      <c r="G909" t="b">
        <v>1</v>
      </c>
      <c r="H909" t="b">
        <v>1</v>
      </c>
      <c r="I909">
        <v>5533</v>
      </c>
      <c r="J909">
        <v>26.410501193317419</v>
      </c>
    </row>
    <row r="910" spans="1:10" x14ac:dyDescent="0.3">
      <c r="A910" t="s">
        <v>1488</v>
      </c>
      <c r="B910" t="s">
        <v>2455</v>
      </c>
      <c r="C910" t="s">
        <v>2490</v>
      </c>
      <c r="D910">
        <v>23.72</v>
      </c>
      <c r="E910">
        <v>0.18</v>
      </c>
      <c r="F910">
        <v>54.5</v>
      </c>
      <c r="G910" t="b">
        <v>1</v>
      </c>
      <c r="H910" t="b">
        <v>1</v>
      </c>
      <c r="I910">
        <v>321</v>
      </c>
      <c r="J910">
        <v>1.532219570405728</v>
      </c>
    </row>
    <row r="911" spans="1:10" x14ac:dyDescent="0.3">
      <c r="A911" t="s">
        <v>1489</v>
      </c>
      <c r="B911" t="s">
        <v>2455</v>
      </c>
      <c r="C911" t="s">
        <v>78</v>
      </c>
      <c r="D911">
        <v>2.4700000000000002</v>
      </c>
      <c r="E911">
        <v>1</v>
      </c>
      <c r="F911">
        <v>100</v>
      </c>
      <c r="G911" t="b">
        <v>1</v>
      </c>
      <c r="H911" t="b">
        <v>1</v>
      </c>
      <c r="I911">
        <v>1915</v>
      </c>
      <c r="J911">
        <v>9.1408114558472544</v>
      </c>
    </row>
    <row r="912" spans="1:10" x14ac:dyDescent="0.3">
      <c r="A912" t="s">
        <v>1490</v>
      </c>
      <c r="B912" t="s">
        <v>2456</v>
      </c>
      <c r="C912" t="s">
        <v>2455</v>
      </c>
      <c r="D912">
        <v>14.16</v>
      </c>
      <c r="E912">
        <v>0.18</v>
      </c>
      <c r="F912">
        <v>54.5</v>
      </c>
      <c r="G912" t="b">
        <v>1</v>
      </c>
      <c r="H912" t="b">
        <v>1</v>
      </c>
      <c r="I912">
        <v>321</v>
      </c>
      <c r="J912">
        <v>1.532219570405728</v>
      </c>
    </row>
    <row r="913" spans="1:10" x14ac:dyDescent="0.3">
      <c r="A913" t="s">
        <v>1491</v>
      </c>
      <c r="B913" t="s">
        <v>2456</v>
      </c>
      <c r="C913" t="s">
        <v>77</v>
      </c>
      <c r="D913">
        <v>2.68</v>
      </c>
      <c r="E913">
        <v>1</v>
      </c>
      <c r="F913">
        <v>100</v>
      </c>
      <c r="G913" t="b">
        <v>1</v>
      </c>
      <c r="H913" t="b">
        <v>1</v>
      </c>
      <c r="I913">
        <v>1915</v>
      </c>
      <c r="J913">
        <v>9.1408114558472544</v>
      </c>
    </row>
    <row r="914" spans="1:10" x14ac:dyDescent="0.3">
      <c r="A914" t="s">
        <v>1492</v>
      </c>
      <c r="B914" t="s">
        <v>2457</v>
      </c>
      <c r="C914" t="s">
        <v>2456</v>
      </c>
      <c r="D914">
        <v>9.01</v>
      </c>
      <c r="E914">
        <v>0.18</v>
      </c>
      <c r="F914">
        <v>54.5</v>
      </c>
      <c r="G914" t="b">
        <v>1</v>
      </c>
      <c r="H914" t="b">
        <v>1</v>
      </c>
      <c r="I914">
        <v>321</v>
      </c>
      <c r="J914">
        <v>1.532219570405728</v>
      </c>
    </row>
    <row r="915" spans="1:10" x14ac:dyDescent="0.3">
      <c r="A915" t="s">
        <v>1493</v>
      </c>
      <c r="B915" t="s">
        <v>2457</v>
      </c>
      <c r="C915" t="s">
        <v>76</v>
      </c>
      <c r="D915">
        <v>1.86</v>
      </c>
      <c r="E915">
        <v>1</v>
      </c>
      <c r="F915">
        <v>100</v>
      </c>
      <c r="G915" t="b">
        <v>1</v>
      </c>
      <c r="H915" t="b">
        <v>1</v>
      </c>
      <c r="I915">
        <v>1915</v>
      </c>
      <c r="J915">
        <v>9.1408114558472544</v>
      </c>
    </row>
    <row r="916" spans="1:10" x14ac:dyDescent="0.3">
      <c r="A916" t="s">
        <v>1494</v>
      </c>
      <c r="B916" t="s">
        <v>2458</v>
      </c>
      <c r="C916" t="s">
        <v>2457</v>
      </c>
      <c r="D916">
        <v>11.41</v>
      </c>
      <c r="E916">
        <v>0.18</v>
      </c>
      <c r="F916">
        <v>54.5</v>
      </c>
      <c r="G916" t="b">
        <v>1</v>
      </c>
      <c r="H916" t="b">
        <v>1</v>
      </c>
      <c r="I916">
        <v>321</v>
      </c>
      <c r="J916">
        <v>1.532219570405728</v>
      </c>
    </row>
    <row r="917" spans="1:10" x14ac:dyDescent="0.3">
      <c r="A917" t="s">
        <v>1495</v>
      </c>
      <c r="B917" t="s">
        <v>2458</v>
      </c>
      <c r="C917" t="s">
        <v>75</v>
      </c>
      <c r="D917">
        <v>7.21</v>
      </c>
      <c r="E917">
        <v>1</v>
      </c>
      <c r="F917">
        <v>100</v>
      </c>
      <c r="G917" t="b">
        <v>1</v>
      </c>
      <c r="H917" t="b">
        <v>1</v>
      </c>
      <c r="I917">
        <v>1915</v>
      </c>
      <c r="J917">
        <v>9.1408114558472544</v>
      </c>
    </row>
    <row r="918" spans="1:10" x14ac:dyDescent="0.3">
      <c r="A918" t="s">
        <v>1496</v>
      </c>
      <c r="B918" t="s">
        <v>2459</v>
      </c>
      <c r="C918" t="s">
        <v>2458</v>
      </c>
      <c r="D918">
        <v>16.3</v>
      </c>
      <c r="E918">
        <v>0.18</v>
      </c>
      <c r="F918">
        <v>54.5</v>
      </c>
      <c r="G918" t="b">
        <v>1</v>
      </c>
      <c r="H918" t="b">
        <v>1</v>
      </c>
      <c r="I918">
        <v>321</v>
      </c>
      <c r="J918">
        <v>1.532219570405728</v>
      </c>
    </row>
    <row r="919" spans="1:10" x14ac:dyDescent="0.3">
      <c r="A919" t="s">
        <v>1497</v>
      </c>
      <c r="B919" t="s">
        <v>2459</v>
      </c>
      <c r="C919" t="s">
        <v>74</v>
      </c>
      <c r="D919">
        <v>4.18</v>
      </c>
      <c r="E919">
        <v>1</v>
      </c>
      <c r="F919">
        <v>100</v>
      </c>
      <c r="G919" t="b">
        <v>1</v>
      </c>
      <c r="H919" t="b">
        <v>1</v>
      </c>
      <c r="I919">
        <v>1915</v>
      </c>
      <c r="J919">
        <v>9.1408114558472544</v>
      </c>
    </row>
    <row r="920" spans="1:10" x14ac:dyDescent="0.3">
      <c r="A920" t="s">
        <v>1498</v>
      </c>
      <c r="B920" t="s">
        <v>2446</v>
      </c>
      <c r="C920" t="s">
        <v>2459</v>
      </c>
      <c r="D920">
        <v>39.270000000000003</v>
      </c>
      <c r="E920">
        <v>0.18</v>
      </c>
      <c r="F920">
        <v>54.5</v>
      </c>
      <c r="G920" t="b">
        <v>1</v>
      </c>
      <c r="H920" t="b">
        <v>1</v>
      </c>
      <c r="I920">
        <v>321</v>
      </c>
      <c r="J920">
        <v>1.532219570405728</v>
      </c>
    </row>
    <row r="921" spans="1:10" x14ac:dyDescent="0.3">
      <c r="A921" t="s">
        <v>1499</v>
      </c>
      <c r="B921" t="s">
        <v>2460</v>
      </c>
      <c r="C921" t="s">
        <v>73</v>
      </c>
      <c r="D921">
        <v>2.76</v>
      </c>
      <c r="E921">
        <v>1</v>
      </c>
      <c r="F921">
        <v>100</v>
      </c>
      <c r="G921" t="b">
        <v>1</v>
      </c>
      <c r="H921" t="b">
        <v>1</v>
      </c>
      <c r="I921">
        <v>1915</v>
      </c>
      <c r="J921">
        <v>9.1408114558472544</v>
      </c>
    </row>
    <row r="922" spans="1:10" x14ac:dyDescent="0.3">
      <c r="A922" t="s">
        <v>1500</v>
      </c>
      <c r="B922" t="s">
        <v>2368</v>
      </c>
      <c r="C922" t="s">
        <v>2461</v>
      </c>
      <c r="D922">
        <v>29</v>
      </c>
      <c r="E922">
        <v>0.217</v>
      </c>
      <c r="F922">
        <v>82.5</v>
      </c>
      <c r="G922" t="b">
        <v>1</v>
      </c>
      <c r="H922" t="b">
        <v>1</v>
      </c>
      <c r="I922">
        <v>962</v>
      </c>
      <c r="J922">
        <v>4.5918854415274453</v>
      </c>
    </row>
    <row r="923" spans="1:10" x14ac:dyDescent="0.3">
      <c r="A923" t="s">
        <v>1501</v>
      </c>
      <c r="B923" t="s">
        <v>2461</v>
      </c>
      <c r="C923" t="s">
        <v>2369</v>
      </c>
      <c r="D923">
        <v>13.88</v>
      </c>
      <c r="E923">
        <v>0.217</v>
      </c>
      <c r="F923">
        <v>82.5</v>
      </c>
      <c r="G923" t="b">
        <v>1</v>
      </c>
      <c r="H923" t="b">
        <v>1</v>
      </c>
      <c r="I923">
        <v>962</v>
      </c>
      <c r="J923">
        <v>4.5918854415274453</v>
      </c>
    </row>
    <row r="924" spans="1:10" x14ac:dyDescent="0.3">
      <c r="A924" t="s">
        <v>1502</v>
      </c>
      <c r="B924" t="s">
        <v>2461</v>
      </c>
      <c r="C924" t="s">
        <v>2370</v>
      </c>
      <c r="D924">
        <v>31.83</v>
      </c>
      <c r="E924">
        <v>0.217</v>
      </c>
      <c r="F924">
        <v>82.5</v>
      </c>
      <c r="G924" t="b">
        <v>1</v>
      </c>
      <c r="H924" t="b">
        <v>1</v>
      </c>
      <c r="I924">
        <v>962</v>
      </c>
      <c r="J924">
        <v>4.5918854415274453</v>
      </c>
    </row>
    <row r="925" spans="1:10" x14ac:dyDescent="0.3">
      <c r="A925" t="s">
        <v>1503</v>
      </c>
      <c r="B925" t="s">
        <v>2370</v>
      </c>
      <c r="C925" t="s">
        <v>2199</v>
      </c>
      <c r="D925">
        <v>5.86</v>
      </c>
      <c r="E925">
        <v>0.217</v>
      </c>
      <c r="F925">
        <v>82.5</v>
      </c>
      <c r="G925" t="b">
        <v>1</v>
      </c>
      <c r="H925" t="b">
        <v>1</v>
      </c>
      <c r="I925">
        <v>962</v>
      </c>
      <c r="J925">
        <v>4.5918854415274453</v>
      </c>
    </row>
    <row r="926" spans="1:10" x14ac:dyDescent="0.3">
      <c r="A926" t="s">
        <v>1504</v>
      </c>
      <c r="B926" t="s">
        <v>2462</v>
      </c>
      <c r="C926" t="s">
        <v>2259</v>
      </c>
      <c r="D926">
        <v>35.43</v>
      </c>
      <c r="E926">
        <v>0.22500000000000001</v>
      </c>
      <c r="F926">
        <v>107.1</v>
      </c>
      <c r="G926" t="b">
        <v>1</v>
      </c>
      <c r="H926" t="b">
        <v>1</v>
      </c>
      <c r="I926">
        <v>1915</v>
      </c>
      <c r="J926">
        <v>9.1408114558472544</v>
      </c>
    </row>
    <row r="927" spans="1:10" x14ac:dyDescent="0.3">
      <c r="A927" t="s">
        <v>1505</v>
      </c>
      <c r="B927" t="s">
        <v>2390</v>
      </c>
      <c r="C927" t="s">
        <v>71</v>
      </c>
      <c r="D927">
        <v>3.5</v>
      </c>
      <c r="E927">
        <v>1</v>
      </c>
      <c r="F927">
        <v>100</v>
      </c>
      <c r="G927" t="b">
        <v>1</v>
      </c>
      <c r="H927" t="b">
        <v>1</v>
      </c>
      <c r="I927">
        <v>1915</v>
      </c>
      <c r="J927">
        <v>9.1408114558472544</v>
      </c>
    </row>
    <row r="928" spans="1:10" x14ac:dyDescent="0.3">
      <c r="A928" t="s">
        <v>1506</v>
      </c>
      <c r="B928" t="s">
        <v>2283</v>
      </c>
      <c r="C928" t="s">
        <v>2655</v>
      </c>
      <c r="D928">
        <v>22.45</v>
      </c>
      <c r="E928">
        <v>0.41099999999999998</v>
      </c>
      <c r="F928">
        <v>312.7</v>
      </c>
      <c r="G928" t="b">
        <v>1</v>
      </c>
      <c r="H928" t="b">
        <v>1</v>
      </c>
      <c r="I928">
        <v>31872</v>
      </c>
      <c r="J928">
        <v>152.1336515513126</v>
      </c>
    </row>
    <row r="929" spans="1:10" x14ac:dyDescent="0.3">
      <c r="A929" t="s">
        <v>1507</v>
      </c>
      <c r="B929" t="s">
        <v>1998</v>
      </c>
      <c r="C929" t="s">
        <v>2516</v>
      </c>
      <c r="D929">
        <v>189.11</v>
      </c>
      <c r="E929">
        <v>0.22500000000000001</v>
      </c>
      <c r="F929">
        <v>107.1</v>
      </c>
      <c r="G929" t="b">
        <v>1</v>
      </c>
      <c r="H929" t="b">
        <v>1</v>
      </c>
      <c r="I929">
        <v>1915</v>
      </c>
      <c r="J929">
        <v>9.1408114558472544</v>
      </c>
    </row>
    <row r="930" spans="1:10" x14ac:dyDescent="0.3">
      <c r="A930" t="s">
        <v>1508</v>
      </c>
      <c r="B930" t="s">
        <v>2463</v>
      </c>
      <c r="C930" t="s">
        <v>2443</v>
      </c>
      <c r="D930">
        <v>61.02</v>
      </c>
      <c r="E930">
        <v>0.28199999999999997</v>
      </c>
      <c r="F930">
        <v>160.30000000000001</v>
      </c>
      <c r="G930" t="b">
        <v>1</v>
      </c>
      <c r="H930" t="b">
        <v>1</v>
      </c>
      <c r="I930">
        <v>5533</v>
      </c>
      <c r="J930">
        <v>26.410501193317419</v>
      </c>
    </row>
    <row r="931" spans="1:10" x14ac:dyDescent="0.3">
      <c r="A931" t="s">
        <v>1509</v>
      </c>
      <c r="B931" t="s">
        <v>2387</v>
      </c>
      <c r="C931" t="s">
        <v>2463</v>
      </c>
      <c r="D931">
        <v>32.11</v>
      </c>
      <c r="E931">
        <v>0.28199999999999997</v>
      </c>
      <c r="F931">
        <v>160.30000000000001</v>
      </c>
      <c r="G931" t="b">
        <v>1</v>
      </c>
      <c r="H931" t="b">
        <v>1</v>
      </c>
      <c r="I931">
        <v>5533</v>
      </c>
      <c r="J931">
        <v>26.410501193317419</v>
      </c>
    </row>
    <row r="932" spans="1:10" x14ac:dyDescent="0.3">
      <c r="A932" t="s">
        <v>1510</v>
      </c>
      <c r="B932" t="s">
        <v>2176</v>
      </c>
      <c r="C932" t="s">
        <v>2384</v>
      </c>
      <c r="D932">
        <v>37.49</v>
      </c>
      <c r="E932">
        <v>0.28199999999999997</v>
      </c>
      <c r="F932">
        <v>160.30000000000001</v>
      </c>
      <c r="G932" t="b">
        <v>1</v>
      </c>
      <c r="H932" t="b">
        <v>1</v>
      </c>
      <c r="I932">
        <v>5533</v>
      </c>
      <c r="J932">
        <v>26.410501193317419</v>
      </c>
    </row>
    <row r="933" spans="1:10" x14ac:dyDescent="0.3">
      <c r="A933" t="s">
        <v>1511</v>
      </c>
      <c r="B933" t="s">
        <v>2464</v>
      </c>
      <c r="C933" t="s">
        <v>2176</v>
      </c>
      <c r="D933">
        <v>2.96</v>
      </c>
      <c r="E933">
        <v>0.217</v>
      </c>
      <c r="F933">
        <v>82.5</v>
      </c>
      <c r="G933" t="b">
        <v>1</v>
      </c>
      <c r="H933" t="b">
        <v>1</v>
      </c>
      <c r="I933">
        <v>962</v>
      </c>
      <c r="J933">
        <v>4.5918854415274453</v>
      </c>
    </row>
    <row r="934" spans="1:10" x14ac:dyDescent="0.3">
      <c r="A934" t="s">
        <v>1512</v>
      </c>
      <c r="B934" t="s">
        <v>2465</v>
      </c>
      <c r="C934" t="s">
        <v>2386</v>
      </c>
      <c r="D934">
        <v>45.29</v>
      </c>
      <c r="E934">
        <v>0.22500000000000001</v>
      </c>
      <c r="F934">
        <v>107.1</v>
      </c>
      <c r="G934" t="b">
        <v>1</v>
      </c>
      <c r="H934" t="b">
        <v>1</v>
      </c>
      <c r="I934">
        <v>1915</v>
      </c>
      <c r="J934">
        <v>9.1408114558472544</v>
      </c>
    </row>
    <row r="935" spans="1:10" x14ac:dyDescent="0.3">
      <c r="A935" t="s">
        <v>1513</v>
      </c>
      <c r="B935" t="s">
        <v>2385</v>
      </c>
      <c r="C935" t="s">
        <v>2111</v>
      </c>
      <c r="D935">
        <v>93.77</v>
      </c>
      <c r="E935">
        <v>0.35499999999999998</v>
      </c>
      <c r="F935">
        <v>263</v>
      </c>
      <c r="G935" t="b">
        <v>1</v>
      </c>
      <c r="H935" t="b">
        <v>1</v>
      </c>
      <c r="I935">
        <v>20264</v>
      </c>
      <c r="J935">
        <v>96.725536992840077</v>
      </c>
    </row>
    <row r="936" spans="1:10" x14ac:dyDescent="0.3">
      <c r="A936" t="s">
        <v>1514</v>
      </c>
      <c r="B936" t="s">
        <v>2450</v>
      </c>
      <c r="C936" t="s">
        <v>2513</v>
      </c>
      <c r="D936">
        <v>169.3</v>
      </c>
      <c r="E936">
        <v>0.28199999999999997</v>
      </c>
      <c r="F936">
        <v>160.30000000000001</v>
      </c>
      <c r="G936" t="b">
        <v>1</v>
      </c>
      <c r="H936" t="b">
        <v>1</v>
      </c>
      <c r="I936">
        <v>5533</v>
      </c>
      <c r="J936">
        <v>26.410501193317419</v>
      </c>
    </row>
    <row r="937" spans="1:10" x14ac:dyDescent="0.3">
      <c r="A937" t="s">
        <v>1515</v>
      </c>
      <c r="B937" t="s">
        <v>2462</v>
      </c>
      <c r="C937" t="s">
        <v>2310</v>
      </c>
      <c r="D937">
        <v>7.77</v>
      </c>
      <c r="E937">
        <v>1</v>
      </c>
      <c r="F937">
        <v>100</v>
      </c>
      <c r="G937" t="b">
        <v>1</v>
      </c>
      <c r="H937" t="b">
        <v>1</v>
      </c>
      <c r="I937">
        <v>1915</v>
      </c>
      <c r="J937">
        <v>9.1408114558472544</v>
      </c>
    </row>
    <row r="938" spans="1:10" x14ac:dyDescent="0.3">
      <c r="A938" t="s">
        <v>1516</v>
      </c>
      <c r="B938" t="s">
        <v>2466</v>
      </c>
      <c r="C938" t="s">
        <v>2462</v>
      </c>
      <c r="D938">
        <v>61.87</v>
      </c>
      <c r="E938">
        <v>0.22500000000000001</v>
      </c>
      <c r="F938">
        <v>107.1</v>
      </c>
      <c r="G938" t="b">
        <v>1</v>
      </c>
      <c r="H938" t="b">
        <v>1</v>
      </c>
      <c r="I938">
        <v>1915</v>
      </c>
      <c r="J938">
        <v>9.1408114558472544</v>
      </c>
    </row>
    <row r="939" spans="1:10" x14ac:dyDescent="0.3">
      <c r="A939" t="s">
        <v>1517</v>
      </c>
      <c r="B939" t="s">
        <v>2119</v>
      </c>
      <c r="C939" t="s">
        <v>2466</v>
      </c>
      <c r="D939">
        <v>19.68</v>
      </c>
      <c r="E939">
        <v>0.22500000000000001</v>
      </c>
      <c r="F939">
        <v>107.1</v>
      </c>
      <c r="G939" t="b">
        <v>1</v>
      </c>
      <c r="H939" t="b">
        <v>1</v>
      </c>
      <c r="I939">
        <v>1915</v>
      </c>
      <c r="J939">
        <v>9.1408114558472544</v>
      </c>
    </row>
    <row r="940" spans="1:10" x14ac:dyDescent="0.3">
      <c r="A940" t="s">
        <v>1518</v>
      </c>
      <c r="B940" t="s">
        <v>2453</v>
      </c>
      <c r="C940" t="s">
        <v>2282</v>
      </c>
      <c r="D940">
        <v>67.069999999999993</v>
      </c>
      <c r="E940">
        <v>0.28199999999999997</v>
      </c>
      <c r="F940">
        <v>160.30000000000001</v>
      </c>
      <c r="G940" t="b">
        <v>1</v>
      </c>
      <c r="H940" t="b">
        <v>1</v>
      </c>
      <c r="I940">
        <v>5533</v>
      </c>
      <c r="J940">
        <v>26.410501193317419</v>
      </c>
    </row>
    <row r="941" spans="1:10" x14ac:dyDescent="0.3">
      <c r="A941" t="s">
        <v>1519</v>
      </c>
      <c r="B941" t="s">
        <v>2467</v>
      </c>
      <c r="C941" t="s">
        <v>2425</v>
      </c>
      <c r="D941">
        <v>18.62</v>
      </c>
      <c r="E941">
        <v>0.217</v>
      </c>
      <c r="F941">
        <v>82.5</v>
      </c>
      <c r="G941" t="b">
        <v>1</v>
      </c>
      <c r="H941" t="b">
        <v>1</v>
      </c>
      <c r="I941">
        <v>962</v>
      </c>
      <c r="J941">
        <v>4.5918854415274453</v>
      </c>
    </row>
    <row r="942" spans="1:10" x14ac:dyDescent="0.3">
      <c r="A942" t="s">
        <v>1520</v>
      </c>
      <c r="B942" t="s">
        <v>2312</v>
      </c>
      <c r="C942" t="s">
        <v>2382</v>
      </c>
      <c r="D942">
        <v>9.14</v>
      </c>
      <c r="E942">
        <v>1</v>
      </c>
      <c r="F942">
        <v>100</v>
      </c>
      <c r="G942" t="b">
        <v>1</v>
      </c>
      <c r="H942" t="b">
        <v>1</v>
      </c>
      <c r="I942">
        <v>1915</v>
      </c>
      <c r="J942">
        <v>9.1408114558472544</v>
      </c>
    </row>
    <row r="943" spans="1:10" x14ac:dyDescent="0.3">
      <c r="A943" t="s">
        <v>1521</v>
      </c>
      <c r="B943" t="s">
        <v>2467</v>
      </c>
      <c r="C943" t="s">
        <v>538</v>
      </c>
      <c r="D943">
        <v>2.93</v>
      </c>
      <c r="E943">
        <v>1</v>
      </c>
      <c r="F943">
        <v>100</v>
      </c>
      <c r="G943" t="b">
        <v>1</v>
      </c>
      <c r="H943" t="b">
        <v>1</v>
      </c>
      <c r="I943">
        <v>1915</v>
      </c>
      <c r="J943">
        <v>9.1408114558472544</v>
      </c>
    </row>
    <row r="944" spans="1:10" x14ac:dyDescent="0.3">
      <c r="A944" t="s">
        <v>1522</v>
      </c>
      <c r="B944" t="s">
        <v>2468</v>
      </c>
      <c r="C944" t="s">
        <v>2312</v>
      </c>
      <c r="D944">
        <v>27.61</v>
      </c>
      <c r="E944">
        <v>0.217</v>
      </c>
      <c r="F944">
        <v>82.5</v>
      </c>
      <c r="G944" t="b">
        <v>1</v>
      </c>
      <c r="H944" t="b">
        <v>1</v>
      </c>
      <c r="I944">
        <v>962</v>
      </c>
      <c r="J944">
        <v>4.5918854415274453</v>
      </c>
    </row>
    <row r="945" spans="1:10" x14ac:dyDescent="0.3">
      <c r="A945" t="s">
        <v>1523</v>
      </c>
      <c r="B945" t="s">
        <v>2469</v>
      </c>
      <c r="C945" t="s">
        <v>2411</v>
      </c>
      <c r="D945">
        <v>28.49</v>
      </c>
      <c r="E945">
        <v>0.217</v>
      </c>
      <c r="F945">
        <v>82.5</v>
      </c>
      <c r="G945" t="b">
        <v>1</v>
      </c>
      <c r="H945" t="b">
        <v>1</v>
      </c>
      <c r="I945">
        <v>962</v>
      </c>
      <c r="J945">
        <v>4.5918854415274453</v>
      </c>
    </row>
    <row r="946" spans="1:10" x14ac:dyDescent="0.3">
      <c r="A946" t="s">
        <v>1524</v>
      </c>
      <c r="B946" t="s">
        <v>2470</v>
      </c>
      <c r="C946" t="s">
        <v>108</v>
      </c>
      <c r="D946">
        <v>9.39</v>
      </c>
      <c r="E946">
        <v>0.13400000000000001</v>
      </c>
      <c r="F946">
        <v>28.5</v>
      </c>
      <c r="G946" t="b">
        <v>1</v>
      </c>
      <c r="H946" t="b">
        <v>1</v>
      </c>
      <c r="I946">
        <v>60</v>
      </c>
      <c r="J946">
        <v>0.28639618138424822</v>
      </c>
    </row>
    <row r="947" spans="1:10" x14ac:dyDescent="0.3">
      <c r="A947" t="s">
        <v>1525</v>
      </c>
      <c r="B947" t="s">
        <v>2470</v>
      </c>
      <c r="C947" t="s">
        <v>2353</v>
      </c>
      <c r="D947">
        <v>29.04</v>
      </c>
      <c r="E947">
        <v>1</v>
      </c>
      <c r="F947">
        <v>100</v>
      </c>
      <c r="G947" t="b">
        <v>1</v>
      </c>
      <c r="H947" t="b">
        <v>1</v>
      </c>
      <c r="I947">
        <v>1915</v>
      </c>
      <c r="J947">
        <v>9.1408114558472544</v>
      </c>
    </row>
    <row r="948" spans="1:10" x14ac:dyDescent="0.3">
      <c r="A948" t="s">
        <v>1526</v>
      </c>
      <c r="B948" t="s">
        <v>2443</v>
      </c>
      <c r="C948" t="s">
        <v>536</v>
      </c>
      <c r="D948">
        <v>8</v>
      </c>
      <c r="E948">
        <v>1</v>
      </c>
      <c r="F948">
        <v>100</v>
      </c>
      <c r="G948" t="b">
        <v>1</v>
      </c>
      <c r="H948" t="b">
        <v>1</v>
      </c>
      <c r="I948">
        <v>1915</v>
      </c>
      <c r="J948">
        <v>9.1408114558472544</v>
      </c>
    </row>
    <row r="949" spans="1:10" x14ac:dyDescent="0.3">
      <c r="A949" t="s">
        <v>1527</v>
      </c>
      <c r="B949" t="s">
        <v>2471</v>
      </c>
      <c r="C949" t="s">
        <v>2509</v>
      </c>
      <c r="D949">
        <v>8.58</v>
      </c>
      <c r="E949">
        <v>0.28199999999999997</v>
      </c>
      <c r="F949">
        <v>160.30000000000001</v>
      </c>
      <c r="G949" t="b">
        <v>1</v>
      </c>
      <c r="H949" t="b">
        <v>1</v>
      </c>
      <c r="I949">
        <v>5533</v>
      </c>
      <c r="J949">
        <v>26.410501193317419</v>
      </c>
    </row>
    <row r="950" spans="1:10" x14ac:dyDescent="0.3">
      <c r="A950" t="s">
        <v>1528</v>
      </c>
      <c r="B950" t="s">
        <v>2471</v>
      </c>
      <c r="C950" t="s">
        <v>534</v>
      </c>
      <c r="D950">
        <v>12.8</v>
      </c>
      <c r="E950">
        <v>1</v>
      </c>
      <c r="F950">
        <v>100</v>
      </c>
      <c r="G950" t="b">
        <v>1</v>
      </c>
      <c r="H950" t="b">
        <v>1</v>
      </c>
      <c r="I950">
        <v>1915</v>
      </c>
      <c r="J950">
        <v>9.1408114558472544</v>
      </c>
    </row>
    <row r="951" spans="1:10" x14ac:dyDescent="0.3">
      <c r="A951" t="s">
        <v>1529</v>
      </c>
      <c r="B951" t="s">
        <v>2472</v>
      </c>
      <c r="C951" t="s">
        <v>2471</v>
      </c>
      <c r="D951">
        <v>48.28</v>
      </c>
      <c r="E951">
        <v>0.37</v>
      </c>
      <c r="F951">
        <v>210.1</v>
      </c>
      <c r="G951" t="b">
        <v>1</v>
      </c>
      <c r="H951" t="b">
        <v>1</v>
      </c>
      <c r="I951">
        <v>11253</v>
      </c>
      <c r="J951">
        <v>53.713603818615738</v>
      </c>
    </row>
    <row r="952" spans="1:10" x14ac:dyDescent="0.3">
      <c r="A952" t="s">
        <v>1530</v>
      </c>
      <c r="B952" t="s">
        <v>2472</v>
      </c>
      <c r="C952" t="s">
        <v>533</v>
      </c>
      <c r="D952">
        <v>11.08</v>
      </c>
      <c r="E952">
        <v>1</v>
      </c>
      <c r="F952">
        <v>100</v>
      </c>
      <c r="G952" t="b">
        <v>1</v>
      </c>
      <c r="H952" t="b">
        <v>1</v>
      </c>
      <c r="I952">
        <v>1915</v>
      </c>
      <c r="J952">
        <v>9.1408114558472544</v>
      </c>
    </row>
    <row r="953" spans="1:10" x14ac:dyDescent="0.3">
      <c r="A953" t="s">
        <v>1531</v>
      </c>
      <c r="B953" t="s">
        <v>2473</v>
      </c>
      <c r="C953" t="s">
        <v>2400</v>
      </c>
      <c r="D953">
        <v>47.62</v>
      </c>
      <c r="E953">
        <v>0.37</v>
      </c>
      <c r="F953">
        <v>210.1</v>
      </c>
      <c r="G953" t="b">
        <v>1</v>
      </c>
      <c r="H953" t="b">
        <v>1</v>
      </c>
      <c r="I953">
        <v>11253</v>
      </c>
      <c r="J953">
        <v>53.713603818615738</v>
      </c>
    </row>
    <row r="954" spans="1:10" x14ac:dyDescent="0.3">
      <c r="A954" t="s">
        <v>1532</v>
      </c>
      <c r="B954" t="s">
        <v>2473</v>
      </c>
      <c r="C954" t="s">
        <v>532</v>
      </c>
      <c r="D954">
        <v>21.06</v>
      </c>
      <c r="E954">
        <v>1</v>
      </c>
      <c r="F954">
        <v>100</v>
      </c>
      <c r="G954" t="b">
        <v>1</v>
      </c>
      <c r="H954" t="b">
        <v>1</v>
      </c>
      <c r="I954">
        <v>1915</v>
      </c>
      <c r="J954">
        <v>9.1408114558472544</v>
      </c>
    </row>
    <row r="955" spans="1:10" x14ac:dyDescent="0.3">
      <c r="A955" t="s">
        <v>1533</v>
      </c>
      <c r="B955" t="s">
        <v>1922</v>
      </c>
      <c r="C955" t="s">
        <v>2470</v>
      </c>
      <c r="D955">
        <v>79.430000000000007</v>
      </c>
      <c r="E955">
        <v>1</v>
      </c>
      <c r="F955">
        <v>100</v>
      </c>
      <c r="G955" t="b">
        <v>1</v>
      </c>
      <c r="H955" t="b">
        <v>1</v>
      </c>
      <c r="I955">
        <v>1915</v>
      </c>
      <c r="J955">
        <v>9.1408114558472544</v>
      </c>
    </row>
    <row r="956" spans="1:10" x14ac:dyDescent="0.3">
      <c r="A956" t="s">
        <v>1534</v>
      </c>
      <c r="B956" t="s">
        <v>2474</v>
      </c>
      <c r="C956" t="s">
        <v>481</v>
      </c>
      <c r="D956">
        <v>48.43</v>
      </c>
      <c r="E956">
        <v>1</v>
      </c>
      <c r="F956">
        <v>100</v>
      </c>
      <c r="G956" t="b">
        <v>1</v>
      </c>
      <c r="H956" t="b">
        <v>1</v>
      </c>
      <c r="I956">
        <v>1915</v>
      </c>
      <c r="J956">
        <v>9.1408114558472544</v>
      </c>
    </row>
    <row r="957" spans="1:10" x14ac:dyDescent="0.3">
      <c r="A957" t="s">
        <v>1535</v>
      </c>
      <c r="B957" t="s">
        <v>2475</v>
      </c>
      <c r="C957" t="s">
        <v>2474</v>
      </c>
      <c r="D957">
        <v>117.81</v>
      </c>
      <c r="E957">
        <v>1</v>
      </c>
      <c r="F957">
        <v>100</v>
      </c>
      <c r="G957" t="b">
        <v>1</v>
      </c>
      <c r="H957" t="b">
        <v>1</v>
      </c>
      <c r="I957">
        <v>1915</v>
      </c>
      <c r="J957">
        <v>9.1408114558472544</v>
      </c>
    </row>
    <row r="958" spans="1:10" x14ac:dyDescent="0.3">
      <c r="A958" t="s">
        <v>1536</v>
      </c>
      <c r="B958" t="s">
        <v>2476</v>
      </c>
      <c r="C958" t="s">
        <v>531</v>
      </c>
      <c r="D958">
        <v>9.4700000000000006</v>
      </c>
      <c r="E958">
        <v>1</v>
      </c>
      <c r="F958">
        <v>100</v>
      </c>
      <c r="G958" t="b">
        <v>1</v>
      </c>
      <c r="H958" t="b">
        <v>1</v>
      </c>
      <c r="I958">
        <v>1915</v>
      </c>
      <c r="J958">
        <v>9.1408114558472544</v>
      </c>
    </row>
    <row r="959" spans="1:10" x14ac:dyDescent="0.3">
      <c r="A959" t="s">
        <v>1537</v>
      </c>
      <c r="B959" t="s">
        <v>2476</v>
      </c>
      <c r="C959" t="s">
        <v>530</v>
      </c>
      <c r="D959">
        <v>4.18</v>
      </c>
      <c r="E959">
        <v>1</v>
      </c>
      <c r="F959">
        <v>100</v>
      </c>
      <c r="G959" t="b">
        <v>1</v>
      </c>
      <c r="H959" t="b">
        <v>1</v>
      </c>
      <c r="I959">
        <v>1915</v>
      </c>
      <c r="J959">
        <v>9.1408114558472544</v>
      </c>
    </row>
    <row r="960" spans="1:10" x14ac:dyDescent="0.3">
      <c r="A960" t="s">
        <v>1538</v>
      </c>
      <c r="B960" t="s">
        <v>2475</v>
      </c>
      <c r="C960" t="s">
        <v>2476</v>
      </c>
      <c r="D960">
        <v>22.98</v>
      </c>
      <c r="E960">
        <v>1</v>
      </c>
      <c r="F960">
        <v>100</v>
      </c>
      <c r="G960" t="b">
        <v>1</v>
      </c>
      <c r="H960" t="b">
        <v>1</v>
      </c>
      <c r="I960">
        <v>1915</v>
      </c>
      <c r="J960">
        <v>9.1408114558472544</v>
      </c>
    </row>
    <row r="961" spans="1:10" x14ac:dyDescent="0.3">
      <c r="A961" t="s">
        <v>1539</v>
      </c>
      <c r="B961" t="s">
        <v>529</v>
      </c>
      <c r="C961" t="s">
        <v>2475</v>
      </c>
      <c r="D961">
        <v>33.74</v>
      </c>
      <c r="E961">
        <v>1</v>
      </c>
      <c r="F961">
        <v>100</v>
      </c>
      <c r="G961" t="b">
        <v>1</v>
      </c>
      <c r="H961" t="b">
        <v>1</v>
      </c>
      <c r="I961">
        <v>1915</v>
      </c>
      <c r="J961">
        <v>9.1408114558472544</v>
      </c>
    </row>
    <row r="962" spans="1:10" x14ac:dyDescent="0.3">
      <c r="A962" t="s">
        <v>1540</v>
      </c>
      <c r="B962" t="s">
        <v>2477</v>
      </c>
      <c r="C962" t="s">
        <v>528</v>
      </c>
      <c r="D962">
        <v>17.3</v>
      </c>
      <c r="E962">
        <v>0.13400000000000001</v>
      </c>
      <c r="F962">
        <v>28.5</v>
      </c>
      <c r="G962" t="b">
        <v>1</v>
      </c>
      <c r="H962" t="b">
        <v>1</v>
      </c>
      <c r="I962">
        <v>60</v>
      </c>
      <c r="J962">
        <v>0.28639618138424822</v>
      </c>
    </row>
    <row r="963" spans="1:10" x14ac:dyDescent="0.3">
      <c r="A963" t="s">
        <v>1541</v>
      </c>
      <c r="B963" t="s">
        <v>2477</v>
      </c>
      <c r="C963" t="s">
        <v>527</v>
      </c>
      <c r="D963">
        <v>4.37</v>
      </c>
      <c r="E963">
        <v>0.13400000000000001</v>
      </c>
      <c r="F963">
        <v>28.5</v>
      </c>
      <c r="G963" t="b">
        <v>1</v>
      </c>
      <c r="H963" t="b">
        <v>1</v>
      </c>
      <c r="I963">
        <v>60</v>
      </c>
      <c r="J963">
        <v>0.28639618138424822</v>
      </c>
    </row>
    <row r="964" spans="1:10" x14ac:dyDescent="0.3">
      <c r="A964" t="s">
        <v>1542</v>
      </c>
      <c r="B964" t="s">
        <v>2478</v>
      </c>
      <c r="C964" t="s">
        <v>526</v>
      </c>
      <c r="D964">
        <v>24.97</v>
      </c>
      <c r="E964">
        <v>1</v>
      </c>
      <c r="F964">
        <v>100</v>
      </c>
      <c r="G964" t="b">
        <v>1</v>
      </c>
      <c r="H964" t="b">
        <v>1</v>
      </c>
      <c r="I964">
        <v>1915</v>
      </c>
      <c r="J964">
        <v>9.1408114558472544</v>
      </c>
    </row>
    <row r="965" spans="1:10" x14ac:dyDescent="0.3">
      <c r="A965" t="s">
        <v>1543</v>
      </c>
      <c r="B965" t="s">
        <v>2478</v>
      </c>
      <c r="C965" t="s">
        <v>525</v>
      </c>
      <c r="D965">
        <v>23.63</v>
      </c>
      <c r="E965">
        <v>1</v>
      </c>
      <c r="F965">
        <v>100</v>
      </c>
      <c r="G965" t="b">
        <v>1</v>
      </c>
      <c r="H965" t="b">
        <v>1</v>
      </c>
      <c r="I965">
        <v>1915</v>
      </c>
      <c r="J965">
        <v>9.1408114558472544</v>
      </c>
    </row>
    <row r="966" spans="1:10" x14ac:dyDescent="0.3">
      <c r="A966" t="s">
        <v>1544</v>
      </c>
      <c r="B966" t="s">
        <v>2479</v>
      </c>
      <c r="C966" t="s">
        <v>524</v>
      </c>
      <c r="D966">
        <v>43.2</v>
      </c>
      <c r="E966">
        <v>1</v>
      </c>
      <c r="F966">
        <v>100</v>
      </c>
      <c r="G966" t="b">
        <v>1</v>
      </c>
      <c r="H966" t="b">
        <v>1</v>
      </c>
      <c r="I966">
        <v>1915</v>
      </c>
      <c r="J966">
        <v>9.1408114558472544</v>
      </c>
    </row>
    <row r="967" spans="1:10" x14ac:dyDescent="0.3">
      <c r="A967" t="s">
        <v>1545</v>
      </c>
      <c r="B967" t="s">
        <v>2479</v>
      </c>
      <c r="C967" t="s">
        <v>523</v>
      </c>
      <c r="D967">
        <v>3.67</v>
      </c>
      <c r="E967">
        <v>1</v>
      </c>
      <c r="F967">
        <v>100</v>
      </c>
      <c r="G967" t="b">
        <v>1</v>
      </c>
      <c r="H967" t="b">
        <v>1</v>
      </c>
      <c r="I967">
        <v>1915</v>
      </c>
      <c r="J967">
        <v>9.1408114558472544</v>
      </c>
    </row>
    <row r="968" spans="1:10" x14ac:dyDescent="0.3">
      <c r="A968" t="s">
        <v>1546</v>
      </c>
      <c r="B968" t="s">
        <v>2480</v>
      </c>
      <c r="C968" t="s">
        <v>521</v>
      </c>
      <c r="D968">
        <v>137.1</v>
      </c>
      <c r="E968">
        <v>0.24</v>
      </c>
      <c r="F968">
        <v>70.3</v>
      </c>
      <c r="G968" t="b">
        <v>1</v>
      </c>
      <c r="H968" t="b">
        <v>1</v>
      </c>
      <c r="I968">
        <v>630</v>
      </c>
      <c r="J968">
        <v>3.007159904534606</v>
      </c>
    </row>
    <row r="969" spans="1:10" x14ac:dyDescent="0.3">
      <c r="A969" t="s">
        <v>1547</v>
      </c>
      <c r="B969" t="s">
        <v>2481</v>
      </c>
      <c r="C969" t="s">
        <v>522</v>
      </c>
      <c r="D969">
        <v>43.3</v>
      </c>
      <c r="E969">
        <v>0.16600000000000001</v>
      </c>
      <c r="F969">
        <v>43.1</v>
      </c>
      <c r="G969" t="b">
        <v>1</v>
      </c>
      <c r="H969" t="b">
        <v>1</v>
      </c>
      <c r="I969">
        <v>172</v>
      </c>
      <c r="J969">
        <v>0.82100238663484471</v>
      </c>
    </row>
    <row r="970" spans="1:10" x14ac:dyDescent="0.3">
      <c r="A970" t="s">
        <v>1548</v>
      </c>
      <c r="B970" t="s">
        <v>2383</v>
      </c>
      <c r="C970" t="s">
        <v>520</v>
      </c>
      <c r="D970">
        <v>31.54</v>
      </c>
      <c r="E970">
        <v>0.18</v>
      </c>
      <c r="F970">
        <v>54.5</v>
      </c>
      <c r="G970" t="b">
        <v>1</v>
      </c>
      <c r="H970" t="b">
        <v>1</v>
      </c>
      <c r="I970">
        <v>321</v>
      </c>
      <c r="J970">
        <v>1.532219570405728</v>
      </c>
    </row>
    <row r="971" spans="1:10" x14ac:dyDescent="0.3">
      <c r="A971" t="s">
        <v>1549</v>
      </c>
      <c r="B971" t="s">
        <v>1993</v>
      </c>
      <c r="C971" t="s">
        <v>2654</v>
      </c>
      <c r="D971">
        <v>199.1</v>
      </c>
      <c r="E971">
        <v>0.29299999999999998</v>
      </c>
      <c r="F971">
        <v>210.1</v>
      </c>
      <c r="G971" t="b">
        <v>1</v>
      </c>
      <c r="H971" t="b">
        <v>1</v>
      </c>
      <c r="I971">
        <v>11253</v>
      </c>
      <c r="J971">
        <v>53.713603818615738</v>
      </c>
    </row>
    <row r="972" spans="1:10" x14ac:dyDescent="0.3">
      <c r="A972" t="s">
        <v>1550</v>
      </c>
      <c r="B972" t="s">
        <v>2482</v>
      </c>
      <c r="C972" t="s">
        <v>519</v>
      </c>
      <c r="D972">
        <v>31.14</v>
      </c>
      <c r="E972">
        <v>0.191</v>
      </c>
      <c r="F972">
        <v>43.1</v>
      </c>
      <c r="G972" t="b">
        <v>1</v>
      </c>
      <c r="H972" t="b">
        <v>1</v>
      </c>
      <c r="I972">
        <v>172</v>
      </c>
      <c r="J972">
        <v>0.82100238663484471</v>
      </c>
    </row>
    <row r="973" spans="1:10" x14ac:dyDescent="0.3">
      <c r="A973" t="s">
        <v>1551</v>
      </c>
      <c r="B973" t="s">
        <v>1926</v>
      </c>
      <c r="C973" t="s">
        <v>2482</v>
      </c>
      <c r="D973">
        <v>106.16</v>
      </c>
      <c r="E973">
        <v>0.248</v>
      </c>
      <c r="F973">
        <v>70.3</v>
      </c>
      <c r="G973" t="b">
        <v>1</v>
      </c>
      <c r="H973" t="b">
        <v>1</v>
      </c>
      <c r="I973">
        <v>630</v>
      </c>
      <c r="J973">
        <v>3.007159904534606</v>
      </c>
    </row>
    <row r="974" spans="1:10" x14ac:dyDescent="0.3">
      <c r="A974" t="s">
        <v>1552</v>
      </c>
      <c r="B974" t="s">
        <v>2173</v>
      </c>
      <c r="C974" t="s">
        <v>518</v>
      </c>
      <c r="D974">
        <v>8.7899999999999991</v>
      </c>
      <c r="E974">
        <v>1</v>
      </c>
      <c r="F974">
        <v>100</v>
      </c>
      <c r="G974" t="b">
        <v>1</v>
      </c>
      <c r="H974" t="b">
        <v>1</v>
      </c>
      <c r="I974">
        <v>1915</v>
      </c>
      <c r="J974">
        <v>9.1408114558472544</v>
      </c>
    </row>
    <row r="975" spans="1:10" x14ac:dyDescent="0.3">
      <c r="A975" t="s">
        <v>1553</v>
      </c>
      <c r="B975" t="s">
        <v>2483</v>
      </c>
      <c r="C975" t="s">
        <v>517</v>
      </c>
      <c r="D975">
        <v>68.930000000000007</v>
      </c>
      <c r="E975">
        <v>1</v>
      </c>
      <c r="F975">
        <v>100</v>
      </c>
      <c r="G975" t="b">
        <v>1</v>
      </c>
      <c r="H975" t="b">
        <v>1</v>
      </c>
      <c r="I975">
        <v>1915</v>
      </c>
      <c r="J975">
        <v>9.1408114558472544</v>
      </c>
    </row>
    <row r="976" spans="1:10" x14ac:dyDescent="0.3">
      <c r="A976" t="s">
        <v>1554</v>
      </c>
      <c r="B976" t="s">
        <v>2483</v>
      </c>
      <c r="C976" t="s">
        <v>516</v>
      </c>
      <c r="D976">
        <v>8.07</v>
      </c>
      <c r="E976">
        <v>1</v>
      </c>
      <c r="F976">
        <v>100</v>
      </c>
      <c r="G976" t="b">
        <v>1</v>
      </c>
      <c r="H976" t="b">
        <v>1</v>
      </c>
      <c r="I976">
        <v>1915</v>
      </c>
      <c r="J976">
        <v>9.1408114558472544</v>
      </c>
    </row>
    <row r="977" spans="1:10" x14ac:dyDescent="0.3">
      <c r="A977" t="s">
        <v>1555</v>
      </c>
      <c r="B977" t="s">
        <v>2484</v>
      </c>
      <c r="C977" t="s">
        <v>2483</v>
      </c>
      <c r="D977">
        <v>6.36</v>
      </c>
      <c r="E977">
        <v>1</v>
      </c>
      <c r="F977">
        <v>100</v>
      </c>
      <c r="G977" t="b">
        <v>1</v>
      </c>
      <c r="H977" t="b">
        <v>1</v>
      </c>
      <c r="I977">
        <v>1915</v>
      </c>
      <c r="J977">
        <v>9.1408114558472544</v>
      </c>
    </row>
    <row r="978" spans="1:10" x14ac:dyDescent="0.3">
      <c r="A978" t="s">
        <v>1556</v>
      </c>
      <c r="B978" t="s">
        <v>2484</v>
      </c>
      <c r="C978" t="s">
        <v>515</v>
      </c>
      <c r="D978">
        <v>2.74</v>
      </c>
      <c r="E978">
        <v>1</v>
      </c>
      <c r="F978">
        <v>100</v>
      </c>
      <c r="G978" t="b">
        <v>1</v>
      </c>
      <c r="H978" t="b">
        <v>1</v>
      </c>
      <c r="I978">
        <v>1915</v>
      </c>
      <c r="J978">
        <v>9.1408114558472544</v>
      </c>
    </row>
    <row r="979" spans="1:10" x14ac:dyDescent="0.3">
      <c r="A979" t="s">
        <v>1557</v>
      </c>
      <c r="B979" t="s">
        <v>2485</v>
      </c>
      <c r="C979" t="s">
        <v>2484</v>
      </c>
      <c r="D979">
        <v>9.3699999999999992</v>
      </c>
      <c r="E979">
        <v>1</v>
      </c>
      <c r="F979">
        <v>100</v>
      </c>
      <c r="G979" t="b">
        <v>1</v>
      </c>
      <c r="H979" t="b">
        <v>1</v>
      </c>
      <c r="I979">
        <v>1915</v>
      </c>
      <c r="J979">
        <v>9.1408114558472544</v>
      </c>
    </row>
    <row r="980" spans="1:10" x14ac:dyDescent="0.3">
      <c r="A980" t="s">
        <v>1558</v>
      </c>
      <c r="B980" t="s">
        <v>2486</v>
      </c>
      <c r="C980" t="s">
        <v>2485</v>
      </c>
      <c r="D980">
        <v>50.98</v>
      </c>
      <c r="E980">
        <v>0.28199999999999997</v>
      </c>
      <c r="F980">
        <v>160.30000000000001</v>
      </c>
      <c r="G980" t="b">
        <v>1</v>
      </c>
      <c r="H980" t="b">
        <v>1</v>
      </c>
      <c r="I980">
        <v>5533</v>
      </c>
      <c r="J980">
        <v>26.410501193317419</v>
      </c>
    </row>
    <row r="981" spans="1:10" x14ac:dyDescent="0.3">
      <c r="A981" t="s">
        <v>1559</v>
      </c>
      <c r="B981" t="s">
        <v>2486</v>
      </c>
      <c r="C981" t="s">
        <v>514</v>
      </c>
      <c r="D981">
        <v>3.99</v>
      </c>
      <c r="E981">
        <v>1</v>
      </c>
      <c r="F981">
        <v>100</v>
      </c>
      <c r="G981" t="b">
        <v>1</v>
      </c>
      <c r="H981" t="b">
        <v>1</v>
      </c>
      <c r="I981">
        <v>1915</v>
      </c>
      <c r="J981">
        <v>9.1408114558472544</v>
      </c>
    </row>
    <row r="982" spans="1:10" x14ac:dyDescent="0.3">
      <c r="A982" t="s">
        <v>1560</v>
      </c>
      <c r="B982" t="s">
        <v>2487</v>
      </c>
      <c r="C982" t="s">
        <v>2300</v>
      </c>
      <c r="D982">
        <v>21.58</v>
      </c>
      <c r="E982">
        <v>0.22500000000000001</v>
      </c>
      <c r="F982">
        <v>107.1</v>
      </c>
      <c r="G982" t="b">
        <v>1</v>
      </c>
      <c r="H982" t="b">
        <v>1</v>
      </c>
      <c r="I982">
        <v>1915</v>
      </c>
      <c r="J982">
        <v>9.1408114558472544</v>
      </c>
    </row>
    <row r="983" spans="1:10" x14ac:dyDescent="0.3">
      <c r="A983" t="s">
        <v>1561</v>
      </c>
      <c r="B983" t="s">
        <v>2488</v>
      </c>
      <c r="C983" t="s">
        <v>513</v>
      </c>
      <c r="D983">
        <v>8.77</v>
      </c>
      <c r="E983">
        <v>1</v>
      </c>
      <c r="F983">
        <v>100</v>
      </c>
      <c r="G983" t="b">
        <v>1</v>
      </c>
      <c r="H983" t="b">
        <v>1</v>
      </c>
      <c r="I983">
        <v>1915</v>
      </c>
      <c r="J983">
        <v>9.1408114558472544</v>
      </c>
    </row>
    <row r="984" spans="1:10" x14ac:dyDescent="0.3">
      <c r="A984" t="s">
        <v>1562</v>
      </c>
      <c r="B984" t="s">
        <v>2488</v>
      </c>
      <c r="C984" t="s">
        <v>512</v>
      </c>
      <c r="D984">
        <v>0.87</v>
      </c>
      <c r="E984">
        <v>1</v>
      </c>
      <c r="F984">
        <v>100</v>
      </c>
      <c r="G984" t="b">
        <v>1</v>
      </c>
      <c r="H984" t="b">
        <v>1</v>
      </c>
      <c r="I984">
        <v>1915</v>
      </c>
      <c r="J984">
        <v>9.1408114558472544</v>
      </c>
    </row>
    <row r="985" spans="1:10" x14ac:dyDescent="0.3">
      <c r="A985" t="s">
        <v>1563</v>
      </c>
      <c r="B985" t="s">
        <v>2445</v>
      </c>
      <c r="C985" t="s">
        <v>152</v>
      </c>
      <c r="D985">
        <v>126.18</v>
      </c>
      <c r="E985">
        <v>0.16600000000000001</v>
      </c>
      <c r="F985">
        <v>43.1</v>
      </c>
      <c r="G985" t="b">
        <v>1</v>
      </c>
      <c r="H985" t="b">
        <v>1</v>
      </c>
      <c r="I985">
        <v>172</v>
      </c>
      <c r="J985">
        <v>0.82100238663484471</v>
      </c>
    </row>
    <row r="986" spans="1:10" x14ac:dyDescent="0.3">
      <c r="A986" t="s">
        <v>1564</v>
      </c>
      <c r="B986" t="s">
        <v>1948</v>
      </c>
      <c r="C986" t="s">
        <v>2498</v>
      </c>
      <c r="D986">
        <v>9.9700000000000006</v>
      </c>
      <c r="E986">
        <v>1</v>
      </c>
      <c r="F986">
        <v>100</v>
      </c>
      <c r="G986" t="b">
        <v>1</v>
      </c>
      <c r="H986" t="b">
        <v>1</v>
      </c>
      <c r="I986">
        <v>1915</v>
      </c>
      <c r="J986">
        <v>9.1408114558472544</v>
      </c>
    </row>
    <row r="987" spans="1:10" x14ac:dyDescent="0.3">
      <c r="A987" t="s">
        <v>1565</v>
      </c>
      <c r="B987" t="s">
        <v>1948</v>
      </c>
      <c r="C987" t="s">
        <v>537</v>
      </c>
      <c r="D987">
        <v>5.13</v>
      </c>
      <c r="E987">
        <v>0.156</v>
      </c>
      <c r="F987">
        <v>28.5</v>
      </c>
      <c r="G987" t="b">
        <v>1</v>
      </c>
      <c r="H987" t="b">
        <v>1</v>
      </c>
      <c r="I987">
        <v>60</v>
      </c>
      <c r="J987">
        <v>0.28639618138424822</v>
      </c>
    </row>
    <row r="988" spans="1:10" x14ac:dyDescent="0.3">
      <c r="A988" t="s">
        <v>1566</v>
      </c>
      <c r="B988" t="s">
        <v>2489</v>
      </c>
      <c r="C988" t="s">
        <v>1948</v>
      </c>
      <c r="D988">
        <v>26.42</v>
      </c>
      <c r="E988">
        <v>0.18</v>
      </c>
      <c r="F988">
        <v>54.5</v>
      </c>
      <c r="G988" t="b">
        <v>1</v>
      </c>
      <c r="H988" t="b">
        <v>1</v>
      </c>
      <c r="I988">
        <v>321</v>
      </c>
      <c r="J988">
        <v>1.532219570405728</v>
      </c>
    </row>
    <row r="989" spans="1:10" x14ac:dyDescent="0.3">
      <c r="A989" t="s">
        <v>1567</v>
      </c>
      <c r="B989" t="s">
        <v>2489</v>
      </c>
      <c r="C989" t="s">
        <v>511</v>
      </c>
      <c r="D989">
        <v>2.1</v>
      </c>
      <c r="E989">
        <v>1</v>
      </c>
      <c r="F989">
        <v>100</v>
      </c>
      <c r="G989" t="b">
        <v>1</v>
      </c>
      <c r="H989" t="b">
        <v>1</v>
      </c>
      <c r="I989">
        <v>1915</v>
      </c>
      <c r="J989">
        <v>9.1408114558472544</v>
      </c>
    </row>
    <row r="990" spans="1:10" x14ac:dyDescent="0.3">
      <c r="A990" t="s">
        <v>1568</v>
      </c>
      <c r="B990" t="s">
        <v>2490</v>
      </c>
      <c r="C990" t="s">
        <v>2489</v>
      </c>
      <c r="D990">
        <v>8.33</v>
      </c>
      <c r="E990">
        <v>0.18</v>
      </c>
      <c r="F990">
        <v>54.5</v>
      </c>
      <c r="G990" t="b">
        <v>1</v>
      </c>
      <c r="H990" t="b">
        <v>1</v>
      </c>
      <c r="I990">
        <v>321</v>
      </c>
      <c r="J990">
        <v>1.532219570405728</v>
      </c>
    </row>
    <row r="991" spans="1:10" x14ac:dyDescent="0.3">
      <c r="A991" t="s">
        <v>1569</v>
      </c>
      <c r="B991" t="s">
        <v>2490</v>
      </c>
      <c r="C991" t="s">
        <v>510</v>
      </c>
      <c r="D991">
        <v>9.14</v>
      </c>
      <c r="E991">
        <v>1</v>
      </c>
      <c r="F991">
        <v>100</v>
      </c>
      <c r="G991" t="b">
        <v>1</v>
      </c>
      <c r="H991" t="b">
        <v>1</v>
      </c>
      <c r="I991">
        <v>1915</v>
      </c>
      <c r="J991">
        <v>9.1408114558472544</v>
      </c>
    </row>
    <row r="992" spans="1:10" x14ac:dyDescent="0.3">
      <c r="A992" t="s">
        <v>1570</v>
      </c>
      <c r="B992" t="s">
        <v>2491</v>
      </c>
      <c r="C992" t="s">
        <v>2113</v>
      </c>
      <c r="D992">
        <v>5.15</v>
      </c>
      <c r="E992">
        <v>0.22500000000000001</v>
      </c>
      <c r="F992">
        <v>107.1</v>
      </c>
      <c r="G992" t="b">
        <v>1</v>
      </c>
      <c r="H992" t="b">
        <v>1</v>
      </c>
      <c r="I992">
        <v>1915</v>
      </c>
      <c r="J992">
        <v>9.1408114558472544</v>
      </c>
    </row>
    <row r="993" spans="1:10" x14ac:dyDescent="0.3">
      <c r="A993" t="s">
        <v>1571</v>
      </c>
      <c r="B993" t="s">
        <v>2492</v>
      </c>
      <c r="C993" t="s">
        <v>509</v>
      </c>
      <c r="D993">
        <v>14.03</v>
      </c>
      <c r="E993">
        <v>0.21299999999999999</v>
      </c>
      <c r="F993">
        <v>54.5</v>
      </c>
      <c r="G993" t="b">
        <v>1</v>
      </c>
      <c r="H993" t="b">
        <v>1</v>
      </c>
      <c r="I993">
        <v>321</v>
      </c>
      <c r="J993">
        <v>1.532219570405728</v>
      </c>
    </row>
    <row r="994" spans="1:10" x14ac:dyDescent="0.3">
      <c r="A994" t="s">
        <v>1572</v>
      </c>
      <c r="B994" t="s">
        <v>2493</v>
      </c>
      <c r="C994" t="s">
        <v>508</v>
      </c>
      <c r="D994">
        <v>5.39</v>
      </c>
      <c r="E994">
        <v>1</v>
      </c>
      <c r="F994">
        <v>100</v>
      </c>
      <c r="G994" t="b">
        <v>1</v>
      </c>
      <c r="H994" t="b">
        <v>1</v>
      </c>
      <c r="I994">
        <v>1915</v>
      </c>
      <c r="J994">
        <v>9.1408114558472544</v>
      </c>
    </row>
    <row r="995" spans="1:10" x14ac:dyDescent="0.3">
      <c r="A995" t="s">
        <v>1573</v>
      </c>
      <c r="B995" t="s">
        <v>2494</v>
      </c>
      <c r="C995" t="s">
        <v>507</v>
      </c>
      <c r="D995">
        <v>55.21</v>
      </c>
      <c r="E995">
        <v>1</v>
      </c>
      <c r="F995">
        <v>100</v>
      </c>
      <c r="G995" t="b">
        <v>1</v>
      </c>
      <c r="H995" t="b">
        <v>1</v>
      </c>
      <c r="I995">
        <v>1915</v>
      </c>
      <c r="J995">
        <v>9.1408114558472544</v>
      </c>
    </row>
    <row r="996" spans="1:10" x14ac:dyDescent="0.3">
      <c r="A996" t="s">
        <v>1574</v>
      </c>
      <c r="B996" t="s">
        <v>2494</v>
      </c>
      <c r="C996" t="s">
        <v>506</v>
      </c>
      <c r="D996">
        <v>5.49</v>
      </c>
      <c r="E996">
        <v>1</v>
      </c>
      <c r="F996">
        <v>100</v>
      </c>
      <c r="G996" t="b">
        <v>1</v>
      </c>
      <c r="H996" t="b">
        <v>1</v>
      </c>
      <c r="I996">
        <v>1915</v>
      </c>
      <c r="J996">
        <v>9.1408114558472544</v>
      </c>
    </row>
    <row r="997" spans="1:10" x14ac:dyDescent="0.3">
      <c r="A997" t="s">
        <v>1575</v>
      </c>
      <c r="B997" t="s">
        <v>1983</v>
      </c>
      <c r="C997" t="s">
        <v>2494</v>
      </c>
      <c r="D997">
        <v>34.36</v>
      </c>
      <c r="E997">
        <v>1</v>
      </c>
      <c r="F997">
        <v>100</v>
      </c>
      <c r="G997" t="b">
        <v>1</v>
      </c>
      <c r="H997" t="b">
        <v>1</v>
      </c>
      <c r="I997">
        <v>1915</v>
      </c>
      <c r="J997">
        <v>9.1408114558472544</v>
      </c>
    </row>
    <row r="998" spans="1:10" x14ac:dyDescent="0.3">
      <c r="A998" t="s">
        <v>1576</v>
      </c>
      <c r="B998" t="s">
        <v>2463</v>
      </c>
      <c r="C998" t="s">
        <v>535</v>
      </c>
      <c r="D998">
        <v>119.21</v>
      </c>
      <c r="E998">
        <v>1</v>
      </c>
      <c r="F998">
        <v>100</v>
      </c>
      <c r="G998" t="b">
        <v>1</v>
      </c>
      <c r="H998" t="b">
        <v>1</v>
      </c>
      <c r="I998">
        <v>1915</v>
      </c>
      <c r="J998">
        <v>9.1408114558472544</v>
      </c>
    </row>
    <row r="999" spans="1:10" x14ac:dyDescent="0.3">
      <c r="A999" t="s">
        <v>1577</v>
      </c>
      <c r="B999" t="s">
        <v>2382</v>
      </c>
      <c r="C999" t="s">
        <v>505</v>
      </c>
      <c r="D999">
        <v>1.61</v>
      </c>
      <c r="E999">
        <v>1</v>
      </c>
      <c r="F999">
        <v>100</v>
      </c>
      <c r="G999" t="b">
        <v>1</v>
      </c>
      <c r="H999" t="b">
        <v>1</v>
      </c>
      <c r="I999">
        <v>1915</v>
      </c>
      <c r="J999">
        <v>9.1408114558472544</v>
      </c>
    </row>
    <row r="1000" spans="1:10" x14ac:dyDescent="0.3">
      <c r="A1000" t="s">
        <v>1578</v>
      </c>
      <c r="B1000" t="s">
        <v>2495</v>
      </c>
      <c r="C1000" t="s">
        <v>503</v>
      </c>
      <c r="D1000">
        <v>1.73</v>
      </c>
      <c r="E1000">
        <v>1</v>
      </c>
      <c r="F1000">
        <v>100</v>
      </c>
      <c r="G1000" t="b">
        <v>1</v>
      </c>
      <c r="H1000" t="b">
        <v>1</v>
      </c>
      <c r="I1000">
        <v>1915</v>
      </c>
      <c r="J1000">
        <v>9.1408114558472544</v>
      </c>
    </row>
    <row r="1001" spans="1:10" x14ac:dyDescent="0.3">
      <c r="A1001" t="s">
        <v>1579</v>
      </c>
      <c r="B1001" t="s">
        <v>2496</v>
      </c>
      <c r="C1001" t="s">
        <v>2495</v>
      </c>
      <c r="D1001">
        <v>17.16</v>
      </c>
      <c r="E1001">
        <v>0.18</v>
      </c>
      <c r="F1001">
        <v>54.5</v>
      </c>
      <c r="G1001" t="b">
        <v>1</v>
      </c>
      <c r="H1001" t="b">
        <v>1</v>
      </c>
      <c r="I1001">
        <v>321</v>
      </c>
      <c r="J1001">
        <v>1.532219570405728</v>
      </c>
    </row>
    <row r="1002" spans="1:10" x14ac:dyDescent="0.3">
      <c r="A1002" t="s">
        <v>1580</v>
      </c>
      <c r="B1002" t="s">
        <v>2496</v>
      </c>
      <c r="C1002" t="s">
        <v>502</v>
      </c>
      <c r="D1002">
        <v>5.73</v>
      </c>
      <c r="E1002">
        <v>1</v>
      </c>
      <c r="F1002">
        <v>100</v>
      </c>
      <c r="G1002" t="b">
        <v>1</v>
      </c>
      <c r="H1002" t="b">
        <v>1</v>
      </c>
      <c r="I1002">
        <v>1915</v>
      </c>
      <c r="J1002">
        <v>9.1408114558472544</v>
      </c>
    </row>
    <row r="1003" spans="1:10" x14ac:dyDescent="0.3">
      <c r="A1003" t="s">
        <v>1581</v>
      </c>
      <c r="B1003" t="s">
        <v>2429</v>
      </c>
      <c r="C1003" t="s">
        <v>2496</v>
      </c>
      <c r="D1003">
        <v>14.95</v>
      </c>
      <c r="E1003">
        <v>0.18</v>
      </c>
      <c r="F1003">
        <v>54.5</v>
      </c>
      <c r="G1003" t="b">
        <v>1</v>
      </c>
      <c r="H1003" t="b">
        <v>1</v>
      </c>
      <c r="I1003">
        <v>321</v>
      </c>
      <c r="J1003">
        <v>1.532219570405728</v>
      </c>
    </row>
    <row r="1004" spans="1:10" x14ac:dyDescent="0.3">
      <c r="A1004" t="s">
        <v>1582</v>
      </c>
      <c r="B1004" t="s">
        <v>2497</v>
      </c>
      <c r="C1004" t="s">
        <v>2429</v>
      </c>
      <c r="D1004">
        <v>30.34</v>
      </c>
      <c r="E1004">
        <v>0.217</v>
      </c>
      <c r="F1004">
        <v>82.5</v>
      </c>
      <c r="G1004" t="b">
        <v>1</v>
      </c>
      <c r="H1004" t="b">
        <v>1</v>
      </c>
      <c r="I1004">
        <v>962</v>
      </c>
      <c r="J1004">
        <v>4.5918854415274453</v>
      </c>
    </row>
    <row r="1005" spans="1:10" x14ac:dyDescent="0.3">
      <c r="A1005" t="s">
        <v>1583</v>
      </c>
      <c r="B1005" t="s">
        <v>2497</v>
      </c>
      <c r="C1005" t="s">
        <v>501</v>
      </c>
      <c r="D1005">
        <v>9.85</v>
      </c>
      <c r="E1005">
        <v>1</v>
      </c>
      <c r="F1005">
        <v>100</v>
      </c>
      <c r="G1005" t="b">
        <v>1</v>
      </c>
      <c r="H1005" t="b">
        <v>1</v>
      </c>
      <c r="I1005">
        <v>1915</v>
      </c>
      <c r="J1005">
        <v>9.1408114558472544</v>
      </c>
    </row>
    <row r="1006" spans="1:10" x14ac:dyDescent="0.3">
      <c r="A1006" t="s">
        <v>1584</v>
      </c>
      <c r="B1006" t="s">
        <v>2498</v>
      </c>
      <c r="C1006" t="s">
        <v>498</v>
      </c>
      <c r="D1006">
        <v>16.45</v>
      </c>
      <c r="E1006">
        <v>1</v>
      </c>
      <c r="F1006">
        <v>100</v>
      </c>
      <c r="G1006" t="b">
        <v>1</v>
      </c>
      <c r="H1006" t="b">
        <v>1</v>
      </c>
      <c r="I1006">
        <v>1915</v>
      </c>
      <c r="J1006">
        <v>9.1408114558472544</v>
      </c>
    </row>
    <row r="1007" spans="1:10" x14ac:dyDescent="0.3">
      <c r="A1007" t="s">
        <v>1585</v>
      </c>
      <c r="B1007" t="s">
        <v>2498</v>
      </c>
      <c r="C1007" t="s">
        <v>497</v>
      </c>
      <c r="D1007">
        <v>9.3000000000000007</v>
      </c>
      <c r="E1007">
        <v>1</v>
      </c>
      <c r="F1007">
        <v>100</v>
      </c>
      <c r="G1007" t="b">
        <v>1</v>
      </c>
      <c r="H1007" t="b">
        <v>1</v>
      </c>
      <c r="I1007">
        <v>1915</v>
      </c>
      <c r="J1007">
        <v>9.1408114558472544</v>
      </c>
    </row>
    <row r="1008" spans="1:10" x14ac:dyDescent="0.3">
      <c r="A1008" t="s">
        <v>1586</v>
      </c>
      <c r="B1008" t="s">
        <v>2499</v>
      </c>
      <c r="C1008" t="s">
        <v>496</v>
      </c>
      <c r="D1008">
        <v>5.17</v>
      </c>
      <c r="E1008">
        <v>1</v>
      </c>
      <c r="F1008">
        <v>100</v>
      </c>
      <c r="G1008" t="b">
        <v>1</v>
      </c>
      <c r="H1008" t="b">
        <v>1</v>
      </c>
      <c r="I1008">
        <v>1915</v>
      </c>
      <c r="J1008">
        <v>9.1408114558472544</v>
      </c>
    </row>
    <row r="1009" spans="1:10" x14ac:dyDescent="0.3">
      <c r="A1009" t="s">
        <v>1587</v>
      </c>
      <c r="B1009" t="s">
        <v>2500</v>
      </c>
      <c r="C1009" t="s">
        <v>495</v>
      </c>
      <c r="D1009">
        <v>16.809999999999999</v>
      </c>
      <c r="E1009">
        <v>1</v>
      </c>
      <c r="F1009">
        <v>100</v>
      </c>
      <c r="G1009" t="b">
        <v>1</v>
      </c>
      <c r="H1009" t="b">
        <v>1</v>
      </c>
      <c r="I1009">
        <v>1915</v>
      </c>
      <c r="J1009">
        <v>9.1408114558472544</v>
      </c>
    </row>
    <row r="1010" spans="1:10" x14ac:dyDescent="0.3">
      <c r="A1010" t="s">
        <v>1588</v>
      </c>
      <c r="B1010" t="s">
        <v>2501</v>
      </c>
      <c r="C1010" t="s">
        <v>494</v>
      </c>
      <c r="D1010">
        <v>26.26</v>
      </c>
      <c r="E1010">
        <v>1</v>
      </c>
      <c r="F1010">
        <v>100</v>
      </c>
      <c r="G1010" t="b">
        <v>1</v>
      </c>
      <c r="H1010" t="b">
        <v>1</v>
      </c>
      <c r="I1010">
        <v>1915</v>
      </c>
      <c r="J1010">
        <v>9.1408114558472544</v>
      </c>
    </row>
    <row r="1011" spans="1:10" x14ac:dyDescent="0.3">
      <c r="A1011" t="s">
        <v>1589</v>
      </c>
      <c r="B1011" t="s">
        <v>2502</v>
      </c>
      <c r="C1011" t="s">
        <v>493</v>
      </c>
      <c r="D1011">
        <v>4.5199999999999996</v>
      </c>
      <c r="E1011">
        <v>1</v>
      </c>
      <c r="F1011">
        <v>100</v>
      </c>
      <c r="G1011" t="b">
        <v>1</v>
      </c>
      <c r="H1011" t="b">
        <v>1</v>
      </c>
      <c r="I1011">
        <v>1915</v>
      </c>
      <c r="J1011">
        <v>9.1408114558472544</v>
      </c>
    </row>
    <row r="1012" spans="1:10" x14ac:dyDescent="0.3">
      <c r="A1012" t="s">
        <v>1590</v>
      </c>
      <c r="B1012" t="s">
        <v>2503</v>
      </c>
      <c r="C1012" t="s">
        <v>492</v>
      </c>
      <c r="D1012">
        <v>2.87</v>
      </c>
      <c r="E1012">
        <v>1</v>
      </c>
      <c r="F1012">
        <v>100</v>
      </c>
      <c r="G1012" t="b">
        <v>1</v>
      </c>
      <c r="H1012" t="b">
        <v>1</v>
      </c>
      <c r="I1012">
        <v>1915</v>
      </c>
      <c r="J1012">
        <v>9.1408114558472544</v>
      </c>
    </row>
    <row r="1013" spans="1:10" x14ac:dyDescent="0.3">
      <c r="A1013" t="s">
        <v>1591</v>
      </c>
      <c r="B1013" t="s">
        <v>2504</v>
      </c>
      <c r="C1013" t="s">
        <v>491</v>
      </c>
      <c r="D1013">
        <v>11.78</v>
      </c>
      <c r="E1013">
        <v>1</v>
      </c>
      <c r="F1013">
        <v>100</v>
      </c>
      <c r="G1013" t="b">
        <v>1</v>
      </c>
      <c r="H1013" t="b">
        <v>1</v>
      </c>
      <c r="I1013">
        <v>1915</v>
      </c>
      <c r="J1013">
        <v>9.1408114558472544</v>
      </c>
    </row>
    <row r="1014" spans="1:10" x14ac:dyDescent="0.3">
      <c r="A1014" t="s">
        <v>1592</v>
      </c>
      <c r="B1014" t="s">
        <v>2504</v>
      </c>
      <c r="C1014" t="s">
        <v>490</v>
      </c>
      <c r="D1014">
        <v>2.89</v>
      </c>
      <c r="E1014">
        <v>1</v>
      </c>
      <c r="F1014">
        <v>100</v>
      </c>
      <c r="G1014" t="b">
        <v>1</v>
      </c>
      <c r="H1014" t="b">
        <v>1</v>
      </c>
      <c r="I1014">
        <v>1915</v>
      </c>
      <c r="J1014">
        <v>9.1408114558472544</v>
      </c>
    </row>
    <row r="1015" spans="1:10" x14ac:dyDescent="0.3">
      <c r="A1015" t="s">
        <v>1593</v>
      </c>
      <c r="B1015" t="s">
        <v>2503</v>
      </c>
      <c r="C1015" t="s">
        <v>2504</v>
      </c>
      <c r="D1015">
        <v>11.1</v>
      </c>
      <c r="E1015">
        <v>1</v>
      </c>
      <c r="F1015">
        <v>100</v>
      </c>
      <c r="G1015" t="b">
        <v>1</v>
      </c>
      <c r="H1015" t="b">
        <v>1</v>
      </c>
      <c r="I1015">
        <v>1915</v>
      </c>
      <c r="J1015">
        <v>9.1408114558472544</v>
      </c>
    </row>
    <row r="1016" spans="1:10" x14ac:dyDescent="0.3">
      <c r="A1016" t="s">
        <v>1594</v>
      </c>
      <c r="B1016" t="s">
        <v>2502</v>
      </c>
      <c r="C1016" t="s">
        <v>2503</v>
      </c>
      <c r="D1016">
        <v>20.23</v>
      </c>
      <c r="E1016">
        <v>1</v>
      </c>
      <c r="F1016">
        <v>100</v>
      </c>
      <c r="G1016" t="b">
        <v>1</v>
      </c>
      <c r="H1016" t="b">
        <v>1</v>
      </c>
      <c r="I1016">
        <v>1915</v>
      </c>
      <c r="J1016">
        <v>9.1408114558472544</v>
      </c>
    </row>
    <row r="1017" spans="1:10" x14ac:dyDescent="0.3">
      <c r="A1017" t="s">
        <v>1595</v>
      </c>
      <c r="B1017" t="s">
        <v>2501</v>
      </c>
      <c r="C1017" t="s">
        <v>2521</v>
      </c>
      <c r="D1017">
        <v>9.39</v>
      </c>
      <c r="E1017">
        <v>1</v>
      </c>
      <c r="F1017">
        <v>100</v>
      </c>
      <c r="G1017" t="b">
        <v>1</v>
      </c>
      <c r="H1017" t="b">
        <v>1</v>
      </c>
      <c r="I1017">
        <v>1915</v>
      </c>
      <c r="J1017">
        <v>9.1408114558472544</v>
      </c>
    </row>
    <row r="1018" spans="1:10" x14ac:dyDescent="0.3">
      <c r="A1018" t="s">
        <v>1596</v>
      </c>
      <c r="B1018" t="s">
        <v>2505</v>
      </c>
      <c r="C1018" t="s">
        <v>2440</v>
      </c>
      <c r="D1018">
        <v>2.44</v>
      </c>
      <c r="E1018">
        <v>0.18</v>
      </c>
      <c r="F1018">
        <v>54.5</v>
      </c>
      <c r="G1018" t="b">
        <v>1</v>
      </c>
      <c r="H1018" t="b">
        <v>1</v>
      </c>
      <c r="I1018">
        <v>321</v>
      </c>
      <c r="J1018">
        <v>1.532219570405728</v>
      </c>
    </row>
    <row r="1019" spans="1:10" x14ac:dyDescent="0.3">
      <c r="A1019" t="s">
        <v>1597</v>
      </c>
      <c r="B1019" t="s">
        <v>2505</v>
      </c>
      <c r="C1019" t="s">
        <v>2064</v>
      </c>
      <c r="D1019">
        <v>58.96</v>
      </c>
      <c r="E1019">
        <v>0.22500000000000001</v>
      </c>
      <c r="F1019">
        <v>107.1</v>
      </c>
      <c r="G1019" t="b">
        <v>1</v>
      </c>
      <c r="H1019" t="b">
        <v>1</v>
      </c>
      <c r="I1019">
        <v>1915</v>
      </c>
      <c r="J1019">
        <v>9.1408114558472544</v>
      </c>
    </row>
    <row r="1020" spans="1:10" x14ac:dyDescent="0.3">
      <c r="A1020" t="s">
        <v>1598</v>
      </c>
      <c r="B1020" t="s">
        <v>2505</v>
      </c>
      <c r="C1020" t="s">
        <v>1998</v>
      </c>
      <c r="D1020">
        <v>62.29</v>
      </c>
      <c r="E1020">
        <v>0.22500000000000001</v>
      </c>
      <c r="F1020">
        <v>107.1</v>
      </c>
      <c r="G1020" t="b">
        <v>1</v>
      </c>
      <c r="H1020" t="b">
        <v>1</v>
      </c>
      <c r="I1020">
        <v>1915</v>
      </c>
      <c r="J1020">
        <v>9.1408114558472544</v>
      </c>
    </row>
    <row r="1021" spans="1:10" x14ac:dyDescent="0.3">
      <c r="A1021" t="s">
        <v>1599</v>
      </c>
      <c r="B1021" t="s">
        <v>2506</v>
      </c>
      <c r="C1021" t="s">
        <v>2144</v>
      </c>
      <c r="D1021">
        <v>11.48</v>
      </c>
      <c r="E1021">
        <v>0.22500000000000001</v>
      </c>
      <c r="F1021">
        <v>107.1</v>
      </c>
      <c r="G1021" t="b">
        <v>1</v>
      </c>
      <c r="H1021" t="b">
        <v>1</v>
      </c>
      <c r="I1021">
        <v>1915</v>
      </c>
      <c r="J1021">
        <v>9.1408114558472544</v>
      </c>
    </row>
    <row r="1022" spans="1:10" x14ac:dyDescent="0.3">
      <c r="A1022" t="s">
        <v>1600</v>
      </c>
      <c r="B1022" t="s">
        <v>2506</v>
      </c>
      <c r="C1022" t="s">
        <v>2445</v>
      </c>
      <c r="D1022">
        <v>83.66</v>
      </c>
      <c r="E1022">
        <v>0.20499999999999999</v>
      </c>
      <c r="F1022">
        <v>70.3</v>
      </c>
      <c r="G1022" t="b">
        <v>1</v>
      </c>
      <c r="H1022" t="b">
        <v>1</v>
      </c>
      <c r="I1022">
        <v>630</v>
      </c>
      <c r="J1022">
        <v>3.007159904534606</v>
      </c>
    </row>
    <row r="1023" spans="1:10" x14ac:dyDescent="0.3">
      <c r="A1023" t="s">
        <v>1601</v>
      </c>
      <c r="B1023" t="s">
        <v>2507</v>
      </c>
      <c r="C1023" t="s">
        <v>489</v>
      </c>
      <c r="D1023">
        <v>5.99</v>
      </c>
      <c r="E1023">
        <v>1</v>
      </c>
      <c r="F1023">
        <v>100</v>
      </c>
      <c r="G1023" t="b">
        <v>1</v>
      </c>
      <c r="H1023" t="b">
        <v>1</v>
      </c>
      <c r="I1023">
        <v>1915</v>
      </c>
      <c r="J1023">
        <v>9.1408114558472544</v>
      </c>
    </row>
    <row r="1024" spans="1:10" x14ac:dyDescent="0.3">
      <c r="A1024" t="s">
        <v>1602</v>
      </c>
      <c r="B1024" t="s">
        <v>2468</v>
      </c>
      <c r="C1024" t="s">
        <v>2507</v>
      </c>
      <c r="D1024">
        <v>20.67</v>
      </c>
      <c r="E1024">
        <v>1</v>
      </c>
      <c r="F1024">
        <v>100</v>
      </c>
      <c r="G1024" t="b">
        <v>1</v>
      </c>
      <c r="H1024" t="b">
        <v>1</v>
      </c>
      <c r="I1024">
        <v>1915</v>
      </c>
      <c r="J1024">
        <v>9.1408114558472544</v>
      </c>
    </row>
    <row r="1025" spans="1:10" x14ac:dyDescent="0.3">
      <c r="A1025" t="s">
        <v>1603</v>
      </c>
      <c r="B1025" t="s">
        <v>2411</v>
      </c>
      <c r="C1025" t="s">
        <v>488</v>
      </c>
      <c r="D1025">
        <v>7.26</v>
      </c>
      <c r="E1025">
        <v>1</v>
      </c>
      <c r="F1025">
        <v>100</v>
      </c>
      <c r="G1025" t="b">
        <v>1</v>
      </c>
      <c r="H1025" t="b">
        <v>1</v>
      </c>
      <c r="I1025">
        <v>1915</v>
      </c>
      <c r="J1025">
        <v>9.1408114558472544</v>
      </c>
    </row>
    <row r="1026" spans="1:10" x14ac:dyDescent="0.3">
      <c r="A1026" t="s">
        <v>1604</v>
      </c>
      <c r="B1026" t="s">
        <v>2469</v>
      </c>
      <c r="C1026" t="s">
        <v>487</v>
      </c>
      <c r="D1026">
        <v>9.15</v>
      </c>
      <c r="E1026">
        <v>1</v>
      </c>
      <c r="F1026">
        <v>100</v>
      </c>
      <c r="G1026" t="b">
        <v>1</v>
      </c>
      <c r="H1026" t="b">
        <v>1</v>
      </c>
      <c r="I1026">
        <v>1915</v>
      </c>
      <c r="J1026">
        <v>9.1408114558472544</v>
      </c>
    </row>
    <row r="1027" spans="1:10" x14ac:dyDescent="0.3">
      <c r="A1027" t="s">
        <v>1605</v>
      </c>
      <c r="B1027" t="s">
        <v>2199</v>
      </c>
      <c r="C1027" t="s">
        <v>2519</v>
      </c>
      <c r="D1027">
        <v>9.83</v>
      </c>
      <c r="E1027">
        <v>1</v>
      </c>
      <c r="F1027">
        <v>100</v>
      </c>
      <c r="G1027" t="b">
        <v>1</v>
      </c>
      <c r="H1027" t="b">
        <v>1</v>
      </c>
      <c r="I1027">
        <v>1915</v>
      </c>
      <c r="J1027">
        <v>9.1408114558472544</v>
      </c>
    </row>
    <row r="1028" spans="1:10" x14ac:dyDescent="0.3">
      <c r="A1028" t="s">
        <v>1606</v>
      </c>
      <c r="B1028" t="s">
        <v>2508</v>
      </c>
      <c r="C1028" t="s">
        <v>486</v>
      </c>
      <c r="D1028">
        <v>9.02</v>
      </c>
      <c r="E1028">
        <v>1</v>
      </c>
      <c r="F1028">
        <v>100</v>
      </c>
      <c r="G1028" t="b">
        <v>1</v>
      </c>
      <c r="H1028" t="b">
        <v>1</v>
      </c>
      <c r="I1028">
        <v>1915</v>
      </c>
      <c r="J1028">
        <v>9.1408114558472544</v>
      </c>
    </row>
    <row r="1029" spans="1:10" x14ac:dyDescent="0.3">
      <c r="A1029" t="s">
        <v>1607</v>
      </c>
      <c r="B1029" t="s">
        <v>2366</v>
      </c>
      <c r="C1029" t="s">
        <v>485</v>
      </c>
      <c r="D1029">
        <v>2.52</v>
      </c>
      <c r="E1029">
        <v>1</v>
      </c>
      <c r="F1029">
        <v>100</v>
      </c>
      <c r="G1029" t="b">
        <v>1</v>
      </c>
      <c r="H1029" t="b">
        <v>1</v>
      </c>
      <c r="I1029">
        <v>1915</v>
      </c>
      <c r="J1029">
        <v>9.1408114558472544</v>
      </c>
    </row>
    <row r="1030" spans="1:10" x14ac:dyDescent="0.3">
      <c r="A1030" t="s">
        <v>1608</v>
      </c>
      <c r="B1030" t="s">
        <v>2367</v>
      </c>
      <c r="C1030" t="s">
        <v>484</v>
      </c>
      <c r="D1030">
        <v>1.58</v>
      </c>
      <c r="E1030">
        <v>1</v>
      </c>
      <c r="F1030">
        <v>100</v>
      </c>
      <c r="G1030" t="b">
        <v>1</v>
      </c>
      <c r="H1030" t="b">
        <v>1</v>
      </c>
      <c r="I1030">
        <v>1915</v>
      </c>
      <c r="J1030">
        <v>9.1408114558472544</v>
      </c>
    </row>
    <row r="1031" spans="1:10" x14ac:dyDescent="0.3">
      <c r="A1031" t="s">
        <v>1609</v>
      </c>
      <c r="B1031" t="s">
        <v>2509</v>
      </c>
      <c r="C1031" t="s">
        <v>2402</v>
      </c>
      <c r="D1031">
        <v>49.97</v>
      </c>
      <c r="E1031">
        <v>0.16600000000000001</v>
      </c>
      <c r="F1031">
        <v>43.1</v>
      </c>
      <c r="G1031" t="b">
        <v>1</v>
      </c>
      <c r="H1031" t="b">
        <v>1</v>
      </c>
      <c r="I1031">
        <v>172</v>
      </c>
      <c r="J1031">
        <v>0.82100238663484471</v>
      </c>
    </row>
    <row r="1032" spans="1:10" x14ac:dyDescent="0.3">
      <c r="A1032" t="s">
        <v>1610</v>
      </c>
      <c r="B1032" t="s">
        <v>2499</v>
      </c>
      <c r="C1032" t="s">
        <v>2500</v>
      </c>
      <c r="D1032">
        <v>2.4</v>
      </c>
      <c r="E1032">
        <v>1</v>
      </c>
      <c r="F1032">
        <v>100</v>
      </c>
      <c r="G1032" t="b">
        <v>1</v>
      </c>
      <c r="H1032" t="b">
        <v>1</v>
      </c>
      <c r="I1032">
        <v>1915</v>
      </c>
      <c r="J1032">
        <v>9.1408114558472544</v>
      </c>
    </row>
    <row r="1033" spans="1:10" x14ac:dyDescent="0.3">
      <c r="A1033" t="s">
        <v>1611</v>
      </c>
      <c r="B1033" t="s">
        <v>2507</v>
      </c>
      <c r="C1033" t="s">
        <v>2448</v>
      </c>
      <c r="D1033">
        <v>8.7200000000000006</v>
      </c>
      <c r="E1033">
        <v>1</v>
      </c>
      <c r="F1033">
        <v>100</v>
      </c>
      <c r="G1033" t="b">
        <v>1</v>
      </c>
      <c r="H1033" t="b">
        <v>1</v>
      </c>
      <c r="I1033">
        <v>1915</v>
      </c>
      <c r="J1033">
        <v>9.1408114558472544</v>
      </c>
    </row>
    <row r="1034" spans="1:10" x14ac:dyDescent="0.3">
      <c r="A1034" t="s">
        <v>1612</v>
      </c>
      <c r="B1034" t="s">
        <v>2510</v>
      </c>
      <c r="C1034" t="s">
        <v>331</v>
      </c>
      <c r="D1034">
        <v>56.98</v>
      </c>
      <c r="E1034">
        <v>1</v>
      </c>
      <c r="F1034">
        <v>100</v>
      </c>
      <c r="G1034" t="b">
        <v>1</v>
      </c>
      <c r="H1034" t="b">
        <v>1</v>
      </c>
      <c r="I1034">
        <v>1915</v>
      </c>
      <c r="J1034">
        <v>9.1408114558472544</v>
      </c>
    </row>
    <row r="1035" spans="1:10" x14ac:dyDescent="0.3">
      <c r="A1035" t="s">
        <v>1613</v>
      </c>
      <c r="B1035" t="s">
        <v>2011</v>
      </c>
      <c r="C1035" t="s">
        <v>2510</v>
      </c>
      <c r="D1035">
        <v>13.93</v>
      </c>
      <c r="E1035">
        <v>0.217</v>
      </c>
      <c r="F1035">
        <v>82.5</v>
      </c>
      <c r="G1035" t="b">
        <v>1</v>
      </c>
      <c r="H1035" t="b">
        <v>1</v>
      </c>
      <c r="I1035">
        <v>962</v>
      </c>
      <c r="J1035">
        <v>4.5918854415274453</v>
      </c>
    </row>
    <row r="1036" spans="1:10" x14ac:dyDescent="0.3">
      <c r="A1036" t="s">
        <v>1614</v>
      </c>
      <c r="B1036" t="s">
        <v>2354</v>
      </c>
      <c r="C1036" t="s">
        <v>2670</v>
      </c>
      <c r="D1036">
        <v>0.98</v>
      </c>
      <c r="E1036">
        <v>1</v>
      </c>
      <c r="F1036">
        <v>100</v>
      </c>
      <c r="G1036" t="b">
        <v>1</v>
      </c>
      <c r="H1036" t="b">
        <v>1</v>
      </c>
      <c r="I1036">
        <v>1915</v>
      </c>
      <c r="J1036">
        <v>9.1408114558472544</v>
      </c>
    </row>
    <row r="1037" spans="1:10" x14ac:dyDescent="0.3">
      <c r="A1037" t="s">
        <v>1615</v>
      </c>
      <c r="B1037" t="s">
        <v>2511</v>
      </c>
      <c r="C1037" t="s">
        <v>2354</v>
      </c>
      <c r="D1037">
        <v>1.23</v>
      </c>
      <c r="E1037">
        <v>1</v>
      </c>
      <c r="F1037">
        <v>100</v>
      </c>
      <c r="G1037" t="b">
        <v>1</v>
      </c>
      <c r="H1037" t="b">
        <v>1</v>
      </c>
      <c r="I1037">
        <v>1915</v>
      </c>
      <c r="J1037">
        <v>9.1408114558472544</v>
      </c>
    </row>
    <row r="1038" spans="1:10" x14ac:dyDescent="0.3">
      <c r="A1038" t="s">
        <v>1616</v>
      </c>
      <c r="B1038" t="s">
        <v>2512</v>
      </c>
      <c r="C1038" t="s">
        <v>2030</v>
      </c>
      <c r="D1038">
        <v>23.81</v>
      </c>
      <c r="E1038">
        <v>0.30599999999999999</v>
      </c>
      <c r="F1038">
        <v>132.5</v>
      </c>
      <c r="G1038" t="b">
        <v>1</v>
      </c>
      <c r="H1038" t="b">
        <v>1</v>
      </c>
      <c r="I1038">
        <v>3354</v>
      </c>
      <c r="J1038">
        <v>16.009546539379471</v>
      </c>
    </row>
    <row r="1039" spans="1:10" x14ac:dyDescent="0.3">
      <c r="A1039" t="s">
        <v>1617</v>
      </c>
      <c r="B1039" t="s">
        <v>1991</v>
      </c>
      <c r="C1039" t="s">
        <v>2512</v>
      </c>
      <c r="D1039">
        <v>156.01</v>
      </c>
      <c r="E1039">
        <v>0.248</v>
      </c>
      <c r="F1039">
        <v>70.3</v>
      </c>
      <c r="G1039" t="b">
        <v>1</v>
      </c>
      <c r="H1039" t="b">
        <v>1</v>
      </c>
      <c r="I1039">
        <v>630</v>
      </c>
      <c r="J1039">
        <v>3.007159904534606</v>
      </c>
    </row>
    <row r="1040" spans="1:10" x14ac:dyDescent="0.3">
      <c r="A1040" t="s">
        <v>1618</v>
      </c>
      <c r="B1040" t="s">
        <v>2401</v>
      </c>
      <c r="C1040" t="s">
        <v>483</v>
      </c>
      <c r="D1040">
        <v>3.18</v>
      </c>
      <c r="E1040">
        <v>1</v>
      </c>
      <c r="F1040">
        <v>100</v>
      </c>
      <c r="G1040" t="b">
        <v>1</v>
      </c>
      <c r="H1040" t="b">
        <v>1</v>
      </c>
      <c r="I1040">
        <v>1915</v>
      </c>
      <c r="J1040">
        <v>9.1408114558472544</v>
      </c>
    </row>
    <row r="1041" spans="1:10" x14ac:dyDescent="0.3">
      <c r="A1041" t="s">
        <v>1619</v>
      </c>
      <c r="B1041" t="s">
        <v>2509</v>
      </c>
      <c r="C1041" t="s">
        <v>2401</v>
      </c>
      <c r="D1041">
        <v>54.77</v>
      </c>
      <c r="E1041">
        <v>0.37</v>
      </c>
      <c r="F1041">
        <v>210.1</v>
      </c>
      <c r="G1041" t="b">
        <v>1</v>
      </c>
      <c r="H1041" t="b">
        <v>1</v>
      </c>
      <c r="I1041">
        <v>11253</v>
      </c>
      <c r="J1041">
        <v>53.713603818615738</v>
      </c>
    </row>
    <row r="1042" spans="1:10" x14ac:dyDescent="0.3">
      <c r="A1042" t="s">
        <v>1620</v>
      </c>
      <c r="B1042" t="s">
        <v>2513</v>
      </c>
      <c r="C1042" t="s">
        <v>2261</v>
      </c>
      <c r="D1042">
        <v>212.46</v>
      </c>
      <c r="E1042">
        <v>0.28199999999999997</v>
      </c>
      <c r="F1042">
        <v>160.30000000000001</v>
      </c>
      <c r="G1042" t="b">
        <v>1</v>
      </c>
      <c r="H1042" t="b">
        <v>1</v>
      </c>
      <c r="I1042">
        <v>5533</v>
      </c>
      <c r="J1042">
        <v>26.410501193317419</v>
      </c>
    </row>
    <row r="1043" spans="1:10" x14ac:dyDescent="0.3">
      <c r="A1043" t="s">
        <v>1621</v>
      </c>
      <c r="B1043" t="s">
        <v>2465</v>
      </c>
      <c r="C1043" t="s">
        <v>1996</v>
      </c>
      <c r="D1043">
        <v>10.78</v>
      </c>
      <c r="E1043">
        <v>0.29299999999999998</v>
      </c>
      <c r="F1043">
        <v>210.1</v>
      </c>
      <c r="G1043" t="b">
        <v>1</v>
      </c>
      <c r="H1043" t="b">
        <v>1</v>
      </c>
      <c r="I1043">
        <v>11253</v>
      </c>
      <c r="J1043">
        <v>53.713603818615738</v>
      </c>
    </row>
    <row r="1044" spans="1:10" x14ac:dyDescent="0.3">
      <c r="A1044" t="s">
        <v>1622</v>
      </c>
      <c r="B1044" t="s">
        <v>2514</v>
      </c>
      <c r="C1044" t="s">
        <v>2305</v>
      </c>
      <c r="D1044">
        <v>57.84</v>
      </c>
      <c r="E1044">
        <v>0.217</v>
      </c>
      <c r="F1044">
        <v>82.5</v>
      </c>
      <c r="G1044" t="b">
        <v>1</v>
      </c>
      <c r="H1044" t="b">
        <v>1</v>
      </c>
      <c r="I1044">
        <v>962</v>
      </c>
      <c r="J1044">
        <v>4.5918854415274453</v>
      </c>
    </row>
    <row r="1045" spans="1:10" x14ac:dyDescent="0.3">
      <c r="A1045" t="s">
        <v>1623</v>
      </c>
      <c r="B1045" t="s">
        <v>2436</v>
      </c>
      <c r="C1045" t="s">
        <v>2369</v>
      </c>
      <c r="D1045">
        <v>34.46</v>
      </c>
      <c r="E1045">
        <v>0.217</v>
      </c>
      <c r="F1045">
        <v>82.5</v>
      </c>
      <c r="G1045" t="b">
        <v>1</v>
      </c>
      <c r="H1045" t="b">
        <v>1</v>
      </c>
      <c r="I1045">
        <v>962</v>
      </c>
      <c r="J1045">
        <v>4.5918854415274453</v>
      </c>
    </row>
    <row r="1046" spans="1:10" x14ac:dyDescent="0.3">
      <c r="A1046" t="s">
        <v>1624</v>
      </c>
      <c r="B1046" t="s">
        <v>2508</v>
      </c>
      <c r="C1046" t="s">
        <v>2437</v>
      </c>
      <c r="D1046">
        <v>24.48</v>
      </c>
      <c r="E1046">
        <v>0.217</v>
      </c>
      <c r="F1046">
        <v>82.5</v>
      </c>
      <c r="G1046" t="b">
        <v>1</v>
      </c>
      <c r="H1046" t="b">
        <v>1</v>
      </c>
      <c r="I1046">
        <v>962</v>
      </c>
      <c r="J1046">
        <v>4.5918854415274453</v>
      </c>
    </row>
    <row r="1047" spans="1:10" x14ac:dyDescent="0.3">
      <c r="A1047" t="s">
        <v>1625</v>
      </c>
      <c r="B1047" t="s">
        <v>2487</v>
      </c>
      <c r="C1047" t="s">
        <v>482</v>
      </c>
      <c r="D1047">
        <v>81.12</v>
      </c>
      <c r="E1047">
        <v>1</v>
      </c>
      <c r="F1047">
        <v>100</v>
      </c>
      <c r="G1047" t="b">
        <v>1</v>
      </c>
      <c r="H1047" t="b">
        <v>1</v>
      </c>
      <c r="I1047">
        <v>1915</v>
      </c>
      <c r="J1047">
        <v>9.1408114558472544</v>
      </c>
    </row>
    <row r="1048" spans="1:10" x14ac:dyDescent="0.3">
      <c r="A1048" t="s">
        <v>1626</v>
      </c>
      <c r="B1048" t="s">
        <v>2474</v>
      </c>
      <c r="C1048" t="s">
        <v>2487</v>
      </c>
      <c r="D1048">
        <v>63.4</v>
      </c>
      <c r="E1048">
        <v>1</v>
      </c>
      <c r="F1048">
        <v>100</v>
      </c>
      <c r="G1048" t="b">
        <v>1</v>
      </c>
      <c r="H1048" t="b">
        <v>1</v>
      </c>
      <c r="I1048">
        <v>1915</v>
      </c>
      <c r="J1048">
        <v>9.1408114558472544</v>
      </c>
    </row>
    <row r="1049" spans="1:10" x14ac:dyDescent="0.3">
      <c r="A1049" t="s">
        <v>1627</v>
      </c>
      <c r="B1049" t="s">
        <v>2515</v>
      </c>
      <c r="C1049" t="s">
        <v>2315</v>
      </c>
      <c r="D1049">
        <v>41.76</v>
      </c>
      <c r="E1049">
        <v>0.18</v>
      </c>
      <c r="F1049">
        <v>54.5</v>
      </c>
      <c r="G1049" t="b">
        <v>1</v>
      </c>
      <c r="H1049" t="b">
        <v>1</v>
      </c>
      <c r="I1049">
        <v>321</v>
      </c>
      <c r="J1049">
        <v>1.532219570405728</v>
      </c>
    </row>
    <row r="1050" spans="1:10" x14ac:dyDescent="0.3">
      <c r="A1050" t="s">
        <v>1628</v>
      </c>
      <c r="B1050" t="s">
        <v>2516</v>
      </c>
      <c r="C1050" t="s">
        <v>2313</v>
      </c>
      <c r="D1050">
        <v>76.819999999999993</v>
      </c>
      <c r="E1050">
        <v>0.217</v>
      </c>
      <c r="F1050">
        <v>82.5</v>
      </c>
      <c r="G1050" t="b">
        <v>1</v>
      </c>
      <c r="H1050" t="b">
        <v>1</v>
      </c>
      <c r="I1050">
        <v>962</v>
      </c>
      <c r="J1050">
        <v>4.5918854415274453</v>
      </c>
    </row>
    <row r="1051" spans="1:10" x14ac:dyDescent="0.3">
      <c r="A1051" t="s">
        <v>1629</v>
      </c>
      <c r="B1051" t="s">
        <v>2500</v>
      </c>
      <c r="C1051" t="s">
        <v>2501</v>
      </c>
      <c r="D1051">
        <v>32.33</v>
      </c>
      <c r="E1051">
        <v>1</v>
      </c>
      <c r="F1051">
        <v>100</v>
      </c>
      <c r="G1051" t="b">
        <v>1</v>
      </c>
      <c r="H1051" t="b">
        <v>1</v>
      </c>
      <c r="I1051">
        <v>1915</v>
      </c>
      <c r="J1051">
        <v>9.1408114558472544</v>
      </c>
    </row>
    <row r="1052" spans="1:10" x14ac:dyDescent="0.3">
      <c r="A1052" t="s">
        <v>1630</v>
      </c>
      <c r="B1052" t="s">
        <v>2517</v>
      </c>
      <c r="C1052" t="s">
        <v>2499</v>
      </c>
      <c r="D1052">
        <v>5.33</v>
      </c>
      <c r="E1052">
        <v>1</v>
      </c>
      <c r="F1052">
        <v>100</v>
      </c>
      <c r="G1052" t="b">
        <v>1</v>
      </c>
      <c r="H1052" t="b">
        <v>1</v>
      </c>
      <c r="I1052">
        <v>1915</v>
      </c>
      <c r="J1052">
        <v>9.1408114558472544</v>
      </c>
    </row>
    <row r="1053" spans="1:10" x14ac:dyDescent="0.3">
      <c r="A1053" t="s">
        <v>1631</v>
      </c>
      <c r="B1053" t="s">
        <v>2518</v>
      </c>
      <c r="C1053" t="s">
        <v>477</v>
      </c>
      <c r="D1053">
        <v>9.25</v>
      </c>
      <c r="E1053">
        <v>1</v>
      </c>
      <c r="F1053">
        <v>100</v>
      </c>
      <c r="G1053" t="b">
        <v>1</v>
      </c>
      <c r="H1053" t="b">
        <v>1</v>
      </c>
      <c r="I1053">
        <v>1915</v>
      </c>
      <c r="J1053">
        <v>9.1408114558472544</v>
      </c>
    </row>
    <row r="1054" spans="1:10" x14ac:dyDescent="0.3">
      <c r="A1054" t="s">
        <v>1632</v>
      </c>
      <c r="B1054" t="s">
        <v>2518</v>
      </c>
      <c r="C1054" t="s">
        <v>476</v>
      </c>
      <c r="D1054">
        <v>6.83</v>
      </c>
      <c r="E1054">
        <v>1</v>
      </c>
      <c r="F1054">
        <v>100</v>
      </c>
      <c r="G1054" t="b">
        <v>1</v>
      </c>
      <c r="H1054" t="b">
        <v>1</v>
      </c>
      <c r="I1054">
        <v>1915</v>
      </c>
      <c r="J1054">
        <v>9.1408114558472544</v>
      </c>
    </row>
    <row r="1055" spans="1:10" x14ac:dyDescent="0.3">
      <c r="A1055" t="s">
        <v>1633</v>
      </c>
      <c r="B1055" t="s">
        <v>2519</v>
      </c>
      <c r="C1055" t="s">
        <v>475</v>
      </c>
      <c r="D1055">
        <v>6.69</v>
      </c>
      <c r="E1055">
        <v>1</v>
      </c>
      <c r="F1055">
        <v>100</v>
      </c>
      <c r="G1055" t="b">
        <v>1</v>
      </c>
      <c r="H1055" t="b">
        <v>1</v>
      </c>
      <c r="I1055">
        <v>1915</v>
      </c>
      <c r="J1055">
        <v>9.1408114558472544</v>
      </c>
    </row>
    <row r="1056" spans="1:10" x14ac:dyDescent="0.3">
      <c r="A1056" t="s">
        <v>1634</v>
      </c>
      <c r="B1056" t="s">
        <v>2519</v>
      </c>
      <c r="C1056" t="s">
        <v>474</v>
      </c>
      <c r="D1056">
        <v>9.6999999999999993</v>
      </c>
      <c r="E1056">
        <v>1</v>
      </c>
      <c r="F1056">
        <v>100</v>
      </c>
      <c r="G1056" t="b">
        <v>1</v>
      </c>
      <c r="H1056" t="b">
        <v>1</v>
      </c>
      <c r="I1056">
        <v>1915</v>
      </c>
      <c r="J1056">
        <v>9.1408114558472544</v>
      </c>
    </row>
    <row r="1057" spans="1:10" x14ac:dyDescent="0.3">
      <c r="A1057" t="s">
        <v>1635</v>
      </c>
      <c r="B1057" t="s">
        <v>2520</v>
      </c>
      <c r="C1057" t="s">
        <v>473</v>
      </c>
      <c r="D1057">
        <v>2.16</v>
      </c>
      <c r="E1057">
        <v>1</v>
      </c>
      <c r="F1057">
        <v>100</v>
      </c>
      <c r="G1057" t="b">
        <v>1</v>
      </c>
      <c r="H1057" t="b">
        <v>1</v>
      </c>
      <c r="I1057">
        <v>1915</v>
      </c>
      <c r="J1057">
        <v>9.1408114558472544</v>
      </c>
    </row>
    <row r="1058" spans="1:10" x14ac:dyDescent="0.3">
      <c r="A1058" t="s">
        <v>1636</v>
      </c>
      <c r="B1058" t="s">
        <v>2520</v>
      </c>
      <c r="C1058" t="s">
        <v>472</v>
      </c>
      <c r="D1058">
        <v>3.58</v>
      </c>
      <c r="E1058">
        <v>1</v>
      </c>
      <c r="F1058">
        <v>100</v>
      </c>
      <c r="G1058" t="b">
        <v>1</v>
      </c>
      <c r="H1058" t="b">
        <v>1</v>
      </c>
      <c r="I1058">
        <v>1915</v>
      </c>
      <c r="J1058">
        <v>9.1408114558472544</v>
      </c>
    </row>
    <row r="1059" spans="1:10" x14ac:dyDescent="0.3">
      <c r="A1059" t="s">
        <v>1637</v>
      </c>
      <c r="B1059" t="s">
        <v>2521</v>
      </c>
      <c r="C1059" t="s">
        <v>2520</v>
      </c>
      <c r="D1059">
        <v>17.73</v>
      </c>
      <c r="E1059">
        <v>1</v>
      </c>
      <c r="F1059">
        <v>100</v>
      </c>
      <c r="G1059" t="b">
        <v>1</v>
      </c>
      <c r="H1059" t="b">
        <v>1</v>
      </c>
      <c r="I1059">
        <v>1915</v>
      </c>
      <c r="J1059">
        <v>9.1408114558472544</v>
      </c>
    </row>
    <row r="1060" spans="1:10" x14ac:dyDescent="0.3">
      <c r="A1060" t="s">
        <v>1638</v>
      </c>
      <c r="B1060" t="s">
        <v>2521</v>
      </c>
      <c r="C1060" t="s">
        <v>2502</v>
      </c>
      <c r="D1060">
        <v>9.27</v>
      </c>
      <c r="E1060">
        <v>1</v>
      </c>
      <c r="F1060">
        <v>100</v>
      </c>
      <c r="G1060" t="b">
        <v>1</v>
      </c>
      <c r="H1060" t="b">
        <v>1</v>
      </c>
      <c r="I1060">
        <v>1915</v>
      </c>
      <c r="J1060">
        <v>9.1408114558472544</v>
      </c>
    </row>
    <row r="1061" spans="1:10" x14ac:dyDescent="0.3">
      <c r="A1061" t="s">
        <v>1639</v>
      </c>
      <c r="B1061" t="s">
        <v>2517</v>
      </c>
      <c r="C1061" t="s">
        <v>471</v>
      </c>
      <c r="D1061">
        <v>19.37</v>
      </c>
      <c r="E1061">
        <v>1</v>
      </c>
      <c r="F1061">
        <v>100</v>
      </c>
      <c r="G1061" t="b">
        <v>1</v>
      </c>
      <c r="H1061" t="b">
        <v>1</v>
      </c>
      <c r="I1061">
        <v>1915</v>
      </c>
      <c r="J1061">
        <v>9.1408114558472544</v>
      </c>
    </row>
    <row r="1062" spans="1:10" x14ac:dyDescent="0.3">
      <c r="A1062" t="s">
        <v>1640</v>
      </c>
      <c r="B1062" t="s">
        <v>2448</v>
      </c>
      <c r="C1062" t="s">
        <v>470</v>
      </c>
      <c r="D1062">
        <v>25.24</v>
      </c>
      <c r="E1062">
        <v>1</v>
      </c>
      <c r="F1062">
        <v>100</v>
      </c>
      <c r="G1062" t="b">
        <v>1</v>
      </c>
      <c r="H1062" t="b">
        <v>1</v>
      </c>
      <c r="I1062">
        <v>1915</v>
      </c>
      <c r="J1062">
        <v>9.1408114558472544</v>
      </c>
    </row>
    <row r="1063" spans="1:10" x14ac:dyDescent="0.3">
      <c r="A1063" t="s">
        <v>1641</v>
      </c>
      <c r="B1063" t="s">
        <v>7</v>
      </c>
      <c r="C1063" t="s">
        <v>1953</v>
      </c>
      <c r="D1063">
        <v>370.59</v>
      </c>
      <c r="E1063">
        <v>0.40400000000000003</v>
      </c>
      <c r="F1063">
        <v>393.8</v>
      </c>
      <c r="G1063" t="b">
        <v>1</v>
      </c>
      <c r="H1063" t="b">
        <v>1</v>
      </c>
      <c r="I1063">
        <v>58221</v>
      </c>
      <c r="J1063">
        <v>277.90453460620517</v>
      </c>
    </row>
    <row r="1064" spans="1:10" x14ac:dyDescent="0.3">
      <c r="A1064" t="s">
        <v>1642</v>
      </c>
      <c r="B1064" t="s">
        <v>2522</v>
      </c>
      <c r="C1064" t="s">
        <v>260</v>
      </c>
      <c r="D1064">
        <v>2.63</v>
      </c>
      <c r="E1064">
        <v>0.28199999999999997</v>
      </c>
      <c r="F1064">
        <v>160.30000000000001</v>
      </c>
      <c r="G1064" t="b">
        <v>1</v>
      </c>
      <c r="H1064" t="b">
        <v>1</v>
      </c>
      <c r="I1064">
        <v>5533</v>
      </c>
      <c r="J1064">
        <v>26.410501193317419</v>
      </c>
    </row>
    <row r="1065" spans="1:10" x14ac:dyDescent="0.3">
      <c r="A1065" t="s">
        <v>1643</v>
      </c>
      <c r="B1065" t="s">
        <v>2522</v>
      </c>
      <c r="C1065" t="s">
        <v>9</v>
      </c>
      <c r="D1065">
        <v>4.84</v>
      </c>
      <c r="E1065">
        <v>0.28199999999999997</v>
      </c>
      <c r="F1065">
        <v>160.30000000000001</v>
      </c>
      <c r="G1065" t="b">
        <v>0</v>
      </c>
      <c r="H1065" t="b">
        <v>1</v>
      </c>
      <c r="I1065">
        <v>5533</v>
      </c>
      <c r="J1065">
        <v>26.410501193317419</v>
      </c>
    </row>
    <row r="1066" spans="1:10" x14ac:dyDescent="0.3">
      <c r="A1066" t="s">
        <v>1644</v>
      </c>
      <c r="B1066" t="s">
        <v>2523</v>
      </c>
      <c r="C1066" t="s">
        <v>2359</v>
      </c>
      <c r="D1066">
        <v>91.11</v>
      </c>
      <c r="E1066">
        <v>0.436</v>
      </c>
      <c r="F1066">
        <v>160.30000000000001</v>
      </c>
      <c r="G1066" t="b">
        <v>1</v>
      </c>
      <c r="H1066" t="b">
        <v>1</v>
      </c>
      <c r="I1066">
        <v>5533</v>
      </c>
      <c r="J1066">
        <v>26.410501193317419</v>
      </c>
    </row>
    <row r="1067" spans="1:10" x14ac:dyDescent="0.3">
      <c r="A1067" t="s">
        <v>1645</v>
      </c>
      <c r="B1067" t="s">
        <v>1978</v>
      </c>
      <c r="C1067" t="s">
        <v>2527</v>
      </c>
      <c r="D1067">
        <v>428.02</v>
      </c>
      <c r="E1067">
        <v>0.22500000000000001</v>
      </c>
      <c r="F1067">
        <v>107.1</v>
      </c>
      <c r="G1067" t="b">
        <v>1</v>
      </c>
      <c r="H1067" t="b">
        <v>1</v>
      </c>
      <c r="I1067">
        <v>1915</v>
      </c>
      <c r="J1067">
        <v>9.1408114558472544</v>
      </c>
    </row>
    <row r="1068" spans="1:10" x14ac:dyDescent="0.3">
      <c r="A1068" t="s">
        <v>1646</v>
      </c>
      <c r="B1068" t="s">
        <v>2524</v>
      </c>
      <c r="C1068" t="s">
        <v>466</v>
      </c>
      <c r="D1068">
        <v>5.78</v>
      </c>
      <c r="E1068">
        <v>0.13400000000000001</v>
      </c>
      <c r="F1068">
        <v>28.5</v>
      </c>
      <c r="G1068" t="b">
        <v>1</v>
      </c>
      <c r="H1068" t="b">
        <v>1</v>
      </c>
      <c r="I1068">
        <v>60</v>
      </c>
      <c r="J1068">
        <v>0.28639618138424822</v>
      </c>
    </row>
    <row r="1069" spans="1:10" x14ac:dyDescent="0.3">
      <c r="A1069" t="s">
        <v>1647</v>
      </c>
      <c r="B1069" t="s">
        <v>2525</v>
      </c>
      <c r="C1069" t="s">
        <v>2523</v>
      </c>
      <c r="D1069">
        <v>33.979999999999997</v>
      </c>
      <c r="E1069">
        <v>0.28199999999999997</v>
      </c>
      <c r="F1069">
        <v>160.30000000000001</v>
      </c>
      <c r="G1069" t="b">
        <v>1</v>
      </c>
      <c r="H1069" t="b">
        <v>1</v>
      </c>
      <c r="I1069">
        <v>5533</v>
      </c>
      <c r="J1069">
        <v>26.410501193317419</v>
      </c>
    </row>
    <row r="1070" spans="1:10" x14ac:dyDescent="0.3">
      <c r="A1070" t="s">
        <v>1648</v>
      </c>
      <c r="B1070" t="s">
        <v>2526</v>
      </c>
      <c r="C1070" t="s">
        <v>465</v>
      </c>
      <c r="D1070">
        <v>10.79</v>
      </c>
      <c r="E1070">
        <v>0.16600000000000001</v>
      </c>
      <c r="F1070">
        <v>43.1</v>
      </c>
      <c r="G1070" t="b">
        <v>1</v>
      </c>
      <c r="H1070" t="b">
        <v>1</v>
      </c>
      <c r="I1070">
        <v>172</v>
      </c>
      <c r="J1070">
        <v>0.82100238663484471</v>
      </c>
    </row>
    <row r="1071" spans="1:10" x14ac:dyDescent="0.3">
      <c r="A1071" t="s">
        <v>1649</v>
      </c>
      <c r="B1071" t="s">
        <v>2527</v>
      </c>
      <c r="C1071" t="s">
        <v>2647</v>
      </c>
      <c r="D1071">
        <v>66.62</v>
      </c>
      <c r="E1071">
        <v>0.217</v>
      </c>
      <c r="F1071">
        <v>82.5</v>
      </c>
      <c r="G1071" t="b">
        <v>1</v>
      </c>
      <c r="H1071" t="b">
        <v>1</v>
      </c>
      <c r="I1071">
        <v>962</v>
      </c>
      <c r="J1071">
        <v>4.5918854415274453</v>
      </c>
    </row>
    <row r="1072" spans="1:10" x14ac:dyDescent="0.3">
      <c r="A1072" t="s">
        <v>1650</v>
      </c>
      <c r="B1072" t="s">
        <v>2528</v>
      </c>
      <c r="C1072" t="s">
        <v>2526</v>
      </c>
      <c r="D1072">
        <v>179.32</v>
      </c>
      <c r="E1072">
        <v>0.20499999999999999</v>
      </c>
      <c r="F1072">
        <v>70.3</v>
      </c>
      <c r="G1072" t="b">
        <v>1</v>
      </c>
      <c r="H1072" t="b">
        <v>1</v>
      </c>
      <c r="I1072">
        <v>630</v>
      </c>
      <c r="J1072">
        <v>3.007159904534606</v>
      </c>
    </row>
    <row r="1073" spans="1:10" x14ac:dyDescent="0.3">
      <c r="A1073" t="s">
        <v>1651</v>
      </c>
      <c r="B1073" t="s">
        <v>2524</v>
      </c>
      <c r="C1073" t="s">
        <v>2240</v>
      </c>
      <c r="D1073">
        <v>7</v>
      </c>
      <c r="E1073">
        <v>0.22500000000000001</v>
      </c>
      <c r="F1073">
        <v>107.1</v>
      </c>
      <c r="G1073" t="b">
        <v>1</v>
      </c>
      <c r="H1073" t="b">
        <v>1</v>
      </c>
      <c r="I1073">
        <v>1915</v>
      </c>
      <c r="J1073">
        <v>9.1408114558472544</v>
      </c>
    </row>
    <row r="1074" spans="1:10" x14ac:dyDescent="0.3">
      <c r="A1074" t="s">
        <v>1652</v>
      </c>
      <c r="B1074" t="s">
        <v>2528</v>
      </c>
      <c r="C1074" t="s">
        <v>2323</v>
      </c>
      <c r="D1074">
        <v>6.8</v>
      </c>
      <c r="E1074">
        <v>0.30299999999999999</v>
      </c>
      <c r="F1074">
        <v>107.1</v>
      </c>
      <c r="G1074" t="b">
        <v>1</v>
      </c>
      <c r="H1074" t="b">
        <v>1</v>
      </c>
      <c r="I1074">
        <v>1915</v>
      </c>
      <c r="J1074">
        <v>9.1408114558472544</v>
      </c>
    </row>
    <row r="1075" spans="1:10" x14ac:dyDescent="0.3">
      <c r="A1075" t="s">
        <v>1653</v>
      </c>
      <c r="B1075" t="s">
        <v>2529</v>
      </c>
      <c r="C1075" t="s">
        <v>464</v>
      </c>
      <c r="D1075">
        <v>64.31</v>
      </c>
      <c r="E1075">
        <v>0.16600000000000001</v>
      </c>
      <c r="F1075">
        <v>43.1</v>
      </c>
      <c r="G1075" t="b">
        <v>1</v>
      </c>
      <c r="H1075" t="b">
        <v>1</v>
      </c>
      <c r="I1075">
        <v>172</v>
      </c>
      <c r="J1075">
        <v>0.82100238663484471</v>
      </c>
    </row>
    <row r="1076" spans="1:10" x14ac:dyDescent="0.3">
      <c r="A1076" t="s">
        <v>1654</v>
      </c>
      <c r="B1076" t="s">
        <v>2530</v>
      </c>
      <c r="C1076" t="s">
        <v>2279</v>
      </c>
      <c r="D1076">
        <v>35.51</v>
      </c>
      <c r="E1076">
        <v>0.18</v>
      </c>
      <c r="F1076">
        <v>54.5</v>
      </c>
      <c r="G1076" t="b">
        <v>1</v>
      </c>
      <c r="H1076" t="b">
        <v>1</v>
      </c>
      <c r="I1076">
        <v>321</v>
      </c>
      <c r="J1076">
        <v>1.532219570405728</v>
      </c>
    </row>
    <row r="1077" spans="1:10" x14ac:dyDescent="0.3">
      <c r="A1077" t="s">
        <v>1655</v>
      </c>
      <c r="B1077" t="s">
        <v>2096</v>
      </c>
      <c r="C1077" t="s">
        <v>463</v>
      </c>
      <c r="D1077">
        <v>6.18</v>
      </c>
      <c r="E1077">
        <v>0.25900000000000001</v>
      </c>
      <c r="F1077">
        <v>82.5</v>
      </c>
      <c r="G1077" t="b">
        <v>1</v>
      </c>
      <c r="H1077" t="b">
        <v>1</v>
      </c>
      <c r="I1077">
        <v>962</v>
      </c>
      <c r="J1077">
        <v>4.5918854415274453</v>
      </c>
    </row>
    <row r="1078" spans="1:10" x14ac:dyDescent="0.3">
      <c r="A1078" t="s">
        <v>1656</v>
      </c>
      <c r="B1078" t="s">
        <v>2531</v>
      </c>
      <c r="C1078" t="s">
        <v>1898</v>
      </c>
      <c r="D1078">
        <v>25.02</v>
      </c>
      <c r="E1078">
        <v>0.29299999999999998</v>
      </c>
      <c r="F1078">
        <v>210.1</v>
      </c>
      <c r="G1078" t="b">
        <v>1</v>
      </c>
      <c r="H1078" t="b">
        <v>1</v>
      </c>
      <c r="I1078">
        <v>11253</v>
      </c>
      <c r="J1078">
        <v>53.713603818615738</v>
      </c>
    </row>
    <row r="1079" spans="1:10" x14ac:dyDescent="0.3">
      <c r="A1079" t="s">
        <v>1657</v>
      </c>
      <c r="B1079" t="s">
        <v>2532</v>
      </c>
      <c r="C1079" t="s">
        <v>462</v>
      </c>
      <c r="D1079">
        <v>61.46</v>
      </c>
      <c r="E1079">
        <v>0.16600000000000001</v>
      </c>
      <c r="F1079">
        <v>43.1</v>
      </c>
      <c r="G1079" t="b">
        <v>1</v>
      </c>
      <c r="H1079" t="b">
        <v>1</v>
      </c>
      <c r="I1079">
        <v>172</v>
      </c>
      <c r="J1079">
        <v>0.82100238663484471</v>
      </c>
    </row>
    <row r="1080" spans="1:10" x14ac:dyDescent="0.3">
      <c r="A1080" t="s">
        <v>1658</v>
      </c>
      <c r="B1080" t="s">
        <v>2532</v>
      </c>
      <c r="C1080" t="s">
        <v>2525</v>
      </c>
      <c r="D1080">
        <v>0.73</v>
      </c>
      <c r="E1080">
        <v>0.436</v>
      </c>
      <c r="F1080">
        <v>160.30000000000001</v>
      </c>
      <c r="G1080" t="b">
        <v>1</v>
      </c>
      <c r="H1080" t="b">
        <v>1</v>
      </c>
      <c r="I1080">
        <v>5533</v>
      </c>
      <c r="J1080">
        <v>26.410501193317419</v>
      </c>
    </row>
    <row r="1081" spans="1:10" x14ac:dyDescent="0.3">
      <c r="A1081" t="s">
        <v>1659</v>
      </c>
      <c r="B1081" t="s">
        <v>1901</v>
      </c>
      <c r="C1081" t="s">
        <v>461</v>
      </c>
      <c r="D1081">
        <v>30.37</v>
      </c>
      <c r="E1081">
        <v>0.13400000000000001</v>
      </c>
      <c r="F1081">
        <v>28.5</v>
      </c>
      <c r="G1081" t="b">
        <v>1</v>
      </c>
      <c r="H1081" t="b">
        <v>1</v>
      </c>
      <c r="I1081">
        <v>60</v>
      </c>
      <c r="J1081">
        <v>0.28639618138424822</v>
      </c>
    </row>
    <row r="1082" spans="1:10" x14ac:dyDescent="0.3">
      <c r="A1082" t="s">
        <v>1660</v>
      </c>
      <c r="B1082" t="s">
        <v>2533</v>
      </c>
      <c r="C1082" t="s">
        <v>460</v>
      </c>
      <c r="D1082">
        <v>1.4</v>
      </c>
      <c r="E1082">
        <v>0.63300000000000001</v>
      </c>
      <c r="F1082">
        <v>54.5</v>
      </c>
      <c r="G1082" t="b">
        <v>1</v>
      </c>
      <c r="H1082" t="b">
        <v>1</v>
      </c>
      <c r="I1082">
        <v>321</v>
      </c>
      <c r="J1082">
        <v>1.532219570405728</v>
      </c>
    </row>
    <row r="1083" spans="1:10" x14ac:dyDescent="0.3">
      <c r="A1083" t="s">
        <v>1661</v>
      </c>
      <c r="B1083" t="s">
        <v>2534</v>
      </c>
      <c r="C1083" t="s">
        <v>459</v>
      </c>
      <c r="D1083">
        <v>0.64</v>
      </c>
      <c r="E1083">
        <v>0.63300000000000001</v>
      </c>
      <c r="F1083">
        <v>54.5</v>
      </c>
      <c r="G1083" t="b">
        <v>1</v>
      </c>
      <c r="H1083" t="b">
        <v>1</v>
      </c>
      <c r="I1083">
        <v>321</v>
      </c>
      <c r="J1083">
        <v>1.532219570405728</v>
      </c>
    </row>
    <row r="1084" spans="1:10" x14ac:dyDescent="0.3">
      <c r="A1084" t="s">
        <v>1662</v>
      </c>
      <c r="B1084" t="s">
        <v>2534</v>
      </c>
      <c r="C1084" t="s">
        <v>2533</v>
      </c>
      <c r="D1084">
        <v>0.31</v>
      </c>
      <c r="E1084">
        <v>0.66100000000000003</v>
      </c>
      <c r="F1084">
        <v>70.3</v>
      </c>
      <c r="G1084" t="b">
        <v>1</v>
      </c>
      <c r="H1084" t="b">
        <v>1</v>
      </c>
      <c r="I1084">
        <v>630</v>
      </c>
      <c r="J1084">
        <v>3.007159904534606</v>
      </c>
    </row>
    <row r="1085" spans="1:10" x14ac:dyDescent="0.3">
      <c r="A1085" t="s">
        <v>1663</v>
      </c>
      <c r="B1085" t="s">
        <v>2535</v>
      </c>
      <c r="C1085" t="s">
        <v>2534</v>
      </c>
      <c r="D1085">
        <v>0.91</v>
      </c>
      <c r="E1085">
        <v>0.66100000000000003</v>
      </c>
      <c r="F1085">
        <v>70.3</v>
      </c>
      <c r="G1085" t="b">
        <v>1</v>
      </c>
      <c r="H1085" t="b">
        <v>1</v>
      </c>
      <c r="I1085">
        <v>630</v>
      </c>
      <c r="J1085">
        <v>3.007159904534606</v>
      </c>
    </row>
    <row r="1086" spans="1:10" x14ac:dyDescent="0.3">
      <c r="A1086" t="s">
        <v>1664</v>
      </c>
      <c r="B1086" t="s">
        <v>2531</v>
      </c>
      <c r="C1086" t="s">
        <v>2535</v>
      </c>
      <c r="D1086">
        <v>48.42</v>
      </c>
      <c r="E1086">
        <v>0.20499999999999999</v>
      </c>
      <c r="F1086">
        <v>70.3</v>
      </c>
      <c r="G1086" t="b">
        <v>1</v>
      </c>
      <c r="H1086" t="b">
        <v>1</v>
      </c>
      <c r="I1086">
        <v>630</v>
      </c>
      <c r="J1086">
        <v>3.007159904534606</v>
      </c>
    </row>
    <row r="1087" spans="1:10" x14ac:dyDescent="0.3">
      <c r="A1087" t="s">
        <v>1665</v>
      </c>
      <c r="B1087" t="s">
        <v>2536</v>
      </c>
      <c r="C1087" t="s">
        <v>2545</v>
      </c>
      <c r="D1087">
        <v>6.96</v>
      </c>
      <c r="E1087">
        <v>0.16600000000000001</v>
      </c>
      <c r="F1087">
        <v>43.1</v>
      </c>
      <c r="G1087" t="b">
        <v>1</v>
      </c>
      <c r="H1087" t="b">
        <v>1</v>
      </c>
      <c r="I1087">
        <v>172</v>
      </c>
      <c r="J1087">
        <v>0.82100238663484471</v>
      </c>
    </row>
    <row r="1088" spans="1:10" x14ac:dyDescent="0.3">
      <c r="A1088" t="s">
        <v>1666</v>
      </c>
      <c r="B1088" t="s">
        <v>2537</v>
      </c>
      <c r="C1088" t="s">
        <v>332</v>
      </c>
      <c r="D1088">
        <v>9.01</v>
      </c>
      <c r="E1088">
        <v>0.16600000000000001</v>
      </c>
      <c r="F1088">
        <v>43.1</v>
      </c>
      <c r="G1088" t="b">
        <v>1</v>
      </c>
      <c r="H1088" t="b">
        <v>1</v>
      </c>
      <c r="I1088">
        <v>172</v>
      </c>
      <c r="J1088">
        <v>0.82100238663484471</v>
      </c>
    </row>
    <row r="1089" spans="1:10" x14ac:dyDescent="0.3">
      <c r="A1089" t="s">
        <v>1667</v>
      </c>
      <c r="B1089" t="s">
        <v>2537</v>
      </c>
      <c r="C1089" t="s">
        <v>2671</v>
      </c>
      <c r="D1089">
        <v>123.6</v>
      </c>
      <c r="E1089">
        <v>0.254</v>
      </c>
      <c r="F1089">
        <v>132.5</v>
      </c>
      <c r="G1089" t="b">
        <v>1</v>
      </c>
      <c r="H1089" t="b">
        <v>1</v>
      </c>
      <c r="I1089">
        <v>3354</v>
      </c>
      <c r="J1089">
        <v>16.009546539379471</v>
      </c>
    </row>
    <row r="1090" spans="1:10" x14ac:dyDescent="0.3">
      <c r="A1090" t="s">
        <v>1668</v>
      </c>
      <c r="B1090" t="s">
        <v>2536</v>
      </c>
      <c r="C1090" t="s">
        <v>2537</v>
      </c>
      <c r="D1090">
        <v>26.17</v>
      </c>
      <c r="E1090">
        <v>0.254</v>
      </c>
      <c r="F1090">
        <v>132.5</v>
      </c>
      <c r="G1090" t="b">
        <v>1</v>
      </c>
      <c r="H1090" t="b">
        <v>1</v>
      </c>
      <c r="I1090">
        <v>3354</v>
      </c>
      <c r="J1090">
        <v>16.009546539379471</v>
      </c>
    </row>
    <row r="1091" spans="1:10" x14ac:dyDescent="0.3">
      <c r="A1091" t="s">
        <v>1669</v>
      </c>
      <c r="B1091" t="s">
        <v>2538</v>
      </c>
      <c r="C1091" t="s">
        <v>2536</v>
      </c>
      <c r="D1091">
        <v>44.64</v>
      </c>
      <c r="E1091">
        <v>0.254</v>
      </c>
      <c r="F1091">
        <v>132.5</v>
      </c>
      <c r="G1091" t="b">
        <v>1</v>
      </c>
      <c r="H1091" t="b">
        <v>1</v>
      </c>
      <c r="I1091">
        <v>3354</v>
      </c>
      <c r="J1091">
        <v>16.009546539379471</v>
      </c>
    </row>
    <row r="1092" spans="1:10" x14ac:dyDescent="0.3">
      <c r="A1092" t="s">
        <v>1670</v>
      </c>
      <c r="B1092" t="s">
        <v>2539</v>
      </c>
      <c r="C1092" t="s">
        <v>457</v>
      </c>
      <c r="D1092">
        <v>21.99</v>
      </c>
      <c r="E1092">
        <v>0.18</v>
      </c>
      <c r="F1092">
        <v>54.5</v>
      </c>
      <c r="G1092" t="b">
        <v>1</v>
      </c>
      <c r="H1092" t="b">
        <v>1</v>
      </c>
      <c r="I1092">
        <v>321</v>
      </c>
      <c r="J1092">
        <v>1.532219570405728</v>
      </c>
    </row>
    <row r="1093" spans="1:10" x14ac:dyDescent="0.3">
      <c r="A1093" t="s">
        <v>1671</v>
      </c>
      <c r="B1093" t="s">
        <v>2539</v>
      </c>
      <c r="C1093" t="s">
        <v>2123</v>
      </c>
      <c r="D1093">
        <v>10.52</v>
      </c>
      <c r="E1093">
        <v>0.35499999999999998</v>
      </c>
      <c r="F1093">
        <v>263</v>
      </c>
      <c r="G1093" t="b">
        <v>1</v>
      </c>
      <c r="H1093" t="b">
        <v>1</v>
      </c>
      <c r="I1093">
        <v>20264</v>
      </c>
      <c r="J1093">
        <v>96.725536992840077</v>
      </c>
    </row>
    <row r="1094" spans="1:10" x14ac:dyDescent="0.3">
      <c r="A1094" t="s">
        <v>1672</v>
      </c>
      <c r="B1094" t="s">
        <v>2540</v>
      </c>
      <c r="C1094" t="s">
        <v>456</v>
      </c>
      <c r="D1094">
        <v>1.7</v>
      </c>
      <c r="E1094">
        <v>0.20499999999999999</v>
      </c>
      <c r="F1094">
        <v>70.3</v>
      </c>
      <c r="G1094" t="b">
        <v>1</v>
      </c>
      <c r="H1094" t="b">
        <v>1</v>
      </c>
      <c r="I1094">
        <v>630</v>
      </c>
      <c r="J1094">
        <v>3.007159904534606</v>
      </c>
    </row>
    <row r="1095" spans="1:10" x14ac:dyDescent="0.3">
      <c r="A1095" t="s">
        <v>1673</v>
      </c>
      <c r="B1095" t="s">
        <v>2540</v>
      </c>
      <c r="C1095" t="s">
        <v>455</v>
      </c>
      <c r="D1095">
        <v>1.71</v>
      </c>
      <c r="E1095">
        <v>0.20499999999999999</v>
      </c>
      <c r="F1095">
        <v>70.3</v>
      </c>
      <c r="G1095" t="b">
        <v>1</v>
      </c>
      <c r="H1095" t="b">
        <v>1</v>
      </c>
      <c r="I1095">
        <v>630</v>
      </c>
      <c r="J1095">
        <v>3.007159904534606</v>
      </c>
    </row>
    <row r="1096" spans="1:10" x14ac:dyDescent="0.3">
      <c r="A1096" t="s">
        <v>1674</v>
      </c>
      <c r="B1096" t="s">
        <v>2541</v>
      </c>
      <c r="C1096" t="s">
        <v>2540</v>
      </c>
      <c r="D1096">
        <v>61.48</v>
      </c>
      <c r="E1096">
        <v>0.20499999999999999</v>
      </c>
      <c r="F1096">
        <v>70.3</v>
      </c>
      <c r="G1096" t="b">
        <v>1</v>
      </c>
      <c r="H1096" t="b">
        <v>1</v>
      </c>
      <c r="I1096">
        <v>630</v>
      </c>
      <c r="J1096">
        <v>3.007159904534606</v>
      </c>
    </row>
    <row r="1097" spans="1:10" x14ac:dyDescent="0.3">
      <c r="A1097" t="s">
        <v>1675</v>
      </c>
      <c r="B1097" t="s">
        <v>2541</v>
      </c>
      <c r="C1097" t="s">
        <v>2197</v>
      </c>
      <c r="D1097">
        <v>38.200000000000003</v>
      </c>
      <c r="E1097">
        <v>0.35499999999999998</v>
      </c>
      <c r="F1097">
        <v>263</v>
      </c>
      <c r="G1097" t="b">
        <v>1</v>
      </c>
      <c r="H1097" t="b">
        <v>1</v>
      </c>
      <c r="I1097">
        <v>20264</v>
      </c>
      <c r="J1097">
        <v>96.725536992840077</v>
      </c>
    </row>
    <row r="1098" spans="1:10" x14ac:dyDescent="0.3">
      <c r="A1098" t="s">
        <v>1676</v>
      </c>
      <c r="B1098" t="s">
        <v>2542</v>
      </c>
      <c r="C1098" t="s">
        <v>454</v>
      </c>
      <c r="D1098">
        <v>70.540000000000006</v>
      </c>
      <c r="E1098">
        <v>0.16600000000000001</v>
      </c>
      <c r="F1098">
        <v>43.1</v>
      </c>
      <c r="G1098" t="b">
        <v>1</v>
      </c>
      <c r="H1098" t="b">
        <v>1</v>
      </c>
      <c r="I1098">
        <v>172</v>
      </c>
      <c r="J1098">
        <v>0.82100238663484471</v>
      </c>
    </row>
    <row r="1099" spans="1:10" x14ac:dyDescent="0.3">
      <c r="A1099" t="s">
        <v>1677</v>
      </c>
      <c r="B1099" t="s">
        <v>2543</v>
      </c>
      <c r="C1099" t="s">
        <v>2538</v>
      </c>
      <c r="D1099">
        <v>2.38</v>
      </c>
      <c r="E1099">
        <v>0.28199999999999997</v>
      </c>
      <c r="F1099">
        <v>160.30000000000001</v>
      </c>
      <c r="G1099" t="b">
        <v>1</v>
      </c>
      <c r="H1099" t="b">
        <v>1</v>
      </c>
      <c r="I1099">
        <v>5533</v>
      </c>
      <c r="J1099">
        <v>26.410501193317419</v>
      </c>
    </row>
    <row r="1100" spans="1:10" x14ac:dyDescent="0.3">
      <c r="A1100" t="s">
        <v>1678</v>
      </c>
      <c r="B1100" t="s">
        <v>1900</v>
      </c>
      <c r="C1100" t="s">
        <v>2531</v>
      </c>
      <c r="D1100">
        <v>2.2599999999999998</v>
      </c>
      <c r="E1100">
        <v>0.29299999999999998</v>
      </c>
      <c r="F1100">
        <v>210.1</v>
      </c>
      <c r="G1100" t="b">
        <v>1</v>
      </c>
      <c r="H1100" t="b">
        <v>1</v>
      </c>
      <c r="I1100">
        <v>11253</v>
      </c>
      <c r="J1100">
        <v>53.713603818615738</v>
      </c>
    </row>
    <row r="1101" spans="1:10" x14ac:dyDescent="0.3">
      <c r="A1101" t="s">
        <v>1679</v>
      </c>
      <c r="B1101" t="s">
        <v>2529</v>
      </c>
      <c r="C1101" t="s">
        <v>2027</v>
      </c>
      <c r="D1101">
        <v>57.24</v>
      </c>
      <c r="E1101">
        <v>0.217</v>
      </c>
      <c r="F1101">
        <v>82.5</v>
      </c>
      <c r="G1101" t="b">
        <v>1</v>
      </c>
      <c r="H1101" t="b">
        <v>1</v>
      </c>
      <c r="I1101">
        <v>962</v>
      </c>
      <c r="J1101">
        <v>4.5918854415274453</v>
      </c>
    </row>
    <row r="1102" spans="1:10" x14ac:dyDescent="0.3">
      <c r="A1102" t="s">
        <v>1680</v>
      </c>
      <c r="B1102" t="s">
        <v>2001</v>
      </c>
      <c r="C1102" t="s">
        <v>2529</v>
      </c>
      <c r="D1102">
        <v>188.92</v>
      </c>
      <c r="E1102">
        <v>0.217</v>
      </c>
      <c r="F1102">
        <v>82.5</v>
      </c>
      <c r="G1102" t="b">
        <v>1</v>
      </c>
      <c r="H1102" t="b">
        <v>1</v>
      </c>
      <c r="I1102">
        <v>962</v>
      </c>
      <c r="J1102">
        <v>4.5918854415274453</v>
      </c>
    </row>
    <row r="1103" spans="1:10" x14ac:dyDescent="0.3">
      <c r="A1103" t="s">
        <v>1681</v>
      </c>
      <c r="B1103" t="s">
        <v>2102</v>
      </c>
      <c r="C1103" t="s">
        <v>2539</v>
      </c>
      <c r="D1103">
        <v>28.97</v>
      </c>
      <c r="E1103">
        <v>0.35499999999999998</v>
      </c>
      <c r="F1103">
        <v>263</v>
      </c>
      <c r="G1103" t="b">
        <v>1</v>
      </c>
      <c r="H1103" t="b">
        <v>1</v>
      </c>
      <c r="I1103">
        <v>20264</v>
      </c>
      <c r="J1103">
        <v>96.725536992840077</v>
      </c>
    </row>
    <row r="1104" spans="1:10" x14ac:dyDescent="0.3">
      <c r="A1104" t="s">
        <v>1682</v>
      </c>
      <c r="B1104" t="s">
        <v>2123</v>
      </c>
      <c r="C1104" t="s">
        <v>2541</v>
      </c>
      <c r="D1104">
        <v>130.44999999999999</v>
      </c>
      <c r="E1104">
        <v>0.35499999999999998</v>
      </c>
      <c r="F1104">
        <v>263</v>
      </c>
      <c r="G1104" t="b">
        <v>1</v>
      </c>
      <c r="H1104" t="b">
        <v>1</v>
      </c>
      <c r="I1104">
        <v>20264</v>
      </c>
      <c r="J1104">
        <v>96.725536992840077</v>
      </c>
    </row>
    <row r="1105" spans="1:10" x14ac:dyDescent="0.3">
      <c r="A1105" t="s">
        <v>1683</v>
      </c>
      <c r="B1105" t="s">
        <v>2542</v>
      </c>
      <c r="C1105" t="s">
        <v>2081</v>
      </c>
      <c r="D1105">
        <v>40.58</v>
      </c>
      <c r="E1105">
        <v>0.35499999999999998</v>
      </c>
      <c r="F1105">
        <v>263</v>
      </c>
      <c r="G1105" t="b">
        <v>1</v>
      </c>
      <c r="H1105" t="b">
        <v>1</v>
      </c>
      <c r="I1105">
        <v>20264</v>
      </c>
      <c r="J1105">
        <v>96.725536992840077</v>
      </c>
    </row>
    <row r="1106" spans="1:10" x14ac:dyDescent="0.3">
      <c r="A1106" t="s">
        <v>1684</v>
      </c>
      <c r="B1106" t="s">
        <v>2197</v>
      </c>
      <c r="C1106" t="s">
        <v>2542</v>
      </c>
      <c r="D1106">
        <v>50.72</v>
      </c>
      <c r="E1106">
        <v>0.35499999999999998</v>
      </c>
      <c r="F1106">
        <v>263</v>
      </c>
      <c r="G1106" t="b">
        <v>1</v>
      </c>
      <c r="H1106" t="b">
        <v>1</v>
      </c>
      <c r="I1106">
        <v>20264</v>
      </c>
      <c r="J1106">
        <v>96.725536992840077</v>
      </c>
    </row>
    <row r="1107" spans="1:10" x14ac:dyDescent="0.3">
      <c r="A1107" t="s">
        <v>1685</v>
      </c>
      <c r="B1107" t="s">
        <v>2279</v>
      </c>
      <c r="C1107" t="s">
        <v>2351</v>
      </c>
      <c r="D1107">
        <v>6.87</v>
      </c>
      <c r="E1107">
        <v>0.18</v>
      </c>
      <c r="F1107">
        <v>54.5</v>
      </c>
      <c r="G1107" t="b">
        <v>1</v>
      </c>
      <c r="H1107" t="b">
        <v>1</v>
      </c>
      <c r="I1107">
        <v>321</v>
      </c>
      <c r="J1107">
        <v>1.532219570405728</v>
      </c>
    </row>
    <row r="1108" spans="1:10" x14ac:dyDescent="0.3">
      <c r="A1108" t="s">
        <v>1686</v>
      </c>
      <c r="B1108" t="s">
        <v>2544</v>
      </c>
      <c r="C1108" t="s">
        <v>2546</v>
      </c>
      <c r="D1108">
        <v>18.45</v>
      </c>
      <c r="E1108">
        <v>0.436</v>
      </c>
      <c r="F1108">
        <v>160.30000000000001</v>
      </c>
      <c r="G1108" t="b">
        <v>1</v>
      </c>
      <c r="H1108" t="b">
        <v>1</v>
      </c>
      <c r="I1108">
        <v>5533</v>
      </c>
      <c r="J1108">
        <v>26.410501193317419</v>
      </c>
    </row>
    <row r="1109" spans="1:10" x14ac:dyDescent="0.3">
      <c r="A1109" t="s">
        <v>1687</v>
      </c>
      <c r="B1109" t="s">
        <v>2351</v>
      </c>
      <c r="C1109" t="s">
        <v>2439</v>
      </c>
      <c r="D1109">
        <v>8.1199999999999992</v>
      </c>
      <c r="E1109">
        <v>0.18</v>
      </c>
      <c r="F1109">
        <v>54.5</v>
      </c>
      <c r="G1109" t="b">
        <v>1</v>
      </c>
      <c r="H1109" t="b">
        <v>1</v>
      </c>
      <c r="I1109">
        <v>321</v>
      </c>
      <c r="J1109">
        <v>1.532219570405728</v>
      </c>
    </row>
    <row r="1110" spans="1:10" x14ac:dyDescent="0.3">
      <c r="A1110" t="s">
        <v>1688</v>
      </c>
      <c r="B1110" t="s">
        <v>1910</v>
      </c>
      <c r="C1110" t="s">
        <v>2671</v>
      </c>
      <c r="D1110">
        <v>52.22</v>
      </c>
      <c r="E1110">
        <v>0.436</v>
      </c>
      <c r="F1110">
        <v>160.30000000000001</v>
      </c>
      <c r="G1110" t="b">
        <v>1</v>
      </c>
      <c r="H1110" t="b">
        <v>1</v>
      </c>
      <c r="I1110">
        <v>5533</v>
      </c>
      <c r="J1110">
        <v>26.410501193317419</v>
      </c>
    </row>
    <row r="1111" spans="1:10" x14ac:dyDescent="0.3">
      <c r="A1111" t="s">
        <v>1689</v>
      </c>
      <c r="B1111" t="s">
        <v>2545</v>
      </c>
      <c r="C1111" t="s">
        <v>180</v>
      </c>
      <c r="D1111">
        <v>104.81</v>
      </c>
      <c r="E1111">
        <v>0.191</v>
      </c>
      <c r="F1111">
        <v>43.1</v>
      </c>
      <c r="G1111" t="b">
        <v>1</v>
      </c>
      <c r="H1111" t="b">
        <v>1</v>
      </c>
      <c r="I1111">
        <v>172</v>
      </c>
      <c r="J1111">
        <v>0.82100238663484471</v>
      </c>
    </row>
    <row r="1112" spans="1:10" x14ac:dyDescent="0.3">
      <c r="A1112" t="s">
        <v>1690</v>
      </c>
      <c r="B1112" t="s">
        <v>2546</v>
      </c>
      <c r="C1112" t="s">
        <v>184</v>
      </c>
      <c r="D1112">
        <v>115.74</v>
      </c>
      <c r="E1112">
        <v>0.191</v>
      </c>
      <c r="F1112">
        <v>43.1</v>
      </c>
      <c r="G1112" t="b">
        <v>1</v>
      </c>
      <c r="H1112" t="b">
        <v>1</v>
      </c>
      <c r="I1112">
        <v>172</v>
      </c>
      <c r="J1112">
        <v>0.82100238663484471</v>
      </c>
    </row>
    <row r="1113" spans="1:10" x14ac:dyDescent="0.3">
      <c r="A1113" t="s">
        <v>1691</v>
      </c>
      <c r="B1113" t="s">
        <v>2406</v>
      </c>
      <c r="C1113" t="s">
        <v>2530</v>
      </c>
      <c r="D1113">
        <v>4.5199999999999996</v>
      </c>
      <c r="E1113">
        <v>0.20499999999999999</v>
      </c>
      <c r="F1113">
        <v>70.3</v>
      </c>
      <c r="G1113" t="b">
        <v>1</v>
      </c>
      <c r="H1113" t="b">
        <v>1</v>
      </c>
      <c r="I1113">
        <v>630</v>
      </c>
      <c r="J1113">
        <v>3.007159904534606</v>
      </c>
    </row>
    <row r="1114" spans="1:10" x14ac:dyDescent="0.3">
      <c r="A1114" t="s">
        <v>1692</v>
      </c>
      <c r="B1114" t="s">
        <v>2547</v>
      </c>
      <c r="C1114" t="s">
        <v>120</v>
      </c>
      <c r="D1114">
        <v>18.399999999999999</v>
      </c>
      <c r="E1114">
        <v>1</v>
      </c>
      <c r="F1114">
        <v>100</v>
      </c>
      <c r="G1114" t="b">
        <v>1</v>
      </c>
      <c r="H1114" t="b">
        <v>1</v>
      </c>
      <c r="I1114">
        <v>1915</v>
      </c>
      <c r="J1114">
        <v>9.1408114558472544</v>
      </c>
    </row>
    <row r="1115" spans="1:10" x14ac:dyDescent="0.3">
      <c r="A1115" t="s">
        <v>1693</v>
      </c>
      <c r="B1115" t="s">
        <v>2547</v>
      </c>
      <c r="C1115" t="s">
        <v>2438</v>
      </c>
      <c r="D1115">
        <v>104.25</v>
      </c>
      <c r="E1115">
        <v>0.217</v>
      </c>
      <c r="F1115">
        <v>82.5</v>
      </c>
      <c r="G1115" t="b">
        <v>1</v>
      </c>
      <c r="H1115" t="b">
        <v>1</v>
      </c>
      <c r="I1115">
        <v>962</v>
      </c>
      <c r="J1115">
        <v>4.5918854415274453</v>
      </c>
    </row>
    <row r="1116" spans="1:10" x14ac:dyDescent="0.3">
      <c r="A1116" t="s">
        <v>1694</v>
      </c>
      <c r="B1116" t="s">
        <v>2415</v>
      </c>
      <c r="C1116" t="s">
        <v>2547</v>
      </c>
      <c r="D1116">
        <v>51.84</v>
      </c>
      <c r="E1116">
        <v>0.217</v>
      </c>
      <c r="F1116">
        <v>82.5</v>
      </c>
      <c r="G1116" t="b">
        <v>1</v>
      </c>
      <c r="H1116" t="b">
        <v>1</v>
      </c>
      <c r="I1116">
        <v>962</v>
      </c>
      <c r="J1116">
        <v>4.5918854415274453</v>
      </c>
    </row>
    <row r="1117" spans="1:10" x14ac:dyDescent="0.3">
      <c r="A1117" t="s">
        <v>1695</v>
      </c>
      <c r="B1117" t="s">
        <v>2439</v>
      </c>
      <c r="C1117" t="s">
        <v>79</v>
      </c>
      <c r="D1117">
        <v>65.930000000000007</v>
      </c>
      <c r="E1117">
        <v>0.18</v>
      </c>
      <c r="F1117">
        <v>54.5</v>
      </c>
      <c r="G1117" t="b">
        <v>1</v>
      </c>
      <c r="H1117" t="b">
        <v>1</v>
      </c>
      <c r="I1117">
        <v>321</v>
      </c>
      <c r="J1117">
        <v>1.532219570405728</v>
      </c>
    </row>
    <row r="1118" spans="1:10" x14ac:dyDescent="0.3">
      <c r="A1118" t="s">
        <v>1696</v>
      </c>
      <c r="B1118" t="s">
        <v>2548</v>
      </c>
      <c r="C1118" t="s">
        <v>2550</v>
      </c>
      <c r="D1118">
        <v>0.56999999999999995</v>
      </c>
      <c r="E1118">
        <v>0.28199999999999997</v>
      </c>
      <c r="F1118">
        <v>160.30000000000001</v>
      </c>
      <c r="G1118" t="b">
        <v>1</v>
      </c>
      <c r="H1118" t="b">
        <v>1</v>
      </c>
      <c r="I1118">
        <v>5533</v>
      </c>
      <c r="J1118">
        <v>26.410501193317419</v>
      </c>
    </row>
    <row r="1119" spans="1:10" x14ac:dyDescent="0.3">
      <c r="A1119" t="s">
        <v>1697</v>
      </c>
      <c r="B1119" t="s">
        <v>2549</v>
      </c>
      <c r="C1119" t="s">
        <v>2406</v>
      </c>
      <c r="D1119">
        <v>26.01</v>
      </c>
      <c r="E1119">
        <v>0.20499999999999999</v>
      </c>
      <c r="F1119">
        <v>70.3</v>
      </c>
      <c r="G1119" t="b">
        <v>1</v>
      </c>
      <c r="H1119" t="b">
        <v>1</v>
      </c>
      <c r="I1119">
        <v>630</v>
      </c>
      <c r="J1119">
        <v>3.007159904534606</v>
      </c>
    </row>
    <row r="1120" spans="1:10" x14ac:dyDescent="0.3">
      <c r="A1120" t="s">
        <v>1698</v>
      </c>
      <c r="B1120" t="s">
        <v>2550</v>
      </c>
      <c r="C1120" t="s">
        <v>2549</v>
      </c>
      <c r="D1120">
        <v>58.08</v>
      </c>
      <c r="E1120">
        <v>0.217</v>
      </c>
      <c r="F1120">
        <v>82.5</v>
      </c>
      <c r="G1120" t="b">
        <v>1</v>
      </c>
      <c r="H1120" t="b">
        <v>1</v>
      </c>
      <c r="I1120">
        <v>962</v>
      </c>
      <c r="J1120">
        <v>4.5918854415274453</v>
      </c>
    </row>
    <row r="1121" spans="1:10" x14ac:dyDescent="0.3">
      <c r="A1121" t="s">
        <v>1699</v>
      </c>
      <c r="B1121" t="s">
        <v>2051</v>
      </c>
      <c r="C1121" t="s">
        <v>2060</v>
      </c>
      <c r="D1121">
        <v>73.260000000000005</v>
      </c>
      <c r="E1121">
        <v>0.71</v>
      </c>
      <c r="F1121">
        <v>107.1</v>
      </c>
      <c r="G1121" t="b">
        <v>1</v>
      </c>
      <c r="H1121" t="b">
        <v>1</v>
      </c>
      <c r="I1121">
        <v>1915</v>
      </c>
      <c r="J1121">
        <v>9.1408114558472544</v>
      </c>
    </row>
    <row r="1122" spans="1:10" x14ac:dyDescent="0.3">
      <c r="A1122" t="s">
        <v>1700</v>
      </c>
      <c r="B1122" t="s">
        <v>2043</v>
      </c>
      <c r="C1122" t="s">
        <v>2044</v>
      </c>
      <c r="D1122">
        <v>72.56</v>
      </c>
      <c r="E1122">
        <v>0.77500000000000002</v>
      </c>
      <c r="F1122">
        <v>132.5</v>
      </c>
      <c r="G1122" t="b">
        <v>1</v>
      </c>
      <c r="H1122" t="b">
        <v>1</v>
      </c>
      <c r="I1122">
        <v>3354</v>
      </c>
      <c r="J1122">
        <v>16.009546539379471</v>
      </c>
    </row>
    <row r="1123" spans="1:10" x14ac:dyDescent="0.3">
      <c r="A1123" t="s">
        <v>1701</v>
      </c>
      <c r="B1123" t="s">
        <v>2551</v>
      </c>
      <c r="C1123" t="s">
        <v>453</v>
      </c>
      <c r="D1123">
        <v>4.76</v>
      </c>
      <c r="E1123">
        <v>0.18</v>
      </c>
      <c r="F1123">
        <v>54.5</v>
      </c>
      <c r="G1123" t="b">
        <v>1</v>
      </c>
      <c r="H1123" t="b">
        <v>1</v>
      </c>
      <c r="I1123">
        <v>321</v>
      </c>
      <c r="J1123">
        <v>1.532219570405728</v>
      </c>
    </row>
    <row r="1124" spans="1:10" x14ac:dyDescent="0.3">
      <c r="A1124" t="s">
        <v>1702</v>
      </c>
      <c r="B1124" t="s">
        <v>2552</v>
      </c>
      <c r="C1124" t="s">
        <v>452</v>
      </c>
      <c r="D1124">
        <v>2.0099999999999998</v>
      </c>
      <c r="E1124">
        <v>0.18</v>
      </c>
      <c r="F1124">
        <v>54.5</v>
      </c>
      <c r="G1124" t="b">
        <v>1</v>
      </c>
      <c r="H1124" t="b">
        <v>1</v>
      </c>
      <c r="I1124">
        <v>321</v>
      </c>
      <c r="J1124">
        <v>1.532219570405728</v>
      </c>
    </row>
    <row r="1125" spans="1:10" x14ac:dyDescent="0.3">
      <c r="A1125" t="s">
        <v>1703</v>
      </c>
      <c r="B1125" t="s">
        <v>2552</v>
      </c>
      <c r="C1125" t="s">
        <v>2088</v>
      </c>
      <c r="D1125">
        <v>8.59</v>
      </c>
      <c r="E1125">
        <v>0.217</v>
      </c>
      <c r="F1125">
        <v>82.5</v>
      </c>
      <c r="G1125" t="b">
        <v>1</v>
      </c>
      <c r="H1125" t="b">
        <v>1</v>
      </c>
      <c r="I1125">
        <v>962</v>
      </c>
      <c r="J1125">
        <v>4.5918854415274453</v>
      </c>
    </row>
    <row r="1126" spans="1:10" x14ac:dyDescent="0.3">
      <c r="A1126" t="s">
        <v>1704</v>
      </c>
      <c r="B1126" t="s">
        <v>2553</v>
      </c>
      <c r="C1126" t="s">
        <v>451</v>
      </c>
      <c r="D1126">
        <v>25.52</v>
      </c>
      <c r="E1126">
        <v>0.20499999999999999</v>
      </c>
      <c r="F1126">
        <v>70.3</v>
      </c>
      <c r="G1126" t="b">
        <v>1</v>
      </c>
      <c r="H1126" t="b">
        <v>1</v>
      </c>
      <c r="I1126">
        <v>630</v>
      </c>
      <c r="J1126">
        <v>3.007159904534606</v>
      </c>
    </row>
    <row r="1127" spans="1:10" x14ac:dyDescent="0.3">
      <c r="A1127" t="s">
        <v>1705</v>
      </c>
      <c r="B1127" t="s">
        <v>2554</v>
      </c>
      <c r="C1127" t="s">
        <v>450</v>
      </c>
      <c r="D1127">
        <v>51.35</v>
      </c>
      <c r="E1127">
        <v>0.16600000000000001</v>
      </c>
      <c r="F1127">
        <v>43.1</v>
      </c>
      <c r="G1127" t="b">
        <v>1</v>
      </c>
      <c r="H1127" t="b">
        <v>1</v>
      </c>
      <c r="I1127">
        <v>172</v>
      </c>
      <c r="J1127">
        <v>0.82100238663484471</v>
      </c>
    </row>
    <row r="1128" spans="1:10" x14ac:dyDescent="0.3">
      <c r="A1128" t="s">
        <v>1706</v>
      </c>
      <c r="B1128" t="s">
        <v>2555</v>
      </c>
      <c r="C1128" t="s">
        <v>449</v>
      </c>
      <c r="D1128">
        <v>27.27</v>
      </c>
      <c r="E1128">
        <v>0.217</v>
      </c>
      <c r="F1128">
        <v>82.5</v>
      </c>
      <c r="G1128" t="b">
        <v>1</v>
      </c>
      <c r="H1128" t="b">
        <v>1</v>
      </c>
      <c r="I1128">
        <v>962</v>
      </c>
      <c r="J1128">
        <v>4.5918854415274453</v>
      </c>
    </row>
    <row r="1129" spans="1:10" x14ac:dyDescent="0.3">
      <c r="A1129" t="s">
        <v>1707</v>
      </c>
      <c r="B1129" t="s">
        <v>2556</v>
      </c>
      <c r="C1129" t="s">
        <v>448</v>
      </c>
      <c r="D1129">
        <v>25.98</v>
      </c>
      <c r="E1129">
        <v>0.18</v>
      </c>
      <c r="F1129">
        <v>54.5</v>
      </c>
      <c r="G1129" t="b">
        <v>1</v>
      </c>
      <c r="H1129" t="b">
        <v>1</v>
      </c>
      <c r="I1129">
        <v>321</v>
      </c>
      <c r="J1129">
        <v>1.532219570405728</v>
      </c>
    </row>
    <row r="1130" spans="1:10" x14ac:dyDescent="0.3">
      <c r="A1130" t="s">
        <v>1708</v>
      </c>
      <c r="B1130" t="s">
        <v>2557</v>
      </c>
      <c r="C1130" t="s">
        <v>447</v>
      </c>
      <c r="D1130">
        <v>28.96</v>
      </c>
      <c r="E1130">
        <v>0.18</v>
      </c>
      <c r="F1130">
        <v>54.5</v>
      </c>
      <c r="G1130" t="b">
        <v>1</v>
      </c>
      <c r="H1130" t="b">
        <v>1</v>
      </c>
      <c r="I1130">
        <v>321</v>
      </c>
      <c r="J1130">
        <v>1.532219570405728</v>
      </c>
    </row>
    <row r="1131" spans="1:10" x14ac:dyDescent="0.3">
      <c r="A1131" t="s">
        <v>1709</v>
      </c>
      <c r="B1131" t="s">
        <v>1935</v>
      </c>
      <c r="C1131" t="s">
        <v>2669</v>
      </c>
      <c r="D1131">
        <v>71.84</v>
      </c>
      <c r="E1131">
        <v>0.254</v>
      </c>
      <c r="F1131">
        <v>132.5</v>
      </c>
      <c r="G1131" t="b">
        <v>1</v>
      </c>
      <c r="H1131" t="b">
        <v>1</v>
      </c>
      <c r="I1131">
        <v>3354</v>
      </c>
      <c r="J1131">
        <v>16.009546539379471</v>
      </c>
    </row>
    <row r="1132" spans="1:10" x14ac:dyDescent="0.3">
      <c r="A1132" t="s">
        <v>1710</v>
      </c>
      <c r="B1132" t="s">
        <v>1945</v>
      </c>
      <c r="C1132" t="s">
        <v>2553</v>
      </c>
      <c r="D1132">
        <v>10.66</v>
      </c>
      <c r="E1132">
        <v>0.36399999999999999</v>
      </c>
      <c r="F1132">
        <v>132.5</v>
      </c>
      <c r="G1132" t="b">
        <v>1</v>
      </c>
      <c r="H1132" t="b">
        <v>1</v>
      </c>
      <c r="I1132">
        <v>3354</v>
      </c>
      <c r="J1132">
        <v>16.009546539379471</v>
      </c>
    </row>
    <row r="1133" spans="1:10" x14ac:dyDescent="0.3">
      <c r="A1133" t="s">
        <v>1711</v>
      </c>
      <c r="B1133" t="s">
        <v>2558</v>
      </c>
      <c r="C1133" t="s">
        <v>2556</v>
      </c>
      <c r="D1133">
        <v>19.48</v>
      </c>
      <c r="E1133">
        <v>0.217</v>
      </c>
      <c r="F1133">
        <v>82.5</v>
      </c>
      <c r="G1133" t="b">
        <v>1</v>
      </c>
      <c r="H1133" t="b">
        <v>1</v>
      </c>
      <c r="I1133">
        <v>962</v>
      </c>
      <c r="J1133">
        <v>4.5918854415274453</v>
      </c>
    </row>
    <row r="1134" spans="1:10" x14ac:dyDescent="0.3">
      <c r="A1134" t="s">
        <v>1712</v>
      </c>
      <c r="B1134" t="s">
        <v>1890</v>
      </c>
      <c r="C1134" t="s">
        <v>2554</v>
      </c>
      <c r="D1134">
        <v>266.39999999999998</v>
      </c>
      <c r="E1134">
        <v>0.217</v>
      </c>
      <c r="F1134">
        <v>82.5</v>
      </c>
      <c r="G1134" t="b">
        <v>1</v>
      </c>
      <c r="H1134" t="b">
        <v>1</v>
      </c>
      <c r="I1134">
        <v>962</v>
      </c>
      <c r="J1134">
        <v>4.5918854415274453</v>
      </c>
    </row>
    <row r="1135" spans="1:10" x14ac:dyDescent="0.3">
      <c r="A1135" t="s">
        <v>1713</v>
      </c>
      <c r="B1135" t="s">
        <v>2555</v>
      </c>
      <c r="C1135" t="s">
        <v>2672</v>
      </c>
      <c r="D1135">
        <v>71.36</v>
      </c>
      <c r="E1135">
        <v>0.217</v>
      </c>
      <c r="F1135">
        <v>82.5</v>
      </c>
      <c r="G1135" t="b">
        <v>1</v>
      </c>
      <c r="H1135" t="b">
        <v>1</v>
      </c>
      <c r="I1135">
        <v>962</v>
      </c>
      <c r="J1135">
        <v>4.5918854415274453</v>
      </c>
    </row>
    <row r="1136" spans="1:10" x14ac:dyDescent="0.3">
      <c r="A1136" t="s">
        <v>1714</v>
      </c>
      <c r="B1136" t="s">
        <v>2559</v>
      </c>
      <c r="C1136" t="s">
        <v>2551</v>
      </c>
      <c r="D1136">
        <v>114.11</v>
      </c>
      <c r="E1136">
        <v>0.217</v>
      </c>
      <c r="F1136">
        <v>82.5</v>
      </c>
      <c r="G1136" t="b">
        <v>1</v>
      </c>
      <c r="H1136" t="b">
        <v>1</v>
      </c>
      <c r="I1136">
        <v>962</v>
      </c>
      <c r="J1136">
        <v>4.5918854415274453</v>
      </c>
    </row>
    <row r="1137" spans="1:10" x14ac:dyDescent="0.3">
      <c r="A1137" t="s">
        <v>1715</v>
      </c>
      <c r="B1137" t="s">
        <v>2240</v>
      </c>
      <c r="C1137" t="s">
        <v>2552</v>
      </c>
      <c r="D1137">
        <v>98.46</v>
      </c>
      <c r="E1137">
        <v>0.217</v>
      </c>
      <c r="F1137">
        <v>82.5</v>
      </c>
      <c r="G1137" t="b">
        <v>1</v>
      </c>
      <c r="H1137" t="b">
        <v>1</v>
      </c>
      <c r="I1137">
        <v>962</v>
      </c>
      <c r="J1137">
        <v>4.5918854415274453</v>
      </c>
    </row>
    <row r="1138" spans="1:10" x14ac:dyDescent="0.3">
      <c r="A1138" t="s">
        <v>1716</v>
      </c>
      <c r="B1138" t="s">
        <v>2560</v>
      </c>
      <c r="C1138" t="s">
        <v>2258</v>
      </c>
      <c r="D1138">
        <v>284.45999999999998</v>
      </c>
      <c r="E1138">
        <v>0.41099999999999998</v>
      </c>
      <c r="F1138">
        <v>312.7</v>
      </c>
      <c r="G1138" t="b">
        <v>1</v>
      </c>
      <c r="H1138" t="b">
        <v>1</v>
      </c>
      <c r="I1138">
        <v>31872</v>
      </c>
      <c r="J1138">
        <v>152.1336515513126</v>
      </c>
    </row>
    <row r="1139" spans="1:10" x14ac:dyDescent="0.3">
      <c r="A1139" t="s">
        <v>1717</v>
      </c>
      <c r="B1139" t="s">
        <v>2561</v>
      </c>
      <c r="C1139" t="s">
        <v>2122</v>
      </c>
      <c r="D1139">
        <v>63.91</v>
      </c>
      <c r="E1139">
        <v>0.20499999999999999</v>
      </c>
      <c r="F1139">
        <v>70.3</v>
      </c>
      <c r="G1139" t="b">
        <v>1</v>
      </c>
      <c r="H1139" t="b">
        <v>1</v>
      </c>
      <c r="I1139">
        <v>630</v>
      </c>
      <c r="J1139">
        <v>3.007159904534606</v>
      </c>
    </row>
    <row r="1140" spans="1:10" x14ac:dyDescent="0.3">
      <c r="A1140" t="s">
        <v>1718</v>
      </c>
      <c r="B1140" t="s">
        <v>2137</v>
      </c>
      <c r="C1140" t="s">
        <v>2561</v>
      </c>
      <c r="D1140">
        <v>98.48</v>
      </c>
      <c r="E1140">
        <v>0.20499999999999999</v>
      </c>
      <c r="F1140">
        <v>70.3</v>
      </c>
      <c r="G1140" t="b">
        <v>1</v>
      </c>
      <c r="H1140" t="b">
        <v>1</v>
      </c>
      <c r="I1140">
        <v>630</v>
      </c>
      <c r="J1140">
        <v>3.007159904534606</v>
      </c>
    </row>
    <row r="1141" spans="1:10" x14ac:dyDescent="0.3">
      <c r="A1141" t="s">
        <v>1719</v>
      </c>
      <c r="B1141" t="s">
        <v>2562</v>
      </c>
      <c r="C1141" t="s">
        <v>327</v>
      </c>
      <c r="D1141">
        <v>16.02</v>
      </c>
      <c r="E1141">
        <v>1</v>
      </c>
      <c r="F1141">
        <v>100</v>
      </c>
      <c r="G1141" t="b">
        <v>1</v>
      </c>
      <c r="H1141" t="b">
        <v>1</v>
      </c>
      <c r="I1141">
        <v>1915</v>
      </c>
      <c r="J1141">
        <v>9.1408114558472544</v>
      </c>
    </row>
    <row r="1142" spans="1:10" x14ac:dyDescent="0.3">
      <c r="A1142" t="s">
        <v>1720</v>
      </c>
      <c r="B1142" t="s">
        <v>2136</v>
      </c>
      <c r="C1142" t="s">
        <v>2569</v>
      </c>
      <c r="D1142">
        <v>30.08</v>
      </c>
      <c r="E1142">
        <v>0.254</v>
      </c>
      <c r="F1142">
        <v>132.5</v>
      </c>
      <c r="G1142" t="b">
        <v>1</v>
      </c>
      <c r="H1142" t="b">
        <v>1</v>
      </c>
      <c r="I1142">
        <v>3354</v>
      </c>
      <c r="J1142">
        <v>16.009546539379471</v>
      </c>
    </row>
    <row r="1143" spans="1:10" x14ac:dyDescent="0.3">
      <c r="A1143" t="s">
        <v>1721</v>
      </c>
      <c r="B1143" t="s">
        <v>2220</v>
      </c>
      <c r="C1143" t="s">
        <v>2673</v>
      </c>
      <c r="D1143">
        <v>14.2</v>
      </c>
      <c r="E1143">
        <v>0.18</v>
      </c>
      <c r="F1143">
        <v>54.5</v>
      </c>
      <c r="G1143" t="b">
        <v>1</v>
      </c>
      <c r="H1143" t="b">
        <v>1</v>
      </c>
      <c r="I1143">
        <v>321</v>
      </c>
      <c r="J1143">
        <v>1.532219570405728</v>
      </c>
    </row>
    <row r="1144" spans="1:10" x14ac:dyDescent="0.3">
      <c r="A1144" t="s">
        <v>1722</v>
      </c>
      <c r="B1144" t="s">
        <v>2557</v>
      </c>
      <c r="C1144" t="s">
        <v>2198</v>
      </c>
      <c r="D1144">
        <v>256.98</v>
      </c>
      <c r="E1144">
        <v>0.40400000000000003</v>
      </c>
      <c r="F1144">
        <v>393.8</v>
      </c>
      <c r="G1144" t="b">
        <v>1</v>
      </c>
      <c r="H1144" t="b">
        <v>1</v>
      </c>
      <c r="I1144">
        <v>58221</v>
      </c>
      <c r="J1144">
        <v>277.90453460620517</v>
      </c>
    </row>
    <row r="1145" spans="1:10" x14ac:dyDescent="0.3">
      <c r="A1145" t="s">
        <v>1723</v>
      </c>
      <c r="B1145" t="s">
        <v>2546</v>
      </c>
      <c r="C1145" t="s">
        <v>1969</v>
      </c>
      <c r="D1145">
        <v>105.82</v>
      </c>
      <c r="E1145">
        <v>0.436</v>
      </c>
      <c r="F1145">
        <v>160.30000000000001</v>
      </c>
      <c r="G1145" t="b">
        <v>1</v>
      </c>
      <c r="H1145" t="b">
        <v>1</v>
      </c>
      <c r="I1145">
        <v>5533</v>
      </c>
      <c r="J1145">
        <v>26.410501193317419</v>
      </c>
    </row>
    <row r="1146" spans="1:10" x14ac:dyDescent="0.3">
      <c r="A1146" t="s">
        <v>1724</v>
      </c>
      <c r="B1146" t="s">
        <v>2365</v>
      </c>
      <c r="C1146" t="s">
        <v>2121</v>
      </c>
      <c r="D1146">
        <v>40.17</v>
      </c>
      <c r="E1146">
        <v>0.41099999999999998</v>
      </c>
      <c r="F1146">
        <v>312.7</v>
      </c>
      <c r="G1146" t="b">
        <v>1</v>
      </c>
      <c r="H1146" t="b">
        <v>1</v>
      </c>
      <c r="I1146">
        <v>31872</v>
      </c>
      <c r="J1146">
        <v>152.1336515513126</v>
      </c>
    </row>
    <row r="1147" spans="1:10" x14ac:dyDescent="0.3">
      <c r="A1147" t="s">
        <v>1725</v>
      </c>
      <c r="B1147" t="s">
        <v>2562</v>
      </c>
      <c r="C1147" t="s">
        <v>2309</v>
      </c>
      <c r="D1147">
        <v>47.41</v>
      </c>
      <c r="E1147">
        <v>0.217</v>
      </c>
      <c r="F1147">
        <v>82.5</v>
      </c>
      <c r="G1147" t="b">
        <v>1</v>
      </c>
      <c r="H1147" t="b">
        <v>1</v>
      </c>
      <c r="I1147">
        <v>962</v>
      </c>
      <c r="J1147">
        <v>4.5918854415274453</v>
      </c>
    </row>
    <row r="1148" spans="1:10" x14ac:dyDescent="0.3">
      <c r="A1148" t="s">
        <v>1726</v>
      </c>
      <c r="B1148" t="s">
        <v>2563</v>
      </c>
      <c r="C1148" t="s">
        <v>2562</v>
      </c>
      <c r="D1148">
        <v>93.83</v>
      </c>
      <c r="E1148">
        <v>0.217</v>
      </c>
      <c r="F1148">
        <v>82.5</v>
      </c>
      <c r="G1148" t="b">
        <v>1</v>
      </c>
      <c r="H1148" t="b">
        <v>1</v>
      </c>
      <c r="I1148">
        <v>962</v>
      </c>
      <c r="J1148">
        <v>4.5918854415274453</v>
      </c>
    </row>
    <row r="1149" spans="1:10" x14ac:dyDescent="0.3">
      <c r="A1149" t="s">
        <v>1727</v>
      </c>
      <c r="B1149" t="s">
        <v>2553</v>
      </c>
      <c r="C1149" t="s">
        <v>2358</v>
      </c>
      <c r="D1149">
        <v>25.59</v>
      </c>
      <c r="E1149">
        <v>0.36399999999999999</v>
      </c>
      <c r="F1149">
        <v>132.5</v>
      </c>
      <c r="G1149" t="b">
        <v>1</v>
      </c>
      <c r="H1149" t="b">
        <v>1</v>
      </c>
      <c r="I1149">
        <v>3354</v>
      </c>
      <c r="J1149">
        <v>16.009546539379471</v>
      </c>
    </row>
    <row r="1150" spans="1:10" x14ac:dyDescent="0.3">
      <c r="A1150" t="s">
        <v>1728</v>
      </c>
      <c r="B1150" t="s">
        <v>2564</v>
      </c>
      <c r="C1150" t="s">
        <v>2460</v>
      </c>
      <c r="D1150">
        <v>30.33</v>
      </c>
      <c r="E1150">
        <v>0.217</v>
      </c>
      <c r="F1150">
        <v>82.5</v>
      </c>
      <c r="G1150" t="b">
        <v>1</v>
      </c>
      <c r="H1150" t="b">
        <v>1</v>
      </c>
      <c r="I1150">
        <v>962</v>
      </c>
      <c r="J1150">
        <v>4.5918854415274453</v>
      </c>
    </row>
    <row r="1151" spans="1:10" x14ac:dyDescent="0.3">
      <c r="A1151" t="s">
        <v>1729</v>
      </c>
      <c r="B1151" t="s">
        <v>2565</v>
      </c>
      <c r="C1151" t="s">
        <v>2365</v>
      </c>
      <c r="D1151">
        <v>321.92</v>
      </c>
      <c r="E1151">
        <v>0.29299999999999998</v>
      </c>
      <c r="F1151">
        <v>210.1</v>
      </c>
      <c r="G1151" t="b">
        <v>1</v>
      </c>
      <c r="H1151" t="b">
        <v>1</v>
      </c>
      <c r="I1151">
        <v>11253</v>
      </c>
      <c r="J1151">
        <v>53.713603818615738</v>
      </c>
    </row>
    <row r="1152" spans="1:10" x14ac:dyDescent="0.3">
      <c r="A1152" t="s">
        <v>1730</v>
      </c>
      <c r="B1152" t="s">
        <v>1974</v>
      </c>
      <c r="C1152" t="s">
        <v>2479</v>
      </c>
      <c r="D1152">
        <v>158.15</v>
      </c>
      <c r="E1152">
        <v>0.217</v>
      </c>
      <c r="F1152">
        <v>82.5</v>
      </c>
      <c r="G1152" t="b">
        <v>1</v>
      </c>
      <c r="H1152" t="b">
        <v>1</v>
      </c>
      <c r="I1152">
        <v>962</v>
      </c>
      <c r="J1152">
        <v>4.5918854415274453</v>
      </c>
    </row>
    <row r="1153" spans="1:10" x14ac:dyDescent="0.3">
      <c r="A1153" t="s">
        <v>1731</v>
      </c>
      <c r="B1153" t="s">
        <v>2566</v>
      </c>
      <c r="C1153" t="s">
        <v>440</v>
      </c>
      <c r="D1153">
        <v>65.78</v>
      </c>
      <c r="E1153">
        <v>0.9</v>
      </c>
      <c r="F1153">
        <v>263</v>
      </c>
      <c r="G1153" t="b">
        <v>1</v>
      </c>
      <c r="H1153" t="b">
        <v>1</v>
      </c>
      <c r="I1153">
        <v>20264</v>
      </c>
      <c r="J1153">
        <v>96.725536992840077</v>
      </c>
    </row>
    <row r="1154" spans="1:10" x14ac:dyDescent="0.3">
      <c r="A1154" t="s">
        <v>1732</v>
      </c>
      <c r="B1154" t="s">
        <v>2433</v>
      </c>
      <c r="C1154" t="s">
        <v>2416</v>
      </c>
      <c r="D1154">
        <v>76.569999999999993</v>
      </c>
      <c r="E1154">
        <v>0.28199999999999997</v>
      </c>
      <c r="F1154">
        <v>160.30000000000001</v>
      </c>
      <c r="G1154" t="b">
        <v>1</v>
      </c>
      <c r="H1154" t="b">
        <v>1</v>
      </c>
      <c r="I1154">
        <v>5533</v>
      </c>
      <c r="J1154">
        <v>26.410501193317419</v>
      </c>
    </row>
    <row r="1155" spans="1:10" x14ac:dyDescent="0.3">
      <c r="A1155" t="s">
        <v>1733</v>
      </c>
      <c r="B1155" t="s">
        <v>2464</v>
      </c>
      <c r="C1155" t="s">
        <v>2548</v>
      </c>
      <c r="D1155">
        <v>144.27000000000001</v>
      </c>
      <c r="E1155">
        <v>0.28199999999999997</v>
      </c>
      <c r="F1155">
        <v>160.30000000000001</v>
      </c>
      <c r="G1155" t="b">
        <v>1</v>
      </c>
      <c r="H1155" t="b">
        <v>1</v>
      </c>
      <c r="I1155">
        <v>5533</v>
      </c>
      <c r="J1155">
        <v>26.410501193317419</v>
      </c>
    </row>
    <row r="1156" spans="1:10" x14ac:dyDescent="0.3">
      <c r="A1156" t="s">
        <v>1734</v>
      </c>
      <c r="B1156" t="s">
        <v>2567</v>
      </c>
      <c r="C1156" t="s">
        <v>2566</v>
      </c>
      <c r="D1156">
        <v>44.61</v>
      </c>
      <c r="E1156">
        <v>0.35499999999999998</v>
      </c>
      <c r="F1156">
        <v>263</v>
      </c>
      <c r="G1156" t="b">
        <v>1</v>
      </c>
      <c r="H1156" t="b">
        <v>1</v>
      </c>
      <c r="I1156">
        <v>20264</v>
      </c>
      <c r="J1156">
        <v>96.725536992840077</v>
      </c>
    </row>
    <row r="1157" spans="1:10" x14ac:dyDescent="0.3">
      <c r="A1157" t="s">
        <v>1735</v>
      </c>
      <c r="B1157" t="s">
        <v>2568</v>
      </c>
      <c r="C1157" t="s">
        <v>2567</v>
      </c>
      <c r="D1157">
        <v>54.6</v>
      </c>
      <c r="E1157">
        <v>0.35499999999999998</v>
      </c>
      <c r="F1157">
        <v>263</v>
      </c>
      <c r="G1157" t="b">
        <v>1</v>
      </c>
      <c r="H1157" t="b">
        <v>1</v>
      </c>
      <c r="I1157">
        <v>20264</v>
      </c>
      <c r="J1157">
        <v>96.725536992840077</v>
      </c>
    </row>
    <row r="1158" spans="1:10" x14ac:dyDescent="0.3">
      <c r="A1158" t="s">
        <v>1736</v>
      </c>
      <c r="B1158" t="s">
        <v>2569</v>
      </c>
      <c r="C1158" t="s">
        <v>439</v>
      </c>
      <c r="D1158">
        <v>45.04</v>
      </c>
      <c r="E1158">
        <v>0.18</v>
      </c>
      <c r="F1158">
        <v>54.5</v>
      </c>
      <c r="G1158" t="b">
        <v>1</v>
      </c>
      <c r="H1158" t="b">
        <v>1</v>
      </c>
      <c r="I1158">
        <v>321</v>
      </c>
      <c r="J1158">
        <v>1.532219570405728</v>
      </c>
    </row>
    <row r="1159" spans="1:10" x14ac:dyDescent="0.3">
      <c r="A1159" t="s">
        <v>1737</v>
      </c>
      <c r="B1159" t="s">
        <v>2561</v>
      </c>
      <c r="C1159" t="s">
        <v>438</v>
      </c>
      <c r="D1159">
        <v>32.659999999999997</v>
      </c>
      <c r="E1159">
        <v>0.16600000000000001</v>
      </c>
      <c r="F1159">
        <v>43.1</v>
      </c>
      <c r="G1159" t="b">
        <v>1</v>
      </c>
      <c r="H1159" t="b">
        <v>1</v>
      </c>
      <c r="I1159">
        <v>172</v>
      </c>
      <c r="J1159">
        <v>0.82100238663484471</v>
      </c>
    </row>
    <row r="1160" spans="1:10" x14ac:dyDescent="0.3">
      <c r="A1160" t="s">
        <v>1738</v>
      </c>
      <c r="B1160" t="s">
        <v>2285</v>
      </c>
      <c r="C1160" t="s">
        <v>388</v>
      </c>
      <c r="D1160">
        <v>225.09</v>
      </c>
      <c r="E1160">
        <v>0.20499999999999999</v>
      </c>
      <c r="F1160">
        <v>70.3</v>
      </c>
      <c r="G1160" t="b">
        <v>1</v>
      </c>
      <c r="H1160" t="b">
        <v>1</v>
      </c>
      <c r="I1160">
        <v>630</v>
      </c>
      <c r="J1160">
        <v>3.007159904534606</v>
      </c>
    </row>
    <row r="1161" spans="1:10" x14ac:dyDescent="0.3">
      <c r="A1161" t="s">
        <v>1739</v>
      </c>
      <c r="B1161" t="s">
        <v>2560</v>
      </c>
      <c r="C1161" t="s">
        <v>436</v>
      </c>
      <c r="D1161">
        <v>46.88</v>
      </c>
      <c r="E1161">
        <v>0.18</v>
      </c>
      <c r="F1161">
        <v>54.5</v>
      </c>
      <c r="G1161" t="b">
        <v>1</v>
      </c>
      <c r="H1161" t="b">
        <v>1</v>
      </c>
      <c r="I1161">
        <v>321</v>
      </c>
      <c r="J1161">
        <v>1.532219570405728</v>
      </c>
    </row>
    <row r="1162" spans="1:10" x14ac:dyDescent="0.3">
      <c r="A1162" t="s">
        <v>1740</v>
      </c>
      <c r="B1162" t="s">
        <v>2567</v>
      </c>
      <c r="C1162" t="s">
        <v>437</v>
      </c>
      <c r="D1162">
        <v>9.5500000000000007</v>
      </c>
      <c r="E1162">
        <v>0.16600000000000001</v>
      </c>
      <c r="F1162">
        <v>43.1</v>
      </c>
      <c r="G1162" t="b">
        <v>1</v>
      </c>
      <c r="H1162" t="b">
        <v>1</v>
      </c>
      <c r="I1162">
        <v>172</v>
      </c>
      <c r="J1162">
        <v>0.82100238663484471</v>
      </c>
    </row>
    <row r="1163" spans="1:10" x14ac:dyDescent="0.3">
      <c r="A1163" t="s">
        <v>1741</v>
      </c>
      <c r="B1163" t="s">
        <v>440</v>
      </c>
      <c r="C1163" t="s">
        <v>2288</v>
      </c>
      <c r="D1163">
        <v>30.12</v>
      </c>
      <c r="E1163">
        <v>0.35499999999999998</v>
      </c>
      <c r="F1163">
        <v>263</v>
      </c>
      <c r="G1163" t="b">
        <v>1</v>
      </c>
      <c r="H1163" t="b">
        <v>1</v>
      </c>
      <c r="I1163">
        <v>20264</v>
      </c>
      <c r="J1163">
        <v>96.725536992840077</v>
      </c>
    </row>
    <row r="1164" spans="1:10" x14ac:dyDescent="0.3">
      <c r="A1164" t="s">
        <v>1742</v>
      </c>
      <c r="B1164" t="s">
        <v>2569</v>
      </c>
      <c r="C1164" t="s">
        <v>2168</v>
      </c>
      <c r="D1164">
        <v>268.70999999999998</v>
      </c>
      <c r="E1164">
        <v>0.254</v>
      </c>
      <c r="F1164">
        <v>132.5</v>
      </c>
      <c r="G1164" t="b">
        <v>1</v>
      </c>
      <c r="H1164" t="b">
        <v>1</v>
      </c>
      <c r="I1164">
        <v>3354</v>
      </c>
      <c r="J1164">
        <v>16.009546539379471</v>
      </c>
    </row>
    <row r="1165" spans="1:10" x14ac:dyDescent="0.3">
      <c r="A1165" t="s">
        <v>1743</v>
      </c>
      <c r="B1165" t="s">
        <v>2551</v>
      </c>
      <c r="C1165" t="s">
        <v>2069</v>
      </c>
      <c r="D1165">
        <v>112.51</v>
      </c>
      <c r="E1165">
        <v>0.217</v>
      </c>
      <c r="F1165">
        <v>82.5</v>
      </c>
      <c r="G1165" t="b">
        <v>1</v>
      </c>
      <c r="H1165" t="b">
        <v>1</v>
      </c>
      <c r="I1165">
        <v>962</v>
      </c>
      <c r="J1165">
        <v>4.5918854415274453</v>
      </c>
    </row>
    <row r="1166" spans="1:10" x14ac:dyDescent="0.3">
      <c r="A1166" t="s">
        <v>1744</v>
      </c>
      <c r="B1166" t="s">
        <v>2554</v>
      </c>
      <c r="C1166" t="s">
        <v>1968</v>
      </c>
      <c r="D1166">
        <v>292.58</v>
      </c>
      <c r="E1166">
        <v>0.217</v>
      </c>
      <c r="F1166">
        <v>82.5</v>
      </c>
      <c r="G1166" t="b">
        <v>1</v>
      </c>
      <c r="H1166" t="b">
        <v>1</v>
      </c>
      <c r="I1166">
        <v>962</v>
      </c>
      <c r="J1166">
        <v>4.5918854415274453</v>
      </c>
    </row>
    <row r="1167" spans="1:10" x14ac:dyDescent="0.3">
      <c r="A1167" t="s">
        <v>1745</v>
      </c>
      <c r="B1167" t="s">
        <v>2349</v>
      </c>
      <c r="C1167" t="s">
        <v>2356</v>
      </c>
      <c r="D1167">
        <v>241.39</v>
      </c>
      <c r="E1167">
        <v>0.36399999999999999</v>
      </c>
      <c r="F1167">
        <v>132.5</v>
      </c>
      <c r="G1167" t="b">
        <v>1</v>
      </c>
      <c r="H1167" t="b">
        <v>1</v>
      </c>
      <c r="I1167">
        <v>3354</v>
      </c>
      <c r="J1167">
        <v>16.009546539379471</v>
      </c>
    </row>
    <row r="1168" spans="1:10" x14ac:dyDescent="0.3">
      <c r="A1168" t="s">
        <v>1746</v>
      </c>
      <c r="B1168" t="s">
        <v>2570</v>
      </c>
      <c r="C1168" t="s">
        <v>2571</v>
      </c>
      <c r="D1168">
        <v>0.65</v>
      </c>
      <c r="E1168">
        <v>0.254</v>
      </c>
      <c r="F1168">
        <v>132.5</v>
      </c>
      <c r="G1168" t="b">
        <v>1</v>
      </c>
      <c r="H1168" t="b">
        <v>1</v>
      </c>
      <c r="I1168">
        <v>3354</v>
      </c>
      <c r="J1168">
        <v>16.009546539379471</v>
      </c>
    </row>
    <row r="1169" spans="1:10" x14ac:dyDescent="0.3">
      <c r="A1169" t="s">
        <v>1747</v>
      </c>
      <c r="B1169" t="s">
        <v>2571</v>
      </c>
      <c r="C1169" t="s">
        <v>2572</v>
      </c>
      <c r="D1169">
        <v>4.55</v>
      </c>
      <c r="E1169">
        <v>0.217</v>
      </c>
      <c r="F1169">
        <v>82.5</v>
      </c>
      <c r="G1169" t="b">
        <v>1</v>
      </c>
      <c r="H1169" t="b">
        <v>1</v>
      </c>
      <c r="I1169">
        <v>962</v>
      </c>
      <c r="J1169">
        <v>4.5918854415274453</v>
      </c>
    </row>
    <row r="1170" spans="1:10" x14ac:dyDescent="0.3">
      <c r="A1170" t="s">
        <v>1748</v>
      </c>
      <c r="B1170" t="s">
        <v>2572</v>
      </c>
      <c r="C1170" t="s">
        <v>2348</v>
      </c>
      <c r="D1170">
        <v>5.36</v>
      </c>
      <c r="E1170">
        <v>0.25900000000000001</v>
      </c>
      <c r="F1170">
        <v>82.5</v>
      </c>
      <c r="G1170" t="b">
        <v>1</v>
      </c>
      <c r="H1170" t="b">
        <v>1</v>
      </c>
      <c r="I1170">
        <v>962</v>
      </c>
      <c r="J1170">
        <v>4.5918854415274453</v>
      </c>
    </row>
    <row r="1171" spans="1:10" x14ac:dyDescent="0.3">
      <c r="A1171" t="s">
        <v>1749</v>
      </c>
      <c r="B1171" t="s">
        <v>66</v>
      </c>
      <c r="C1171" t="s">
        <v>2172</v>
      </c>
      <c r="D1171">
        <v>22.79</v>
      </c>
      <c r="E1171">
        <v>0.35499999999999998</v>
      </c>
      <c r="F1171">
        <v>263</v>
      </c>
      <c r="G1171" t="b">
        <v>1</v>
      </c>
      <c r="H1171" t="b">
        <v>1</v>
      </c>
      <c r="I1171">
        <v>20264</v>
      </c>
      <c r="J1171">
        <v>96.725536992840077</v>
      </c>
    </row>
    <row r="1172" spans="1:10" x14ac:dyDescent="0.3">
      <c r="A1172" t="s">
        <v>1750</v>
      </c>
      <c r="B1172" t="s">
        <v>2573</v>
      </c>
      <c r="C1172" t="s">
        <v>2674</v>
      </c>
      <c r="D1172">
        <v>236.94</v>
      </c>
      <c r="E1172">
        <v>0.20499999999999999</v>
      </c>
      <c r="F1172">
        <v>70.3</v>
      </c>
      <c r="G1172" t="b">
        <v>1</v>
      </c>
      <c r="H1172" t="b">
        <v>1</v>
      </c>
      <c r="I1172">
        <v>630</v>
      </c>
      <c r="J1172">
        <v>3.007159904534606</v>
      </c>
    </row>
    <row r="1173" spans="1:10" x14ac:dyDescent="0.3">
      <c r="A1173" t="s">
        <v>1751</v>
      </c>
      <c r="B1173" t="s">
        <v>2574</v>
      </c>
      <c r="C1173" t="s">
        <v>2641</v>
      </c>
      <c r="D1173">
        <v>2.46</v>
      </c>
      <c r="E1173">
        <v>0.16600000000000001</v>
      </c>
      <c r="F1173">
        <v>43.1</v>
      </c>
      <c r="G1173" t="b">
        <v>1</v>
      </c>
      <c r="H1173" t="b">
        <v>1</v>
      </c>
      <c r="I1173">
        <v>172</v>
      </c>
      <c r="J1173">
        <v>0.82100238663484471</v>
      </c>
    </row>
    <row r="1174" spans="1:10" x14ac:dyDescent="0.3">
      <c r="A1174" t="s">
        <v>1752</v>
      </c>
      <c r="B1174" t="s">
        <v>2574</v>
      </c>
      <c r="C1174" t="s">
        <v>2576</v>
      </c>
      <c r="D1174">
        <v>2.38</v>
      </c>
      <c r="E1174">
        <v>0.217</v>
      </c>
      <c r="F1174">
        <v>82.5</v>
      </c>
      <c r="G1174" t="b">
        <v>1</v>
      </c>
      <c r="H1174" t="b">
        <v>1</v>
      </c>
      <c r="I1174">
        <v>962</v>
      </c>
      <c r="J1174">
        <v>4.5918854415274453</v>
      </c>
    </row>
    <row r="1175" spans="1:10" x14ac:dyDescent="0.3">
      <c r="A1175" t="s">
        <v>1753</v>
      </c>
      <c r="B1175" t="s">
        <v>2575</v>
      </c>
      <c r="C1175" t="s">
        <v>2574</v>
      </c>
      <c r="D1175">
        <v>2.23</v>
      </c>
      <c r="E1175">
        <v>0.217</v>
      </c>
      <c r="F1175">
        <v>82.5</v>
      </c>
      <c r="G1175" t="b">
        <v>1</v>
      </c>
      <c r="H1175" t="b">
        <v>1</v>
      </c>
      <c r="I1175">
        <v>962</v>
      </c>
      <c r="J1175">
        <v>4.5918854415274453</v>
      </c>
    </row>
    <row r="1176" spans="1:10" x14ac:dyDescent="0.3">
      <c r="A1176" t="s">
        <v>1754</v>
      </c>
      <c r="B1176" t="s">
        <v>2576</v>
      </c>
      <c r="C1176" t="s">
        <v>2352</v>
      </c>
      <c r="D1176">
        <v>31.19</v>
      </c>
      <c r="E1176">
        <v>0.25900000000000001</v>
      </c>
      <c r="F1176">
        <v>82.5</v>
      </c>
      <c r="G1176" t="b">
        <v>1</v>
      </c>
      <c r="H1176" t="b">
        <v>1</v>
      </c>
      <c r="I1176">
        <v>962</v>
      </c>
      <c r="J1176">
        <v>4.5918854415274453</v>
      </c>
    </row>
    <row r="1177" spans="1:10" x14ac:dyDescent="0.3">
      <c r="A1177" t="s">
        <v>1755</v>
      </c>
      <c r="B1177" t="s">
        <v>2577</v>
      </c>
      <c r="C1177" t="s">
        <v>2675</v>
      </c>
      <c r="D1177">
        <v>16.79</v>
      </c>
      <c r="E1177">
        <v>0.16600000000000001</v>
      </c>
      <c r="F1177">
        <v>43.1</v>
      </c>
      <c r="G1177" t="b">
        <v>1</v>
      </c>
      <c r="H1177" t="b">
        <v>1</v>
      </c>
      <c r="I1177">
        <v>172</v>
      </c>
      <c r="J1177">
        <v>0.82100238663484471</v>
      </c>
    </row>
    <row r="1178" spans="1:10" x14ac:dyDescent="0.3">
      <c r="A1178" t="s">
        <v>1756</v>
      </c>
      <c r="B1178" t="s">
        <v>2577</v>
      </c>
      <c r="C1178" t="s">
        <v>2578</v>
      </c>
      <c r="D1178">
        <v>0.41</v>
      </c>
      <c r="E1178">
        <v>0.20499999999999999</v>
      </c>
      <c r="F1178">
        <v>70.3</v>
      </c>
      <c r="G1178" t="b">
        <v>1</v>
      </c>
      <c r="H1178" t="b">
        <v>1</v>
      </c>
      <c r="I1178">
        <v>630</v>
      </c>
      <c r="J1178">
        <v>3.007159904534606</v>
      </c>
    </row>
    <row r="1179" spans="1:10" x14ac:dyDescent="0.3">
      <c r="A1179" t="s">
        <v>1757</v>
      </c>
      <c r="B1179" t="s">
        <v>2578</v>
      </c>
      <c r="C1179" t="s">
        <v>2639</v>
      </c>
      <c r="D1179">
        <v>11.5</v>
      </c>
      <c r="E1179">
        <v>0.18</v>
      </c>
      <c r="F1179">
        <v>54.5</v>
      </c>
      <c r="G1179" t="b">
        <v>1</v>
      </c>
      <c r="H1179" t="b">
        <v>1</v>
      </c>
      <c r="I1179">
        <v>321</v>
      </c>
      <c r="J1179">
        <v>1.532219570405728</v>
      </c>
    </row>
    <row r="1180" spans="1:10" x14ac:dyDescent="0.3">
      <c r="A1180" t="s">
        <v>1758</v>
      </c>
      <c r="B1180" t="s">
        <v>2579</v>
      </c>
      <c r="C1180" t="s">
        <v>2577</v>
      </c>
      <c r="D1180">
        <v>1.8</v>
      </c>
      <c r="E1180">
        <v>0.20499999999999999</v>
      </c>
      <c r="F1180">
        <v>70.3</v>
      </c>
      <c r="G1180" t="b">
        <v>1</v>
      </c>
      <c r="H1180" t="b">
        <v>1</v>
      </c>
      <c r="I1180">
        <v>630</v>
      </c>
      <c r="J1180">
        <v>3.007159904534606</v>
      </c>
    </row>
    <row r="1181" spans="1:10" x14ac:dyDescent="0.3">
      <c r="A1181" t="s">
        <v>1759</v>
      </c>
      <c r="B1181" t="s">
        <v>2580</v>
      </c>
      <c r="C1181" t="s">
        <v>2618</v>
      </c>
      <c r="D1181">
        <v>21.95</v>
      </c>
      <c r="E1181">
        <v>0.18</v>
      </c>
      <c r="F1181">
        <v>54.5</v>
      </c>
      <c r="G1181" t="b">
        <v>1</v>
      </c>
      <c r="H1181" t="b">
        <v>1</v>
      </c>
      <c r="I1181">
        <v>321</v>
      </c>
      <c r="J1181">
        <v>1.532219570405728</v>
      </c>
    </row>
    <row r="1182" spans="1:10" x14ac:dyDescent="0.3">
      <c r="A1182" t="s">
        <v>1760</v>
      </c>
      <c r="B1182" t="s">
        <v>2581</v>
      </c>
      <c r="C1182" t="s">
        <v>47</v>
      </c>
      <c r="D1182">
        <v>68.73</v>
      </c>
      <c r="E1182">
        <v>0.18</v>
      </c>
      <c r="F1182">
        <v>54.5</v>
      </c>
      <c r="G1182" t="b">
        <v>1</v>
      </c>
      <c r="H1182" t="b">
        <v>1</v>
      </c>
      <c r="I1182">
        <v>321</v>
      </c>
      <c r="J1182">
        <v>1.532219570405728</v>
      </c>
    </row>
    <row r="1183" spans="1:10" x14ac:dyDescent="0.3">
      <c r="A1183" t="s">
        <v>1761</v>
      </c>
      <c r="B1183" t="s">
        <v>60</v>
      </c>
      <c r="C1183" t="s">
        <v>2564</v>
      </c>
      <c r="D1183">
        <v>10.08</v>
      </c>
      <c r="E1183">
        <v>0.13400000000000001</v>
      </c>
      <c r="F1183">
        <v>28.5</v>
      </c>
      <c r="G1183" t="b">
        <v>1</v>
      </c>
      <c r="H1183" t="b">
        <v>1</v>
      </c>
      <c r="I1183">
        <v>60</v>
      </c>
      <c r="J1183">
        <v>0.28639618138424822</v>
      </c>
    </row>
    <row r="1184" spans="1:10" x14ac:dyDescent="0.3">
      <c r="A1184" t="s">
        <v>1762</v>
      </c>
      <c r="B1184" t="s">
        <v>2582</v>
      </c>
      <c r="C1184" t="s">
        <v>2614</v>
      </c>
      <c r="D1184">
        <v>49.54</v>
      </c>
      <c r="E1184">
        <v>0.18</v>
      </c>
      <c r="F1184">
        <v>54.5</v>
      </c>
      <c r="G1184" t="b">
        <v>1</v>
      </c>
      <c r="H1184" t="b">
        <v>1</v>
      </c>
      <c r="I1184">
        <v>321</v>
      </c>
      <c r="J1184">
        <v>1.532219570405728</v>
      </c>
    </row>
    <row r="1185" spans="1:10" x14ac:dyDescent="0.3">
      <c r="A1185" t="s">
        <v>1763</v>
      </c>
      <c r="B1185" t="s">
        <v>2583</v>
      </c>
      <c r="C1185" t="s">
        <v>177</v>
      </c>
      <c r="D1185">
        <v>32.79</v>
      </c>
      <c r="E1185">
        <v>0.191</v>
      </c>
      <c r="F1185">
        <v>43.1</v>
      </c>
      <c r="G1185" t="b">
        <v>1</v>
      </c>
      <c r="H1185" t="b">
        <v>1</v>
      </c>
      <c r="I1185">
        <v>172</v>
      </c>
      <c r="J1185">
        <v>0.82100238663484471</v>
      </c>
    </row>
    <row r="1186" spans="1:10" x14ac:dyDescent="0.3">
      <c r="A1186" t="s">
        <v>1764</v>
      </c>
      <c r="B1186" t="s">
        <v>2584</v>
      </c>
      <c r="C1186" t="s">
        <v>46</v>
      </c>
      <c r="D1186">
        <v>32.67</v>
      </c>
      <c r="E1186">
        <v>0.16600000000000001</v>
      </c>
      <c r="F1186">
        <v>43.1</v>
      </c>
      <c r="G1186" t="b">
        <v>1</v>
      </c>
      <c r="H1186" t="b">
        <v>1</v>
      </c>
      <c r="I1186">
        <v>172</v>
      </c>
      <c r="J1186">
        <v>0.82100238663484471</v>
      </c>
    </row>
    <row r="1187" spans="1:10" x14ac:dyDescent="0.3">
      <c r="A1187" t="s">
        <v>1765</v>
      </c>
      <c r="B1187" t="s">
        <v>2585</v>
      </c>
      <c r="C1187" t="s">
        <v>57</v>
      </c>
      <c r="D1187">
        <v>42.84</v>
      </c>
      <c r="E1187">
        <v>0.18</v>
      </c>
      <c r="F1187">
        <v>54.5</v>
      </c>
      <c r="G1187" t="b">
        <v>1</v>
      </c>
      <c r="H1187" t="b">
        <v>1</v>
      </c>
      <c r="I1187">
        <v>321</v>
      </c>
      <c r="J1187">
        <v>1.532219570405728</v>
      </c>
    </row>
    <row r="1188" spans="1:10" x14ac:dyDescent="0.3">
      <c r="A1188" t="s">
        <v>1766</v>
      </c>
      <c r="B1188" t="s">
        <v>2586</v>
      </c>
      <c r="C1188" t="s">
        <v>2583</v>
      </c>
      <c r="D1188">
        <v>12.34</v>
      </c>
      <c r="E1188">
        <v>0.18</v>
      </c>
      <c r="F1188">
        <v>54.5</v>
      </c>
      <c r="G1188" t="b">
        <v>1</v>
      </c>
      <c r="H1188" t="b">
        <v>1</v>
      </c>
      <c r="I1188">
        <v>321</v>
      </c>
      <c r="J1188">
        <v>1.532219570405728</v>
      </c>
    </row>
    <row r="1189" spans="1:10" x14ac:dyDescent="0.3">
      <c r="A1189" t="s">
        <v>1767</v>
      </c>
      <c r="B1189" t="s">
        <v>2587</v>
      </c>
      <c r="C1189" t="s">
        <v>56</v>
      </c>
      <c r="D1189">
        <v>69.56</v>
      </c>
      <c r="E1189">
        <v>0.18</v>
      </c>
      <c r="F1189">
        <v>54.5</v>
      </c>
      <c r="G1189" t="b">
        <v>1</v>
      </c>
      <c r="H1189" t="b">
        <v>1</v>
      </c>
      <c r="I1189">
        <v>321</v>
      </c>
      <c r="J1189">
        <v>1.532219570405728</v>
      </c>
    </row>
    <row r="1190" spans="1:10" x14ac:dyDescent="0.3">
      <c r="A1190" t="s">
        <v>1768</v>
      </c>
      <c r="B1190" t="s">
        <v>2587</v>
      </c>
      <c r="C1190" t="s">
        <v>2585</v>
      </c>
      <c r="D1190">
        <v>92.18</v>
      </c>
      <c r="E1190">
        <v>0.40400000000000003</v>
      </c>
      <c r="F1190">
        <v>393.8</v>
      </c>
      <c r="G1190" t="b">
        <v>1</v>
      </c>
      <c r="H1190" t="b">
        <v>1</v>
      </c>
      <c r="I1190">
        <v>58221</v>
      </c>
      <c r="J1190">
        <v>277.90453460620517</v>
      </c>
    </row>
    <row r="1191" spans="1:10" x14ac:dyDescent="0.3">
      <c r="A1191" t="s">
        <v>1769</v>
      </c>
      <c r="B1191" t="s">
        <v>2588</v>
      </c>
      <c r="C1191" t="s">
        <v>2600</v>
      </c>
      <c r="D1191">
        <v>20.16</v>
      </c>
      <c r="E1191">
        <v>0.20499999999999999</v>
      </c>
      <c r="F1191">
        <v>70.3</v>
      </c>
      <c r="G1191" t="b">
        <v>1</v>
      </c>
      <c r="H1191" t="b">
        <v>1</v>
      </c>
      <c r="I1191">
        <v>630</v>
      </c>
      <c r="J1191">
        <v>3.007159904534606</v>
      </c>
    </row>
    <row r="1192" spans="1:10" x14ac:dyDescent="0.3">
      <c r="A1192" t="s">
        <v>1770</v>
      </c>
      <c r="B1192" t="s">
        <v>2589</v>
      </c>
      <c r="C1192" t="s">
        <v>2588</v>
      </c>
      <c r="D1192">
        <v>1.64</v>
      </c>
      <c r="E1192">
        <v>0.20499999999999999</v>
      </c>
      <c r="F1192">
        <v>70.3</v>
      </c>
      <c r="G1192" t="b">
        <v>1</v>
      </c>
      <c r="H1192" t="b">
        <v>1</v>
      </c>
      <c r="I1192">
        <v>630</v>
      </c>
      <c r="J1192">
        <v>3.007159904534606</v>
      </c>
    </row>
    <row r="1193" spans="1:10" x14ac:dyDescent="0.3">
      <c r="A1193" t="s">
        <v>1771</v>
      </c>
      <c r="B1193" t="s">
        <v>2590</v>
      </c>
      <c r="C1193" t="s">
        <v>2615</v>
      </c>
      <c r="D1193">
        <v>7.02</v>
      </c>
      <c r="E1193">
        <v>0.22500000000000001</v>
      </c>
      <c r="F1193">
        <v>107.1</v>
      </c>
      <c r="G1193" t="b">
        <v>1</v>
      </c>
      <c r="H1193" t="b">
        <v>1</v>
      </c>
      <c r="I1193">
        <v>1915</v>
      </c>
      <c r="J1193">
        <v>9.1408114558472544</v>
      </c>
    </row>
    <row r="1194" spans="1:10" x14ac:dyDescent="0.3">
      <c r="A1194" t="s">
        <v>1772</v>
      </c>
      <c r="B1194" t="s">
        <v>2591</v>
      </c>
      <c r="C1194" t="s">
        <v>2676</v>
      </c>
      <c r="D1194">
        <v>2.61</v>
      </c>
      <c r="E1194">
        <v>0.22500000000000001</v>
      </c>
      <c r="F1194">
        <v>107.1</v>
      </c>
      <c r="G1194" t="b">
        <v>1</v>
      </c>
      <c r="H1194" t="b">
        <v>1</v>
      </c>
      <c r="I1194">
        <v>1915</v>
      </c>
      <c r="J1194">
        <v>9.1408114558472544</v>
      </c>
    </row>
    <row r="1195" spans="1:10" x14ac:dyDescent="0.3">
      <c r="A1195" t="s">
        <v>1773</v>
      </c>
      <c r="B1195" t="s">
        <v>2592</v>
      </c>
      <c r="C1195" t="s">
        <v>2590</v>
      </c>
      <c r="D1195">
        <v>0.89</v>
      </c>
      <c r="E1195">
        <v>0.28199999999999997</v>
      </c>
      <c r="F1195">
        <v>160.30000000000001</v>
      </c>
      <c r="G1195" t="b">
        <v>1</v>
      </c>
      <c r="H1195" t="b">
        <v>1</v>
      </c>
      <c r="I1195">
        <v>5533</v>
      </c>
      <c r="J1195">
        <v>26.410501193317419</v>
      </c>
    </row>
    <row r="1196" spans="1:10" x14ac:dyDescent="0.3">
      <c r="A1196" t="s">
        <v>1774</v>
      </c>
      <c r="B1196" t="s">
        <v>2592</v>
      </c>
      <c r="C1196" t="s">
        <v>2591</v>
      </c>
      <c r="D1196">
        <v>0.88</v>
      </c>
      <c r="E1196">
        <v>0.28199999999999997</v>
      </c>
      <c r="F1196">
        <v>160.30000000000001</v>
      </c>
      <c r="G1196" t="b">
        <v>1</v>
      </c>
      <c r="H1196" t="b">
        <v>1</v>
      </c>
      <c r="I1196">
        <v>5533</v>
      </c>
      <c r="J1196">
        <v>26.410501193317419</v>
      </c>
    </row>
    <row r="1197" spans="1:10" x14ac:dyDescent="0.3">
      <c r="A1197" t="s">
        <v>1775</v>
      </c>
      <c r="B1197" t="s">
        <v>2593</v>
      </c>
      <c r="C1197" t="s">
        <v>2592</v>
      </c>
      <c r="D1197">
        <v>3.33</v>
      </c>
      <c r="E1197">
        <v>0.28199999999999997</v>
      </c>
      <c r="F1197">
        <v>160.30000000000001</v>
      </c>
      <c r="G1197" t="b">
        <v>1</v>
      </c>
      <c r="H1197" t="b">
        <v>1</v>
      </c>
      <c r="I1197">
        <v>5533</v>
      </c>
      <c r="J1197">
        <v>26.410501193317419</v>
      </c>
    </row>
    <row r="1198" spans="1:10" x14ac:dyDescent="0.3">
      <c r="A1198" t="s">
        <v>1776</v>
      </c>
      <c r="B1198" t="s">
        <v>2594</v>
      </c>
      <c r="C1198" t="s">
        <v>2477</v>
      </c>
      <c r="D1198">
        <v>12.4</v>
      </c>
      <c r="E1198">
        <v>0.16600000000000001</v>
      </c>
      <c r="F1198">
        <v>43.1</v>
      </c>
      <c r="G1198" t="b">
        <v>1</v>
      </c>
      <c r="H1198" t="b">
        <v>1</v>
      </c>
      <c r="I1198">
        <v>172</v>
      </c>
      <c r="J1198">
        <v>0.82100238663484471</v>
      </c>
    </row>
    <row r="1199" spans="1:10" x14ac:dyDescent="0.3">
      <c r="A1199" t="s">
        <v>1777</v>
      </c>
      <c r="B1199" t="s">
        <v>2595</v>
      </c>
      <c r="C1199" t="s">
        <v>478</v>
      </c>
      <c r="D1199">
        <v>12.55</v>
      </c>
      <c r="E1199">
        <v>0.58499999999999996</v>
      </c>
      <c r="F1199">
        <v>28.5</v>
      </c>
      <c r="G1199" t="b">
        <v>1</v>
      </c>
      <c r="H1199" t="b">
        <v>1</v>
      </c>
      <c r="I1199">
        <v>60</v>
      </c>
      <c r="J1199">
        <v>0.28639618138424822</v>
      </c>
    </row>
    <row r="1200" spans="1:10" x14ac:dyDescent="0.3">
      <c r="A1200" t="s">
        <v>1778</v>
      </c>
      <c r="B1200" t="s">
        <v>2596</v>
      </c>
      <c r="C1200" t="s">
        <v>479</v>
      </c>
      <c r="D1200">
        <v>17.97</v>
      </c>
      <c r="E1200">
        <v>0.156</v>
      </c>
      <c r="F1200">
        <v>28.5</v>
      </c>
      <c r="G1200" t="b">
        <v>1</v>
      </c>
      <c r="H1200" t="b">
        <v>1</v>
      </c>
      <c r="I1200">
        <v>60</v>
      </c>
      <c r="J1200">
        <v>0.28639618138424822</v>
      </c>
    </row>
    <row r="1201" spans="1:10" x14ac:dyDescent="0.3">
      <c r="A1201" t="s">
        <v>1779</v>
      </c>
      <c r="B1201" t="s">
        <v>2597</v>
      </c>
      <c r="C1201" t="s">
        <v>499</v>
      </c>
      <c r="D1201">
        <v>4.97</v>
      </c>
      <c r="E1201">
        <v>0.58499999999999996</v>
      </c>
      <c r="F1201">
        <v>28.5</v>
      </c>
      <c r="G1201" t="b">
        <v>1</v>
      </c>
      <c r="H1201" t="b">
        <v>1</v>
      </c>
      <c r="I1201">
        <v>60</v>
      </c>
      <c r="J1201">
        <v>0.28639618138424822</v>
      </c>
    </row>
    <row r="1202" spans="1:10" x14ac:dyDescent="0.3">
      <c r="A1202" t="s">
        <v>1780</v>
      </c>
      <c r="B1202" t="s">
        <v>2598</v>
      </c>
      <c r="C1202" t="s">
        <v>2497</v>
      </c>
      <c r="D1202">
        <v>19.55</v>
      </c>
      <c r="E1202">
        <v>0.217</v>
      </c>
      <c r="F1202">
        <v>82.5</v>
      </c>
      <c r="G1202" t="b">
        <v>1</v>
      </c>
      <c r="H1202" t="b">
        <v>1</v>
      </c>
      <c r="I1202">
        <v>962</v>
      </c>
      <c r="J1202">
        <v>4.5918854415274453</v>
      </c>
    </row>
    <row r="1203" spans="1:10" x14ac:dyDescent="0.3">
      <c r="A1203" t="s">
        <v>1781</v>
      </c>
      <c r="B1203" t="s">
        <v>2599</v>
      </c>
      <c r="C1203" t="s">
        <v>2602</v>
      </c>
      <c r="D1203">
        <v>13.76</v>
      </c>
      <c r="E1203">
        <v>0.20499999999999999</v>
      </c>
      <c r="F1203">
        <v>70.3</v>
      </c>
      <c r="G1203" t="b">
        <v>1</v>
      </c>
      <c r="H1203" t="b">
        <v>1</v>
      </c>
      <c r="I1203">
        <v>630</v>
      </c>
      <c r="J1203">
        <v>3.007159904534606</v>
      </c>
    </row>
    <row r="1204" spans="1:10" x14ac:dyDescent="0.3">
      <c r="A1204" t="s">
        <v>1782</v>
      </c>
      <c r="B1204" t="s">
        <v>2600</v>
      </c>
      <c r="C1204" t="s">
        <v>2599</v>
      </c>
      <c r="D1204">
        <v>15.41</v>
      </c>
      <c r="E1204">
        <v>0.20499999999999999</v>
      </c>
      <c r="F1204">
        <v>70.3</v>
      </c>
      <c r="G1204" t="b">
        <v>1</v>
      </c>
      <c r="H1204" t="b">
        <v>1</v>
      </c>
      <c r="I1204">
        <v>630</v>
      </c>
      <c r="J1204">
        <v>3.007159904534606</v>
      </c>
    </row>
    <row r="1205" spans="1:10" x14ac:dyDescent="0.3">
      <c r="A1205" t="s">
        <v>1783</v>
      </c>
      <c r="B1205" t="s">
        <v>2601</v>
      </c>
      <c r="C1205" t="s">
        <v>2589</v>
      </c>
      <c r="D1205">
        <v>12.62</v>
      </c>
      <c r="E1205">
        <v>0.20499999999999999</v>
      </c>
      <c r="F1205">
        <v>70.3</v>
      </c>
      <c r="G1205" t="b">
        <v>1</v>
      </c>
      <c r="H1205" t="b">
        <v>1</v>
      </c>
      <c r="I1205">
        <v>630</v>
      </c>
      <c r="J1205">
        <v>3.007159904534606</v>
      </c>
    </row>
    <row r="1206" spans="1:10" x14ac:dyDescent="0.3">
      <c r="A1206" t="s">
        <v>1784</v>
      </c>
      <c r="B1206" t="s">
        <v>2589</v>
      </c>
      <c r="C1206" t="s">
        <v>2596</v>
      </c>
      <c r="D1206">
        <v>7.06</v>
      </c>
      <c r="E1206">
        <v>0.13400000000000001</v>
      </c>
      <c r="F1206">
        <v>28.5</v>
      </c>
      <c r="G1206" t="b">
        <v>1</v>
      </c>
      <c r="H1206" t="b">
        <v>1</v>
      </c>
      <c r="I1206">
        <v>60</v>
      </c>
      <c r="J1206">
        <v>0.28639618138424822</v>
      </c>
    </row>
    <row r="1207" spans="1:10" x14ac:dyDescent="0.3">
      <c r="A1207" t="s">
        <v>1785</v>
      </c>
      <c r="B1207" t="s">
        <v>2588</v>
      </c>
      <c r="C1207" t="s">
        <v>480</v>
      </c>
      <c r="D1207">
        <v>4.67</v>
      </c>
      <c r="E1207">
        <v>0.13400000000000001</v>
      </c>
      <c r="F1207">
        <v>28.5</v>
      </c>
      <c r="G1207" t="b">
        <v>1</v>
      </c>
      <c r="H1207" t="b">
        <v>1</v>
      </c>
      <c r="I1207">
        <v>60</v>
      </c>
      <c r="J1207">
        <v>0.28639618138424822</v>
      </c>
    </row>
    <row r="1208" spans="1:10" x14ac:dyDescent="0.3">
      <c r="A1208" t="s">
        <v>1786</v>
      </c>
      <c r="B1208" t="s">
        <v>2600</v>
      </c>
      <c r="C1208" t="s">
        <v>130</v>
      </c>
      <c r="D1208">
        <v>13.5</v>
      </c>
      <c r="E1208">
        <v>0.13400000000000001</v>
      </c>
      <c r="F1208">
        <v>28.5</v>
      </c>
      <c r="G1208" t="b">
        <v>1</v>
      </c>
      <c r="H1208" t="b">
        <v>1</v>
      </c>
      <c r="I1208">
        <v>60</v>
      </c>
      <c r="J1208">
        <v>0.28639618138424822</v>
      </c>
    </row>
    <row r="1209" spans="1:10" x14ac:dyDescent="0.3">
      <c r="A1209" t="s">
        <v>1787</v>
      </c>
      <c r="B1209" t="s">
        <v>2599</v>
      </c>
      <c r="C1209" t="s">
        <v>2597</v>
      </c>
      <c r="D1209">
        <v>1.42</v>
      </c>
      <c r="E1209">
        <v>0.13400000000000001</v>
      </c>
      <c r="F1209">
        <v>28.5</v>
      </c>
      <c r="G1209" t="b">
        <v>1</v>
      </c>
      <c r="H1209" t="b">
        <v>1</v>
      </c>
      <c r="I1209">
        <v>60</v>
      </c>
      <c r="J1209">
        <v>0.28639618138424822</v>
      </c>
    </row>
    <row r="1210" spans="1:10" x14ac:dyDescent="0.3">
      <c r="A1210" t="s">
        <v>1788</v>
      </c>
      <c r="B1210" t="s">
        <v>2602</v>
      </c>
      <c r="C1210" t="s">
        <v>2598</v>
      </c>
      <c r="D1210">
        <v>8.08</v>
      </c>
      <c r="E1210">
        <v>0.20499999999999999</v>
      </c>
      <c r="F1210">
        <v>70.3</v>
      </c>
      <c r="G1210" t="b">
        <v>1</v>
      </c>
      <c r="H1210" t="b">
        <v>1</v>
      </c>
      <c r="I1210">
        <v>630</v>
      </c>
      <c r="J1210">
        <v>3.007159904534606</v>
      </c>
    </row>
    <row r="1211" spans="1:10" x14ac:dyDescent="0.3">
      <c r="A1211" t="s">
        <v>1789</v>
      </c>
      <c r="B1211" t="s">
        <v>2603</v>
      </c>
      <c r="C1211" t="s">
        <v>2584</v>
      </c>
      <c r="D1211">
        <v>2.2999999999999998</v>
      </c>
      <c r="E1211">
        <v>0.18</v>
      </c>
      <c r="F1211">
        <v>54.5</v>
      </c>
      <c r="G1211" t="b">
        <v>1</v>
      </c>
      <c r="H1211" t="b">
        <v>1</v>
      </c>
      <c r="I1211">
        <v>321</v>
      </c>
      <c r="J1211">
        <v>1.532219570405728</v>
      </c>
    </row>
    <row r="1212" spans="1:10" x14ac:dyDescent="0.3">
      <c r="A1212" t="s">
        <v>1790</v>
      </c>
      <c r="B1212" t="s">
        <v>2604</v>
      </c>
      <c r="C1212" t="s">
        <v>2677</v>
      </c>
      <c r="D1212">
        <v>3.6</v>
      </c>
      <c r="E1212">
        <v>0.29099999999999998</v>
      </c>
      <c r="F1212">
        <v>263</v>
      </c>
      <c r="G1212" t="b">
        <v>1</v>
      </c>
      <c r="H1212" t="b">
        <v>1</v>
      </c>
      <c r="I1212">
        <v>20264</v>
      </c>
      <c r="J1212">
        <v>96.725536992840077</v>
      </c>
    </row>
    <row r="1213" spans="1:10" x14ac:dyDescent="0.3">
      <c r="A1213" t="s">
        <v>1791</v>
      </c>
      <c r="B1213" t="s">
        <v>2605</v>
      </c>
      <c r="C1213" t="s">
        <v>2604</v>
      </c>
      <c r="D1213">
        <v>0.94</v>
      </c>
      <c r="E1213">
        <v>0.29099999999999998</v>
      </c>
      <c r="F1213">
        <v>263</v>
      </c>
      <c r="G1213" t="b">
        <v>1</v>
      </c>
      <c r="H1213" t="b">
        <v>1</v>
      </c>
      <c r="I1213">
        <v>20264</v>
      </c>
      <c r="J1213">
        <v>96.725536992840077</v>
      </c>
    </row>
    <row r="1214" spans="1:10" x14ac:dyDescent="0.3">
      <c r="A1214" t="s">
        <v>1792</v>
      </c>
      <c r="B1214" t="s">
        <v>2606</v>
      </c>
      <c r="C1214" t="s">
        <v>2677</v>
      </c>
      <c r="D1214">
        <v>0.68</v>
      </c>
      <c r="E1214">
        <v>0.35499999999999998</v>
      </c>
      <c r="F1214">
        <v>263</v>
      </c>
      <c r="G1214" t="b">
        <v>1</v>
      </c>
      <c r="H1214" t="b">
        <v>1</v>
      </c>
      <c r="I1214">
        <v>20264</v>
      </c>
      <c r="J1214">
        <v>96.725536992840077</v>
      </c>
    </row>
    <row r="1215" spans="1:10" x14ac:dyDescent="0.3">
      <c r="A1215" t="s">
        <v>1793</v>
      </c>
      <c r="B1215" t="s">
        <v>2607</v>
      </c>
      <c r="C1215" t="s">
        <v>2645</v>
      </c>
      <c r="D1215">
        <v>0.6</v>
      </c>
      <c r="E1215">
        <v>0.13400000000000001</v>
      </c>
      <c r="F1215">
        <v>28.5</v>
      </c>
      <c r="G1215" t="b">
        <v>1</v>
      </c>
      <c r="H1215" t="b">
        <v>1</v>
      </c>
      <c r="I1215">
        <v>60</v>
      </c>
      <c r="J1215">
        <v>0.28639618138424822</v>
      </c>
    </row>
    <row r="1216" spans="1:10" x14ac:dyDescent="0.3">
      <c r="A1216" t="s">
        <v>1794</v>
      </c>
      <c r="B1216" t="s">
        <v>2608</v>
      </c>
      <c r="C1216" t="s">
        <v>2607</v>
      </c>
      <c r="D1216">
        <v>14.56</v>
      </c>
      <c r="E1216">
        <v>0.16600000000000001</v>
      </c>
      <c r="F1216">
        <v>43.1</v>
      </c>
      <c r="G1216" t="b">
        <v>1</v>
      </c>
      <c r="H1216" t="b">
        <v>1</v>
      </c>
      <c r="I1216">
        <v>172</v>
      </c>
      <c r="J1216">
        <v>0.82100238663484471</v>
      </c>
    </row>
    <row r="1217" spans="1:10" x14ac:dyDescent="0.3">
      <c r="A1217" t="s">
        <v>1795</v>
      </c>
      <c r="B1217" t="s">
        <v>2602</v>
      </c>
      <c r="C1217" t="s">
        <v>500</v>
      </c>
      <c r="D1217">
        <v>16.34</v>
      </c>
      <c r="E1217">
        <v>0.13400000000000001</v>
      </c>
      <c r="F1217">
        <v>28.5</v>
      </c>
      <c r="G1217" t="b">
        <v>1</v>
      </c>
      <c r="H1217" t="b">
        <v>1</v>
      </c>
      <c r="I1217">
        <v>60</v>
      </c>
      <c r="J1217">
        <v>0.28639618138424822</v>
      </c>
    </row>
    <row r="1218" spans="1:10" x14ac:dyDescent="0.3">
      <c r="A1218" t="s">
        <v>1796</v>
      </c>
      <c r="B1218" t="s">
        <v>2609</v>
      </c>
      <c r="C1218" t="s">
        <v>206</v>
      </c>
      <c r="D1218">
        <v>34.630000000000003</v>
      </c>
      <c r="E1218">
        <v>0.191</v>
      </c>
      <c r="F1218">
        <v>43.1</v>
      </c>
      <c r="G1218" t="b">
        <v>1</v>
      </c>
      <c r="H1218" t="b">
        <v>1</v>
      </c>
      <c r="I1218">
        <v>172</v>
      </c>
      <c r="J1218">
        <v>0.82100238663484471</v>
      </c>
    </row>
    <row r="1219" spans="1:10" x14ac:dyDescent="0.3">
      <c r="A1219" t="s">
        <v>1797</v>
      </c>
      <c r="B1219" t="s">
        <v>2610</v>
      </c>
      <c r="C1219" t="s">
        <v>61</v>
      </c>
      <c r="D1219">
        <v>71.900000000000006</v>
      </c>
      <c r="E1219">
        <v>0.18</v>
      </c>
      <c r="F1219">
        <v>54.5</v>
      </c>
      <c r="G1219" t="b">
        <v>1</v>
      </c>
      <c r="H1219" t="b">
        <v>1</v>
      </c>
      <c r="I1219">
        <v>321</v>
      </c>
      <c r="J1219">
        <v>1.532219570405728</v>
      </c>
    </row>
    <row r="1220" spans="1:10" x14ac:dyDescent="0.3">
      <c r="A1220" t="s">
        <v>1798</v>
      </c>
      <c r="B1220" t="s">
        <v>2611</v>
      </c>
      <c r="C1220" t="s">
        <v>2595</v>
      </c>
      <c r="D1220">
        <v>1.62</v>
      </c>
      <c r="E1220">
        <v>0.13400000000000001</v>
      </c>
      <c r="F1220">
        <v>28.5</v>
      </c>
      <c r="G1220" t="b">
        <v>1</v>
      </c>
      <c r="H1220" t="b">
        <v>1</v>
      </c>
      <c r="I1220">
        <v>60</v>
      </c>
      <c r="J1220">
        <v>0.28639618138424822</v>
      </c>
    </row>
    <row r="1221" spans="1:10" x14ac:dyDescent="0.3">
      <c r="A1221" t="s">
        <v>1799</v>
      </c>
      <c r="B1221" t="s">
        <v>2612</v>
      </c>
      <c r="C1221" t="s">
        <v>101</v>
      </c>
      <c r="D1221">
        <v>3.48</v>
      </c>
      <c r="E1221">
        <v>0.13400000000000001</v>
      </c>
      <c r="F1221">
        <v>28.5</v>
      </c>
      <c r="G1221" t="b">
        <v>1</v>
      </c>
      <c r="H1221" t="b">
        <v>1</v>
      </c>
      <c r="I1221">
        <v>60</v>
      </c>
      <c r="J1221">
        <v>0.28639618138424822</v>
      </c>
    </row>
    <row r="1222" spans="1:10" x14ac:dyDescent="0.3">
      <c r="A1222" t="s">
        <v>1800</v>
      </c>
      <c r="B1222" t="s">
        <v>2612</v>
      </c>
      <c r="C1222" t="s">
        <v>2601</v>
      </c>
      <c r="D1222">
        <v>0.73</v>
      </c>
      <c r="E1222">
        <v>0.217</v>
      </c>
      <c r="F1222">
        <v>82.5</v>
      </c>
      <c r="G1222" t="b">
        <v>1</v>
      </c>
      <c r="H1222" t="b">
        <v>1</v>
      </c>
      <c r="I1222">
        <v>962</v>
      </c>
      <c r="J1222">
        <v>4.5918854415274453</v>
      </c>
    </row>
    <row r="1223" spans="1:10" x14ac:dyDescent="0.3">
      <c r="A1223" t="s">
        <v>1801</v>
      </c>
      <c r="B1223" t="s">
        <v>2611</v>
      </c>
      <c r="C1223" t="s">
        <v>2612</v>
      </c>
      <c r="D1223">
        <v>0.89</v>
      </c>
      <c r="E1223">
        <v>0.217</v>
      </c>
      <c r="F1223">
        <v>82.5</v>
      </c>
      <c r="G1223" t="b">
        <v>1</v>
      </c>
      <c r="H1223" t="b">
        <v>1</v>
      </c>
      <c r="I1223">
        <v>962</v>
      </c>
      <c r="J1223">
        <v>4.5918854415274453</v>
      </c>
    </row>
    <row r="1224" spans="1:10" x14ac:dyDescent="0.3">
      <c r="A1224" t="s">
        <v>1802</v>
      </c>
      <c r="B1224" t="s">
        <v>2594</v>
      </c>
      <c r="C1224" t="s">
        <v>2611</v>
      </c>
      <c r="D1224">
        <v>33.89</v>
      </c>
      <c r="E1224">
        <v>0.217</v>
      </c>
      <c r="F1224">
        <v>82.5</v>
      </c>
      <c r="G1224" t="b">
        <v>1</v>
      </c>
      <c r="H1224" t="b">
        <v>1</v>
      </c>
      <c r="I1224">
        <v>962</v>
      </c>
      <c r="J1224">
        <v>4.5918854415274453</v>
      </c>
    </row>
    <row r="1225" spans="1:10" x14ac:dyDescent="0.3">
      <c r="A1225" t="s">
        <v>1803</v>
      </c>
      <c r="B1225" t="s">
        <v>2613</v>
      </c>
      <c r="C1225" t="s">
        <v>64</v>
      </c>
      <c r="D1225">
        <v>0.25</v>
      </c>
      <c r="E1225">
        <v>0.16600000000000001</v>
      </c>
      <c r="F1225">
        <v>43.1</v>
      </c>
      <c r="G1225" t="b">
        <v>1</v>
      </c>
      <c r="H1225" t="b">
        <v>1</v>
      </c>
      <c r="I1225">
        <v>172</v>
      </c>
      <c r="J1225">
        <v>0.82100238663484471</v>
      </c>
    </row>
    <row r="1226" spans="1:10" x14ac:dyDescent="0.3">
      <c r="A1226" t="s">
        <v>1804</v>
      </c>
      <c r="B1226" t="s">
        <v>2614</v>
      </c>
      <c r="C1226" t="s">
        <v>63</v>
      </c>
      <c r="D1226">
        <v>2.71</v>
      </c>
      <c r="E1226">
        <v>0.16600000000000001</v>
      </c>
      <c r="F1226">
        <v>43.1</v>
      </c>
      <c r="G1226" t="b">
        <v>1</v>
      </c>
      <c r="H1226" t="b">
        <v>1</v>
      </c>
      <c r="I1226">
        <v>172</v>
      </c>
      <c r="J1226">
        <v>0.82100238663484471</v>
      </c>
    </row>
    <row r="1227" spans="1:10" x14ac:dyDescent="0.3">
      <c r="A1227" t="s">
        <v>1805</v>
      </c>
      <c r="B1227" t="s">
        <v>2608</v>
      </c>
      <c r="C1227" t="s">
        <v>2430</v>
      </c>
      <c r="D1227">
        <v>0.7</v>
      </c>
      <c r="E1227">
        <v>0.18</v>
      </c>
      <c r="F1227">
        <v>54.5</v>
      </c>
      <c r="G1227" t="b">
        <v>1</v>
      </c>
      <c r="H1227" t="b">
        <v>1</v>
      </c>
      <c r="I1227">
        <v>321</v>
      </c>
      <c r="J1227">
        <v>1.532219570405728</v>
      </c>
    </row>
    <row r="1228" spans="1:10" x14ac:dyDescent="0.3">
      <c r="A1228" t="s">
        <v>1806</v>
      </c>
      <c r="B1228" t="s">
        <v>2614</v>
      </c>
      <c r="C1228" t="s">
        <v>2613</v>
      </c>
      <c r="D1228">
        <v>0.83</v>
      </c>
      <c r="E1228">
        <v>0.18</v>
      </c>
      <c r="F1228">
        <v>54.5</v>
      </c>
      <c r="G1228" t="b">
        <v>1</v>
      </c>
      <c r="H1228" t="b">
        <v>1</v>
      </c>
      <c r="I1228">
        <v>321</v>
      </c>
      <c r="J1228">
        <v>1.532219570405728</v>
      </c>
    </row>
    <row r="1229" spans="1:10" x14ac:dyDescent="0.3">
      <c r="A1229" t="s">
        <v>1807</v>
      </c>
      <c r="B1229" t="s">
        <v>2610</v>
      </c>
      <c r="C1229" t="s">
        <v>2678</v>
      </c>
      <c r="D1229">
        <v>0.86</v>
      </c>
      <c r="E1229">
        <v>0.20499999999999999</v>
      </c>
      <c r="F1229">
        <v>70.3</v>
      </c>
      <c r="G1229" t="b">
        <v>1</v>
      </c>
      <c r="H1229" t="b">
        <v>1</v>
      </c>
      <c r="I1229">
        <v>630</v>
      </c>
      <c r="J1229">
        <v>3.007159904534606</v>
      </c>
    </row>
    <row r="1230" spans="1:10" x14ac:dyDescent="0.3">
      <c r="A1230" t="s">
        <v>1808</v>
      </c>
      <c r="B1230" t="s">
        <v>2615</v>
      </c>
      <c r="C1230" t="s">
        <v>2594</v>
      </c>
      <c r="D1230">
        <v>56.12</v>
      </c>
      <c r="E1230">
        <v>0.217</v>
      </c>
      <c r="F1230">
        <v>82.5</v>
      </c>
      <c r="G1230" t="b">
        <v>1</v>
      </c>
      <c r="H1230" t="b">
        <v>1</v>
      </c>
      <c r="I1230">
        <v>962</v>
      </c>
      <c r="J1230">
        <v>4.5918854415274453</v>
      </c>
    </row>
    <row r="1231" spans="1:10" x14ac:dyDescent="0.3">
      <c r="A1231" t="s">
        <v>1809</v>
      </c>
      <c r="B1231" t="s">
        <v>2616</v>
      </c>
      <c r="C1231" t="s">
        <v>48</v>
      </c>
      <c r="D1231">
        <v>0.71</v>
      </c>
      <c r="E1231">
        <v>0.20499999999999999</v>
      </c>
      <c r="F1231">
        <v>70.3</v>
      </c>
      <c r="G1231" t="b">
        <v>1</v>
      </c>
      <c r="H1231" t="b">
        <v>1</v>
      </c>
      <c r="I1231">
        <v>630</v>
      </c>
      <c r="J1231">
        <v>3.007159904534606</v>
      </c>
    </row>
    <row r="1232" spans="1:10" x14ac:dyDescent="0.3">
      <c r="A1232" t="s">
        <v>1810</v>
      </c>
      <c r="B1232" t="s">
        <v>2616</v>
      </c>
      <c r="C1232" t="s">
        <v>62</v>
      </c>
      <c r="D1232">
        <v>0.74</v>
      </c>
      <c r="E1232">
        <v>0.20499999999999999</v>
      </c>
      <c r="F1232">
        <v>70.3</v>
      </c>
      <c r="G1232" t="b">
        <v>1</v>
      </c>
      <c r="H1232" t="b">
        <v>1</v>
      </c>
      <c r="I1232">
        <v>630</v>
      </c>
      <c r="J1232">
        <v>3.007159904534606</v>
      </c>
    </row>
    <row r="1233" spans="1:10" x14ac:dyDescent="0.3">
      <c r="A1233" t="s">
        <v>1811</v>
      </c>
      <c r="B1233" t="s">
        <v>2617</v>
      </c>
      <c r="C1233" t="s">
        <v>2616</v>
      </c>
      <c r="D1233">
        <v>34.42</v>
      </c>
      <c r="E1233">
        <v>0.20499999999999999</v>
      </c>
      <c r="F1233">
        <v>70.3</v>
      </c>
      <c r="G1233" t="b">
        <v>1</v>
      </c>
      <c r="H1233" t="b">
        <v>1</v>
      </c>
      <c r="I1233">
        <v>630</v>
      </c>
      <c r="J1233">
        <v>3.007159904534606</v>
      </c>
    </row>
    <row r="1234" spans="1:10" x14ac:dyDescent="0.3">
      <c r="A1234" t="s">
        <v>1812</v>
      </c>
      <c r="B1234" t="s">
        <v>2618</v>
      </c>
      <c r="C1234" t="s">
        <v>58</v>
      </c>
      <c r="D1234">
        <v>2.9</v>
      </c>
      <c r="E1234">
        <v>0.18</v>
      </c>
      <c r="F1234">
        <v>54.5</v>
      </c>
      <c r="G1234" t="b">
        <v>1</v>
      </c>
      <c r="H1234" t="b">
        <v>1</v>
      </c>
      <c r="I1234">
        <v>321</v>
      </c>
      <c r="J1234">
        <v>1.532219570405728</v>
      </c>
    </row>
    <row r="1235" spans="1:10" x14ac:dyDescent="0.3">
      <c r="A1235" t="s">
        <v>1813</v>
      </c>
      <c r="B1235" t="s">
        <v>2618</v>
      </c>
      <c r="C1235" t="s">
        <v>59</v>
      </c>
      <c r="D1235">
        <v>1.52</v>
      </c>
      <c r="E1235">
        <v>0.18</v>
      </c>
      <c r="F1235">
        <v>54.5</v>
      </c>
      <c r="G1235" t="b">
        <v>1</v>
      </c>
      <c r="H1235" t="b">
        <v>1</v>
      </c>
      <c r="I1235">
        <v>321</v>
      </c>
      <c r="J1235">
        <v>1.532219570405728</v>
      </c>
    </row>
    <row r="1236" spans="1:10" x14ac:dyDescent="0.3">
      <c r="A1236" t="s">
        <v>1814</v>
      </c>
      <c r="B1236" t="s">
        <v>2619</v>
      </c>
      <c r="C1236" t="s">
        <v>65</v>
      </c>
      <c r="D1236">
        <v>7.73</v>
      </c>
      <c r="E1236">
        <v>0.13400000000000001</v>
      </c>
      <c r="F1236">
        <v>28.5</v>
      </c>
      <c r="G1236" t="b">
        <v>1</v>
      </c>
      <c r="H1236" t="b">
        <v>1</v>
      </c>
      <c r="I1236">
        <v>60</v>
      </c>
      <c r="J1236">
        <v>0.28639618138424822</v>
      </c>
    </row>
    <row r="1237" spans="1:10" x14ac:dyDescent="0.3">
      <c r="A1237" t="s">
        <v>1815</v>
      </c>
      <c r="B1237" t="s">
        <v>2620</v>
      </c>
      <c r="C1237" t="s">
        <v>51</v>
      </c>
      <c r="D1237">
        <v>7.8</v>
      </c>
      <c r="E1237">
        <v>0.16600000000000001</v>
      </c>
      <c r="F1237">
        <v>43.1</v>
      </c>
      <c r="G1237" t="b">
        <v>1</v>
      </c>
      <c r="H1237" t="b">
        <v>1</v>
      </c>
      <c r="I1237">
        <v>172</v>
      </c>
      <c r="J1237">
        <v>0.82100238663484471</v>
      </c>
    </row>
    <row r="1238" spans="1:10" x14ac:dyDescent="0.3">
      <c r="A1238" t="s">
        <v>1816</v>
      </c>
      <c r="B1238" t="s">
        <v>2621</v>
      </c>
      <c r="C1238" t="s">
        <v>49</v>
      </c>
      <c r="D1238">
        <v>30.12</v>
      </c>
      <c r="E1238">
        <v>0.18</v>
      </c>
      <c r="F1238">
        <v>54.5</v>
      </c>
      <c r="G1238" t="b">
        <v>1</v>
      </c>
      <c r="H1238" t="b">
        <v>1</v>
      </c>
      <c r="I1238">
        <v>321</v>
      </c>
      <c r="J1238">
        <v>1.532219570405728</v>
      </c>
    </row>
    <row r="1239" spans="1:10" x14ac:dyDescent="0.3">
      <c r="A1239" t="s">
        <v>1817</v>
      </c>
      <c r="B1239" t="s">
        <v>2622</v>
      </c>
      <c r="C1239" t="s">
        <v>50</v>
      </c>
      <c r="D1239">
        <v>36.18</v>
      </c>
      <c r="E1239">
        <v>0.18</v>
      </c>
      <c r="F1239">
        <v>54.5</v>
      </c>
      <c r="G1239" t="b">
        <v>1</v>
      </c>
      <c r="H1239" t="b">
        <v>1</v>
      </c>
      <c r="I1239">
        <v>321</v>
      </c>
      <c r="J1239">
        <v>1.532219570405728</v>
      </c>
    </row>
    <row r="1240" spans="1:10" x14ac:dyDescent="0.3">
      <c r="A1240" t="s">
        <v>1818</v>
      </c>
      <c r="B1240" t="s">
        <v>2623</v>
      </c>
      <c r="C1240" t="s">
        <v>2603</v>
      </c>
      <c r="D1240">
        <v>138.41</v>
      </c>
      <c r="E1240">
        <v>0.20499999999999999</v>
      </c>
      <c r="F1240">
        <v>70.3</v>
      </c>
      <c r="G1240" t="b">
        <v>1</v>
      </c>
      <c r="H1240" t="b">
        <v>1</v>
      </c>
      <c r="I1240">
        <v>630</v>
      </c>
      <c r="J1240">
        <v>3.007159904534606</v>
      </c>
    </row>
    <row r="1241" spans="1:10" x14ac:dyDescent="0.3">
      <c r="A1241" t="s">
        <v>1819</v>
      </c>
      <c r="B1241" t="s">
        <v>2512</v>
      </c>
      <c r="C1241" t="s">
        <v>2625</v>
      </c>
      <c r="D1241">
        <v>346.84</v>
      </c>
      <c r="E1241">
        <v>0.254</v>
      </c>
      <c r="F1241">
        <v>132.5</v>
      </c>
      <c r="G1241" t="b">
        <v>1</v>
      </c>
      <c r="H1241" t="b">
        <v>1</v>
      </c>
      <c r="I1241">
        <v>3354</v>
      </c>
      <c r="J1241">
        <v>16.009546539379471</v>
      </c>
    </row>
    <row r="1242" spans="1:10" x14ac:dyDescent="0.3">
      <c r="A1242" t="s">
        <v>1820</v>
      </c>
      <c r="B1242" t="s">
        <v>2624</v>
      </c>
      <c r="C1242" t="s">
        <v>2635</v>
      </c>
      <c r="D1242">
        <v>1.08</v>
      </c>
      <c r="E1242">
        <v>0.63300000000000001</v>
      </c>
      <c r="F1242">
        <v>54.5</v>
      </c>
      <c r="G1242" t="b">
        <v>1</v>
      </c>
      <c r="H1242" t="b">
        <v>1</v>
      </c>
      <c r="I1242">
        <v>321</v>
      </c>
      <c r="J1242">
        <v>1.532219570405728</v>
      </c>
    </row>
    <row r="1243" spans="1:10" x14ac:dyDescent="0.3">
      <c r="A1243" t="s">
        <v>1821</v>
      </c>
      <c r="B1243" t="s">
        <v>2625</v>
      </c>
      <c r="C1243" t="s">
        <v>2634</v>
      </c>
      <c r="D1243">
        <v>16.2</v>
      </c>
      <c r="E1243">
        <v>0.254</v>
      </c>
      <c r="F1243">
        <v>132.5</v>
      </c>
      <c r="G1243" t="b">
        <v>1</v>
      </c>
      <c r="H1243" t="b">
        <v>1</v>
      </c>
      <c r="I1243">
        <v>3354</v>
      </c>
      <c r="J1243">
        <v>16.009546539379471</v>
      </c>
    </row>
    <row r="1244" spans="1:10" x14ac:dyDescent="0.3">
      <c r="A1244" t="s">
        <v>1822</v>
      </c>
      <c r="B1244" t="s">
        <v>2626</v>
      </c>
      <c r="C1244" t="s">
        <v>45</v>
      </c>
      <c r="D1244">
        <v>0.64</v>
      </c>
      <c r="E1244">
        <v>0.61399999999999999</v>
      </c>
      <c r="F1244">
        <v>43.1</v>
      </c>
      <c r="G1244" t="b">
        <v>1</v>
      </c>
      <c r="H1244" t="b">
        <v>1</v>
      </c>
      <c r="I1244">
        <v>172</v>
      </c>
      <c r="J1244">
        <v>0.82100238663484471</v>
      </c>
    </row>
    <row r="1245" spans="1:10" x14ac:dyDescent="0.3">
      <c r="A1245" t="s">
        <v>1823</v>
      </c>
      <c r="B1245" t="s">
        <v>2627</v>
      </c>
      <c r="C1245" t="s">
        <v>52</v>
      </c>
      <c r="D1245">
        <v>4.4000000000000004</v>
      </c>
      <c r="E1245">
        <v>0.61399999999999999</v>
      </c>
      <c r="F1245">
        <v>43.1</v>
      </c>
      <c r="G1245" t="b">
        <v>1</v>
      </c>
      <c r="H1245" t="b">
        <v>1</v>
      </c>
      <c r="I1245">
        <v>172</v>
      </c>
      <c r="J1245">
        <v>0.82100238663484471</v>
      </c>
    </row>
    <row r="1246" spans="1:10" x14ac:dyDescent="0.3">
      <c r="A1246" t="s">
        <v>1824</v>
      </c>
      <c r="B1246" t="s">
        <v>2627</v>
      </c>
      <c r="C1246" t="s">
        <v>2626</v>
      </c>
      <c r="D1246">
        <v>0.76</v>
      </c>
      <c r="E1246">
        <v>0.63300000000000001</v>
      </c>
      <c r="F1246">
        <v>54.5</v>
      </c>
      <c r="G1246" t="b">
        <v>1</v>
      </c>
      <c r="H1246" t="b">
        <v>1</v>
      </c>
      <c r="I1246">
        <v>321</v>
      </c>
      <c r="J1246">
        <v>1.532219570405728</v>
      </c>
    </row>
    <row r="1247" spans="1:10" x14ac:dyDescent="0.3">
      <c r="A1247" t="s">
        <v>1825</v>
      </c>
      <c r="B1247" t="s">
        <v>2628</v>
      </c>
      <c r="C1247" t="s">
        <v>2627</v>
      </c>
      <c r="D1247">
        <v>0.93</v>
      </c>
      <c r="E1247">
        <v>0.63300000000000001</v>
      </c>
      <c r="F1247">
        <v>54.5</v>
      </c>
      <c r="G1247" t="b">
        <v>1</v>
      </c>
      <c r="H1247" t="b">
        <v>1</v>
      </c>
      <c r="I1247">
        <v>321</v>
      </c>
      <c r="J1247">
        <v>1.532219570405728</v>
      </c>
    </row>
    <row r="1248" spans="1:10" x14ac:dyDescent="0.3">
      <c r="A1248" t="s">
        <v>1826</v>
      </c>
      <c r="B1248" t="s">
        <v>2629</v>
      </c>
      <c r="C1248" t="s">
        <v>2628</v>
      </c>
      <c r="D1248">
        <v>21.34</v>
      </c>
      <c r="E1248">
        <v>0.18</v>
      </c>
      <c r="F1248">
        <v>54.5</v>
      </c>
      <c r="G1248" t="b">
        <v>1</v>
      </c>
      <c r="H1248" t="b">
        <v>1</v>
      </c>
      <c r="I1248">
        <v>321</v>
      </c>
      <c r="J1248">
        <v>1.532219570405728</v>
      </c>
    </row>
    <row r="1249" spans="1:10" x14ac:dyDescent="0.3">
      <c r="A1249" t="s">
        <v>1827</v>
      </c>
      <c r="B1249" t="s">
        <v>2630</v>
      </c>
      <c r="C1249" t="s">
        <v>53</v>
      </c>
      <c r="D1249">
        <v>0.64</v>
      </c>
      <c r="E1249">
        <v>0.61399999999999999</v>
      </c>
      <c r="F1249">
        <v>43.1</v>
      </c>
      <c r="G1249" t="b">
        <v>1</v>
      </c>
      <c r="H1249" t="b">
        <v>1</v>
      </c>
      <c r="I1249">
        <v>172</v>
      </c>
      <c r="J1249">
        <v>0.82100238663484471</v>
      </c>
    </row>
    <row r="1250" spans="1:10" x14ac:dyDescent="0.3">
      <c r="A1250" t="s">
        <v>1828</v>
      </c>
      <c r="B1250" t="s">
        <v>2624</v>
      </c>
      <c r="C1250" t="s">
        <v>2630</v>
      </c>
      <c r="D1250">
        <v>0.61</v>
      </c>
      <c r="E1250">
        <v>0.66100000000000003</v>
      </c>
      <c r="F1250">
        <v>70.3</v>
      </c>
      <c r="G1250" t="b">
        <v>1</v>
      </c>
      <c r="H1250" t="b">
        <v>1</v>
      </c>
      <c r="I1250">
        <v>630</v>
      </c>
      <c r="J1250">
        <v>3.007159904534606</v>
      </c>
    </row>
    <row r="1251" spans="1:10" x14ac:dyDescent="0.3">
      <c r="A1251" t="s">
        <v>1829</v>
      </c>
      <c r="B1251" t="s">
        <v>2631</v>
      </c>
      <c r="C1251" t="s">
        <v>2624</v>
      </c>
      <c r="D1251">
        <v>0.89</v>
      </c>
      <c r="E1251">
        <v>0.66100000000000003</v>
      </c>
      <c r="F1251">
        <v>70.3</v>
      </c>
      <c r="G1251" t="b">
        <v>1</v>
      </c>
      <c r="H1251" t="b">
        <v>1</v>
      </c>
      <c r="I1251">
        <v>630</v>
      </c>
      <c r="J1251">
        <v>3.007159904534606</v>
      </c>
    </row>
    <row r="1252" spans="1:10" x14ac:dyDescent="0.3">
      <c r="A1252" t="s">
        <v>1830</v>
      </c>
      <c r="B1252" t="s">
        <v>2632</v>
      </c>
      <c r="C1252" t="s">
        <v>2631</v>
      </c>
      <c r="D1252">
        <v>73.78</v>
      </c>
      <c r="E1252">
        <v>0.20499999999999999</v>
      </c>
      <c r="F1252">
        <v>70.3</v>
      </c>
      <c r="G1252" t="b">
        <v>1</v>
      </c>
      <c r="H1252" t="b">
        <v>1</v>
      </c>
      <c r="I1252">
        <v>630</v>
      </c>
      <c r="J1252">
        <v>3.007159904534606</v>
      </c>
    </row>
    <row r="1253" spans="1:10" x14ac:dyDescent="0.3">
      <c r="A1253" t="s">
        <v>1831</v>
      </c>
      <c r="B1253" t="s">
        <v>2633</v>
      </c>
      <c r="C1253" t="s">
        <v>55</v>
      </c>
      <c r="D1253">
        <v>149.87</v>
      </c>
      <c r="E1253">
        <v>0.18</v>
      </c>
      <c r="F1253">
        <v>54.5</v>
      </c>
      <c r="G1253" t="b">
        <v>1</v>
      </c>
      <c r="H1253" t="b">
        <v>1</v>
      </c>
      <c r="I1253">
        <v>321</v>
      </c>
      <c r="J1253">
        <v>1.532219570405728</v>
      </c>
    </row>
    <row r="1254" spans="1:10" x14ac:dyDescent="0.3">
      <c r="A1254" t="s">
        <v>1832</v>
      </c>
      <c r="B1254" t="s">
        <v>2633</v>
      </c>
      <c r="C1254" t="s">
        <v>2201</v>
      </c>
      <c r="D1254">
        <v>7.9</v>
      </c>
      <c r="E1254">
        <v>0.30299999999999999</v>
      </c>
      <c r="F1254">
        <v>107.1</v>
      </c>
      <c r="G1254" t="b">
        <v>1</v>
      </c>
      <c r="H1254" t="b">
        <v>1</v>
      </c>
      <c r="I1254">
        <v>1915</v>
      </c>
      <c r="J1254">
        <v>9.1408114558472544</v>
      </c>
    </row>
    <row r="1255" spans="1:10" x14ac:dyDescent="0.3">
      <c r="A1255" t="s">
        <v>1833</v>
      </c>
      <c r="B1255" t="s">
        <v>2634</v>
      </c>
      <c r="C1255" t="s">
        <v>2644</v>
      </c>
      <c r="D1255">
        <v>0.44</v>
      </c>
      <c r="E1255">
        <v>0.217</v>
      </c>
      <c r="F1255">
        <v>82.5</v>
      </c>
      <c r="G1255" t="b">
        <v>1</v>
      </c>
      <c r="H1255" t="b">
        <v>1</v>
      </c>
      <c r="I1255">
        <v>962</v>
      </c>
      <c r="J1255">
        <v>4.5918854415274453</v>
      </c>
    </row>
    <row r="1256" spans="1:10" x14ac:dyDescent="0.3">
      <c r="A1256" t="s">
        <v>1834</v>
      </c>
      <c r="B1256" t="s">
        <v>2625</v>
      </c>
      <c r="C1256" t="s">
        <v>2679</v>
      </c>
      <c r="D1256">
        <v>6.67</v>
      </c>
      <c r="E1256">
        <v>0.254</v>
      </c>
      <c r="F1256">
        <v>132.5</v>
      </c>
      <c r="G1256" t="b">
        <v>1</v>
      </c>
      <c r="H1256" t="b">
        <v>1</v>
      </c>
      <c r="I1256">
        <v>3354</v>
      </c>
      <c r="J1256">
        <v>16.009546539379471</v>
      </c>
    </row>
    <row r="1257" spans="1:10" x14ac:dyDescent="0.3">
      <c r="A1257" t="s">
        <v>1835</v>
      </c>
      <c r="B1257" t="s">
        <v>2635</v>
      </c>
      <c r="C1257" t="s">
        <v>2680</v>
      </c>
      <c r="D1257">
        <v>0.51</v>
      </c>
      <c r="E1257">
        <v>0.61399999999999999</v>
      </c>
      <c r="F1257">
        <v>43.1</v>
      </c>
      <c r="G1257" t="b">
        <v>1</v>
      </c>
      <c r="H1257" t="b">
        <v>1</v>
      </c>
      <c r="I1257">
        <v>172</v>
      </c>
      <c r="J1257">
        <v>0.82100238663484471</v>
      </c>
    </row>
    <row r="1258" spans="1:10" x14ac:dyDescent="0.3">
      <c r="A1258" t="s">
        <v>1836</v>
      </c>
      <c r="B1258" t="s">
        <v>2636</v>
      </c>
      <c r="C1258" t="s">
        <v>54</v>
      </c>
      <c r="D1258">
        <v>20.99</v>
      </c>
      <c r="E1258">
        <v>0.18</v>
      </c>
      <c r="F1258">
        <v>54.5</v>
      </c>
      <c r="G1258" t="b">
        <v>1</v>
      </c>
      <c r="H1258" t="b">
        <v>1</v>
      </c>
      <c r="I1258">
        <v>321</v>
      </c>
      <c r="J1258">
        <v>1.532219570405728</v>
      </c>
    </row>
    <row r="1259" spans="1:10" x14ac:dyDescent="0.3">
      <c r="A1259" t="s">
        <v>1837</v>
      </c>
      <c r="B1259" t="s">
        <v>2032</v>
      </c>
      <c r="C1259" t="s">
        <v>1897</v>
      </c>
      <c r="D1259">
        <v>158.46</v>
      </c>
      <c r="E1259">
        <v>0.18</v>
      </c>
      <c r="F1259">
        <v>54.5</v>
      </c>
      <c r="G1259" t="b">
        <v>1</v>
      </c>
      <c r="H1259" t="b">
        <v>1</v>
      </c>
      <c r="I1259">
        <v>321</v>
      </c>
      <c r="J1259">
        <v>1.532219570405728</v>
      </c>
    </row>
    <row r="1260" spans="1:10" x14ac:dyDescent="0.3">
      <c r="A1260" t="s">
        <v>1838</v>
      </c>
      <c r="B1260" t="s">
        <v>1929</v>
      </c>
      <c r="C1260" t="s">
        <v>2606</v>
      </c>
      <c r="D1260">
        <v>6.35</v>
      </c>
      <c r="E1260">
        <v>0.501</v>
      </c>
      <c r="F1260">
        <v>210.1</v>
      </c>
      <c r="G1260" t="b">
        <v>1</v>
      </c>
      <c r="H1260" t="b">
        <v>1</v>
      </c>
      <c r="I1260">
        <v>11253</v>
      </c>
      <c r="J1260">
        <v>53.713603818615738</v>
      </c>
    </row>
    <row r="1261" spans="1:10" x14ac:dyDescent="0.3">
      <c r="A1261" t="s">
        <v>1839</v>
      </c>
      <c r="B1261" t="s">
        <v>2581</v>
      </c>
      <c r="C1261" t="s">
        <v>1937</v>
      </c>
      <c r="D1261">
        <v>91.23</v>
      </c>
      <c r="E1261">
        <v>0.20499999999999999</v>
      </c>
      <c r="F1261">
        <v>70.3</v>
      </c>
      <c r="G1261" t="b">
        <v>1</v>
      </c>
      <c r="H1261" t="b">
        <v>1</v>
      </c>
      <c r="I1261">
        <v>630</v>
      </c>
      <c r="J1261">
        <v>3.007159904534606</v>
      </c>
    </row>
    <row r="1262" spans="1:10" x14ac:dyDescent="0.3">
      <c r="A1262" t="s">
        <v>1840</v>
      </c>
      <c r="B1262" t="s">
        <v>2619</v>
      </c>
      <c r="C1262" t="s">
        <v>2681</v>
      </c>
      <c r="D1262">
        <v>33.659999999999997</v>
      </c>
      <c r="E1262">
        <v>0.18</v>
      </c>
      <c r="F1262">
        <v>54.5</v>
      </c>
      <c r="G1262" t="b">
        <v>1</v>
      </c>
      <c r="H1262" t="b">
        <v>1</v>
      </c>
      <c r="I1262">
        <v>321</v>
      </c>
      <c r="J1262">
        <v>1.532219570405728</v>
      </c>
    </row>
    <row r="1263" spans="1:10" x14ac:dyDescent="0.3">
      <c r="A1263" t="s">
        <v>1841</v>
      </c>
      <c r="B1263" t="s">
        <v>1937</v>
      </c>
      <c r="C1263" t="s">
        <v>2619</v>
      </c>
      <c r="D1263">
        <v>60.15</v>
      </c>
      <c r="E1263">
        <v>0.18</v>
      </c>
      <c r="F1263">
        <v>54.5</v>
      </c>
      <c r="G1263" t="b">
        <v>1</v>
      </c>
      <c r="H1263" t="b">
        <v>1</v>
      </c>
      <c r="I1263">
        <v>321</v>
      </c>
      <c r="J1263">
        <v>1.532219570405728</v>
      </c>
    </row>
    <row r="1264" spans="1:10" x14ac:dyDescent="0.3">
      <c r="A1264" t="s">
        <v>1842</v>
      </c>
      <c r="B1264" t="s">
        <v>2636</v>
      </c>
      <c r="C1264" t="s">
        <v>2610</v>
      </c>
      <c r="D1264">
        <v>75</v>
      </c>
      <c r="E1264">
        <v>0.20499999999999999</v>
      </c>
      <c r="F1264">
        <v>70.3</v>
      </c>
      <c r="G1264" t="b">
        <v>1</v>
      </c>
      <c r="H1264" t="b">
        <v>1</v>
      </c>
      <c r="I1264">
        <v>630</v>
      </c>
      <c r="J1264">
        <v>3.007159904534606</v>
      </c>
    </row>
    <row r="1265" spans="1:10" x14ac:dyDescent="0.3">
      <c r="A1265" t="s">
        <v>1843</v>
      </c>
      <c r="B1265" t="s">
        <v>2637</v>
      </c>
      <c r="C1265" t="s">
        <v>2581</v>
      </c>
      <c r="D1265">
        <v>55.7</v>
      </c>
      <c r="E1265">
        <v>0.20499999999999999</v>
      </c>
      <c r="F1265">
        <v>70.3</v>
      </c>
      <c r="G1265" t="b">
        <v>1</v>
      </c>
      <c r="H1265" t="b">
        <v>1</v>
      </c>
      <c r="I1265">
        <v>630</v>
      </c>
      <c r="J1265">
        <v>3.007159904534606</v>
      </c>
    </row>
    <row r="1266" spans="1:10" x14ac:dyDescent="0.3">
      <c r="A1266" t="s">
        <v>1844</v>
      </c>
      <c r="B1266" t="s">
        <v>2359</v>
      </c>
      <c r="C1266" t="s">
        <v>2636</v>
      </c>
      <c r="D1266">
        <v>27.1</v>
      </c>
      <c r="E1266">
        <v>0.20499999999999999</v>
      </c>
      <c r="F1266">
        <v>70.3</v>
      </c>
      <c r="G1266" t="b">
        <v>1</v>
      </c>
      <c r="H1266" t="b">
        <v>1</v>
      </c>
      <c r="I1266">
        <v>630</v>
      </c>
      <c r="J1266">
        <v>3.007159904534606</v>
      </c>
    </row>
    <row r="1267" spans="1:10" x14ac:dyDescent="0.3">
      <c r="A1267" t="s">
        <v>1845</v>
      </c>
      <c r="B1267" t="s">
        <v>2580</v>
      </c>
      <c r="C1267" t="s">
        <v>2629</v>
      </c>
      <c r="D1267">
        <v>251.98</v>
      </c>
      <c r="E1267">
        <v>0.217</v>
      </c>
      <c r="F1267">
        <v>82.5</v>
      </c>
      <c r="G1267" t="b">
        <v>1</v>
      </c>
      <c r="H1267" t="b">
        <v>1</v>
      </c>
      <c r="I1267">
        <v>962</v>
      </c>
      <c r="J1267">
        <v>4.5918854415274453</v>
      </c>
    </row>
    <row r="1268" spans="1:10" x14ac:dyDescent="0.3">
      <c r="A1268" t="s">
        <v>1846</v>
      </c>
      <c r="B1268" t="s">
        <v>2556</v>
      </c>
      <c r="C1268" t="s">
        <v>2580</v>
      </c>
      <c r="D1268">
        <v>77.59</v>
      </c>
      <c r="E1268">
        <v>0.217</v>
      </c>
      <c r="F1268">
        <v>82.5</v>
      </c>
      <c r="G1268" t="b">
        <v>1</v>
      </c>
      <c r="H1268" t="b">
        <v>1</v>
      </c>
      <c r="I1268">
        <v>962</v>
      </c>
      <c r="J1268">
        <v>4.5918854415274453</v>
      </c>
    </row>
    <row r="1269" spans="1:10" x14ac:dyDescent="0.3">
      <c r="A1269" t="s">
        <v>1847</v>
      </c>
      <c r="B1269" t="s">
        <v>2629</v>
      </c>
      <c r="C1269" t="s">
        <v>1968</v>
      </c>
      <c r="D1269">
        <v>126.11</v>
      </c>
      <c r="E1269">
        <v>0.217</v>
      </c>
      <c r="F1269">
        <v>82.5</v>
      </c>
      <c r="G1269" t="b">
        <v>1</v>
      </c>
      <c r="H1269" t="b">
        <v>1</v>
      </c>
      <c r="I1269">
        <v>962</v>
      </c>
      <c r="J1269">
        <v>4.5918854415274453</v>
      </c>
    </row>
    <row r="1270" spans="1:10" x14ac:dyDescent="0.3">
      <c r="A1270" t="s">
        <v>1848</v>
      </c>
      <c r="B1270" t="s">
        <v>2057</v>
      </c>
      <c r="C1270" t="s">
        <v>2620</v>
      </c>
      <c r="D1270">
        <v>2.93</v>
      </c>
      <c r="E1270">
        <v>0.41099999999999998</v>
      </c>
      <c r="F1270">
        <v>312.7</v>
      </c>
      <c r="G1270" t="b">
        <v>1</v>
      </c>
      <c r="H1270" t="b">
        <v>1</v>
      </c>
      <c r="I1270">
        <v>31872</v>
      </c>
      <c r="J1270">
        <v>152.1336515513126</v>
      </c>
    </row>
    <row r="1271" spans="1:10" x14ac:dyDescent="0.3">
      <c r="A1271" t="s">
        <v>1849</v>
      </c>
      <c r="B1271" t="s">
        <v>2604</v>
      </c>
      <c r="C1271" t="s">
        <v>1983</v>
      </c>
      <c r="D1271">
        <v>35.880000000000003</v>
      </c>
      <c r="E1271">
        <v>0.29299999999999998</v>
      </c>
      <c r="F1271">
        <v>210.1</v>
      </c>
      <c r="G1271" t="b">
        <v>1</v>
      </c>
      <c r="H1271" t="b">
        <v>1</v>
      </c>
      <c r="I1271">
        <v>11253</v>
      </c>
      <c r="J1271">
        <v>53.713603818615738</v>
      </c>
    </row>
    <row r="1272" spans="1:10" x14ac:dyDescent="0.3">
      <c r="A1272" t="s">
        <v>1850</v>
      </c>
      <c r="B1272" t="s">
        <v>2090</v>
      </c>
      <c r="C1272" t="s">
        <v>2257</v>
      </c>
      <c r="D1272">
        <v>27.2</v>
      </c>
      <c r="E1272">
        <v>0.22500000000000001</v>
      </c>
      <c r="F1272">
        <v>107.1</v>
      </c>
      <c r="G1272" t="b">
        <v>1</v>
      </c>
      <c r="H1272" t="b">
        <v>1</v>
      </c>
      <c r="I1272">
        <v>1915</v>
      </c>
      <c r="J1272">
        <v>9.1408114558472544</v>
      </c>
    </row>
    <row r="1273" spans="1:10" x14ac:dyDescent="0.3">
      <c r="A1273" t="s">
        <v>1851</v>
      </c>
      <c r="B1273" t="s">
        <v>2623</v>
      </c>
      <c r="C1273" t="s">
        <v>2573</v>
      </c>
      <c r="D1273">
        <v>315.33</v>
      </c>
      <c r="E1273">
        <v>0.40400000000000003</v>
      </c>
      <c r="F1273">
        <v>393.8</v>
      </c>
      <c r="G1273" t="b">
        <v>1</v>
      </c>
      <c r="H1273" t="b">
        <v>1</v>
      </c>
      <c r="I1273">
        <v>58221</v>
      </c>
      <c r="J1273">
        <v>277.90453460620517</v>
      </c>
    </row>
    <row r="1274" spans="1:10" x14ac:dyDescent="0.3">
      <c r="A1274" t="s">
        <v>1852</v>
      </c>
      <c r="B1274" t="s">
        <v>2620</v>
      </c>
      <c r="C1274" t="s">
        <v>2182</v>
      </c>
      <c r="D1274">
        <v>152.53</v>
      </c>
      <c r="E1274">
        <v>0.41099999999999998</v>
      </c>
      <c r="F1274">
        <v>312.7</v>
      </c>
      <c r="G1274" t="b">
        <v>1</v>
      </c>
      <c r="H1274" t="b">
        <v>1</v>
      </c>
      <c r="I1274">
        <v>31872</v>
      </c>
      <c r="J1274">
        <v>152.1336515513126</v>
      </c>
    </row>
    <row r="1275" spans="1:10" x14ac:dyDescent="0.3">
      <c r="A1275" t="s">
        <v>1853</v>
      </c>
      <c r="B1275" t="s">
        <v>2244</v>
      </c>
      <c r="C1275" t="s">
        <v>2257</v>
      </c>
      <c r="D1275">
        <v>57.23</v>
      </c>
      <c r="E1275">
        <v>0.22500000000000001</v>
      </c>
      <c r="F1275">
        <v>107.1</v>
      </c>
      <c r="G1275" t="b">
        <v>1</v>
      </c>
      <c r="H1275" t="b">
        <v>1</v>
      </c>
      <c r="I1275">
        <v>1915</v>
      </c>
      <c r="J1275">
        <v>9.1408114558472544</v>
      </c>
    </row>
    <row r="1276" spans="1:10" x14ac:dyDescent="0.3">
      <c r="A1276" t="s">
        <v>1854</v>
      </c>
      <c r="B1276" t="s">
        <v>2573</v>
      </c>
      <c r="C1276" t="s">
        <v>2001</v>
      </c>
      <c r="D1276">
        <v>287.33</v>
      </c>
      <c r="E1276">
        <v>0.40400000000000003</v>
      </c>
      <c r="F1276">
        <v>393.8</v>
      </c>
      <c r="G1276" t="b">
        <v>1</v>
      </c>
      <c r="H1276" t="b">
        <v>1</v>
      </c>
      <c r="I1276">
        <v>58221</v>
      </c>
      <c r="J1276">
        <v>277.90453460620517</v>
      </c>
    </row>
    <row r="1277" spans="1:10" x14ac:dyDescent="0.3">
      <c r="A1277" t="s">
        <v>1855</v>
      </c>
      <c r="B1277" t="s">
        <v>2147</v>
      </c>
      <c r="C1277" t="s">
        <v>2575</v>
      </c>
      <c r="D1277">
        <v>75.05</v>
      </c>
      <c r="E1277">
        <v>0.25900000000000001</v>
      </c>
      <c r="F1277">
        <v>82.5</v>
      </c>
      <c r="G1277" t="b">
        <v>1</v>
      </c>
      <c r="H1277" t="b">
        <v>1</v>
      </c>
      <c r="I1277">
        <v>962</v>
      </c>
      <c r="J1277">
        <v>4.5918854415274453</v>
      </c>
    </row>
    <row r="1278" spans="1:10" x14ac:dyDescent="0.3">
      <c r="A1278" t="s">
        <v>1856</v>
      </c>
      <c r="B1278" t="s">
        <v>2333</v>
      </c>
      <c r="C1278" t="s">
        <v>2338</v>
      </c>
      <c r="D1278">
        <v>109.3</v>
      </c>
      <c r="E1278">
        <v>0.30299999999999999</v>
      </c>
      <c r="F1278">
        <v>107.1</v>
      </c>
      <c r="G1278" t="b">
        <v>1</v>
      </c>
      <c r="H1278" t="b">
        <v>1</v>
      </c>
      <c r="I1278">
        <v>1915</v>
      </c>
      <c r="J1278">
        <v>9.1408114558472544</v>
      </c>
    </row>
    <row r="1279" spans="1:10" x14ac:dyDescent="0.3">
      <c r="A1279" t="s">
        <v>1857</v>
      </c>
      <c r="B1279" t="s">
        <v>2563</v>
      </c>
      <c r="C1279" t="s">
        <v>2306</v>
      </c>
      <c r="D1279">
        <v>100.71</v>
      </c>
      <c r="E1279">
        <v>0.217</v>
      </c>
      <c r="F1279">
        <v>82.5</v>
      </c>
      <c r="G1279" t="b">
        <v>1</v>
      </c>
      <c r="H1279" t="b">
        <v>1</v>
      </c>
      <c r="I1279">
        <v>962</v>
      </c>
      <c r="J1279">
        <v>4.5918854415274453</v>
      </c>
    </row>
    <row r="1280" spans="1:10" x14ac:dyDescent="0.3">
      <c r="A1280" t="s">
        <v>1858</v>
      </c>
      <c r="B1280" t="s">
        <v>2638</v>
      </c>
      <c r="C1280" t="s">
        <v>2633</v>
      </c>
      <c r="D1280">
        <v>158.93</v>
      </c>
      <c r="E1280">
        <v>0.30299999999999999</v>
      </c>
      <c r="F1280">
        <v>107.1</v>
      </c>
      <c r="G1280" t="b">
        <v>1</v>
      </c>
      <c r="H1280" t="b">
        <v>1</v>
      </c>
      <c r="I1280">
        <v>1915</v>
      </c>
      <c r="J1280">
        <v>9.1408114558472544</v>
      </c>
    </row>
    <row r="1281" spans="1:10" x14ac:dyDescent="0.3">
      <c r="A1281" t="s">
        <v>1859</v>
      </c>
      <c r="B1281" t="s">
        <v>2170</v>
      </c>
      <c r="C1281" t="s">
        <v>2294</v>
      </c>
      <c r="D1281">
        <v>210.04</v>
      </c>
      <c r="E1281">
        <v>0.30299999999999999</v>
      </c>
      <c r="F1281">
        <v>107.1</v>
      </c>
      <c r="G1281" t="b">
        <v>1</v>
      </c>
      <c r="H1281" t="b">
        <v>1</v>
      </c>
      <c r="I1281">
        <v>1915</v>
      </c>
      <c r="J1281">
        <v>9.1408114558472544</v>
      </c>
    </row>
    <row r="1282" spans="1:10" x14ac:dyDescent="0.3">
      <c r="A1282" t="s">
        <v>1860</v>
      </c>
      <c r="B1282" t="s">
        <v>2639</v>
      </c>
      <c r="C1282" t="s">
        <v>208</v>
      </c>
      <c r="D1282">
        <v>43.11</v>
      </c>
      <c r="E1282">
        <v>0.21299999999999999</v>
      </c>
      <c r="F1282">
        <v>54.5</v>
      </c>
      <c r="G1282" t="b">
        <v>1</v>
      </c>
      <c r="H1282" t="b">
        <v>1</v>
      </c>
      <c r="I1282">
        <v>321</v>
      </c>
      <c r="J1282">
        <v>1.532219570405728</v>
      </c>
    </row>
    <row r="1283" spans="1:10" x14ac:dyDescent="0.3">
      <c r="A1283" t="s">
        <v>1861</v>
      </c>
      <c r="B1283" t="s">
        <v>2579</v>
      </c>
      <c r="C1283" t="s">
        <v>2586</v>
      </c>
      <c r="D1283">
        <v>95.31</v>
      </c>
      <c r="E1283">
        <v>0.25900000000000001</v>
      </c>
      <c r="F1283">
        <v>82.5</v>
      </c>
      <c r="G1283" t="b">
        <v>1</v>
      </c>
      <c r="H1283" t="b">
        <v>1</v>
      </c>
      <c r="I1283">
        <v>962</v>
      </c>
      <c r="J1283">
        <v>4.5918854415274453</v>
      </c>
    </row>
    <row r="1284" spans="1:10" x14ac:dyDescent="0.3">
      <c r="A1284" t="s">
        <v>1862</v>
      </c>
      <c r="B1284" t="s">
        <v>2638</v>
      </c>
      <c r="C1284" t="s">
        <v>192</v>
      </c>
      <c r="D1284">
        <v>9.5500000000000007</v>
      </c>
      <c r="E1284">
        <v>1</v>
      </c>
      <c r="F1284">
        <v>100</v>
      </c>
      <c r="G1284" t="b">
        <v>1</v>
      </c>
      <c r="H1284" t="b">
        <v>1</v>
      </c>
      <c r="I1284">
        <v>1915</v>
      </c>
      <c r="J1284">
        <v>9.1408114558472544</v>
      </c>
    </row>
    <row r="1285" spans="1:10" x14ac:dyDescent="0.3">
      <c r="A1285" t="s">
        <v>1863</v>
      </c>
      <c r="B1285" t="s">
        <v>2327</v>
      </c>
      <c r="C1285" t="s">
        <v>2609</v>
      </c>
      <c r="D1285">
        <v>87.61</v>
      </c>
      <c r="E1285">
        <v>0.30299999999999999</v>
      </c>
      <c r="F1285">
        <v>107.1</v>
      </c>
      <c r="G1285" t="b">
        <v>1</v>
      </c>
      <c r="H1285" t="b">
        <v>1</v>
      </c>
      <c r="I1285">
        <v>1915</v>
      </c>
      <c r="J1285">
        <v>9.1408114558472544</v>
      </c>
    </row>
    <row r="1286" spans="1:10" x14ac:dyDescent="0.3">
      <c r="A1286" t="s">
        <v>1864</v>
      </c>
      <c r="B1286" t="s">
        <v>2309</v>
      </c>
      <c r="C1286" t="s">
        <v>183</v>
      </c>
      <c r="D1286">
        <v>30.02</v>
      </c>
      <c r="E1286">
        <v>0.21299999999999999</v>
      </c>
      <c r="F1286">
        <v>54.5</v>
      </c>
      <c r="G1286" t="b">
        <v>1</v>
      </c>
      <c r="H1286" t="b">
        <v>1</v>
      </c>
      <c r="I1286">
        <v>321</v>
      </c>
      <c r="J1286">
        <v>1.532219570405728</v>
      </c>
    </row>
    <row r="1287" spans="1:10" x14ac:dyDescent="0.3">
      <c r="A1287" t="s">
        <v>1865</v>
      </c>
      <c r="B1287" t="s">
        <v>2037</v>
      </c>
      <c r="C1287" t="s">
        <v>2676</v>
      </c>
      <c r="D1287">
        <v>31.98</v>
      </c>
      <c r="E1287">
        <v>0.254</v>
      </c>
      <c r="F1287">
        <v>132.5</v>
      </c>
      <c r="G1287" t="b">
        <v>1</v>
      </c>
      <c r="H1287" t="b">
        <v>1</v>
      </c>
      <c r="I1287">
        <v>3354</v>
      </c>
      <c r="J1287">
        <v>16.009546539379471</v>
      </c>
    </row>
    <row r="1288" spans="1:10" x14ac:dyDescent="0.3">
      <c r="A1288" t="s">
        <v>1866</v>
      </c>
      <c r="B1288" t="s">
        <v>2586</v>
      </c>
      <c r="C1288" t="s">
        <v>2339</v>
      </c>
      <c r="D1288">
        <v>40.6</v>
      </c>
      <c r="E1288">
        <v>0.25900000000000001</v>
      </c>
      <c r="F1288">
        <v>82.5</v>
      </c>
      <c r="G1288" t="b">
        <v>1</v>
      </c>
      <c r="H1288" t="b">
        <v>1</v>
      </c>
      <c r="I1288">
        <v>962</v>
      </c>
      <c r="J1288">
        <v>4.5918854415274453</v>
      </c>
    </row>
    <row r="1289" spans="1:10" x14ac:dyDescent="0.3">
      <c r="A1289" t="s">
        <v>1867</v>
      </c>
      <c r="B1289" t="s">
        <v>195</v>
      </c>
      <c r="C1289" t="s">
        <v>2675</v>
      </c>
      <c r="D1289">
        <v>43.73</v>
      </c>
      <c r="E1289">
        <v>0.191</v>
      </c>
      <c r="F1289">
        <v>43.1</v>
      </c>
      <c r="G1289" t="b">
        <v>1</v>
      </c>
      <c r="H1289" t="b">
        <v>1</v>
      </c>
      <c r="I1289">
        <v>172</v>
      </c>
      <c r="J1289">
        <v>0.82100238663484471</v>
      </c>
    </row>
    <row r="1290" spans="1:10" x14ac:dyDescent="0.3">
      <c r="A1290" t="s">
        <v>1868</v>
      </c>
      <c r="B1290" t="s">
        <v>2430</v>
      </c>
      <c r="C1290" t="s">
        <v>2682</v>
      </c>
      <c r="D1290">
        <v>1.88</v>
      </c>
      <c r="E1290">
        <v>0.18</v>
      </c>
      <c r="F1290">
        <v>54.5</v>
      </c>
      <c r="G1290" t="b">
        <v>1</v>
      </c>
      <c r="H1290" t="b">
        <v>1</v>
      </c>
      <c r="I1290">
        <v>321</v>
      </c>
      <c r="J1290">
        <v>1.532219570405728</v>
      </c>
    </row>
    <row r="1291" spans="1:10" x14ac:dyDescent="0.3">
      <c r="A1291" t="s">
        <v>1869</v>
      </c>
      <c r="B1291" t="s">
        <v>2640</v>
      </c>
      <c r="C1291" t="s">
        <v>103</v>
      </c>
      <c r="D1291">
        <v>11.6</v>
      </c>
      <c r="E1291">
        <v>1</v>
      </c>
      <c r="F1291">
        <v>100</v>
      </c>
      <c r="G1291" t="b">
        <v>1</v>
      </c>
      <c r="H1291" t="b">
        <v>1</v>
      </c>
      <c r="I1291">
        <v>1915</v>
      </c>
      <c r="J1291">
        <v>9.1408114558472544</v>
      </c>
    </row>
    <row r="1292" spans="1:10" x14ac:dyDescent="0.3">
      <c r="A1292" t="s">
        <v>1870</v>
      </c>
      <c r="B1292" t="s">
        <v>2641</v>
      </c>
      <c r="C1292" t="s">
        <v>149</v>
      </c>
      <c r="D1292">
        <v>15.45</v>
      </c>
      <c r="E1292">
        <v>0.191</v>
      </c>
      <c r="F1292">
        <v>43.1</v>
      </c>
      <c r="G1292" t="b">
        <v>1</v>
      </c>
      <c r="H1292" t="b">
        <v>1</v>
      </c>
      <c r="I1292">
        <v>172</v>
      </c>
      <c r="J1292">
        <v>0.82100238663484471</v>
      </c>
    </row>
    <row r="1293" spans="1:10" x14ac:dyDescent="0.3">
      <c r="A1293" t="s">
        <v>1871</v>
      </c>
      <c r="B1293" t="s">
        <v>2617</v>
      </c>
      <c r="C1293" t="s">
        <v>2646</v>
      </c>
      <c r="D1293">
        <v>14.54</v>
      </c>
      <c r="E1293">
        <v>0.25900000000000001</v>
      </c>
      <c r="F1293">
        <v>82.5</v>
      </c>
      <c r="G1293" t="b">
        <v>1</v>
      </c>
      <c r="H1293" t="b">
        <v>1</v>
      </c>
      <c r="I1293">
        <v>962</v>
      </c>
      <c r="J1293">
        <v>4.5918854415274453</v>
      </c>
    </row>
    <row r="1294" spans="1:10" x14ac:dyDescent="0.3">
      <c r="A1294" t="s">
        <v>1872</v>
      </c>
      <c r="B1294" t="s">
        <v>2642</v>
      </c>
      <c r="C1294" t="s">
        <v>441</v>
      </c>
      <c r="D1294">
        <v>15.58</v>
      </c>
      <c r="E1294">
        <v>0.21299999999999999</v>
      </c>
      <c r="F1294">
        <v>54.5</v>
      </c>
      <c r="G1294" t="b">
        <v>1</v>
      </c>
      <c r="H1294" t="b">
        <v>1</v>
      </c>
      <c r="I1294">
        <v>321</v>
      </c>
      <c r="J1294">
        <v>1.532219570405728</v>
      </c>
    </row>
    <row r="1295" spans="1:10" x14ac:dyDescent="0.3">
      <c r="A1295" t="s">
        <v>1873</v>
      </c>
      <c r="B1295" t="s">
        <v>2582</v>
      </c>
      <c r="C1295" t="s">
        <v>2642</v>
      </c>
      <c r="D1295">
        <v>33.93</v>
      </c>
      <c r="E1295">
        <v>0.248</v>
      </c>
      <c r="F1295">
        <v>70.3</v>
      </c>
      <c r="G1295" t="b">
        <v>1</v>
      </c>
      <c r="H1295" t="b">
        <v>1</v>
      </c>
      <c r="I1295">
        <v>630</v>
      </c>
      <c r="J1295">
        <v>3.007159904534606</v>
      </c>
    </row>
    <row r="1296" spans="1:10" x14ac:dyDescent="0.3">
      <c r="A1296" t="s">
        <v>1874</v>
      </c>
      <c r="B1296" t="s">
        <v>2643</v>
      </c>
      <c r="C1296" t="s">
        <v>2582</v>
      </c>
      <c r="D1296">
        <v>54.3</v>
      </c>
      <c r="E1296">
        <v>0.248</v>
      </c>
      <c r="F1296">
        <v>70.3</v>
      </c>
      <c r="G1296" t="b">
        <v>1</v>
      </c>
      <c r="H1296" t="b">
        <v>1</v>
      </c>
      <c r="I1296">
        <v>630</v>
      </c>
      <c r="J1296">
        <v>3.007159904534606</v>
      </c>
    </row>
    <row r="1297" spans="1:10" x14ac:dyDescent="0.3">
      <c r="A1297" t="s">
        <v>1875</v>
      </c>
      <c r="B1297" t="s">
        <v>2643</v>
      </c>
      <c r="C1297" t="s">
        <v>2617</v>
      </c>
      <c r="D1297">
        <v>71.47</v>
      </c>
      <c r="E1297">
        <v>0.25900000000000001</v>
      </c>
      <c r="F1297">
        <v>82.5</v>
      </c>
      <c r="G1297" t="b">
        <v>1</v>
      </c>
      <c r="H1297" t="b">
        <v>1</v>
      </c>
      <c r="I1297">
        <v>962</v>
      </c>
      <c r="J1297">
        <v>4.5918854415274453</v>
      </c>
    </row>
    <row r="1298" spans="1:10" x14ac:dyDescent="0.3">
      <c r="A1298" t="s">
        <v>1876</v>
      </c>
      <c r="B1298" t="s">
        <v>2644</v>
      </c>
      <c r="C1298" t="s">
        <v>165</v>
      </c>
      <c r="D1298">
        <v>64.849999999999994</v>
      </c>
      <c r="E1298">
        <v>0.25900000000000001</v>
      </c>
      <c r="F1298">
        <v>82.5</v>
      </c>
      <c r="G1298" t="b">
        <v>1</v>
      </c>
      <c r="H1298" t="b">
        <v>1</v>
      </c>
      <c r="I1298">
        <v>962</v>
      </c>
      <c r="J1298">
        <v>4.5918854415274453</v>
      </c>
    </row>
    <row r="1299" spans="1:10" x14ac:dyDescent="0.3">
      <c r="A1299" t="s">
        <v>1877</v>
      </c>
      <c r="B1299" t="s">
        <v>2640</v>
      </c>
      <c r="C1299" t="s">
        <v>504</v>
      </c>
      <c r="D1299">
        <v>6.92</v>
      </c>
      <c r="E1299">
        <v>1</v>
      </c>
      <c r="F1299">
        <v>100</v>
      </c>
      <c r="G1299" t="b">
        <v>1</v>
      </c>
      <c r="H1299" t="b">
        <v>1</v>
      </c>
      <c r="I1299">
        <v>1915</v>
      </c>
      <c r="J1299">
        <v>9.1408114558472544</v>
      </c>
    </row>
    <row r="1300" spans="1:10" x14ac:dyDescent="0.3">
      <c r="A1300" t="s">
        <v>1878</v>
      </c>
      <c r="B1300" t="s">
        <v>2645</v>
      </c>
      <c r="C1300" t="s">
        <v>2640</v>
      </c>
      <c r="D1300">
        <v>0.55000000000000004</v>
      </c>
      <c r="E1300">
        <v>1</v>
      </c>
      <c r="F1300">
        <v>100</v>
      </c>
      <c r="G1300" t="b">
        <v>1</v>
      </c>
      <c r="H1300" t="b">
        <v>1</v>
      </c>
      <c r="I1300">
        <v>1915</v>
      </c>
      <c r="J1300">
        <v>9.1408114558472544</v>
      </c>
    </row>
    <row r="1301" spans="1:10" x14ac:dyDescent="0.3">
      <c r="A1301" t="s">
        <v>1879</v>
      </c>
      <c r="B1301" t="s">
        <v>2495</v>
      </c>
      <c r="C1301" t="s">
        <v>2608</v>
      </c>
      <c r="D1301">
        <v>19.34</v>
      </c>
      <c r="E1301">
        <v>0.18</v>
      </c>
      <c r="F1301">
        <v>54.5</v>
      </c>
      <c r="G1301" t="b">
        <v>1</v>
      </c>
      <c r="H1301" t="b">
        <v>1</v>
      </c>
      <c r="I1301">
        <v>321</v>
      </c>
      <c r="J1301">
        <v>1.532219570405728</v>
      </c>
    </row>
    <row r="1302" spans="1:10" x14ac:dyDescent="0.3">
      <c r="A1302" t="s">
        <v>1880</v>
      </c>
      <c r="B1302" t="s">
        <v>2646</v>
      </c>
      <c r="C1302" t="s">
        <v>2632</v>
      </c>
      <c r="D1302">
        <v>142.68</v>
      </c>
      <c r="E1302">
        <v>0.436</v>
      </c>
      <c r="F1302">
        <v>160.30000000000001</v>
      </c>
      <c r="G1302" t="b">
        <v>1</v>
      </c>
      <c r="H1302" t="b">
        <v>1</v>
      </c>
      <c r="I1302">
        <v>5533</v>
      </c>
      <c r="J1302">
        <v>26.410501193317419</v>
      </c>
    </row>
    <row r="1303" spans="1:10" x14ac:dyDescent="0.3">
      <c r="A1303" t="s">
        <v>1881</v>
      </c>
      <c r="B1303" t="s">
        <v>2593</v>
      </c>
      <c r="C1303" t="s">
        <v>1921</v>
      </c>
      <c r="D1303">
        <v>91.1</v>
      </c>
      <c r="E1303">
        <v>0.36399999999999999</v>
      </c>
      <c r="F1303">
        <v>132.5</v>
      </c>
      <c r="G1303" t="b">
        <v>1</v>
      </c>
      <c r="H1303" t="b">
        <v>1</v>
      </c>
      <c r="I1303">
        <v>3354</v>
      </c>
      <c r="J1303">
        <v>16.009546539379471</v>
      </c>
    </row>
    <row r="1304" spans="1:10" x14ac:dyDescent="0.3">
      <c r="A1304" t="s">
        <v>1882</v>
      </c>
      <c r="B1304" t="s">
        <v>2622</v>
      </c>
      <c r="C1304" t="s">
        <v>2683</v>
      </c>
      <c r="D1304">
        <v>62.68</v>
      </c>
      <c r="E1304">
        <v>0.20499999999999999</v>
      </c>
      <c r="F1304">
        <v>70.3</v>
      </c>
      <c r="G1304" t="b">
        <v>1</v>
      </c>
      <c r="H1304" t="b">
        <v>1</v>
      </c>
      <c r="I1304">
        <v>630</v>
      </c>
      <c r="J1304">
        <v>3.007159904534606</v>
      </c>
    </row>
    <row r="1305" spans="1:10" x14ac:dyDescent="0.3">
      <c r="A1305" t="s">
        <v>1883</v>
      </c>
      <c r="B1305" t="s">
        <v>2621</v>
      </c>
      <c r="C1305" t="s">
        <v>2622</v>
      </c>
      <c r="D1305">
        <v>34.119999999999997</v>
      </c>
      <c r="E1305">
        <v>0.20499999999999999</v>
      </c>
      <c r="F1305">
        <v>70.3</v>
      </c>
      <c r="G1305" t="b">
        <v>1</v>
      </c>
      <c r="H1305" t="b">
        <v>1</v>
      </c>
      <c r="I1305">
        <v>630</v>
      </c>
      <c r="J1305">
        <v>3.007159904534606</v>
      </c>
    </row>
    <row r="1306" spans="1:10" x14ac:dyDescent="0.3">
      <c r="A1306" t="s">
        <v>1884</v>
      </c>
      <c r="B1306" t="s">
        <v>2647</v>
      </c>
      <c r="C1306" t="s">
        <v>2621</v>
      </c>
      <c r="D1306">
        <v>109.01</v>
      </c>
      <c r="E1306">
        <v>0.20499999999999999</v>
      </c>
      <c r="F1306">
        <v>70.3</v>
      </c>
      <c r="G1306" t="b">
        <v>1</v>
      </c>
      <c r="H1306" t="b">
        <v>1</v>
      </c>
      <c r="I1306">
        <v>630</v>
      </c>
      <c r="J1306">
        <v>3.007159904534606</v>
      </c>
    </row>
    <row r="1307" spans="1:10" x14ac:dyDescent="0.3">
      <c r="A1307" t="s">
        <v>1885</v>
      </c>
      <c r="B1307" t="s">
        <v>2605</v>
      </c>
      <c r="C1307" t="s">
        <v>1916</v>
      </c>
      <c r="D1307">
        <v>360.36</v>
      </c>
      <c r="E1307">
        <v>0.35499999999999998</v>
      </c>
      <c r="F1307">
        <v>263</v>
      </c>
      <c r="G1307" t="b">
        <v>1</v>
      </c>
      <c r="H1307" t="b">
        <v>1</v>
      </c>
      <c r="I1307">
        <v>20264</v>
      </c>
      <c r="J1307">
        <v>96.725536992840077</v>
      </c>
    </row>
    <row r="1308" spans="1:10" x14ac:dyDescent="0.3">
      <c r="A1308" t="s">
        <v>1886</v>
      </c>
      <c r="B1308" t="s">
        <v>2632</v>
      </c>
      <c r="C1308" t="s">
        <v>2355</v>
      </c>
      <c r="D1308">
        <v>126.86</v>
      </c>
      <c r="E1308">
        <v>0.436</v>
      </c>
      <c r="F1308">
        <v>160.30000000000001</v>
      </c>
      <c r="G1308" t="b">
        <v>1</v>
      </c>
      <c r="H1308" t="b">
        <v>1</v>
      </c>
      <c r="I1308">
        <v>5533</v>
      </c>
      <c r="J1308">
        <v>26.410501193317419</v>
      </c>
    </row>
    <row r="1309" spans="1:10" x14ac:dyDescent="0.3">
      <c r="A1309" t="s">
        <v>1887</v>
      </c>
      <c r="B1309" t="s">
        <v>2642</v>
      </c>
      <c r="C1309" t="s">
        <v>173</v>
      </c>
      <c r="D1309">
        <v>54.91</v>
      </c>
      <c r="E1309">
        <v>0.248</v>
      </c>
      <c r="F1309">
        <v>70.3</v>
      </c>
      <c r="G1309" t="b">
        <v>1</v>
      </c>
      <c r="H1309" t="b">
        <v>1</v>
      </c>
      <c r="I1309">
        <v>630</v>
      </c>
      <c r="J1309">
        <v>3.007159904534606</v>
      </c>
    </row>
    <row r="1310" spans="1:10" x14ac:dyDescent="0.3">
      <c r="A1310" t="s">
        <v>1888</v>
      </c>
      <c r="B1310" t="s">
        <v>2609</v>
      </c>
      <c r="C1310" t="s">
        <v>2333</v>
      </c>
      <c r="D1310">
        <v>165.28</v>
      </c>
      <c r="E1310">
        <v>0.30299999999999999</v>
      </c>
      <c r="F1310">
        <v>107.1</v>
      </c>
      <c r="G1310" t="b">
        <v>1</v>
      </c>
      <c r="H1310" t="b">
        <v>1</v>
      </c>
      <c r="I1310">
        <v>1915</v>
      </c>
      <c r="J1310">
        <v>9.1408114558472544</v>
      </c>
    </row>
    <row r="1311" spans="1:10" x14ac:dyDescent="0.3">
      <c r="A1311" t="s">
        <v>1889</v>
      </c>
      <c r="B1311" t="s">
        <v>2585</v>
      </c>
      <c r="C1311" t="s">
        <v>2557</v>
      </c>
      <c r="D1311">
        <v>80.55</v>
      </c>
      <c r="E1311">
        <v>0.40400000000000003</v>
      </c>
      <c r="F1311">
        <v>393.8</v>
      </c>
      <c r="G1311" t="b">
        <v>1</v>
      </c>
      <c r="H1311" t="b">
        <v>1</v>
      </c>
      <c r="I1311">
        <v>58221</v>
      </c>
      <c r="J1311">
        <v>277.90453460620517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93"/>
  <sheetViews>
    <sheetView workbookViewId="0"/>
  </sheetViews>
  <sheetFormatPr defaultRowHeight="14.4" x14ac:dyDescent="0.3"/>
  <cols>
    <col min="3" max="3" width="13.77734375" customWidth="1"/>
    <col min="4" max="4" width="16.44140625" customWidth="1"/>
  </cols>
  <sheetData>
    <row r="1" spans="1:5" x14ac:dyDescent="0.3">
      <c r="A1" s="1" t="s">
        <v>0</v>
      </c>
      <c r="B1" s="1" t="s">
        <v>15</v>
      </c>
      <c r="C1" s="1" t="s">
        <v>16</v>
      </c>
      <c r="D1" s="1" t="s">
        <v>2684</v>
      </c>
      <c r="E1" s="1" t="s">
        <v>1</v>
      </c>
    </row>
    <row r="2" spans="1:5" x14ac:dyDescent="0.3">
      <c r="A2" t="s">
        <v>7</v>
      </c>
      <c r="B2">
        <v>366746.81982685701</v>
      </c>
      <c r="C2">
        <v>6670874.75145703</v>
      </c>
      <c r="D2">
        <v>20.596847534179599</v>
      </c>
      <c r="E2" t="s">
        <v>10</v>
      </c>
    </row>
    <row r="3" spans="1:5" x14ac:dyDescent="0.3">
      <c r="A3" t="s">
        <v>8</v>
      </c>
      <c r="B3">
        <v>357050.92578125</v>
      </c>
      <c r="C3">
        <v>6667510.8984375</v>
      </c>
      <c r="D3">
        <v>6.2221808433532697</v>
      </c>
      <c r="E3" t="s">
        <v>10</v>
      </c>
    </row>
    <row r="4" spans="1:5" x14ac:dyDescent="0.3">
      <c r="A4" t="s">
        <v>9</v>
      </c>
      <c r="B4">
        <v>361886.59872538602</v>
      </c>
      <c r="C4">
        <v>6668476.9388550697</v>
      </c>
      <c r="D4">
        <v>14.0860376358032</v>
      </c>
      <c r="E4" t="s">
        <v>10</v>
      </c>
    </row>
    <row r="5" spans="1:5" x14ac:dyDescent="0.3">
      <c r="A5" t="s">
        <v>539</v>
      </c>
      <c r="B5">
        <v>362957.4921875</v>
      </c>
      <c r="C5">
        <v>6672797.78125</v>
      </c>
      <c r="D5">
        <v>22.9532775878906</v>
      </c>
      <c r="E5" t="s">
        <v>2685</v>
      </c>
    </row>
    <row r="6" spans="1:5" x14ac:dyDescent="0.3">
      <c r="A6" t="s">
        <v>1890</v>
      </c>
      <c r="B6">
        <v>364401.515625</v>
      </c>
      <c r="C6">
        <v>6671500.4921875</v>
      </c>
      <c r="D6">
        <v>6.7583656311035103</v>
      </c>
      <c r="E6" t="s">
        <v>2686</v>
      </c>
    </row>
    <row r="7" spans="1:5" x14ac:dyDescent="0.3">
      <c r="A7" t="s">
        <v>418</v>
      </c>
      <c r="B7">
        <v>364377.5</v>
      </c>
      <c r="C7">
        <v>6671497.015625</v>
      </c>
      <c r="D7">
        <v>5.8102293014526296</v>
      </c>
      <c r="E7" t="s">
        <v>2685</v>
      </c>
    </row>
    <row r="8" spans="1:5" x14ac:dyDescent="0.3">
      <c r="A8" t="s">
        <v>2032</v>
      </c>
      <c r="B8">
        <v>358080.99609375</v>
      </c>
      <c r="C8">
        <v>6668891.41796875</v>
      </c>
      <c r="D8">
        <v>16.450466156005799</v>
      </c>
      <c r="E8" t="s">
        <v>2686</v>
      </c>
    </row>
    <row r="9" spans="1:5" x14ac:dyDescent="0.3">
      <c r="A9" t="s">
        <v>223</v>
      </c>
      <c r="B9">
        <v>357586.0703125</v>
      </c>
      <c r="C9">
        <v>6667735.5625</v>
      </c>
      <c r="D9">
        <v>7.79724073410034</v>
      </c>
      <c r="E9" t="s">
        <v>2685</v>
      </c>
    </row>
    <row r="10" spans="1:5" x14ac:dyDescent="0.3">
      <c r="A10" t="s">
        <v>212</v>
      </c>
      <c r="B10">
        <v>363188.46484375</v>
      </c>
      <c r="C10">
        <v>6671720.3203125</v>
      </c>
      <c r="D10">
        <v>15.424109458923301</v>
      </c>
      <c r="E10" t="s">
        <v>2685</v>
      </c>
    </row>
    <row r="11" spans="1:5" x14ac:dyDescent="0.3">
      <c r="A11" t="s">
        <v>1892</v>
      </c>
      <c r="B11">
        <v>363184.234375</v>
      </c>
      <c r="C11">
        <v>6671714.73828125</v>
      </c>
      <c r="D11">
        <v>15.4289531707763</v>
      </c>
      <c r="E11" t="s">
        <v>2686</v>
      </c>
    </row>
    <row r="12" spans="1:5" x14ac:dyDescent="0.3">
      <c r="A12" t="s">
        <v>2543</v>
      </c>
      <c r="B12">
        <v>363070.99609375</v>
      </c>
      <c r="C12">
        <v>6671486.72265625</v>
      </c>
      <c r="D12">
        <v>21.355604171752901</v>
      </c>
      <c r="E12" t="s">
        <v>2686</v>
      </c>
    </row>
    <row r="13" spans="1:5" x14ac:dyDescent="0.3">
      <c r="A13" t="s">
        <v>2648</v>
      </c>
      <c r="B13">
        <v>363087.66796875</v>
      </c>
      <c r="C13">
        <v>6671515.01953125</v>
      </c>
      <c r="D13">
        <v>22.172559738159102</v>
      </c>
      <c r="E13" t="s">
        <v>2686</v>
      </c>
    </row>
    <row r="14" spans="1:5" x14ac:dyDescent="0.3">
      <c r="A14" t="s">
        <v>1893</v>
      </c>
      <c r="B14">
        <v>363094.8046875</v>
      </c>
      <c r="C14">
        <v>6671511.3515625</v>
      </c>
      <c r="D14">
        <v>21.714056015014599</v>
      </c>
      <c r="E14" t="s">
        <v>2686</v>
      </c>
    </row>
    <row r="15" spans="1:5" x14ac:dyDescent="0.3">
      <c r="A15" t="s">
        <v>2544</v>
      </c>
      <c r="B15">
        <v>363157.703125</v>
      </c>
      <c r="C15">
        <v>6671580.2109375</v>
      </c>
      <c r="D15">
        <v>15.9985361099243</v>
      </c>
      <c r="E15" t="s">
        <v>2686</v>
      </c>
    </row>
    <row r="16" spans="1:5" x14ac:dyDescent="0.3">
      <c r="A16" t="s">
        <v>1894</v>
      </c>
      <c r="B16">
        <v>363156.8984375</v>
      </c>
      <c r="C16">
        <v>6671579.3203125</v>
      </c>
      <c r="D16">
        <v>16.0729255676269</v>
      </c>
      <c r="E16" t="s">
        <v>2686</v>
      </c>
    </row>
    <row r="17" spans="1:5" x14ac:dyDescent="0.3">
      <c r="A17" t="s">
        <v>2362</v>
      </c>
      <c r="B17">
        <v>363157.17578125</v>
      </c>
      <c r="C17">
        <v>6671579.59765625</v>
      </c>
      <c r="D17">
        <v>16.047080993652301</v>
      </c>
      <c r="E17" t="s">
        <v>2686</v>
      </c>
    </row>
    <row r="18" spans="1:5" x14ac:dyDescent="0.3">
      <c r="A18" t="s">
        <v>1895</v>
      </c>
      <c r="B18">
        <v>359799.1953125</v>
      </c>
      <c r="C18">
        <v>6667611.90234375</v>
      </c>
      <c r="D18">
        <v>11.5751962661743</v>
      </c>
      <c r="E18" t="s">
        <v>2686</v>
      </c>
    </row>
    <row r="19" spans="1:5" x14ac:dyDescent="0.3">
      <c r="A19" t="s">
        <v>210</v>
      </c>
      <c r="B19">
        <v>357977.05078125</v>
      </c>
      <c r="C19">
        <v>6669012.234375</v>
      </c>
      <c r="D19">
        <v>18.6289043426513</v>
      </c>
      <c r="E19" t="s">
        <v>2685</v>
      </c>
    </row>
    <row r="20" spans="1:5" x14ac:dyDescent="0.3">
      <c r="A20" t="s">
        <v>1896</v>
      </c>
      <c r="B20">
        <v>357975.01171875</v>
      </c>
      <c r="C20">
        <v>6668977.48046875</v>
      </c>
      <c r="D20">
        <v>19.2133884429931</v>
      </c>
      <c r="E20" t="s">
        <v>2686</v>
      </c>
    </row>
    <row r="21" spans="1:5" x14ac:dyDescent="0.3">
      <c r="A21" t="s">
        <v>202</v>
      </c>
      <c r="B21">
        <v>357925.03125</v>
      </c>
      <c r="C21">
        <v>6669006.9609375</v>
      </c>
      <c r="D21">
        <v>18.6796264648437</v>
      </c>
      <c r="E21" t="s">
        <v>2685</v>
      </c>
    </row>
    <row r="22" spans="1:5" x14ac:dyDescent="0.3">
      <c r="A22" t="s">
        <v>1897</v>
      </c>
      <c r="B22">
        <v>357973.74609375</v>
      </c>
      <c r="C22">
        <v>6668973.68359375</v>
      </c>
      <c r="D22">
        <v>19.153444290161101</v>
      </c>
      <c r="E22" t="s">
        <v>2686</v>
      </c>
    </row>
    <row r="23" spans="1:5" x14ac:dyDescent="0.3">
      <c r="A23" t="s">
        <v>1898</v>
      </c>
      <c r="B23">
        <v>363071.7265625</v>
      </c>
      <c r="C23">
        <v>6671487.5234375</v>
      </c>
      <c r="D23">
        <v>21.379625320434499</v>
      </c>
      <c r="E23" t="s">
        <v>2686</v>
      </c>
    </row>
    <row r="24" spans="1:5" x14ac:dyDescent="0.3">
      <c r="A24" t="s">
        <v>1900</v>
      </c>
      <c r="B24">
        <v>363086.85546875</v>
      </c>
      <c r="C24">
        <v>6671469.4375</v>
      </c>
      <c r="D24">
        <v>20.504449844360298</v>
      </c>
      <c r="E24" t="s">
        <v>2686</v>
      </c>
    </row>
    <row r="25" spans="1:5" x14ac:dyDescent="0.3">
      <c r="A25" t="s">
        <v>446</v>
      </c>
      <c r="B25">
        <v>363060.69140625</v>
      </c>
      <c r="C25">
        <v>6671435.6015625</v>
      </c>
      <c r="D25">
        <v>19.610172271728501</v>
      </c>
      <c r="E25" t="s">
        <v>2685</v>
      </c>
    </row>
    <row r="26" spans="1:5" x14ac:dyDescent="0.3">
      <c r="A26" t="s">
        <v>444</v>
      </c>
      <c r="B26">
        <v>356014.85546875</v>
      </c>
      <c r="C26">
        <v>6663694.68359375</v>
      </c>
      <c r="D26">
        <v>9.1375856399536097</v>
      </c>
      <c r="E26" t="s">
        <v>2685</v>
      </c>
    </row>
    <row r="27" spans="1:5" x14ac:dyDescent="0.3">
      <c r="A27" t="s">
        <v>1899</v>
      </c>
      <c r="B27">
        <v>356030.5859375</v>
      </c>
      <c r="C27">
        <v>6663710.39453125</v>
      </c>
      <c r="D27">
        <v>6.5838732719421298</v>
      </c>
      <c r="E27" t="s">
        <v>2686</v>
      </c>
    </row>
    <row r="28" spans="1:5" x14ac:dyDescent="0.3">
      <c r="A28" t="s">
        <v>443</v>
      </c>
      <c r="B28">
        <v>359775.76171875</v>
      </c>
      <c r="C28">
        <v>6667641.39453125</v>
      </c>
      <c r="D28">
        <v>15.034873962402299</v>
      </c>
      <c r="E28" t="s">
        <v>2685</v>
      </c>
    </row>
    <row r="29" spans="1:5" x14ac:dyDescent="0.3">
      <c r="A29" t="s">
        <v>1891</v>
      </c>
      <c r="B29">
        <v>357605.48046875</v>
      </c>
      <c r="C29">
        <v>6667699.92578125</v>
      </c>
      <c r="D29">
        <v>7.7167448997497496</v>
      </c>
      <c r="E29" t="s">
        <v>2686</v>
      </c>
    </row>
    <row r="30" spans="1:5" x14ac:dyDescent="0.3">
      <c r="A30" t="s">
        <v>2453</v>
      </c>
      <c r="B30">
        <v>357637.546875</v>
      </c>
      <c r="C30">
        <v>6667718.32421875</v>
      </c>
      <c r="D30">
        <v>7.8781423568725497</v>
      </c>
      <c r="E30" t="s">
        <v>2686</v>
      </c>
    </row>
    <row r="31" spans="1:5" x14ac:dyDescent="0.3">
      <c r="A31" t="s">
        <v>434</v>
      </c>
      <c r="B31">
        <v>363121.0390625</v>
      </c>
      <c r="C31">
        <v>6671387.75</v>
      </c>
      <c r="D31">
        <v>15.3551530838012</v>
      </c>
      <c r="E31" t="s">
        <v>2685</v>
      </c>
    </row>
    <row r="32" spans="1:5" x14ac:dyDescent="0.3">
      <c r="A32" t="s">
        <v>1901</v>
      </c>
      <c r="B32">
        <v>357024.2734375</v>
      </c>
      <c r="C32">
        <v>6667760.265625</v>
      </c>
      <c r="D32">
        <v>9.2678937911987305</v>
      </c>
      <c r="E32" t="s">
        <v>2686</v>
      </c>
    </row>
    <row r="33" spans="1:5" x14ac:dyDescent="0.3">
      <c r="A33" t="s">
        <v>1913</v>
      </c>
      <c r="B33">
        <v>357046.3125</v>
      </c>
      <c r="C33">
        <v>6667749.796875</v>
      </c>
      <c r="D33">
        <v>8.9751491546630806</v>
      </c>
      <c r="E33" t="s">
        <v>2686</v>
      </c>
    </row>
    <row r="34" spans="1:5" x14ac:dyDescent="0.3">
      <c r="A34" t="s">
        <v>1902</v>
      </c>
      <c r="B34">
        <v>357045.03125</v>
      </c>
      <c r="C34">
        <v>6667749.83984375</v>
      </c>
      <c r="D34">
        <v>8.96223640441894</v>
      </c>
      <c r="E34" t="s">
        <v>2686</v>
      </c>
    </row>
    <row r="35" spans="1:5" x14ac:dyDescent="0.3">
      <c r="A35" t="s">
        <v>1909</v>
      </c>
      <c r="B35">
        <v>357045.44140625</v>
      </c>
      <c r="C35">
        <v>6667747.24609375</v>
      </c>
      <c r="D35">
        <v>8.8594951629638601</v>
      </c>
      <c r="E35" t="s">
        <v>2686</v>
      </c>
    </row>
    <row r="36" spans="1:5" x14ac:dyDescent="0.3">
      <c r="A36" t="s">
        <v>2426</v>
      </c>
      <c r="B36">
        <v>357018.07421875</v>
      </c>
      <c r="C36">
        <v>6667761.59375</v>
      </c>
      <c r="D36">
        <v>9.3177881240844709</v>
      </c>
      <c r="E36" t="s">
        <v>2686</v>
      </c>
    </row>
    <row r="37" spans="1:5" x14ac:dyDescent="0.3">
      <c r="A37" t="s">
        <v>1903</v>
      </c>
      <c r="B37">
        <v>357018.546875</v>
      </c>
      <c r="C37">
        <v>6667762.99609375</v>
      </c>
      <c r="D37">
        <v>9.3759260177612305</v>
      </c>
      <c r="E37" t="s">
        <v>2686</v>
      </c>
    </row>
    <row r="38" spans="1:5" x14ac:dyDescent="0.3">
      <c r="A38" t="s">
        <v>1904</v>
      </c>
      <c r="B38">
        <v>357017.90234375</v>
      </c>
      <c r="C38">
        <v>6667761.203125</v>
      </c>
      <c r="D38">
        <v>9.3016691207885707</v>
      </c>
      <c r="E38" t="s">
        <v>2686</v>
      </c>
    </row>
    <row r="39" spans="1:5" x14ac:dyDescent="0.3">
      <c r="A39" t="s">
        <v>433</v>
      </c>
      <c r="B39">
        <v>357015.1171875</v>
      </c>
      <c r="C39">
        <v>6667754.953125</v>
      </c>
      <c r="D39">
        <v>9.054931640625</v>
      </c>
      <c r="E39" t="s">
        <v>2685</v>
      </c>
    </row>
    <row r="40" spans="1:5" x14ac:dyDescent="0.3">
      <c r="A40" t="s">
        <v>1914</v>
      </c>
      <c r="B40">
        <v>356983.87109375</v>
      </c>
      <c r="C40">
        <v>6667780.4453125</v>
      </c>
      <c r="D40">
        <v>10.0946807861328</v>
      </c>
      <c r="E40" t="s">
        <v>2686</v>
      </c>
    </row>
    <row r="41" spans="1:5" x14ac:dyDescent="0.3">
      <c r="A41" t="s">
        <v>432</v>
      </c>
      <c r="B41">
        <v>356973.609375</v>
      </c>
      <c r="C41">
        <v>6667774.015625</v>
      </c>
      <c r="D41">
        <v>9.9370708465576101</v>
      </c>
      <c r="E41" t="s">
        <v>2685</v>
      </c>
    </row>
    <row r="42" spans="1:5" x14ac:dyDescent="0.3">
      <c r="A42" t="s">
        <v>1905</v>
      </c>
      <c r="B42">
        <v>356985.453125</v>
      </c>
      <c r="C42">
        <v>6667779.03125</v>
      </c>
      <c r="D42">
        <v>10.042761802673301</v>
      </c>
      <c r="E42" t="s">
        <v>2686</v>
      </c>
    </row>
    <row r="43" spans="1:5" x14ac:dyDescent="0.3">
      <c r="A43" t="s">
        <v>431</v>
      </c>
      <c r="B43">
        <v>356982.64453125</v>
      </c>
      <c r="C43">
        <v>6667762.4921875</v>
      </c>
      <c r="D43">
        <v>9.4798479080200195</v>
      </c>
      <c r="E43" t="s">
        <v>2685</v>
      </c>
    </row>
    <row r="44" spans="1:5" x14ac:dyDescent="0.3">
      <c r="A44" t="s">
        <v>1906</v>
      </c>
      <c r="B44">
        <v>356987.8125</v>
      </c>
      <c r="C44">
        <v>6667778.0078125</v>
      </c>
      <c r="D44">
        <v>9.9991044998168892</v>
      </c>
      <c r="E44" t="s">
        <v>2686</v>
      </c>
    </row>
    <row r="45" spans="1:5" x14ac:dyDescent="0.3">
      <c r="A45" t="s">
        <v>1908</v>
      </c>
      <c r="B45">
        <v>356989.046875</v>
      </c>
      <c r="C45">
        <v>6667784.15234375</v>
      </c>
      <c r="D45">
        <v>10.198758125305099</v>
      </c>
      <c r="E45" t="s">
        <v>2686</v>
      </c>
    </row>
    <row r="46" spans="1:5" x14ac:dyDescent="0.3">
      <c r="A46" t="s">
        <v>1907</v>
      </c>
      <c r="B46">
        <v>356986.828125</v>
      </c>
      <c r="C46">
        <v>6667778.45703125</v>
      </c>
      <c r="D46">
        <v>10.018232345581</v>
      </c>
      <c r="E46" t="s">
        <v>2686</v>
      </c>
    </row>
    <row r="47" spans="1:5" x14ac:dyDescent="0.3">
      <c r="A47" t="s">
        <v>2478</v>
      </c>
      <c r="B47">
        <v>356989.78125</v>
      </c>
      <c r="C47">
        <v>6667789.6328125</v>
      </c>
      <c r="D47">
        <v>10.375133514404199</v>
      </c>
      <c r="E47" t="s">
        <v>2686</v>
      </c>
    </row>
    <row r="48" spans="1:5" x14ac:dyDescent="0.3">
      <c r="A48" t="s">
        <v>2488</v>
      </c>
      <c r="B48">
        <v>357044.48828125</v>
      </c>
      <c r="C48">
        <v>6667744.0625</v>
      </c>
      <c r="D48">
        <v>8.7176160812377894</v>
      </c>
      <c r="E48" t="s">
        <v>2686</v>
      </c>
    </row>
    <row r="49" spans="1:5" x14ac:dyDescent="0.3">
      <c r="A49" t="s">
        <v>423</v>
      </c>
      <c r="B49">
        <v>362900.85546875</v>
      </c>
      <c r="C49">
        <v>6671311.87890625</v>
      </c>
      <c r="D49">
        <v>13.234799385070801</v>
      </c>
      <c r="E49" t="s">
        <v>2685</v>
      </c>
    </row>
    <row r="50" spans="1:5" x14ac:dyDescent="0.3">
      <c r="A50" t="s">
        <v>1910</v>
      </c>
      <c r="B50">
        <v>362928.68359375</v>
      </c>
      <c r="C50">
        <v>6671288.625</v>
      </c>
      <c r="D50">
        <v>13.703025817871</v>
      </c>
      <c r="E50" t="s">
        <v>2686</v>
      </c>
    </row>
    <row r="51" spans="1:5" x14ac:dyDescent="0.3">
      <c r="A51" t="s">
        <v>420</v>
      </c>
      <c r="B51">
        <v>356012.80859375</v>
      </c>
      <c r="C51">
        <v>6663568.41015625</v>
      </c>
      <c r="D51">
        <v>16.062416076660099</v>
      </c>
      <c r="E51" t="s">
        <v>2685</v>
      </c>
    </row>
    <row r="52" spans="1:5" x14ac:dyDescent="0.3">
      <c r="A52" t="s">
        <v>1911</v>
      </c>
      <c r="B52">
        <v>356029.29296875</v>
      </c>
      <c r="C52">
        <v>6663555.06640625</v>
      </c>
      <c r="D52">
        <v>17.2230014801025</v>
      </c>
      <c r="E52" t="s">
        <v>2686</v>
      </c>
    </row>
    <row r="53" spans="1:5" x14ac:dyDescent="0.3">
      <c r="A53" t="s">
        <v>415</v>
      </c>
      <c r="B53">
        <v>363167.82421875</v>
      </c>
      <c r="C53">
        <v>6671366.3359375</v>
      </c>
      <c r="D53">
        <v>15.420347213745099</v>
      </c>
      <c r="E53" t="s">
        <v>2685</v>
      </c>
    </row>
    <row r="54" spans="1:5" x14ac:dyDescent="0.3">
      <c r="A54" t="s">
        <v>414</v>
      </c>
      <c r="B54">
        <v>357049.11328125</v>
      </c>
      <c r="C54">
        <v>6667773.03125</v>
      </c>
      <c r="D54">
        <v>9.9873199462890607</v>
      </c>
      <c r="E54" t="s">
        <v>2685</v>
      </c>
    </row>
    <row r="55" spans="1:5" x14ac:dyDescent="0.3">
      <c r="A55" t="s">
        <v>1915</v>
      </c>
      <c r="B55">
        <v>358017.0703125</v>
      </c>
      <c r="C55">
        <v>6668703.4921875</v>
      </c>
      <c r="D55">
        <v>16.4787502288818</v>
      </c>
      <c r="E55" t="s">
        <v>2686</v>
      </c>
    </row>
    <row r="56" spans="1:5" x14ac:dyDescent="0.3">
      <c r="A56" t="s">
        <v>2022</v>
      </c>
      <c r="B56">
        <v>358017.08984375</v>
      </c>
      <c r="C56">
        <v>6668703.48828125</v>
      </c>
      <c r="D56">
        <v>16.477409362792901</v>
      </c>
      <c r="E56" t="s">
        <v>2686</v>
      </c>
    </row>
    <row r="57" spans="1:5" x14ac:dyDescent="0.3">
      <c r="A57" t="s">
        <v>2021</v>
      </c>
      <c r="B57">
        <v>358018.12109375</v>
      </c>
      <c r="C57">
        <v>6668703.28515625</v>
      </c>
      <c r="D57">
        <v>16.4060344696044</v>
      </c>
      <c r="E57" t="s">
        <v>2686</v>
      </c>
    </row>
    <row r="58" spans="1:5" x14ac:dyDescent="0.3">
      <c r="A58" t="s">
        <v>1916</v>
      </c>
      <c r="B58">
        <v>357052.13671875</v>
      </c>
      <c r="C58">
        <v>6667519.3125</v>
      </c>
      <c r="D58">
        <v>6.41267585754394</v>
      </c>
      <c r="E58" t="s">
        <v>2686</v>
      </c>
    </row>
    <row r="59" spans="1:5" x14ac:dyDescent="0.3">
      <c r="A59" t="s">
        <v>2288</v>
      </c>
      <c r="B59">
        <v>357051.43359375</v>
      </c>
      <c r="C59">
        <v>6667514.54296875</v>
      </c>
      <c r="D59">
        <v>6.3049201965331996</v>
      </c>
      <c r="E59" t="s">
        <v>2686</v>
      </c>
    </row>
    <row r="60" spans="1:5" x14ac:dyDescent="0.3">
      <c r="A60" t="s">
        <v>2492</v>
      </c>
      <c r="B60">
        <v>357112.7265625</v>
      </c>
      <c r="C60">
        <v>6667950.0703125</v>
      </c>
      <c r="D60">
        <v>18.056438446044901</v>
      </c>
      <c r="E60" t="s">
        <v>2686</v>
      </c>
    </row>
    <row r="61" spans="1:5" x14ac:dyDescent="0.3">
      <c r="A61" t="s">
        <v>2091</v>
      </c>
      <c r="B61">
        <v>357986.48828125</v>
      </c>
      <c r="C61">
        <v>6668585.92578125</v>
      </c>
      <c r="D61">
        <v>25.927427291870099</v>
      </c>
      <c r="E61" t="s">
        <v>2686</v>
      </c>
    </row>
    <row r="62" spans="1:5" x14ac:dyDescent="0.3">
      <c r="A62" t="s">
        <v>2029</v>
      </c>
      <c r="B62">
        <v>357970.234375</v>
      </c>
      <c r="C62">
        <v>6668558.9296875</v>
      </c>
      <c r="D62">
        <v>25.9907112121582</v>
      </c>
      <c r="E62" t="s">
        <v>2686</v>
      </c>
    </row>
    <row r="63" spans="1:5" x14ac:dyDescent="0.3">
      <c r="A63" t="s">
        <v>2031</v>
      </c>
      <c r="B63">
        <v>357968.85546875</v>
      </c>
      <c r="C63">
        <v>6668559.76171875</v>
      </c>
      <c r="D63">
        <v>26.071468353271399</v>
      </c>
      <c r="E63" t="s">
        <v>2686</v>
      </c>
    </row>
    <row r="64" spans="1:5" x14ac:dyDescent="0.3">
      <c r="A64" t="s">
        <v>2054</v>
      </c>
      <c r="B64">
        <v>357965.33203125</v>
      </c>
      <c r="C64">
        <v>6668553.55078125</v>
      </c>
      <c r="D64">
        <v>25.9540710449218</v>
      </c>
      <c r="E64" t="s">
        <v>2686</v>
      </c>
    </row>
    <row r="65" spans="1:5" x14ac:dyDescent="0.3">
      <c r="A65" t="s">
        <v>1919</v>
      </c>
      <c r="B65">
        <v>357963.90234375</v>
      </c>
      <c r="C65">
        <v>6668554.390625</v>
      </c>
      <c r="D65">
        <v>26.040021896362301</v>
      </c>
      <c r="E65" t="s">
        <v>2686</v>
      </c>
    </row>
    <row r="66" spans="1:5" x14ac:dyDescent="0.3">
      <c r="A66" t="s">
        <v>1921</v>
      </c>
      <c r="B66">
        <v>357084.0703125</v>
      </c>
      <c r="C66">
        <v>6667942.9140625</v>
      </c>
      <c r="D66">
        <v>18.728204727172798</v>
      </c>
      <c r="E66" t="s">
        <v>2686</v>
      </c>
    </row>
    <row r="67" spans="1:5" x14ac:dyDescent="0.3">
      <c r="A67" t="s">
        <v>1922</v>
      </c>
      <c r="B67">
        <v>357079.1015625</v>
      </c>
      <c r="C67">
        <v>6667963.28125</v>
      </c>
      <c r="D67">
        <v>19.2216796875</v>
      </c>
      <c r="E67" t="s">
        <v>2686</v>
      </c>
    </row>
    <row r="68" spans="1:5" x14ac:dyDescent="0.3">
      <c r="A68" t="s">
        <v>1923</v>
      </c>
      <c r="B68">
        <v>357458.7109375</v>
      </c>
      <c r="C68">
        <v>6667634.359375</v>
      </c>
      <c r="D68">
        <v>6.8395791053771902</v>
      </c>
      <c r="E68" t="s">
        <v>2686</v>
      </c>
    </row>
    <row r="69" spans="1:5" x14ac:dyDescent="0.3">
      <c r="A69" t="s">
        <v>1924</v>
      </c>
      <c r="B69">
        <v>357462.24609375</v>
      </c>
      <c r="C69">
        <v>6667633.6796875</v>
      </c>
      <c r="D69">
        <v>6.8691382408142001</v>
      </c>
      <c r="E69" t="s">
        <v>2686</v>
      </c>
    </row>
    <row r="70" spans="1:5" x14ac:dyDescent="0.3">
      <c r="A70" t="s">
        <v>1927</v>
      </c>
      <c r="B70">
        <v>357820.3046875</v>
      </c>
      <c r="C70">
        <v>6668420.83984375</v>
      </c>
      <c r="D70">
        <v>26.8356399536132</v>
      </c>
      <c r="E70" t="s">
        <v>2686</v>
      </c>
    </row>
    <row r="71" spans="1:5" x14ac:dyDescent="0.3">
      <c r="A71" t="s">
        <v>2650</v>
      </c>
      <c r="B71">
        <v>357820.296875</v>
      </c>
      <c r="C71">
        <v>6668420.7265625</v>
      </c>
      <c r="D71">
        <v>26.827520370483398</v>
      </c>
      <c r="E71" t="s">
        <v>2686</v>
      </c>
    </row>
    <row r="72" spans="1:5" x14ac:dyDescent="0.3">
      <c r="A72" t="s">
        <v>1926</v>
      </c>
      <c r="B72">
        <v>357826.99609375</v>
      </c>
      <c r="C72">
        <v>6668443.53515625</v>
      </c>
      <c r="D72">
        <v>28.422111511230401</v>
      </c>
      <c r="E72" t="s">
        <v>2686</v>
      </c>
    </row>
    <row r="73" spans="1:5" x14ac:dyDescent="0.3">
      <c r="A73" t="s">
        <v>2055</v>
      </c>
      <c r="B73">
        <v>357820.18359375</v>
      </c>
      <c r="C73">
        <v>6668421.22265625</v>
      </c>
      <c r="D73">
        <v>26.8623867034912</v>
      </c>
      <c r="E73" t="s">
        <v>2686</v>
      </c>
    </row>
    <row r="74" spans="1:5" x14ac:dyDescent="0.3">
      <c r="A74" t="s">
        <v>1928</v>
      </c>
      <c r="B74">
        <v>357820.3359375</v>
      </c>
      <c r="C74">
        <v>6668421.24609375</v>
      </c>
      <c r="D74">
        <v>26.864757537841701</v>
      </c>
      <c r="E74" t="s">
        <v>2686</v>
      </c>
    </row>
    <row r="75" spans="1:5" x14ac:dyDescent="0.3">
      <c r="A75" t="s">
        <v>1931</v>
      </c>
      <c r="B75">
        <v>357547.96484375</v>
      </c>
      <c r="C75">
        <v>6667666.8671875</v>
      </c>
      <c r="D75">
        <v>7.28800201416015</v>
      </c>
      <c r="E75" t="s">
        <v>2686</v>
      </c>
    </row>
    <row r="76" spans="1:5" x14ac:dyDescent="0.3">
      <c r="A76" t="s">
        <v>391</v>
      </c>
      <c r="B76">
        <v>357129.91015625</v>
      </c>
      <c r="C76">
        <v>6667903.98828125</v>
      </c>
      <c r="D76">
        <v>16.585329055786101</v>
      </c>
      <c r="E76" t="s">
        <v>2685</v>
      </c>
    </row>
    <row r="77" spans="1:5" x14ac:dyDescent="0.3">
      <c r="A77" t="s">
        <v>1930</v>
      </c>
      <c r="B77">
        <v>357128.0625</v>
      </c>
      <c r="C77">
        <v>6667893.1328125</v>
      </c>
      <c r="D77">
        <v>15.9806261062622</v>
      </c>
      <c r="E77" t="s">
        <v>2686</v>
      </c>
    </row>
    <row r="78" spans="1:5" x14ac:dyDescent="0.3">
      <c r="A78" t="s">
        <v>1929</v>
      </c>
      <c r="B78">
        <v>357334.63671875</v>
      </c>
      <c r="C78">
        <v>6667597.453125</v>
      </c>
      <c r="D78">
        <v>6.4885153770446697</v>
      </c>
      <c r="E78" t="s">
        <v>2686</v>
      </c>
    </row>
    <row r="79" spans="1:5" x14ac:dyDescent="0.3">
      <c r="A79" t="s">
        <v>2389</v>
      </c>
      <c r="B79">
        <v>357550.6875</v>
      </c>
      <c r="C79">
        <v>6667668.4921875</v>
      </c>
      <c r="D79">
        <v>7.2913866043090803</v>
      </c>
      <c r="E79" t="s">
        <v>2686</v>
      </c>
    </row>
    <row r="80" spans="1:5" x14ac:dyDescent="0.3">
      <c r="A80" t="s">
        <v>390</v>
      </c>
      <c r="B80">
        <v>359860.85546875</v>
      </c>
      <c r="C80">
        <v>6667602.53515625</v>
      </c>
      <c r="D80">
        <v>12.8090372085571</v>
      </c>
      <c r="E80" t="s">
        <v>2685</v>
      </c>
    </row>
    <row r="81" spans="1:5" x14ac:dyDescent="0.3">
      <c r="A81" t="s">
        <v>2651</v>
      </c>
      <c r="B81">
        <v>355901.6640625</v>
      </c>
      <c r="C81">
        <v>6663856.265625</v>
      </c>
      <c r="D81">
        <v>11.1590614318847</v>
      </c>
      <c r="E81" t="s">
        <v>2686</v>
      </c>
    </row>
    <row r="82" spans="1:5" x14ac:dyDescent="0.3">
      <c r="A82" t="s">
        <v>1933</v>
      </c>
      <c r="B82">
        <v>355900.515625</v>
      </c>
      <c r="C82">
        <v>6663855.921875</v>
      </c>
      <c r="D82">
        <v>11.169786453246999</v>
      </c>
      <c r="E82" t="s">
        <v>2686</v>
      </c>
    </row>
    <row r="83" spans="1:5" x14ac:dyDescent="0.3">
      <c r="A83" t="s">
        <v>2669</v>
      </c>
      <c r="B83">
        <v>362734.58203125</v>
      </c>
      <c r="C83">
        <v>6671527.16796875</v>
      </c>
      <c r="D83">
        <v>15.358696937561</v>
      </c>
      <c r="E83" t="s">
        <v>2686</v>
      </c>
    </row>
    <row r="84" spans="1:5" x14ac:dyDescent="0.3">
      <c r="A84" t="s">
        <v>1935</v>
      </c>
      <c r="B84">
        <v>362740.01953125</v>
      </c>
      <c r="C84">
        <v>6671592.58984375</v>
      </c>
      <c r="D84">
        <v>17.586215972900298</v>
      </c>
      <c r="E84" t="s">
        <v>2686</v>
      </c>
    </row>
    <row r="85" spans="1:5" x14ac:dyDescent="0.3">
      <c r="A85" t="s">
        <v>2649</v>
      </c>
      <c r="B85">
        <v>357020.85546875</v>
      </c>
      <c r="C85">
        <v>6667491.01953125</v>
      </c>
      <c r="D85">
        <v>5.4433922767639098</v>
      </c>
      <c r="E85" t="s">
        <v>2686</v>
      </c>
    </row>
    <row r="86" spans="1:5" x14ac:dyDescent="0.3">
      <c r="A86" t="s">
        <v>365</v>
      </c>
      <c r="B86">
        <v>359809.015625</v>
      </c>
      <c r="C86">
        <v>6667545.2734375</v>
      </c>
      <c r="D86">
        <v>9.39039707183837</v>
      </c>
      <c r="E86" t="s">
        <v>2685</v>
      </c>
    </row>
    <row r="87" spans="1:5" x14ac:dyDescent="0.3">
      <c r="A87" t="s">
        <v>2681</v>
      </c>
      <c r="B87">
        <v>363156.44921875</v>
      </c>
      <c r="C87">
        <v>6672037.40625</v>
      </c>
      <c r="D87">
        <v>17.699083328246999</v>
      </c>
      <c r="E87" t="s">
        <v>2686</v>
      </c>
    </row>
    <row r="88" spans="1:5" x14ac:dyDescent="0.3">
      <c r="A88" t="s">
        <v>1936</v>
      </c>
      <c r="B88">
        <v>359778.98828125</v>
      </c>
      <c r="C88">
        <v>6667556.05859375</v>
      </c>
      <c r="D88">
        <v>10.6632089614868</v>
      </c>
      <c r="E88" t="s">
        <v>2686</v>
      </c>
    </row>
    <row r="89" spans="1:5" x14ac:dyDescent="0.3">
      <c r="A89" t="s">
        <v>360</v>
      </c>
      <c r="B89">
        <v>355737.90625</v>
      </c>
      <c r="C89">
        <v>6663623.83203125</v>
      </c>
      <c r="D89">
        <v>14.110535621643001</v>
      </c>
      <c r="E89" t="s">
        <v>2685</v>
      </c>
    </row>
    <row r="90" spans="1:5" x14ac:dyDescent="0.3">
      <c r="A90" t="s">
        <v>1937</v>
      </c>
      <c r="B90">
        <v>363146.171875</v>
      </c>
      <c r="C90">
        <v>6671951.73046875</v>
      </c>
      <c r="D90">
        <v>17.391490936279201</v>
      </c>
      <c r="E90" t="s">
        <v>2686</v>
      </c>
    </row>
    <row r="91" spans="1:5" x14ac:dyDescent="0.3">
      <c r="A91" t="s">
        <v>2652</v>
      </c>
      <c r="B91">
        <v>363162.36328125</v>
      </c>
      <c r="C91">
        <v>6671907.90234375</v>
      </c>
      <c r="D91">
        <v>15.7836380004882</v>
      </c>
      <c r="E91" t="s">
        <v>2686</v>
      </c>
    </row>
    <row r="92" spans="1:5" x14ac:dyDescent="0.3">
      <c r="A92" t="s">
        <v>2678</v>
      </c>
      <c r="B92">
        <v>363238.6328125</v>
      </c>
      <c r="C92">
        <v>6671858.8515625</v>
      </c>
      <c r="D92">
        <v>14.394862174987701</v>
      </c>
      <c r="E92" t="s">
        <v>2686</v>
      </c>
    </row>
    <row r="93" spans="1:5" x14ac:dyDescent="0.3">
      <c r="A93" t="s">
        <v>2359</v>
      </c>
      <c r="B93">
        <v>363325.23828125</v>
      </c>
      <c r="C93">
        <v>6671806.69921875</v>
      </c>
      <c r="D93">
        <v>14.3971042633056</v>
      </c>
      <c r="E93" t="s">
        <v>2686</v>
      </c>
    </row>
    <row r="94" spans="1:5" x14ac:dyDescent="0.3">
      <c r="A94" t="s">
        <v>1938</v>
      </c>
      <c r="B94">
        <v>355780.48046875</v>
      </c>
      <c r="C94">
        <v>6663592.11328125</v>
      </c>
      <c r="D94">
        <v>14.752566337585399</v>
      </c>
      <c r="E94" t="s">
        <v>2686</v>
      </c>
    </row>
    <row r="95" spans="1:5" x14ac:dyDescent="0.3">
      <c r="A95" t="s">
        <v>2637</v>
      </c>
      <c r="B95">
        <v>363290.265625</v>
      </c>
      <c r="C95">
        <v>6671943.6640625</v>
      </c>
      <c r="D95">
        <v>12.812757492065399</v>
      </c>
      <c r="E95" t="s">
        <v>2686</v>
      </c>
    </row>
    <row r="96" spans="1:5" x14ac:dyDescent="0.3">
      <c r="A96" t="s">
        <v>1945</v>
      </c>
      <c r="B96">
        <v>363370.51953125</v>
      </c>
      <c r="C96">
        <v>6671911.26171875</v>
      </c>
      <c r="D96">
        <v>14.3986549377441</v>
      </c>
      <c r="E96" t="s">
        <v>2686</v>
      </c>
    </row>
    <row r="97" spans="1:5" x14ac:dyDescent="0.3">
      <c r="A97" t="s">
        <v>341</v>
      </c>
      <c r="B97">
        <v>362863.03515625</v>
      </c>
      <c r="C97">
        <v>6671228.37109375</v>
      </c>
      <c r="D97">
        <v>14.2535142898559</v>
      </c>
      <c r="E97" t="s">
        <v>2685</v>
      </c>
    </row>
    <row r="98" spans="1:5" x14ac:dyDescent="0.3">
      <c r="A98" t="s">
        <v>336</v>
      </c>
      <c r="B98">
        <v>355094.94140625</v>
      </c>
      <c r="C98">
        <v>6664546.0234375</v>
      </c>
      <c r="D98">
        <v>9.0848693847656197</v>
      </c>
      <c r="E98" t="s">
        <v>2685</v>
      </c>
    </row>
    <row r="99" spans="1:5" x14ac:dyDescent="0.3">
      <c r="A99" t="s">
        <v>1940</v>
      </c>
      <c r="B99">
        <v>355132.2890625</v>
      </c>
      <c r="C99">
        <v>6664517.48828125</v>
      </c>
      <c r="D99">
        <v>7.4662508964538503</v>
      </c>
      <c r="E99" t="s">
        <v>2686</v>
      </c>
    </row>
    <row r="100" spans="1:5" x14ac:dyDescent="0.3">
      <c r="A100" t="s">
        <v>1939</v>
      </c>
      <c r="B100">
        <v>362888.90625</v>
      </c>
      <c r="C100">
        <v>6671209.22265625</v>
      </c>
      <c r="D100">
        <v>14.231084823608301</v>
      </c>
      <c r="E100" t="s">
        <v>2686</v>
      </c>
    </row>
    <row r="101" spans="1:5" x14ac:dyDescent="0.3">
      <c r="A101" t="s">
        <v>1934</v>
      </c>
      <c r="B101">
        <v>356076.2734375</v>
      </c>
      <c r="C101">
        <v>6664766.8671875</v>
      </c>
      <c r="D101">
        <v>10.075415611266999</v>
      </c>
      <c r="E101" t="s">
        <v>2686</v>
      </c>
    </row>
    <row r="102" spans="1:5" x14ac:dyDescent="0.3">
      <c r="A102" t="s">
        <v>1941</v>
      </c>
      <c r="B102">
        <v>356077.07421875</v>
      </c>
      <c r="C102">
        <v>6664768.71484375</v>
      </c>
      <c r="D102">
        <v>10.129117012023899</v>
      </c>
      <c r="E102" t="s">
        <v>2686</v>
      </c>
    </row>
    <row r="103" spans="1:5" x14ac:dyDescent="0.3">
      <c r="A103" t="s">
        <v>1942</v>
      </c>
      <c r="B103">
        <v>356077.66015625</v>
      </c>
      <c r="C103">
        <v>6664770.0078125</v>
      </c>
      <c r="D103">
        <v>10.1668128967285</v>
      </c>
      <c r="E103" t="s">
        <v>2686</v>
      </c>
    </row>
    <row r="104" spans="1:5" x14ac:dyDescent="0.3">
      <c r="A104" t="s">
        <v>1925</v>
      </c>
      <c r="B104">
        <v>355928.48828125</v>
      </c>
      <c r="C104">
        <v>6663816.0703125</v>
      </c>
      <c r="D104">
        <v>10.002310752868601</v>
      </c>
      <c r="E104" t="s">
        <v>2686</v>
      </c>
    </row>
    <row r="105" spans="1:5" x14ac:dyDescent="0.3">
      <c r="A105" t="s">
        <v>1944</v>
      </c>
      <c r="B105">
        <v>355922.64453125</v>
      </c>
      <c r="C105">
        <v>6663861.62890625</v>
      </c>
      <c r="D105">
        <v>11.1111688613891</v>
      </c>
      <c r="E105" t="s">
        <v>2686</v>
      </c>
    </row>
    <row r="106" spans="1:5" x14ac:dyDescent="0.3">
      <c r="A106" t="s">
        <v>263</v>
      </c>
      <c r="B106">
        <v>364077.84375</v>
      </c>
      <c r="C106">
        <v>6671349.3046875</v>
      </c>
      <c r="D106">
        <v>6.4767293930053702</v>
      </c>
      <c r="E106" t="s">
        <v>2685</v>
      </c>
    </row>
    <row r="107" spans="1:5" x14ac:dyDescent="0.3">
      <c r="A107" t="s">
        <v>256</v>
      </c>
      <c r="B107">
        <v>357040.26953125</v>
      </c>
      <c r="C107">
        <v>6667346.45703125</v>
      </c>
      <c r="D107">
        <v>9.0659799575805593</v>
      </c>
      <c r="E107" t="s">
        <v>2685</v>
      </c>
    </row>
    <row r="108" spans="1:5" x14ac:dyDescent="0.3">
      <c r="A108" t="s">
        <v>1946</v>
      </c>
      <c r="B108">
        <v>364018.015625</v>
      </c>
      <c r="C108">
        <v>6671421.3828125</v>
      </c>
      <c r="D108">
        <v>6.7923607826232901</v>
      </c>
      <c r="E108" t="s">
        <v>2686</v>
      </c>
    </row>
    <row r="109" spans="1:5" x14ac:dyDescent="0.3">
      <c r="A109" t="s">
        <v>1947</v>
      </c>
      <c r="B109">
        <v>357019.2109375</v>
      </c>
      <c r="C109">
        <v>6667327.234375</v>
      </c>
      <c r="D109">
        <v>10.625719070434499</v>
      </c>
      <c r="E109" t="s">
        <v>2686</v>
      </c>
    </row>
    <row r="110" spans="1:5" x14ac:dyDescent="0.3">
      <c r="A110" t="s">
        <v>1964</v>
      </c>
      <c r="B110">
        <v>360373.640625</v>
      </c>
      <c r="C110">
        <v>6668572.1875</v>
      </c>
      <c r="D110">
        <v>16.723203659057599</v>
      </c>
      <c r="E110" t="s">
        <v>2686</v>
      </c>
    </row>
    <row r="111" spans="1:5" x14ac:dyDescent="0.3">
      <c r="A111" t="s">
        <v>242</v>
      </c>
      <c r="B111">
        <v>363035.890625</v>
      </c>
      <c r="C111">
        <v>6671230.8125</v>
      </c>
      <c r="D111">
        <v>12.732139587402299</v>
      </c>
      <c r="E111" t="s">
        <v>2685</v>
      </c>
    </row>
    <row r="112" spans="1:5" x14ac:dyDescent="0.3">
      <c r="A112" t="s">
        <v>1951</v>
      </c>
      <c r="B112">
        <v>356793.5625</v>
      </c>
      <c r="C112">
        <v>6668123.46484375</v>
      </c>
      <c r="D112">
        <v>23.531333923339801</v>
      </c>
      <c r="E112" t="s">
        <v>2686</v>
      </c>
    </row>
    <row r="113" spans="1:5" x14ac:dyDescent="0.3">
      <c r="A113" t="s">
        <v>1950</v>
      </c>
      <c r="B113">
        <v>366494.85546875</v>
      </c>
      <c r="C113">
        <v>6670618.3828125</v>
      </c>
      <c r="D113">
        <v>22.071130752563398</v>
      </c>
      <c r="E113" t="s">
        <v>2686</v>
      </c>
    </row>
    <row r="114" spans="1:5" x14ac:dyDescent="0.3">
      <c r="A114" t="s">
        <v>1949</v>
      </c>
      <c r="B114">
        <v>363035.94921875</v>
      </c>
      <c r="C114">
        <v>6671250.609375</v>
      </c>
      <c r="D114">
        <v>12.975344657897899</v>
      </c>
      <c r="E114" t="s">
        <v>2686</v>
      </c>
    </row>
    <row r="115" spans="1:5" x14ac:dyDescent="0.3">
      <c r="A115" t="s">
        <v>239</v>
      </c>
      <c r="B115">
        <v>355175.4921875</v>
      </c>
      <c r="C115">
        <v>6664602.56640625</v>
      </c>
      <c r="D115">
        <v>10.447484970092701</v>
      </c>
      <c r="E115" t="s">
        <v>2685</v>
      </c>
    </row>
    <row r="116" spans="1:5" x14ac:dyDescent="0.3">
      <c r="A116" t="s">
        <v>1948</v>
      </c>
      <c r="B116">
        <v>356793.46875</v>
      </c>
      <c r="C116">
        <v>6668106.7890625</v>
      </c>
      <c r="D116">
        <v>22.2818489074707</v>
      </c>
      <c r="E116" t="s">
        <v>2686</v>
      </c>
    </row>
    <row r="117" spans="1:5" x14ac:dyDescent="0.3">
      <c r="A117" t="s">
        <v>237</v>
      </c>
      <c r="B117">
        <v>356791.72265625</v>
      </c>
      <c r="C117">
        <v>6668132.75390625</v>
      </c>
      <c r="D117">
        <v>24.201793670654201</v>
      </c>
      <c r="E117" t="s">
        <v>2685</v>
      </c>
    </row>
    <row r="118" spans="1:5" x14ac:dyDescent="0.3">
      <c r="A118" t="s">
        <v>236</v>
      </c>
      <c r="B118">
        <v>359867.7734375</v>
      </c>
      <c r="C118">
        <v>6667677.609375</v>
      </c>
      <c r="D118">
        <v>15.297354698181101</v>
      </c>
      <c r="E118" t="s">
        <v>2685</v>
      </c>
    </row>
    <row r="119" spans="1:5" x14ac:dyDescent="0.3">
      <c r="A119" t="s">
        <v>1953</v>
      </c>
      <c r="B119">
        <v>366474.59765625</v>
      </c>
      <c r="C119">
        <v>6670657.88671875</v>
      </c>
      <c r="D119">
        <v>22.3916416168212</v>
      </c>
      <c r="E119" t="s">
        <v>2686</v>
      </c>
    </row>
    <row r="120" spans="1:5" x14ac:dyDescent="0.3">
      <c r="A120" t="s">
        <v>1952</v>
      </c>
      <c r="B120">
        <v>359870.84375</v>
      </c>
      <c r="C120">
        <v>6667639.36328125</v>
      </c>
      <c r="D120">
        <v>13.5418996810913</v>
      </c>
      <c r="E120" t="s">
        <v>2686</v>
      </c>
    </row>
    <row r="121" spans="1:5" x14ac:dyDescent="0.3">
      <c r="A121" t="s">
        <v>1932</v>
      </c>
      <c r="B121">
        <v>359873.62890625</v>
      </c>
      <c r="C121">
        <v>6667639.8671875</v>
      </c>
      <c r="D121">
        <v>13.6051225662231</v>
      </c>
      <c r="E121" t="s">
        <v>2686</v>
      </c>
    </row>
    <row r="122" spans="1:5" x14ac:dyDescent="0.3">
      <c r="A122" t="s">
        <v>1955</v>
      </c>
      <c r="B122">
        <v>355174.08984375</v>
      </c>
      <c r="C122">
        <v>6664589.109375</v>
      </c>
      <c r="D122">
        <v>10.3651819229125</v>
      </c>
      <c r="E122" t="s">
        <v>2686</v>
      </c>
    </row>
    <row r="123" spans="1:5" x14ac:dyDescent="0.3">
      <c r="A123" t="s">
        <v>1956</v>
      </c>
      <c r="B123">
        <v>355149.16796875</v>
      </c>
      <c r="C123">
        <v>6664518.25390625</v>
      </c>
      <c r="D123">
        <v>7.7396502494812003</v>
      </c>
      <c r="E123" t="s">
        <v>2686</v>
      </c>
    </row>
    <row r="124" spans="1:5" x14ac:dyDescent="0.3">
      <c r="A124" t="s">
        <v>231</v>
      </c>
      <c r="B124">
        <v>359557.8515625</v>
      </c>
      <c r="C124">
        <v>6667438.01171875</v>
      </c>
      <c r="D124">
        <v>9.8486013412475497</v>
      </c>
      <c r="E124" t="s">
        <v>2685</v>
      </c>
    </row>
    <row r="125" spans="1:5" x14ac:dyDescent="0.3">
      <c r="A125" t="s">
        <v>1957</v>
      </c>
      <c r="B125">
        <v>359546.921875</v>
      </c>
      <c r="C125">
        <v>6667434.3671875</v>
      </c>
      <c r="D125">
        <v>9.6744041442871094</v>
      </c>
      <c r="E125" t="s">
        <v>2686</v>
      </c>
    </row>
    <row r="126" spans="1:5" x14ac:dyDescent="0.3">
      <c r="A126" t="s">
        <v>1958</v>
      </c>
      <c r="B126">
        <v>360352.31640625</v>
      </c>
      <c r="C126">
        <v>6668611.22265625</v>
      </c>
      <c r="D126">
        <v>16.4693889617919</v>
      </c>
      <c r="E126" t="s">
        <v>2686</v>
      </c>
    </row>
    <row r="127" spans="1:5" x14ac:dyDescent="0.3">
      <c r="A127" t="s">
        <v>227</v>
      </c>
      <c r="B127">
        <v>359528.6484375</v>
      </c>
      <c r="C127">
        <v>6667407.48046875</v>
      </c>
      <c r="D127">
        <v>9.0980052947997994</v>
      </c>
      <c r="E127" t="s">
        <v>2685</v>
      </c>
    </row>
    <row r="128" spans="1:5" x14ac:dyDescent="0.3">
      <c r="A128" t="s">
        <v>1959</v>
      </c>
      <c r="B128">
        <v>359553.58984375</v>
      </c>
      <c r="C128">
        <v>6667424.43359375</v>
      </c>
      <c r="D128">
        <v>9.3493537902831996</v>
      </c>
      <c r="E128" t="s">
        <v>2686</v>
      </c>
    </row>
    <row r="129" spans="1:5" x14ac:dyDescent="0.3">
      <c r="A129" t="s">
        <v>1961</v>
      </c>
      <c r="B129">
        <v>364302.05859375</v>
      </c>
      <c r="C129">
        <v>6671703.421875</v>
      </c>
      <c r="D129">
        <v>6.3071169853210396</v>
      </c>
      <c r="E129" t="s">
        <v>2686</v>
      </c>
    </row>
    <row r="130" spans="1:5" x14ac:dyDescent="0.3">
      <c r="A130" t="s">
        <v>2558</v>
      </c>
      <c r="B130">
        <v>364320.078125</v>
      </c>
      <c r="C130">
        <v>6671712.25</v>
      </c>
      <c r="D130">
        <v>6.9487271308898899</v>
      </c>
      <c r="E130" t="s">
        <v>2686</v>
      </c>
    </row>
    <row r="131" spans="1:5" x14ac:dyDescent="0.3">
      <c r="A131" t="s">
        <v>1960</v>
      </c>
      <c r="B131">
        <v>364308.50390625</v>
      </c>
      <c r="C131">
        <v>6671706.53125</v>
      </c>
      <c r="D131">
        <v>6.55035352706909</v>
      </c>
      <c r="E131" t="s">
        <v>2686</v>
      </c>
    </row>
    <row r="132" spans="1:5" x14ac:dyDescent="0.3">
      <c r="A132" t="s">
        <v>1962</v>
      </c>
      <c r="B132">
        <v>355436.17578125</v>
      </c>
      <c r="C132">
        <v>6664594.7109375</v>
      </c>
      <c r="D132">
        <v>9.0058250427246094</v>
      </c>
      <c r="E132" t="s">
        <v>2686</v>
      </c>
    </row>
    <row r="133" spans="1:5" x14ac:dyDescent="0.3">
      <c r="A133" t="s">
        <v>2014</v>
      </c>
      <c r="B133">
        <v>359554.3984375</v>
      </c>
      <c r="C133">
        <v>6667423.19921875</v>
      </c>
      <c r="D133">
        <v>9.3066778182983398</v>
      </c>
      <c r="E133" t="s">
        <v>2686</v>
      </c>
    </row>
    <row r="134" spans="1:5" x14ac:dyDescent="0.3">
      <c r="A134" t="s">
        <v>1963</v>
      </c>
      <c r="B134">
        <v>360569.484375</v>
      </c>
      <c r="C134">
        <v>6668536.5703125</v>
      </c>
      <c r="D134">
        <v>22.651220321655199</v>
      </c>
      <c r="E134" t="s">
        <v>2686</v>
      </c>
    </row>
    <row r="135" spans="1:5" x14ac:dyDescent="0.3">
      <c r="A135" t="s">
        <v>218</v>
      </c>
      <c r="B135">
        <v>360567.52734375</v>
      </c>
      <c r="C135">
        <v>6668536.921875</v>
      </c>
      <c r="D135">
        <v>22.891866683959901</v>
      </c>
      <c r="E135" t="s">
        <v>2685</v>
      </c>
    </row>
    <row r="136" spans="1:5" x14ac:dyDescent="0.3">
      <c r="A136" t="s">
        <v>1965</v>
      </c>
      <c r="B136">
        <v>362327.32421875</v>
      </c>
      <c r="C136">
        <v>6669055.1796875</v>
      </c>
      <c r="D136">
        <v>9.0833177566528303</v>
      </c>
      <c r="E136" t="s">
        <v>2686</v>
      </c>
    </row>
    <row r="137" spans="1:5" x14ac:dyDescent="0.3">
      <c r="A137" t="s">
        <v>215</v>
      </c>
      <c r="B137">
        <v>366585.7734375</v>
      </c>
      <c r="C137">
        <v>6670632.1640625</v>
      </c>
      <c r="D137">
        <v>31.649772644042901</v>
      </c>
      <c r="E137" t="s">
        <v>2685</v>
      </c>
    </row>
    <row r="138" spans="1:5" x14ac:dyDescent="0.3">
      <c r="A138" t="s">
        <v>1966</v>
      </c>
      <c r="B138">
        <v>361988.64453125</v>
      </c>
      <c r="C138">
        <v>6668520.26171875</v>
      </c>
      <c r="D138">
        <v>15.482974052429199</v>
      </c>
      <c r="E138" t="s">
        <v>2686</v>
      </c>
    </row>
    <row r="139" spans="1:5" x14ac:dyDescent="0.3">
      <c r="A139" t="s">
        <v>1967</v>
      </c>
      <c r="B139">
        <v>361996.5078125</v>
      </c>
      <c r="C139">
        <v>6668525.35546875</v>
      </c>
      <c r="D139">
        <v>15.584020614624</v>
      </c>
      <c r="E139" t="s">
        <v>2686</v>
      </c>
    </row>
    <row r="140" spans="1:5" x14ac:dyDescent="0.3">
      <c r="A140" t="s">
        <v>2394</v>
      </c>
      <c r="B140">
        <v>356889.37890625</v>
      </c>
      <c r="C140">
        <v>6668033.90234375</v>
      </c>
      <c r="D140">
        <v>17.975957870483398</v>
      </c>
      <c r="E140" t="s">
        <v>2686</v>
      </c>
    </row>
    <row r="141" spans="1:5" x14ac:dyDescent="0.3">
      <c r="A141" t="s">
        <v>214</v>
      </c>
      <c r="B141">
        <v>364561.81640625</v>
      </c>
      <c r="C141">
        <v>6671548.20703125</v>
      </c>
      <c r="D141">
        <v>10.778333663940399</v>
      </c>
      <c r="E141" t="s">
        <v>2685</v>
      </c>
    </row>
    <row r="142" spans="1:5" x14ac:dyDescent="0.3">
      <c r="A142" t="s">
        <v>1968</v>
      </c>
      <c r="B142">
        <v>364569.2421875</v>
      </c>
      <c r="C142">
        <v>6671551.80859375</v>
      </c>
      <c r="D142">
        <v>10.9153642654418</v>
      </c>
      <c r="E142" t="s">
        <v>2686</v>
      </c>
    </row>
    <row r="143" spans="1:5" x14ac:dyDescent="0.3">
      <c r="A143" t="s">
        <v>2361</v>
      </c>
      <c r="B143">
        <v>363200.7421875</v>
      </c>
      <c r="C143">
        <v>6671235.625</v>
      </c>
      <c r="D143">
        <v>12.8758831024169</v>
      </c>
      <c r="E143" t="s">
        <v>2686</v>
      </c>
    </row>
    <row r="144" spans="1:5" x14ac:dyDescent="0.3">
      <c r="A144" t="s">
        <v>1969</v>
      </c>
      <c r="B144">
        <v>363237.1875</v>
      </c>
      <c r="C144">
        <v>6671675.5390625</v>
      </c>
      <c r="D144">
        <v>13.0108585357666</v>
      </c>
      <c r="E144" t="s">
        <v>2686</v>
      </c>
    </row>
    <row r="145" spans="1:5" x14ac:dyDescent="0.3">
      <c r="A145" t="s">
        <v>1970</v>
      </c>
      <c r="B145">
        <v>363214.16796875</v>
      </c>
      <c r="C145">
        <v>6671253.77734375</v>
      </c>
      <c r="D145">
        <v>13.0812158584594</v>
      </c>
      <c r="E145" t="s">
        <v>2686</v>
      </c>
    </row>
    <row r="146" spans="1:5" x14ac:dyDescent="0.3">
      <c r="A146" t="s">
        <v>2105</v>
      </c>
      <c r="B146">
        <v>363236.203125</v>
      </c>
      <c r="C146">
        <v>6671285.55078125</v>
      </c>
      <c r="D146">
        <v>12.630504608154199</v>
      </c>
      <c r="E146" t="s">
        <v>2686</v>
      </c>
    </row>
    <row r="147" spans="1:5" x14ac:dyDescent="0.3">
      <c r="A147" t="s">
        <v>1972</v>
      </c>
      <c r="B147">
        <v>357643.09765625</v>
      </c>
      <c r="C147">
        <v>6668193.19140625</v>
      </c>
      <c r="D147">
        <v>12.8990030288696</v>
      </c>
      <c r="E147" t="s">
        <v>2686</v>
      </c>
    </row>
    <row r="148" spans="1:5" x14ac:dyDescent="0.3">
      <c r="A148" t="s">
        <v>2670</v>
      </c>
      <c r="B148">
        <v>357646.6640625</v>
      </c>
      <c r="C148">
        <v>6668166.5546875</v>
      </c>
      <c r="D148">
        <v>12.9034976959228</v>
      </c>
      <c r="E148" t="s">
        <v>2686</v>
      </c>
    </row>
    <row r="149" spans="1:5" x14ac:dyDescent="0.3">
      <c r="A149" t="s">
        <v>207</v>
      </c>
      <c r="B149">
        <v>357258.80859375</v>
      </c>
      <c r="C149">
        <v>6667888.8125</v>
      </c>
      <c r="D149">
        <v>25.276340484619102</v>
      </c>
      <c r="E149" t="s">
        <v>2685</v>
      </c>
    </row>
    <row r="150" spans="1:5" x14ac:dyDescent="0.3">
      <c r="A150" t="s">
        <v>1991</v>
      </c>
      <c r="B150">
        <v>358046.92578125</v>
      </c>
      <c r="C150">
        <v>6668858.359375</v>
      </c>
      <c r="D150">
        <v>17.5978069305419</v>
      </c>
      <c r="E150" t="s">
        <v>2686</v>
      </c>
    </row>
    <row r="151" spans="1:5" x14ac:dyDescent="0.3">
      <c r="A151" t="s">
        <v>1973</v>
      </c>
      <c r="B151">
        <v>357209.140625</v>
      </c>
      <c r="C151">
        <v>6667851.43359375</v>
      </c>
      <c r="D151">
        <v>24.69114112854</v>
      </c>
      <c r="E151" t="s">
        <v>2686</v>
      </c>
    </row>
    <row r="152" spans="1:5" x14ac:dyDescent="0.3">
      <c r="A152" t="s">
        <v>2568</v>
      </c>
      <c r="B152">
        <v>357237.15234375</v>
      </c>
      <c r="C152">
        <v>6667501.69140625</v>
      </c>
      <c r="D152">
        <v>6.87230968475341</v>
      </c>
      <c r="E152" t="s">
        <v>2686</v>
      </c>
    </row>
    <row r="153" spans="1:5" x14ac:dyDescent="0.3">
      <c r="A153" t="s">
        <v>194</v>
      </c>
      <c r="B153">
        <v>357645.42578125</v>
      </c>
      <c r="C153">
        <v>6668134.59765625</v>
      </c>
      <c r="D153">
        <v>13.0229501724243</v>
      </c>
      <c r="E153" t="s">
        <v>2685</v>
      </c>
    </row>
    <row r="154" spans="1:5" x14ac:dyDescent="0.3">
      <c r="A154" t="s">
        <v>1976</v>
      </c>
      <c r="B154">
        <v>357643.6875</v>
      </c>
      <c r="C154">
        <v>6668134.57421875</v>
      </c>
      <c r="D154">
        <v>13.034566879272401</v>
      </c>
      <c r="E154" t="s">
        <v>2686</v>
      </c>
    </row>
    <row r="155" spans="1:5" x14ac:dyDescent="0.3">
      <c r="A155" t="s">
        <v>1978</v>
      </c>
      <c r="B155">
        <v>358186.5625</v>
      </c>
      <c r="C155">
        <v>6668584.62890625</v>
      </c>
      <c r="D155">
        <v>11.8709211349487</v>
      </c>
      <c r="E155" t="s">
        <v>2686</v>
      </c>
    </row>
    <row r="156" spans="1:5" x14ac:dyDescent="0.3">
      <c r="A156" t="s">
        <v>1989</v>
      </c>
      <c r="B156">
        <v>358187.09375</v>
      </c>
      <c r="C156">
        <v>6668585.46875</v>
      </c>
      <c r="D156">
        <v>11.900651931762599</v>
      </c>
      <c r="E156" t="s">
        <v>2686</v>
      </c>
    </row>
    <row r="157" spans="1:5" x14ac:dyDescent="0.3">
      <c r="A157" t="s">
        <v>170</v>
      </c>
      <c r="B157">
        <v>358299.62109375</v>
      </c>
      <c r="C157">
        <v>6667761.375</v>
      </c>
      <c r="D157">
        <v>29.714094161987301</v>
      </c>
      <c r="E157" t="s">
        <v>2685</v>
      </c>
    </row>
    <row r="158" spans="1:5" x14ac:dyDescent="0.3">
      <c r="A158" t="s">
        <v>1975</v>
      </c>
      <c r="B158">
        <v>357288.3125</v>
      </c>
      <c r="C158">
        <v>6667486.49609375</v>
      </c>
      <c r="D158">
        <v>6.6789283752441397</v>
      </c>
      <c r="E158" t="s">
        <v>2686</v>
      </c>
    </row>
    <row r="159" spans="1:5" x14ac:dyDescent="0.3">
      <c r="A159" t="s">
        <v>1980</v>
      </c>
      <c r="B159">
        <v>357295.1015625</v>
      </c>
      <c r="C159">
        <v>6667484.50390625</v>
      </c>
      <c r="D159">
        <v>6.7272562980651802</v>
      </c>
      <c r="E159" t="s">
        <v>2686</v>
      </c>
    </row>
    <row r="160" spans="1:5" x14ac:dyDescent="0.3">
      <c r="A160" t="s">
        <v>1979</v>
      </c>
      <c r="B160">
        <v>358365.51171875</v>
      </c>
      <c r="C160">
        <v>6667775.21875</v>
      </c>
      <c r="D160">
        <v>29.1357116699218</v>
      </c>
      <c r="E160" t="s">
        <v>2686</v>
      </c>
    </row>
    <row r="161" spans="1:5" x14ac:dyDescent="0.3">
      <c r="A161" t="s">
        <v>117</v>
      </c>
      <c r="B161">
        <v>358263.3984375</v>
      </c>
      <c r="C161">
        <v>6667549.33203125</v>
      </c>
      <c r="D161">
        <v>29.6154880523681</v>
      </c>
      <c r="E161" t="s">
        <v>2685</v>
      </c>
    </row>
    <row r="162" spans="1:5" x14ac:dyDescent="0.3">
      <c r="A162" t="s">
        <v>1993</v>
      </c>
      <c r="B162">
        <v>358088.79296875</v>
      </c>
      <c r="C162">
        <v>6668463.40234375</v>
      </c>
      <c r="D162">
        <v>13.631059646606399</v>
      </c>
      <c r="E162" t="s">
        <v>2686</v>
      </c>
    </row>
    <row r="163" spans="1:5" x14ac:dyDescent="0.3">
      <c r="A163" t="s">
        <v>2672</v>
      </c>
      <c r="B163">
        <v>358210.84765625</v>
      </c>
      <c r="C163">
        <v>6668807.1640625</v>
      </c>
      <c r="D163">
        <v>13.4600706100463</v>
      </c>
      <c r="E163" t="s">
        <v>2686</v>
      </c>
    </row>
    <row r="164" spans="1:5" x14ac:dyDescent="0.3">
      <c r="A164" t="s">
        <v>1974</v>
      </c>
      <c r="B164">
        <v>357335.69921875</v>
      </c>
      <c r="C164">
        <v>6667689.9453125</v>
      </c>
      <c r="D164">
        <v>7.5496120452880797</v>
      </c>
      <c r="E164" t="s">
        <v>2686</v>
      </c>
    </row>
    <row r="165" spans="1:5" x14ac:dyDescent="0.3">
      <c r="A165" t="s">
        <v>1984</v>
      </c>
      <c r="B165">
        <v>363779.89453125</v>
      </c>
      <c r="C165">
        <v>6671140.79296875</v>
      </c>
      <c r="D165">
        <v>8.3218259811401296</v>
      </c>
      <c r="E165" t="s">
        <v>2686</v>
      </c>
    </row>
    <row r="166" spans="1:5" x14ac:dyDescent="0.3">
      <c r="A166" t="s">
        <v>469</v>
      </c>
      <c r="B166">
        <v>363781.09765625</v>
      </c>
      <c r="C166">
        <v>6671142.62109375</v>
      </c>
      <c r="D166">
        <v>8.3393478393554599</v>
      </c>
      <c r="E166" t="s">
        <v>2685</v>
      </c>
    </row>
    <row r="167" spans="1:5" x14ac:dyDescent="0.3">
      <c r="A167" t="s">
        <v>1985</v>
      </c>
      <c r="B167">
        <v>363777.57421875</v>
      </c>
      <c r="C167">
        <v>6671141.421875</v>
      </c>
      <c r="D167">
        <v>8.3841352462768501</v>
      </c>
      <c r="E167" t="s">
        <v>2686</v>
      </c>
    </row>
    <row r="168" spans="1:5" x14ac:dyDescent="0.3">
      <c r="A168" t="s">
        <v>468</v>
      </c>
      <c r="B168">
        <v>363776.12890625</v>
      </c>
      <c r="C168">
        <v>6671143.03515625</v>
      </c>
      <c r="D168">
        <v>8.45587062835693</v>
      </c>
      <c r="E168" t="s">
        <v>2685</v>
      </c>
    </row>
    <row r="169" spans="1:5" x14ac:dyDescent="0.3">
      <c r="A169" t="s">
        <v>1986</v>
      </c>
      <c r="B169">
        <v>363777.21484375</v>
      </c>
      <c r="C169">
        <v>6671140.88671875</v>
      </c>
      <c r="D169">
        <v>8.3778667449951101</v>
      </c>
      <c r="E169" t="s">
        <v>2686</v>
      </c>
    </row>
    <row r="170" spans="1:5" x14ac:dyDescent="0.3">
      <c r="A170" t="s">
        <v>1987</v>
      </c>
      <c r="B170">
        <v>357366.93359375</v>
      </c>
      <c r="C170">
        <v>6668577.7578125</v>
      </c>
      <c r="D170">
        <v>22.712121963500898</v>
      </c>
      <c r="E170" t="s">
        <v>2686</v>
      </c>
    </row>
    <row r="171" spans="1:5" x14ac:dyDescent="0.3">
      <c r="A171" t="s">
        <v>467</v>
      </c>
      <c r="B171">
        <v>363202.78515625</v>
      </c>
      <c r="C171">
        <v>6671336.8359375</v>
      </c>
      <c r="D171">
        <v>15.6396284103393</v>
      </c>
      <c r="E171" t="s">
        <v>2685</v>
      </c>
    </row>
    <row r="172" spans="1:5" x14ac:dyDescent="0.3">
      <c r="A172" t="s">
        <v>1988</v>
      </c>
      <c r="B172">
        <v>363192.53515625</v>
      </c>
      <c r="C172">
        <v>6671323.44921875</v>
      </c>
      <c r="D172">
        <v>15.0735416412353</v>
      </c>
      <c r="E172" t="s">
        <v>2686</v>
      </c>
    </row>
    <row r="173" spans="1:5" x14ac:dyDescent="0.3">
      <c r="A173" t="s">
        <v>1982</v>
      </c>
      <c r="B173">
        <v>358192.015625</v>
      </c>
      <c r="C173">
        <v>6668596.390625</v>
      </c>
      <c r="D173">
        <v>12.315033912658601</v>
      </c>
      <c r="E173" t="s">
        <v>2686</v>
      </c>
    </row>
    <row r="174" spans="1:5" x14ac:dyDescent="0.3">
      <c r="A174" t="s">
        <v>1990</v>
      </c>
      <c r="B174">
        <v>357447.39453125</v>
      </c>
      <c r="C174">
        <v>6668606.27734375</v>
      </c>
      <c r="D174">
        <v>25.251659393310501</v>
      </c>
      <c r="E174" t="s">
        <v>2686</v>
      </c>
    </row>
    <row r="175" spans="1:5" x14ac:dyDescent="0.3">
      <c r="A175" t="s">
        <v>458</v>
      </c>
      <c r="B175">
        <v>358016.52734375</v>
      </c>
      <c r="C175">
        <v>6668848.1015625</v>
      </c>
      <c r="D175">
        <v>17.504863739013601</v>
      </c>
      <c r="E175" t="s">
        <v>2685</v>
      </c>
    </row>
    <row r="176" spans="1:5" x14ac:dyDescent="0.3">
      <c r="A176" t="s">
        <v>1995</v>
      </c>
      <c r="B176">
        <v>358422.390625</v>
      </c>
      <c r="C176">
        <v>6667708.140625</v>
      </c>
      <c r="D176">
        <v>23.778425216674801</v>
      </c>
      <c r="E176" t="s">
        <v>2686</v>
      </c>
    </row>
    <row r="177" spans="1:5" x14ac:dyDescent="0.3">
      <c r="A177" t="s">
        <v>1992</v>
      </c>
      <c r="B177">
        <v>358675.7734375</v>
      </c>
      <c r="C177">
        <v>6667794.4140625</v>
      </c>
      <c r="D177">
        <v>29.942184448242099</v>
      </c>
      <c r="E177" t="s">
        <v>2686</v>
      </c>
    </row>
    <row r="178" spans="1:5" x14ac:dyDescent="0.3">
      <c r="A178" t="s">
        <v>445</v>
      </c>
      <c r="B178">
        <v>357338.09765625</v>
      </c>
      <c r="C178">
        <v>6668615.90625</v>
      </c>
      <c r="D178">
        <v>24.8682956695556</v>
      </c>
      <c r="E178" t="s">
        <v>2685</v>
      </c>
    </row>
    <row r="179" spans="1:5" x14ac:dyDescent="0.3">
      <c r="A179" t="s">
        <v>1994</v>
      </c>
      <c r="B179">
        <v>358384.65625</v>
      </c>
      <c r="C179">
        <v>6667665.765625</v>
      </c>
      <c r="D179">
        <v>22.195858001708899</v>
      </c>
      <c r="E179" t="s">
        <v>2686</v>
      </c>
    </row>
    <row r="180" spans="1:5" x14ac:dyDescent="0.3">
      <c r="A180" t="s">
        <v>442</v>
      </c>
      <c r="B180">
        <v>358355.1796875</v>
      </c>
      <c r="C180">
        <v>6667642.49609375</v>
      </c>
      <c r="D180">
        <v>23.803876876831001</v>
      </c>
      <c r="E180" t="s">
        <v>2685</v>
      </c>
    </row>
    <row r="181" spans="1:5" x14ac:dyDescent="0.3">
      <c r="A181" t="s">
        <v>435</v>
      </c>
      <c r="B181">
        <v>357293.76171875</v>
      </c>
      <c r="C181">
        <v>6667479.76171875</v>
      </c>
      <c r="D181">
        <v>6.6598057746887198</v>
      </c>
      <c r="E181" t="s">
        <v>2685</v>
      </c>
    </row>
    <row r="182" spans="1:5" x14ac:dyDescent="0.3">
      <c r="A182" t="s">
        <v>2025</v>
      </c>
      <c r="B182">
        <v>357333.33984375</v>
      </c>
      <c r="C182">
        <v>6667473.203125</v>
      </c>
      <c r="D182">
        <v>7.0231986045837402</v>
      </c>
      <c r="E182" t="s">
        <v>2686</v>
      </c>
    </row>
    <row r="183" spans="1:5" x14ac:dyDescent="0.3">
      <c r="A183" t="s">
        <v>2258</v>
      </c>
      <c r="B183">
        <v>359711.9921875</v>
      </c>
      <c r="C183">
        <v>6667764.25390625</v>
      </c>
      <c r="D183">
        <v>17.715824127197202</v>
      </c>
      <c r="E183" t="s">
        <v>2686</v>
      </c>
    </row>
    <row r="184" spans="1:5" x14ac:dyDescent="0.3">
      <c r="A184" t="s">
        <v>2013</v>
      </c>
      <c r="B184">
        <v>359643.1796875</v>
      </c>
      <c r="C184">
        <v>6668078.8828125</v>
      </c>
      <c r="D184">
        <v>18.6338386535644</v>
      </c>
      <c r="E184" t="s">
        <v>2686</v>
      </c>
    </row>
    <row r="185" spans="1:5" x14ac:dyDescent="0.3">
      <c r="A185" t="s">
        <v>2004</v>
      </c>
      <c r="B185">
        <v>357150.57421875</v>
      </c>
      <c r="C185">
        <v>6665651.62890625</v>
      </c>
      <c r="D185">
        <v>14.8366193771362</v>
      </c>
      <c r="E185" t="s">
        <v>2686</v>
      </c>
    </row>
    <row r="186" spans="1:5" x14ac:dyDescent="0.3">
      <c r="A186" t="s">
        <v>2003</v>
      </c>
      <c r="B186">
        <v>357073.62890625</v>
      </c>
      <c r="C186">
        <v>6665609.5859375</v>
      </c>
      <c r="D186">
        <v>12.426719665527299</v>
      </c>
      <c r="E186" t="s">
        <v>2686</v>
      </c>
    </row>
    <row r="187" spans="1:5" x14ac:dyDescent="0.3">
      <c r="A187" t="s">
        <v>2198</v>
      </c>
      <c r="B187">
        <v>365343.578125</v>
      </c>
      <c r="C187">
        <v>6670121.34765625</v>
      </c>
      <c r="D187">
        <v>29.5077610015869</v>
      </c>
      <c r="E187" t="s">
        <v>2686</v>
      </c>
    </row>
    <row r="188" spans="1:5" x14ac:dyDescent="0.3">
      <c r="A188" t="s">
        <v>2232</v>
      </c>
      <c r="B188">
        <v>361849.08984375</v>
      </c>
      <c r="C188">
        <v>6669065.41796875</v>
      </c>
      <c r="D188">
        <v>2.2032372951507502</v>
      </c>
      <c r="E188" t="s">
        <v>2686</v>
      </c>
    </row>
    <row r="189" spans="1:5" x14ac:dyDescent="0.3">
      <c r="A189" t="s">
        <v>1999</v>
      </c>
      <c r="B189">
        <v>361556.3125</v>
      </c>
      <c r="C189">
        <v>6668899.53515625</v>
      </c>
      <c r="D189">
        <v>4.5681805610656703</v>
      </c>
      <c r="E189" t="s">
        <v>2686</v>
      </c>
    </row>
    <row r="190" spans="1:5" x14ac:dyDescent="0.3">
      <c r="A190" t="s">
        <v>2285</v>
      </c>
      <c r="B190">
        <v>361456.6640625</v>
      </c>
      <c r="C190">
        <v>6668889.30859375</v>
      </c>
      <c r="D190">
        <v>2.5479364395141602</v>
      </c>
      <c r="E190" t="s">
        <v>2686</v>
      </c>
    </row>
    <row r="191" spans="1:5" x14ac:dyDescent="0.3">
      <c r="A191" t="s">
        <v>430</v>
      </c>
      <c r="B191">
        <v>355987.93359375</v>
      </c>
      <c r="C191">
        <v>6663853.515625</v>
      </c>
      <c r="D191">
        <v>10.1492195129394</v>
      </c>
      <c r="E191" t="s">
        <v>2685</v>
      </c>
    </row>
    <row r="192" spans="1:5" x14ac:dyDescent="0.3">
      <c r="A192" t="s">
        <v>429</v>
      </c>
      <c r="B192">
        <v>357135.81640625</v>
      </c>
      <c r="C192">
        <v>6665676.69921875</v>
      </c>
      <c r="D192">
        <v>20.485500335693299</v>
      </c>
      <c r="E192" t="s">
        <v>2685</v>
      </c>
    </row>
    <row r="193" spans="1:5" x14ac:dyDescent="0.3">
      <c r="A193" t="s">
        <v>2407</v>
      </c>
      <c r="B193">
        <v>357967.53515625</v>
      </c>
      <c r="C193">
        <v>6668557.953125</v>
      </c>
      <c r="D193">
        <v>26.049964904785099</v>
      </c>
      <c r="E193" t="s">
        <v>2686</v>
      </c>
    </row>
    <row r="194" spans="1:5" x14ac:dyDescent="0.3">
      <c r="A194" t="s">
        <v>2005</v>
      </c>
      <c r="B194">
        <v>357968.56640625</v>
      </c>
      <c r="C194">
        <v>6668557.05859375</v>
      </c>
      <c r="D194">
        <v>25.975969314575099</v>
      </c>
      <c r="E194" t="s">
        <v>2686</v>
      </c>
    </row>
    <row r="195" spans="1:5" x14ac:dyDescent="0.3">
      <c r="A195" t="s">
        <v>2008</v>
      </c>
      <c r="B195">
        <v>359314.359375</v>
      </c>
      <c r="C195">
        <v>6668405.3359375</v>
      </c>
      <c r="D195">
        <v>29.976741790771399</v>
      </c>
      <c r="E195" t="s">
        <v>2686</v>
      </c>
    </row>
    <row r="196" spans="1:5" x14ac:dyDescent="0.3">
      <c r="A196" t="s">
        <v>428</v>
      </c>
      <c r="B196">
        <v>357016.7890625</v>
      </c>
      <c r="C196">
        <v>6668781.06640625</v>
      </c>
      <c r="D196">
        <v>20.636928558349599</v>
      </c>
      <c r="E196" t="s">
        <v>2685</v>
      </c>
    </row>
    <row r="197" spans="1:5" x14ac:dyDescent="0.3">
      <c r="A197" t="s">
        <v>2002</v>
      </c>
      <c r="B197">
        <v>355981.10546875</v>
      </c>
      <c r="C197">
        <v>6663871.2734375</v>
      </c>
      <c r="D197">
        <v>11.463894844055099</v>
      </c>
      <c r="E197" t="s">
        <v>2686</v>
      </c>
    </row>
    <row r="198" spans="1:5" x14ac:dyDescent="0.3">
      <c r="A198" t="s">
        <v>2009</v>
      </c>
      <c r="B198">
        <v>355992.33984375</v>
      </c>
      <c r="C198">
        <v>6663870.80078125</v>
      </c>
      <c r="D198">
        <v>11.180934906005801</v>
      </c>
      <c r="E198" t="s">
        <v>2686</v>
      </c>
    </row>
    <row r="199" spans="1:5" x14ac:dyDescent="0.3">
      <c r="A199" t="s">
        <v>2011</v>
      </c>
      <c r="B199">
        <v>357011.9453125</v>
      </c>
      <c r="C199">
        <v>6668786.75390625</v>
      </c>
      <c r="D199">
        <v>20.587100982666001</v>
      </c>
      <c r="E199" t="s">
        <v>2686</v>
      </c>
    </row>
    <row r="200" spans="1:5" x14ac:dyDescent="0.3">
      <c r="A200" t="s">
        <v>2010</v>
      </c>
      <c r="B200">
        <v>359503.21484375</v>
      </c>
      <c r="C200">
        <v>6668190.38671875</v>
      </c>
      <c r="D200">
        <v>25.513593673706001</v>
      </c>
      <c r="E200" t="s">
        <v>2686</v>
      </c>
    </row>
    <row r="201" spans="1:5" x14ac:dyDescent="0.3">
      <c r="A201" t="s">
        <v>2012</v>
      </c>
      <c r="B201">
        <v>359517.3984375</v>
      </c>
      <c r="C201">
        <v>6668163.78515625</v>
      </c>
      <c r="D201">
        <v>22.663782119750898</v>
      </c>
      <c r="E201" t="s">
        <v>2686</v>
      </c>
    </row>
    <row r="202" spans="1:5" x14ac:dyDescent="0.3">
      <c r="A202" t="s">
        <v>427</v>
      </c>
      <c r="B202">
        <v>359283.24609375</v>
      </c>
      <c r="C202">
        <v>6668394.33984375</v>
      </c>
      <c r="D202">
        <v>29.4467163085937</v>
      </c>
      <c r="E202" t="s">
        <v>2685</v>
      </c>
    </row>
    <row r="203" spans="1:5" x14ac:dyDescent="0.3">
      <c r="A203" t="s">
        <v>2027</v>
      </c>
      <c r="B203">
        <v>366039.96484375</v>
      </c>
      <c r="C203">
        <v>6670163.390625</v>
      </c>
      <c r="D203">
        <v>26.2032165527343</v>
      </c>
      <c r="E203" t="s">
        <v>2686</v>
      </c>
    </row>
    <row r="204" spans="1:5" x14ac:dyDescent="0.3">
      <c r="A204" t="s">
        <v>426</v>
      </c>
      <c r="B204">
        <v>359531.39453125</v>
      </c>
      <c r="C204">
        <v>6667403.93359375</v>
      </c>
      <c r="D204">
        <v>8.9601030349731392</v>
      </c>
      <c r="E204" t="s">
        <v>2685</v>
      </c>
    </row>
    <row r="205" spans="1:5" x14ac:dyDescent="0.3">
      <c r="A205" t="s">
        <v>425</v>
      </c>
      <c r="B205">
        <v>363301.3984375</v>
      </c>
      <c r="C205">
        <v>6672539.9296875</v>
      </c>
      <c r="D205">
        <v>19.055498123168899</v>
      </c>
      <c r="E205" t="s">
        <v>2685</v>
      </c>
    </row>
    <row r="206" spans="1:5" x14ac:dyDescent="0.3">
      <c r="A206" t="s">
        <v>424</v>
      </c>
      <c r="B206">
        <v>357827.50390625</v>
      </c>
      <c r="C206">
        <v>6667826.8359375</v>
      </c>
      <c r="D206">
        <v>8.3544654846191406</v>
      </c>
      <c r="E206" t="s">
        <v>2685</v>
      </c>
    </row>
    <row r="207" spans="1:5" x14ac:dyDescent="0.3">
      <c r="A207" t="s">
        <v>2016</v>
      </c>
      <c r="B207">
        <v>363279.7578125</v>
      </c>
      <c r="C207">
        <v>6672527.40234375</v>
      </c>
      <c r="D207">
        <v>20.783756256103501</v>
      </c>
      <c r="E207" t="s">
        <v>2686</v>
      </c>
    </row>
    <row r="208" spans="1:5" x14ac:dyDescent="0.3">
      <c r="A208" t="s">
        <v>2653</v>
      </c>
      <c r="B208">
        <v>358191.32421875</v>
      </c>
      <c r="C208">
        <v>6666317.515625</v>
      </c>
      <c r="D208">
        <v>11.8414754867553</v>
      </c>
      <c r="E208" t="s">
        <v>2686</v>
      </c>
    </row>
    <row r="209" spans="1:5" x14ac:dyDescent="0.3">
      <c r="A209" t="s">
        <v>422</v>
      </c>
      <c r="B209">
        <v>363009.85546875</v>
      </c>
      <c r="C209">
        <v>6671314.43359375</v>
      </c>
      <c r="D209">
        <v>16.1424140930175</v>
      </c>
      <c r="E209" t="s">
        <v>2685</v>
      </c>
    </row>
    <row r="210" spans="1:5" x14ac:dyDescent="0.3">
      <c r="A210" t="s">
        <v>2019</v>
      </c>
      <c r="B210">
        <v>357790.08203125</v>
      </c>
      <c r="C210">
        <v>6667785.4921875</v>
      </c>
      <c r="D210">
        <v>8.44551181793212</v>
      </c>
      <c r="E210" t="s">
        <v>2686</v>
      </c>
    </row>
    <row r="211" spans="1:5" x14ac:dyDescent="0.3">
      <c r="A211" t="s">
        <v>2432</v>
      </c>
      <c r="B211">
        <v>357915.25</v>
      </c>
      <c r="C211">
        <v>6668506.00390625</v>
      </c>
      <c r="D211">
        <v>28.622020721435501</v>
      </c>
      <c r="E211" t="s">
        <v>2686</v>
      </c>
    </row>
    <row r="212" spans="1:5" x14ac:dyDescent="0.3">
      <c r="A212" t="s">
        <v>2020</v>
      </c>
      <c r="B212">
        <v>357916.44140625</v>
      </c>
      <c r="C212">
        <v>6668505.453125</v>
      </c>
      <c r="D212">
        <v>28.420284271240199</v>
      </c>
      <c r="E212" t="s">
        <v>2686</v>
      </c>
    </row>
    <row r="213" spans="1:5" x14ac:dyDescent="0.3">
      <c r="A213" t="s">
        <v>2023</v>
      </c>
      <c r="B213">
        <v>358016.9296875</v>
      </c>
      <c r="C213">
        <v>6668703.51953125</v>
      </c>
      <c r="D213">
        <v>16.488418579101499</v>
      </c>
      <c r="E213" t="s">
        <v>2686</v>
      </c>
    </row>
    <row r="214" spans="1:5" x14ac:dyDescent="0.3">
      <c r="A214" t="s">
        <v>1981</v>
      </c>
      <c r="B214">
        <v>357326.1015625</v>
      </c>
      <c r="C214">
        <v>6667475.171875</v>
      </c>
      <c r="D214">
        <v>6.9670095443725497</v>
      </c>
      <c r="E214" t="s">
        <v>2686</v>
      </c>
    </row>
    <row r="215" spans="1:5" x14ac:dyDescent="0.3">
      <c r="A215" t="s">
        <v>2164</v>
      </c>
      <c r="B215">
        <v>366162.61328125</v>
      </c>
      <c r="C215">
        <v>6670112.828125</v>
      </c>
      <c r="D215">
        <v>24.329444885253899</v>
      </c>
      <c r="E215" t="s">
        <v>2686</v>
      </c>
    </row>
    <row r="216" spans="1:5" x14ac:dyDescent="0.3">
      <c r="A216" t="s">
        <v>2026</v>
      </c>
      <c r="B216">
        <v>366066.203125</v>
      </c>
      <c r="C216">
        <v>6670153.453125</v>
      </c>
      <c r="D216">
        <v>25.560104370117099</v>
      </c>
      <c r="E216" t="s">
        <v>2686</v>
      </c>
    </row>
    <row r="217" spans="1:5" x14ac:dyDescent="0.3">
      <c r="A217" t="s">
        <v>2028</v>
      </c>
      <c r="B217">
        <v>357915.390625</v>
      </c>
      <c r="C217">
        <v>6668505.9453125</v>
      </c>
      <c r="D217">
        <v>28.5987243652343</v>
      </c>
      <c r="E217" t="s">
        <v>2686</v>
      </c>
    </row>
    <row r="218" spans="1:5" x14ac:dyDescent="0.3">
      <c r="A218" t="s">
        <v>1920</v>
      </c>
      <c r="B218">
        <v>357965.4609375</v>
      </c>
      <c r="C218">
        <v>6668552.9765625</v>
      </c>
      <c r="D218">
        <v>25.926158905029201</v>
      </c>
      <c r="E218" t="s">
        <v>2686</v>
      </c>
    </row>
    <row r="219" spans="1:5" x14ac:dyDescent="0.3">
      <c r="A219" t="s">
        <v>2441</v>
      </c>
      <c r="B219">
        <v>358012.6796875</v>
      </c>
      <c r="C219">
        <v>6668520.6875</v>
      </c>
      <c r="D219">
        <v>21.978355407714801</v>
      </c>
      <c r="E219" t="s">
        <v>2686</v>
      </c>
    </row>
    <row r="220" spans="1:5" x14ac:dyDescent="0.3">
      <c r="A220" t="s">
        <v>1918</v>
      </c>
      <c r="B220">
        <v>357968.71484375</v>
      </c>
      <c r="C220">
        <v>6668560.33984375</v>
      </c>
      <c r="D220">
        <v>26.098138809204102</v>
      </c>
      <c r="E220" t="s">
        <v>2686</v>
      </c>
    </row>
    <row r="221" spans="1:5" x14ac:dyDescent="0.3">
      <c r="A221" t="s">
        <v>2084</v>
      </c>
      <c r="B221">
        <v>357984.91015625</v>
      </c>
      <c r="C221">
        <v>6668586.70703125</v>
      </c>
      <c r="D221">
        <v>26.023433685302699</v>
      </c>
      <c r="E221" t="s">
        <v>2686</v>
      </c>
    </row>
    <row r="222" spans="1:5" x14ac:dyDescent="0.3">
      <c r="A222" t="s">
        <v>1917</v>
      </c>
      <c r="B222">
        <v>357986.15625</v>
      </c>
      <c r="C222">
        <v>6668585.91796875</v>
      </c>
      <c r="D222">
        <v>25.9486179351806</v>
      </c>
      <c r="E222" t="s">
        <v>2686</v>
      </c>
    </row>
    <row r="223" spans="1:5" x14ac:dyDescent="0.3">
      <c r="A223" t="s">
        <v>2030</v>
      </c>
      <c r="B223">
        <v>358017.13671875</v>
      </c>
      <c r="C223">
        <v>6668703.78515625</v>
      </c>
      <c r="D223">
        <v>16.4652080535888</v>
      </c>
      <c r="E223" t="s">
        <v>2686</v>
      </c>
    </row>
    <row r="224" spans="1:5" x14ac:dyDescent="0.3">
      <c r="A224" t="s">
        <v>2056</v>
      </c>
      <c r="B224">
        <v>357967.40625</v>
      </c>
      <c r="C224">
        <v>6668558.03125</v>
      </c>
      <c r="D224">
        <v>26.057918548583899</v>
      </c>
      <c r="E224" t="s">
        <v>2686</v>
      </c>
    </row>
    <row r="225" spans="1:5" x14ac:dyDescent="0.3">
      <c r="A225" t="s">
        <v>2063</v>
      </c>
      <c r="B225">
        <v>358085.58984375</v>
      </c>
      <c r="C225">
        <v>6668463.90625</v>
      </c>
      <c r="D225">
        <v>13.7437648773193</v>
      </c>
      <c r="E225" t="s">
        <v>2686</v>
      </c>
    </row>
    <row r="226" spans="1:5" x14ac:dyDescent="0.3">
      <c r="A226" t="s">
        <v>2017</v>
      </c>
      <c r="B226">
        <v>357828.4453125</v>
      </c>
      <c r="C226">
        <v>6668442.625</v>
      </c>
      <c r="D226">
        <v>28.326955795288001</v>
      </c>
      <c r="E226" t="s">
        <v>2686</v>
      </c>
    </row>
    <row r="227" spans="1:5" x14ac:dyDescent="0.3">
      <c r="A227" t="s">
        <v>2006</v>
      </c>
      <c r="B227">
        <v>357829.18359375</v>
      </c>
      <c r="C227">
        <v>6668442.578125</v>
      </c>
      <c r="D227">
        <v>28.310501098632798</v>
      </c>
      <c r="E227" t="s">
        <v>2686</v>
      </c>
    </row>
    <row r="228" spans="1:5" x14ac:dyDescent="0.3">
      <c r="A228" t="s">
        <v>2024</v>
      </c>
      <c r="B228">
        <v>355438.07421875</v>
      </c>
      <c r="C228">
        <v>6664596.0234375</v>
      </c>
      <c r="D228">
        <v>8.9182081222534109</v>
      </c>
      <c r="E228" t="s">
        <v>2686</v>
      </c>
    </row>
    <row r="229" spans="1:5" x14ac:dyDescent="0.3">
      <c r="A229" t="s">
        <v>421</v>
      </c>
      <c r="B229">
        <v>355411.6171875</v>
      </c>
      <c r="C229">
        <v>6664621.42578125</v>
      </c>
      <c r="D229">
        <v>10.1281585693359</v>
      </c>
      <c r="E229" t="s">
        <v>2685</v>
      </c>
    </row>
    <row r="230" spans="1:5" x14ac:dyDescent="0.3">
      <c r="A230" t="s">
        <v>2033</v>
      </c>
      <c r="B230">
        <v>358295.3984375</v>
      </c>
      <c r="C230">
        <v>6669181.31640625</v>
      </c>
      <c r="D230">
        <v>22.735139846801701</v>
      </c>
      <c r="E230" t="s">
        <v>2686</v>
      </c>
    </row>
    <row r="231" spans="1:5" x14ac:dyDescent="0.3">
      <c r="A231" t="s">
        <v>2043</v>
      </c>
      <c r="B231">
        <v>358292.234375</v>
      </c>
      <c r="C231">
        <v>6669173.88671875</v>
      </c>
      <c r="D231">
        <v>21.8798828125</v>
      </c>
      <c r="E231" t="s">
        <v>2686</v>
      </c>
    </row>
    <row r="232" spans="1:5" x14ac:dyDescent="0.3">
      <c r="A232" t="s">
        <v>2034</v>
      </c>
      <c r="B232">
        <v>357131.01953125</v>
      </c>
      <c r="C232">
        <v>6667891.65234375</v>
      </c>
      <c r="D232">
        <v>15.978827476501399</v>
      </c>
      <c r="E232" t="s">
        <v>2686</v>
      </c>
    </row>
    <row r="233" spans="1:5" x14ac:dyDescent="0.3">
      <c r="A233" t="s">
        <v>2035</v>
      </c>
      <c r="B233">
        <v>357128.98046875</v>
      </c>
      <c r="C233">
        <v>6667890.76171875</v>
      </c>
      <c r="D233">
        <v>15.8637742996215</v>
      </c>
      <c r="E233" t="s">
        <v>2686</v>
      </c>
    </row>
    <row r="234" spans="1:5" x14ac:dyDescent="0.3">
      <c r="A234" t="s">
        <v>419</v>
      </c>
      <c r="B234">
        <v>357188.15625</v>
      </c>
      <c r="C234">
        <v>6667929.41015625</v>
      </c>
      <c r="D234">
        <v>17.549909591674801</v>
      </c>
      <c r="E234" t="s">
        <v>2685</v>
      </c>
    </row>
    <row r="235" spans="1:5" x14ac:dyDescent="0.3">
      <c r="A235" t="s">
        <v>2036</v>
      </c>
      <c r="B235">
        <v>357192.43359375</v>
      </c>
      <c r="C235">
        <v>6667923.16796875</v>
      </c>
      <c r="D235">
        <v>17.601354598998999</v>
      </c>
      <c r="E235" t="s">
        <v>2686</v>
      </c>
    </row>
    <row r="236" spans="1:5" x14ac:dyDescent="0.3">
      <c r="A236" t="s">
        <v>2486</v>
      </c>
      <c r="B236">
        <v>357202.32421875</v>
      </c>
      <c r="C236">
        <v>6667928.7578125</v>
      </c>
      <c r="D236">
        <v>17.765483856201101</v>
      </c>
      <c r="E236" t="s">
        <v>2686</v>
      </c>
    </row>
    <row r="237" spans="1:5" x14ac:dyDescent="0.3">
      <c r="A237" t="s">
        <v>2408</v>
      </c>
      <c r="B237">
        <v>357181.1796875</v>
      </c>
      <c r="C237">
        <v>6667909.5078125</v>
      </c>
      <c r="D237">
        <v>17.386339187621999</v>
      </c>
      <c r="E237" t="s">
        <v>2686</v>
      </c>
    </row>
    <row r="238" spans="1:5" x14ac:dyDescent="0.3">
      <c r="A238" t="s">
        <v>417</v>
      </c>
      <c r="B238">
        <v>358084.390625</v>
      </c>
      <c r="C238">
        <v>6668270.0703125</v>
      </c>
      <c r="D238">
        <v>10.0472974777221</v>
      </c>
      <c r="E238" t="s">
        <v>2685</v>
      </c>
    </row>
    <row r="239" spans="1:5" x14ac:dyDescent="0.3">
      <c r="A239" t="s">
        <v>2038</v>
      </c>
      <c r="B239">
        <v>358081.13671875</v>
      </c>
      <c r="C239">
        <v>6668273.4296875</v>
      </c>
      <c r="D239">
        <v>10.140635490417401</v>
      </c>
      <c r="E239" t="s">
        <v>2686</v>
      </c>
    </row>
    <row r="240" spans="1:5" x14ac:dyDescent="0.3">
      <c r="A240" t="s">
        <v>2654</v>
      </c>
      <c r="B240">
        <v>358112.5859375</v>
      </c>
      <c r="C240">
        <v>6668300.2578125</v>
      </c>
      <c r="D240">
        <v>9.609375</v>
      </c>
      <c r="E240" t="s">
        <v>2686</v>
      </c>
    </row>
    <row r="241" spans="1:5" x14ac:dyDescent="0.3">
      <c r="A241" t="s">
        <v>416</v>
      </c>
      <c r="B241">
        <v>358141.41796875</v>
      </c>
      <c r="C241">
        <v>6668440.37890625</v>
      </c>
      <c r="D241">
        <v>11.884899139404199</v>
      </c>
      <c r="E241" t="s">
        <v>2685</v>
      </c>
    </row>
    <row r="242" spans="1:5" x14ac:dyDescent="0.3">
      <c r="A242" t="s">
        <v>413</v>
      </c>
      <c r="B242">
        <v>358340.76953125</v>
      </c>
      <c r="C242">
        <v>6669338.58984375</v>
      </c>
      <c r="D242">
        <v>31.805925369262599</v>
      </c>
      <c r="E242" t="s">
        <v>2685</v>
      </c>
    </row>
    <row r="243" spans="1:5" x14ac:dyDescent="0.3">
      <c r="A243" t="s">
        <v>2039</v>
      </c>
      <c r="B243">
        <v>358357.3984375</v>
      </c>
      <c r="C243">
        <v>6669327.09765625</v>
      </c>
      <c r="D243">
        <v>28.495420455932599</v>
      </c>
      <c r="E243" t="s">
        <v>2686</v>
      </c>
    </row>
    <row r="244" spans="1:5" x14ac:dyDescent="0.3">
      <c r="A244" t="s">
        <v>2040</v>
      </c>
      <c r="B244">
        <v>358357.125</v>
      </c>
      <c r="C244">
        <v>6669326.484375</v>
      </c>
      <c r="D244">
        <v>28.481075286865199</v>
      </c>
      <c r="E244" t="s">
        <v>2686</v>
      </c>
    </row>
    <row r="245" spans="1:5" x14ac:dyDescent="0.3">
      <c r="A245" t="s">
        <v>2042</v>
      </c>
      <c r="B245">
        <v>358336.53125</v>
      </c>
      <c r="C245">
        <v>6669278.01953125</v>
      </c>
      <c r="D245">
        <v>26.4053859710693</v>
      </c>
      <c r="E245" t="s">
        <v>2686</v>
      </c>
    </row>
    <row r="246" spans="1:5" x14ac:dyDescent="0.3">
      <c r="A246" t="s">
        <v>2657</v>
      </c>
      <c r="B246">
        <v>358368.41796875</v>
      </c>
      <c r="C246">
        <v>6669373.79296875</v>
      </c>
      <c r="D246">
        <v>30.838779449462798</v>
      </c>
      <c r="E246" t="s">
        <v>2686</v>
      </c>
    </row>
    <row r="247" spans="1:5" x14ac:dyDescent="0.3">
      <c r="A247" t="s">
        <v>2068</v>
      </c>
      <c r="B247">
        <v>358358.97265625</v>
      </c>
      <c r="C247">
        <v>6669330.625</v>
      </c>
      <c r="D247">
        <v>28.566785812377901</v>
      </c>
      <c r="E247" t="s">
        <v>2686</v>
      </c>
    </row>
    <row r="248" spans="1:5" x14ac:dyDescent="0.3">
      <c r="A248" t="s">
        <v>412</v>
      </c>
      <c r="B248">
        <v>358316.63671875</v>
      </c>
      <c r="C248">
        <v>6669285.7421875</v>
      </c>
      <c r="D248">
        <v>27.7935485839843</v>
      </c>
      <c r="E248" t="s">
        <v>2685</v>
      </c>
    </row>
    <row r="249" spans="1:5" x14ac:dyDescent="0.3">
      <c r="A249" t="s">
        <v>2041</v>
      </c>
      <c r="B249">
        <v>358337.25</v>
      </c>
      <c r="C249">
        <v>6669279.73046875</v>
      </c>
      <c r="D249">
        <v>26.435722351074201</v>
      </c>
      <c r="E249" t="s">
        <v>2686</v>
      </c>
    </row>
    <row r="250" spans="1:5" x14ac:dyDescent="0.3">
      <c r="A250" t="s">
        <v>411</v>
      </c>
      <c r="B250">
        <v>358251.5234375</v>
      </c>
      <c r="C250">
        <v>6669155.171875</v>
      </c>
      <c r="D250">
        <v>22.8218784332275</v>
      </c>
      <c r="E250" t="s">
        <v>2685</v>
      </c>
    </row>
    <row r="251" spans="1:5" x14ac:dyDescent="0.3">
      <c r="A251" t="s">
        <v>410</v>
      </c>
      <c r="B251">
        <v>358190.49609375</v>
      </c>
      <c r="C251">
        <v>6669099.85546875</v>
      </c>
      <c r="D251">
        <v>20.399227142333899</v>
      </c>
      <c r="E251" t="s">
        <v>2685</v>
      </c>
    </row>
    <row r="252" spans="1:5" x14ac:dyDescent="0.3">
      <c r="A252" t="s">
        <v>2045</v>
      </c>
      <c r="B252">
        <v>359553.3671875</v>
      </c>
      <c r="C252">
        <v>6667424.7734375</v>
      </c>
      <c r="D252">
        <v>9.3610296249389595</v>
      </c>
      <c r="E252" t="s">
        <v>2686</v>
      </c>
    </row>
    <row r="253" spans="1:5" x14ac:dyDescent="0.3">
      <c r="A253" t="s">
        <v>2046</v>
      </c>
      <c r="B253">
        <v>359531.9765625</v>
      </c>
      <c r="C253">
        <v>6667446.37109375</v>
      </c>
      <c r="D253">
        <v>9.9429283142089808</v>
      </c>
      <c r="E253" t="s">
        <v>2686</v>
      </c>
    </row>
    <row r="254" spans="1:5" x14ac:dyDescent="0.3">
      <c r="A254" t="s">
        <v>2047</v>
      </c>
      <c r="B254">
        <v>359541.078125</v>
      </c>
      <c r="C254">
        <v>6667454.453125</v>
      </c>
      <c r="D254">
        <v>10.1150188446044</v>
      </c>
      <c r="E254" t="s">
        <v>2686</v>
      </c>
    </row>
    <row r="255" spans="1:5" x14ac:dyDescent="0.3">
      <c r="A255" t="s">
        <v>409</v>
      </c>
      <c r="B255">
        <v>362977.84765625</v>
      </c>
      <c r="C255">
        <v>6671251.71484375</v>
      </c>
      <c r="D255">
        <v>14.0673208236694</v>
      </c>
      <c r="E255" t="s">
        <v>2685</v>
      </c>
    </row>
    <row r="256" spans="1:5" x14ac:dyDescent="0.3">
      <c r="A256" t="s">
        <v>2057</v>
      </c>
      <c r="B256">
        <v>363653.9375</v>
      </c>
      <c r="C256">
        <v>6671072.75390625</v>
      </c>
      <c r="D256">
        <v>11.4417514801025</v>
      </c>
      <c r="E256" t="s">
        <v>2686</v>
      </c>
    </row>
    <row r="257" spans="1:5" x14ac:dyDescent="0.3">
      <c r="A257" t="s">
        <v>408</v>
      </c>
      <c r="B257">
        <v>363633.37109375</v>
      </c>
      <c r="C257">
        <v>6671123.9453125</v>
      </c>
      <c r="D257">
        <v>11.288831710815399</v>
      </c>
      <c r="E257" t="s">
        <v>2685</v>
      </c>
    </row>
    <row r="258" spans="1:5" x14ac:dyDescent="0.3">
      <c r="A258" t="s">
        <v>2048</v>
      </c>
      <c r="B258">
        <v>363630.67578125</v>
      </c>
      <c r="C258">
        <v>6671121.70703125</v>
      </c>
      <c r="D258">
        <v>11.602353096008301</v>
      </c>
      <c r="E258" t="s">
        <v>2686</v>
      </c>
    </row>
    <row r="259" spans="1:5" x14ac:dyDescent="0.3">
      <c r="A259" t="s">
        <v>407</v>
      </c>
      <c r="B259">
        <v>357950.36328125</v>
      </c>
      <c r="C259">
        <v>6668577.6640625</v>
      </c>
      <c r="D259">
        <v>27.813919067382798</v>
      </c>
      <c r="E259" t="s">
        <v>2685</v>
      </c>
    </row>
    <row r="260" spans="1:5" x14ac:dyDescent="0.3">
      <c r="A260" t="s">
        <v>2049</v>
      </c>
      <c r="B260">
        <v>357949.9921875</v>
      </c>
      <c r="C260">
        <v>6668576.73046875</v>
      </c>
      <c r="D260">
        <v>27.788061141967699</v>
      </c>
      <c r="E260" t="s">
        <v>2686</v>
      </c>
    </row>
    <row r="261" spans="1:5" x14ac:dyDescent="0.3">
      <c r="A261" t="s">
        <v>406</v>
      </c>
      <c r="B261">
        <v>357949.7109375</v>
      </c>
      <c r="C261">
        <v>6668577.15234375</v>
      </c>
      <c r="D261">
        <v>27.825595855712798</v>
      </c>
      <c r="E261" t="s">
        <v>2685</v>
      </c>
    </row>
    <row r="262" spans="1:5" x14ac:dyDescent="0.3">
      <c r="A262" t="s">
        <v>2058</v>
      </c>
      <c r="B262">
        <v>358426.7890625</v>
      </c>
      <c r="C262">
        <v>6669285.84375</v>
      </c>
      <c r="D262">
        <v>23.315269470214801</v>
      </c>
      <c r="E262" t="s">
        <v>2686</v>
      </c>
    </row>
    <row r="263" spans="1:5" x14ac:dyDescent="0.3">
      <c r="A263" t="s">
        <v>405</v>
      </c>
      <c r="B263">
        <v>358489.8359375</v>
      </c>
      <c r="C263">
        <v>6669276.390625</v>
      </c>
      <c r="D263">
        <v>20.208381652831999</v>
      </c>
      <c r="E263" t="s">
        <v>2685</v>
      </c>
    </row>
    <row r="264" spans="1:5" x14ac:dyDescent="0.3">
      <c r="A264" t="s">
        <v>2050</v>
      </c>
      <c r="B264">
        <v>358485.4375</v>
      </c>
      <c r="C264">
        <v>6669263.83984375</v>
      </c>
      <c r="D264">
        <v>20.930782318115199</v>
      </c>
      <c r="E264" t="s">
        <v>2686</v>
      </c>
    </row>
    <row r="265" spans="1:5" x14ac:dyDescent="0.3">
      <c r="A265" t="s">
        <v>404</v>
      </c>
      <c r="B265">
        <v>358483.54296875</v>
      </c>
      <c r="C265">
        <v>6669254.3671875</v>
      </c>
      <c r="D265">
        <v>21.473670959472599</v>
      </c>
      <c r="E265" t="s">
        <v>2685</v>
      </c>
    </row>
    <row r="266" spans="1:5" x14ac:dyDescent="0.3">
      <c r="A266" t="s">
        <v>2051</v>
      </c>
      <c r="B266">
        <v>358508.65234375</v>
      </c>
      <c r="C266">
        <v>6669385.12109375</v>
      </c>
      <c r="D266">
        <v>23.335256576538001</v>
      </c>
      <c r="E266" t="s">
        <v>2686</v>
      </c>
    </row>
    <row r="267" spans="1:5" x14ac:dyDescent="0.3">
      <c r="A267" t="s">
        <v>403</v>
      </c>
      <c r="B267">
        <v>358520.9609375</v>
      </c>
      <c r="C267">
        <v>6669379.79296875</v>
      </c>
      <c r="D267">
        <v>21.282474517822202</v>
      </c>
      <c r="E267" t="s">
        <v>2685</v>
      </c>
    </row>
    <row r="268" spans="1:5" x14ac:dyDescent="0.3">
      <c r="A268" t="s">
        <v>402</v>
      </c>
      <c r="B268">
        <v>363085.0234375</v>
      </c>
      <c r="C268">
        <v>6671267.43359375</v>
      </c>
      <c r="D268">
        <v>13.6151685714721</v>
      </c>
      <c r="E268" t="s">
        <v>2685</v>
      </c>
    </row>
    <row r="269" spans="1:5" x14ac:dyDescent="0.3">
      <c r="A269" t="s">
        <v>2053</v>
      </c>
      <c r="B269">
        <v>359574.03125</v>
      </c>
      <c r="C269">
        <v>6667484.03125</v>
      </c>
      <c r="D269">
        <v>12.0236721038818</v>
      </c>
      <c r="E269" t="s">
        <v>2686</v>
      </c>
    </row>
    <row r="270" spans="1:5" x14ac:dyDescent="0.3">
      <c r="A270" t="s">
        <v>2001</v>
      </c>
      <c r="B270">
        <v>365821.65234375</v>
      </c>
      <c r="C270">
        <v>6670267.80078125</v>
      </c>
      <c r="D270">
        <v>30.400262832641602</v>
      </c>
      <c r="E270" t="s">
        <v>2686</v>
      </c>
    </row>
    <row r="271" spans="1:5" x14ac:dyDescent="0.3">
      <c r="A271" t="s">
        <v>401</v>
      </c>
      <c r="B271">
        <v>358548.80859375</v>
      </c>
      <c r="C271">
        <v>6669499.0078125</v>
      </c>
      <c r="D271">
        <v>25.760435104370099</v>
      </c>
      <c r="E271" t="s">
        <v>2685</v>
      </c>
    </row>
    <row r="272" spans="1:5" x14ac:dyDescent="0.3">
      <c r="A272" t="s">
        <v>2059</v>
      </c>
      <c r="B272">
        <v>358424.125</v>
      </c>
      <c r="C272">
        <v>6669287.03125</v>
      </c>
      <c r="D272">
        <v>23.363315582275298</v>
      </c>
      <c r="E272" t="s">
        <v>2686</v>
      </c>
    </row>
    <row r="273" spans="1:5" x14ac:dyDescent="0.3">
      <c r="A273" t="s">
        <v>2060</v>
      </c>
      <c r="B273">
        <v>358537.4375</v>
      </c>
      <c r="C273">
        <v>6669452.47265625</v>
      </c>
      <c r="D273">
        <v>22.8981113433837</v>
      </c>
      <c r="E273" t="s">
        <v>2686</v>
      </c>
    </row>
    <row r="274" spans="1:5" x14ac:dyDescent="0.3">
      <c r="A274" t="s">
        <v>2061</v>
      </c>
      <c r="B274">
        <v>358539.625</v>
      </c>
      <c r="C274">
        <v>6669457.46484375</v>
      </c>
      <c r="D274">
        <v>23.0676765441894</v>
      </c>
      <c r="E274" t="s">
        <v>2686</v>
      </c>
    </row>
    <row r="275" spans="1:5" x14ac:dyDescent="0.3">
      <c r="A275" t="s">
        <v>400</v>
      </c>
      <c r="B275">
        <v>358584.24609375</v>
      </c>
      <c r="C275">
        <v>6669438.796875</v>
      </c>
      <c r="D275">
        <v>21.025369644165</v>
      </c>
      <c r="E275" t="s">
        <v>2685</v>
      </c>
    </row>
    <row r="276" spans="1:5" x14ac:dyDescent="0.3">
      <c r="A276" t="s">
        <v>2062</v>
      </c>
      <c r="B276">
        <v>358407.0078125</v>
      </c>
      <c r="C276">
        <v>6669357.859375</v>
      </c>
      <c r="D276">
        <v>29.544326782226499</v>
      </c>
      <c r="E276" t="s">
        <v>2686</v>
      </c>
    </row>
    <row r="277" spans="1:5" x14ac:dyDescent="0.3">
      <c r="A277" t="s">
        <v>2073</v>
      </c>
      <c r="B277">
        <v>358406.23046875</v>
      </c>
      <c r="C277">
        <v>6669358.1796875</v>
      </c>
      <c r="D277">
        <v>29.552463531494102</v>
      </c>
      <c r="E277" t="s">
        <v>2686</v>
      </c>
    </row>
    <row r="278" spans="1:5" x14ac:dyDescent="0.3">
      <c r="A278" t="s">
        <v>2044</v>
      </c>
      <c r="B278">
        <v>358257.73046875</v>
      </c>
      <c r="C278">
        <v>6669110.734375</v>
      </c>
      <c r="D278">
        <v>18.497760772705</v>
      </c>
      <c r="E278" t="s">
        <v>2686</v>
      </c>
    </row>
    <row r="279" spans="1:5" x14ac:dyDescent="0.3">
      <c r="A279" t="s">
        <v>2655</v>
      </c>
      <c r="B279">
        <v>359470.24609375</v>
      </c>
      <c r="C279">
        <v>6667406.625</v>
      </c>
      <c r="D279">
        <v>11.805191993713301</v>
      </c>
      <c r="E279" t="s">
        <v>2686</v>
      </c>
    </row>
    <row r="280" spans="1:5" x14ac:dyDescent="0.3">
      <c r="A280" t="s">
        <v>1997</v>
      </c>
      <c r="B280">
        <v>359578.21875</v>
      </c>
      <c r="C280">
        <v>6667492.3984375</v>
      </c>
      <c r="D280">
        <v>13.148206710815399</v>
      </c>
      <c r="E280" t="s">
        <v>2686</v>
      </c>
    </row>
    <row r="281" spans="1:5" x14ac:dyDescent="0.3">
      <c r="A281" t="s">
        <v>2065</v>
      </c>
      <c r="B281">
        <v>357782.39453125</v>
      </c>
      <c r="C281">
        <v>6666405.796875</v>
      </c>
      <c r="D281">
        <v>27.8954563140869</v>
      </c>
      <c r="E281" t="s">
        <v>2686</v>
      </c>
    </row>
    <row r="282" spans="1:5" x14ac:dyDescent="0.3">
      <c r="A282" t="s">
        <v>2118</v>
      </c>
      <c r="B282">
        <v>357787.93359375</v>
      </c>
      <c r="C282">
        <v>6666428.46875</v>
      </c>
      <c r="D282">
        <v>27.6870307922363</v>
      </c>
      <c r="E282" t="s">
        <v>2686</v>
      </c>
    </row>
    <row r="283" spans="1:5" x14ac:dyDescent="0.3">
      <c r="A283" t="s">
        <v>2079</v>
      </c>
      <c r="B283">
        <v>357919.55078125</v>
      </c>
      <c r="C283">
        <v>6667895.1875</v>
      </c>
      <c r="D283">
        <v>7.3736858367919904</v>
      </c>
      <c r="E283" t="s">
        <v>2686</v>
      </c>
    </row>
    <row r="284" spans="1:5" x14ac:dyDescent="0.3">
      <c r="A284" t="s">
        <v>2066</v>
      </c>
      <c r="B284">
        <v>363098.953125</v>
      </c>
      <c r="C284">
        <v>6671461.08203125</v>
      </c>
      <c r="D284">
        <v>19.795730590820298</v>
      </c>
      <c r="E284" t="s">
        <v>2686</v>
      </c>
    </row>
    <row r="285" spans="1:5" x14ac:dyDescent="0.3">
      <c r="A285" t="s">
        <v>399</v>
      </c>
      <c r="B285">
        <v>357010.0859375</v>
      </c>
      <c r="C285">
        <v>6669232.25</v>
      </c>
      <c r="D285">
        <v>39.764396667480398</v>
      </c>
      <c r="E285" t="s">
        <v>2685</v>
      </c>
    </row>
    <row r="286" spans="1:5" x14ac:dyDescent="0.3">
      <c r="A286" t="s">
        <v>2656</v>
      </c>
      <c r="B286">
        <v>358352.09765625</v>
      </c>
      <c r="C286">
        <v>6669270.9453125</v>
      </c>
      <c r="D286">
        <v>25.780769348144499</v>
      </c>
      <c r="E286" t="s">
        <v>2686</v>
      </c>
    </row>
    <row r="287" spans="1:5" x14ac:dyDescent="0.3">
      <c r="A287" t="s">
        <v>398</v>
      </c>
      <c r="B287">
        <v>363609.8671875</v>
      </c>
      <c r="C287">
        <v>6671064.75390625</v>
      </c>
      <c r="D287">
        <v>13.550697326660099</v>
      </c>
      <c r="E287" t="s">
        <v>2685</v>
      </c>
    </row>
    <row r="288" spans="1:5" x14ac:dyDescent="0.3">
      <c r="A288" t="s">
        <v>397</v>
      </c>
      <c r="B288">
        <v>358405.203125</v>
      </c>
      <c r="C288">
        <v>6669234.59765625</v>
      </c>
      <c r="D288">
        <v>24.071954727172798</v>
      </c>
      <c r="E288" t="s">
        <v>2685</v>
      </c>
    </row>
    <row r="289" spans="1:5" x14ac:dyDescent="0.3">
      <c r="A289" t="s">
        <v>2072</v>
      </c>
      <c r="B289">
        <v>358402.5703125</v>
      </c>
      <c r="C289">
        <v>6669235.7109375</v>
      </c>
      <c r="D289">
        <v>24.2505168914794</v>
      </c>
      <c r="E289" t="s">
        <v>2686</v>
      </c>
    </row>
    <row r="290" spans="1:5" x14ac:dyDescent="0.3">
      <c r="A290" t="s">
        <v>2069</v>
      </c>
      <c r="B290">
        <v>359767.19140625</v>
      </c>
      <c r="C290">
        <v>6667560.4140625</v>
      </c>
      <c r="D290">
        <v>11.697638511657701</v>
      </c>
      <c r="E290" t="s">
        <v>2686</v>
      </c>
    </row>
    <row r="291" spans="1:5" x14ac:dyDescent="0.3">
      <c r="A291" t="s">
        <v>2658</v>
      </c>
      <c r="B291">
        <v>360017.390625</v>
      </c>
      <c r="C291">
        <v>6667671.5390625</v>
      </c>
      <c r="D291">
        <v>14.0141611099243</v>
      </c>
      <c r="E291" t="s">
        <v>2686</v>
      </c>
    </row>
    <row r="292" spans="1:5" x14ac:dyDescent="0.3">
      <c r="A292" t="s">
        <v>396</v>
      </c>
      <c r="B292">
        <v>359573.375</v>
      </c>
      <c r="C292">
        <v>6667398.5859375</v>
      </c>
      <c r="D292">
        <v>7.5192699432373002</v>
      </c>
      <c r="E292" t="s">
        <v>2685</v>
      </c>
    </row>
    <row r="293" spans="1:5" x14ac:dyDescent="0.3">
      <c r="A293" t="s">
        <v>2071</v>
      </c>
      <c r="B293">
        <v>359554.53125</v>
      </c>
      <c r="C293">
        <v>6667385.90625</v>
      </c>
      <c r="D293">
        <v>7.5329537391662598</v>
      </c>
      <c r="E293" t="s">
        <v>2686</v>
      </c>
    </row>
    <row r="294" spans="1:5" x14ac:dyDescent="0.3">
      <c r="A294" t="s">
        <v>395</v>
      </c>
      <c r="B294">
        <v>358370.2109375</v>
      </c>
      <c r="C294">
        <v>6669176.94921875</v>
      </c>
      <c r="D294">
        <v>23.214097976684499</v>
      </c>
      <c r="E294" t="s">
        <v>2685</v>
      </c>
    </row>
    <row r="295" spans="1:5" x14ac:dyDescent="0.3">
      <c r="A295" t="s">
        <v>2070</v>
      </c>
      <c r="B295">
        <v>359896.72265625</v>
      </c>
      <c r="C295">
        <v>6667644.40625</v>
      </c>
      <c r="D295">
        <v>14.122195243835399</v>
      </c>
      <c r="E295" t="s">
        <v>2686</v>
      </c>
    </row>
    <row r="296" spans="1:5" x14ac:dyDescent="0.3">
      <c r="A296" t="s">
        <v>2559</v>
      </c>
      <c r="B296">
        <v>359623.5078125</v>
      </c>
      <c r="C296">
        <v>6667427.17578125</v>
      </c>
      <c r="D296">
        <v>7.5252819061279297</v>
      </c>
      <c r="E296" t="s">
        <v>2686</v>
      </c>
    </row>
    <row r="297" spans="1:5" x14ac:dyDescent="0.3">
      <c r="A297" t="s">
        <v>2077</v>
      </c>
      <c r="B297">
        <v>358407.26953125</v>
      </c>
      <c r="C297">
        <v>6669357.75</v>
      </c>
      <c r="D297">
        <v>29.541267395019499</v>
      </c>
      <c r="E297" t="s">
        <v>2686</v>
      </c>
    </row>
    <row r="298" spans="1:5" x14ac:dyDescent="0.3">
      <c r="A298" t="s">
        <v>2659</v>
      </c>
      <c r="B298">
        <v>358408.02734375</v>
      </c>
      <c r="C298">
        <v>6669363.1875</v>
      </c>
      <c r="D298">
        <v>30.083173751831001</v>
      </c>
      <c r="E298" t="s">
        <v>2686</v>
      </c>
    </row>
    <row r="299" spans="1:5" x14ac:dyDescent="0.3">
      <c r="A299" t="s">
        <v>2076</v>
      </c>
      <c r="B299">
        <v>358540.28125</v>
      </c>
      <c r="C299">
        <v>6669491.68359375</v>
      </c>
      <c r="D299">
        <v>25.644807815551701</v>
      </c>
      <c r="E299" t="s">
        <v>2686</v>
      </c>
    </row>
    <row r="300" spans="1:5" x14ac:dyDescent="0.3">
      <c r="A300" t="s">
        <v>2074</v>
      </c>
      <c r="B300">
        <v>357774.109375</v>
      </c>
      <c r="C300">
        <v>6667538.171875</v>
      </c>
      <c r="D300">
        <v>8.0371990203857404</v>
      </c>
      <c r="E300" t="s">
        <v>2686</v>
      </c>
    </row>
    <row r="301" spans="1:5" x14ac:dyDescent="0.3">
      <c r="A301" t="s">
        <v>1943</v>
      </c>
      <c r="B301">
        <v>356078.63671875</v>
      </c>
      <c r="C301">
        <v>6664771.82421875</v>
      </c>
      <c r="D301">
        <v>10.208910942077599</v>
      </c>
      <c r="E301" t="s">
        <v>2686</v>
      </c>
    </row>
    <row r="302" spans="1:5" x14ac:dyDescent="0.3">
      <c r="A302" t="s">
        <v>394</v>
      </c>
      <c r="B302">
        <v>358514.85546875</v>
      </c>
      <c r="C302">
        <v>6669506.03515625</v>
      </c>
      <c r="D302">
        <v>26.991476058959901</v>
      </c>
      <c r="E302" t="s">
        <v>2685</v>
      </c>
    </row>
    <row r="303" spans="1:5" x14ac:dyDescent="0.3">
      <c r="A303" t="s">
        <v>393</v>
      </c>
      <c r="B303">
        <v>363130.703125</v>
      </c>
      <c r="C303">
        <v>6671264.19921875</v>
      </c>
      <c r="D303">
        <v>14.061650276184</v>
      </c>
      <c r="E303" t="s">
        <v>2685</v>
      </c>
    </row>
    <row r="304" spans="1:5" x14ac:dyDescent="0.3">
      <c r="A304" t="s">
        <v>2078</v>
      </c>
      <c r="B304">
        <v>363099.20703125</v>
      </c>
      <c r="C304">
        <v>6671232.171875</v>
      </c>
      <c r="D304">
        <v>13.3463439941406</v>
      </c>
      <c r="E304" t="s">
        <v>2686</v>
      </c>
    </row>
    <row r="305" spans="1:5" x14ac:dyDescent="0.3">
      <c r="A305" t="s">
        <v>392</v>
      </c>
      <c r="B305">
        <v>357830.98828125</v>
      </c>
      <c r="C305">
        <v>6666392.25</v>
      </c>
      <c r="D305">
        <v>26.077314376831001</v>
      </c>
      <c r="E305" t="s">
        <v>2685</v>
      </c>
    </row>
    <row r="306" spans="1:5" x14ac:dyDescent="0.3">
      <c r="A306" t="s">
        <v>2190</v>
      </c>
      <c r="B306">
        <v>355525.0859375</v>
      </c>
      <c r="C306">
        <v>6664665.30078125</v>
      </c>
      <c r="D306">
        <v>10.6401376724243</v>
      </c>
      <c r="E306" t="s">
        <v>2686</v>
      </c>
    </row>
    <row r="307" spans="1:5" x14ac:dyDescent="0.3">
      <c r="A307" t="s">
        <v>2075</v>
      </c>
      <c r="B307">
        <v>357197.76953125</v>
      </c>
      <c r="C307">
        <v>6666266.21875</v>
      </c>
      <c r="D307">
        <v>18.142204284667901</v>
      </c>
      <c r="E307" t="s">
        <v>2686</v>
      </c>
    </row>
    <row r="308" spans="1:5" x14ac:dyDescent="0.3">
      <c r="A308" t="s">
        <v>389</v>
      </c>
      <c r="B308">
        <v>357882.65234375</v>
      </c>
      <c r="C308">
        <v>6667890.53515625</v>
      </c>
      <c r="D308">
        <v>7.7330241203308097</v>
      </c>
      <c r="E308" t="s">
        <v>2685</v>
      </c>
    </row>
    <row r="309" spans="1:5" x14ac:dyDescent="0.3">
      <c r="A309" t="s">
        <v>388</v>
      </c>
      <c r="B309">
        <v>361391.078125</v>
      </c>
      <c r="C309">
        <v>6669063.796875</v>
      </c>
      <c r="D309">
        <v>9.3681783676147408</v>
      </c>
      <c r="E309" t="s">
        <v>2685</v>
      </c>
    </row>
    <row r="310" spans="1:5" x14ac:dyDescent="0.3">
      <c r="A310" t="s">
        <v>387</v>
      </c>
      <c r="B310">
        <v>357848.484375</v>
      </c>
      <c r="C310">
        <v>6668408.14453125</v>
      </c>
      <c r="D310">
        <v>26.0514812469482</v>
      </c>
      <c r="E310" t="s">
        <v>2685</v>
      </c>
    </row>
    <row r="311" spans="1:5" x14ac:dyDescent="0.3">
      <c r="A311" t="s">
        <v>386</v>
      </c>
      <c r="B311">
        <v>357963.671875</v>
      </c>
      <c r="C311">
        <v>6667804.59375</v>
      </c>
      <c r="D311">
        <v>5.7382674217224103</v>
      </c>
      <c r="E311" t="s">
        <v>2685</v>
      </c>
    </row>
    <row r="312" spans="1:5" x14ac:dyDescent="0.3">
      <c r="A312" t="s">
        <v>385</v>
      </c>
      <c r="B312">
        <v>358086.6171875</v>
      </c>
      <c r="C312">
        <v>6667520.96484375</v>
      </c>
      <c r="D312">
        <v>5.8392558097839302</v>
      </c>
      <c r="E312" t="s">
        <v>2685</v>
      </c>
    </row>
    <row r="313" spans="1:5" x14ac:dyDescent="0.3">
      <c r="A313" t="s">
        <v>2082</v>
      </c>
      <c r="B313">
        <v>358062.4453125</v>
      </c>
      <c r="C313">
        <v>6667524.03125</v>
      </c>
      <c r="D313">
        <v>6.8633189201354901</v>
      </c>
      <c r="E313" t="s">
        <v>2686</v>
      </c>
    </row>
    <row r="314" spans="1:5" x14ac:dyDescent="0.3">
      <c r="A314" t="s">
        <v>384</v>
      </c>
      <c r="B314">
        <v>356977.421875</v>
      </c>
      <c r="C314">
        <v>6665881.91015625</v>
      </c>
      <c r="D314">
        <v>29.536106109619102</v>
      </c>
      <c r="E314" t="s">
        <v>2685</v>
      </c>
    </row>
    <row r="315" spans="1:5" x14ac:dyDescent="0.3">
      <c r="A315" t="s">
        <v>2081</v>
      </c>
      <c r="B315">
        <v>357968.4296875</v>
      </c>
      <c r="C315">
        <v>6667794.37890625</v>
      </c>
      <c r="D315">
        <v>5.2428231239318803</v>
      </c>
      <c r="E315" t="s">
        <v>2686</v>
      </c>
    </row>
    <row r="316" spans="1:5" x14ac:dyDescent="0.3">
      <c r="A316" t="s">
        <v>2080</v>
      </c>
      <c r="B316">
        <v>357844.04296875</v>
      </c>
      <c r="C316">
        <v>6668415.27734375</v>
      </c>
      <c r="D316">
        <v>26.4903850555419</v>
      </c>
      <c r="E316" t="s">
        <v>2686</v>
      </c>
    </row>
    <row r="317" spans="1:5" x14ac:dyDescent="0.3">
      <c r="A317" t="s">
        <v>2115</v>
      </c>
      <c r="B317">
        <v>357916.31640625</v>
      </c>
      <c r="C317">
        <v>6667931.90234375</v>
      </c>
      <c r="D317">
        <v>7.7985730171203604</v>
      </c>
      <c r="E317" t="s">
        <v>2686</v>
      </c>
    </row>
    <row r="318" spans="1:5" x14ac:dyDescent="0.3">
      <c r="A318" t="s">
        <v>2086</v>
      </c>
      <c r="B318">
        <v>363393.37109375</v>
      </c>
      <c r="C318">
        <v>6672422.625</v>
      </c>
      <c r="D318">
        <v>15.834113121032701</v>
      </c>
      <c r="E318" t="s">
        <v>2686</v>
      </c>
    </row>
    <row r="319" spans="1:5" x14ac:dyDescent="0.3">
      <c r="A319" t="s">
        <v>2661</v>
      </c>
      <c r="B319">
        <v>356908.61328125</v>
      </c>
      <c r="C319">
        <v>6665869.8125</v>
      </c>
      <c r="D319">
        <v>25.080041885375898</v>
      </c>
      <c r="E319" t="s">
        <v>2686</v>
      </c>
    </row>
    <row r="320" spans="1:5" x14ac:dyDescent="0.3">
      <c r="A320" t="s">
        <v>2087</v>
      </c>
      <c r="B320">
        <v>356915.3828125</v>
      </c>
      <c r="C320">
        <v>6665851.765625</v>
      </c>
      <c r="D320">
        <v>24.7906780242919</v>
      </c>
      <c r="E320" t="s">
        <v>2686</v>
      </c>
    </row>
    <row r="321" spans="1:5" x14ac:dyDescent="0.3">
      <c r="A321" t="s">
        <v>383</v>
      </c>
      <c r="B321">
        <v>363037.92578125</v>
      </c>
      <c r="C321">
        <v>6671358.1875</v>
      </c>
      <c r="D321">
        <v>16.353502273559499</v>
      </c>
      <c r="E321" t="s">
        <v>2685</v>
      </c>
    </row>
    <row r="322" spans="1:5" x14ac:dyDescent="0.3">
      <c r="A322" t="s">
        <v>2088</v>
      </c>
      <c r="B322">
        <v>357028.93359375</v>
      </c>
      <c r="C322">
        <v>6665763.02734375</v>
      </c>
      <c r="D322">
        <v>30.58736038208</v>
      </c>
      <c r="E322" t="s">
        <v>2686</v>
      </c>
    </row>
    <row r="323" spans="1:5" x14ac:dyDescent="0.3">
      <c r="A323" t="s">
        <v>382</v>
      </c>
      <c r="B323">
        <v>357007.29296875</v>
      </c>
      <c r="C323">
        <v>6665737.05078125</v>
      </c>
      <c r="D323">
        <v>31.410503387451101</v>
      </c>
      <c r="E323" t="s">
        <v>2685</v>
      </c>
    </row>
    <row r="324" spans="1:5" x14ac:dyDescent="0.3">
      <c r="A324" t="s">
        <v>2083</v>
      </c>
      <c r="B324">
        <v>357744.78515625</v>
      </c>
      <c r="C324">
        <v>6667927.1640625</v>
      </c>
      <c r="D324">
        <v>7.5044913291931099</v>
      </c>
      <c r="E324" t="s">
        <v>2686</v>
      </c>
    </row>
    <row r="325" spans="1:5" x14ac:dyDescent="0.3">
      <c r="A325" t="s">
        <v>381</v>
      </c>
      <c r="B325">
        <v>357806.62890625</v>
      </c>
      <c r="C325">
        <v>6667760.78125</v>
      </c>
      <c r="D325">
        <v>8.4363708496093697</v>
      </c>
      <c r="E325" t="s">
        <v>2685</v>
      </c>
    </row>
    <row r="326" spans="1:5" x14ac:dyDescent="0.3">
      <c r="A326" t="s">
        <v>380</v>
      </c>
      <c r="B326">
        <v>363373.1171875</v>
      </c>
      <c r="C326">
        <v>6672405.94921875</v>
      </c>
      <c r="D326">
        <v>15.486712455749499</v>
      </c>
      <c r="E326" t="s">
        <v>2685</v>
      </c>
    </row>
    <row r="327" spans="1:5" x14ac:dyDescent="0.3">
      <c r="A327" t="s">
        <v>2090</v>
      </c>
      <c r="B327">
        <v>356984.01953125</v>
      </c>
      <c r="C327">
        <v>6667279.6328125</v>
      </c>
      <c r="D327">
        <v>12.32861328125</v>
      </c>
      <c r="E327" t="s">
        <v>2686</v>
      </c>
    </row>
    <row r="328" spans="1:5" x14ac:dyDescent="0.3">
      <c r="A328" t="s">
        <v>2093</v>
      </c>
      <c r="B328">
        <v>356989.4765625</v>
      </c>
      <c r="C328">
        <v>6665855.5</v>
      </c>
      <c r="D328">
        <v>29.6143379211425</v>
      </c>
      <c r="E328" t="s">
        <v>2686</v>
      </c>
    </row>
    <row r="329" spans="1:5" x14ac:dyDescent="0.3">
      <c r="A329" t="s">
        <v>379</v>
      </c>
      <c r="B329">
        <v>356957.50390625</v>
      </c>
      <c r="C329">
        <v>6667309.57421875</v>
      </c>
      <c r="D329">
        <v>13.1694564819335</v>
      </c>
      <c r="E329" t="s">
        <v>2685</v>
      </c>
    </row>
    <row r="330" spans="1:5" x14ac:dyDescent="0.3">
      <c r="A330" t="s">
        <v>2095</v>
      </c>
      <c r="B330">
        <v>356864.453125</v>
      </c>
      <c r="C330">
        <v>6667252.6796875</v>
      </c>
      <c r="D330">
        <v>15.030453681945801</v>
      </c>
      <c r="E330" t="s">
        <v>2686</v>
      </c>
    </row>
    <row r="331" spans="1:5" x14ac:dyDescent="0.3">
      <c r="A331" t="s">
        <v>378</v>
      </c>
      <c r="B331">
        <v>358014.359375</v>
      </c>
      <c r="C331">
        <v>6668576.06640625</v>
      </c>
      <c r="D331">
        <v>23.768562316894499</v>
      </c>
      <c r="E331" t="s">
        <v>2685</v>
      </c>
    </row>
    <row r="332" spans="1:5" x14ac:dyDescent="0.3">
      <c r="A332" t="s">
        <v>377</v>
      </c>
      <c r="B332">
        <v>358052.13671875</v>
      </c>
      <c r="C332">
        <v>6667519.19140625</v>
      </c>
      <c r="D332">
        <v>6.85045909881591</v>
      </c>
      <c r="E332" t="s">
        <v>2685</v>
      </c>
    </row>
    <row r="333" spans="1:5" x14ac:dyDescent="0.3">
      <c r="A333" t="s">
        <v>2092</v>
      </c>
      <c r="B333">
        <v>358062.95703125</v>
      </c>
      <c r="C333">
        <v>6667520.59765625</v>
      </c>
      <c r="D333">
        <v>6.8247985839843697</v>
      </c>
      <c r="E333" t="s">
        <v>2686</v>
      </c>
    </row>
    <row r="334" spans="1:5" x14ac:dyDescent="0.3">
      <c r="A334" t="s">
        <v>376</v>
      </c>
      <c r="B334">
        <v>356946.4453125</v>
      </c>
      <c r="C334">
        <v>6665971.296875</v>
      </c>
      <c r="D334">
        <v>26.8288173675537</v>
      </c>
      <c r="E334" t="s">
        <v>2685</v>
      </c>
    </row>
    <row r="335" spans="1:5" x14ac:dyDescent="0.3">
      <c r="A335" t="s">
        <v>2094</v>
      </c>
      <c r="B335">
        <v>356972.55859375</v>
      </c>
      <c r="C335">
        <v>6665986.2578125</v>
      </c>
      <c r="D335">
        <v>24.447057723998999</v>
      </c>
      <c r="E335" t="s">
        <v>2686</v>
      </c>
    </row>
    <row r="336" spans="1:5" x14ac:dyDescent="0.3">
      <c r="A336" t="s">
        <v>2089</v>
      </c>
      <c r="B336">
        <v>361650.75</v>
      </c>
      <c r="C336">
        <v>6668805.06640625</v>
      </c>
      <c r="D336">
        <v>1.34430932998657</v>
      </c>
      <c r="E336" t="s">
        <v>2686</v>
      </c>
    </row>
    <row r="337" spans="1:5" x14ac:dyDescent="0.3">
      <c r="A337" t="s">
        <v>375</v>
      </c>
      <c r="B337">
        <v>356855.83984375</v>
      </c>
      <c r="C337">
        <v>6667279.54296875</v>
      </c>
      <c r="D337">
        <v>14.594621658325099</v>
      </c>
      <c r="E337" t="s">
        <v>2685</v>
      </c>
    </row>
    <row r="338" spans="1:5" x14ac:dyDescent="0.3">
      <c r="A338" t="s">
        <v>374</v>
      </c>
      <c r="B338">
        <v>362987.91015625</v>
      </c>
      <c r="C338">
        <v>6671057.421875</v>
      </c>
      <c r="D338">
        <v>14.3445329666137</v>
      </c>
      <c r="E338" t="s">
        <v>2685</v>
      </c>
    </row>
    <row r="339" spans="1:5" x14ac:dyDescent="0.3">
      <c r="A339" t="s">
        <v>2096</v>
      </c>
      <c r="B339">
        <v>362914.77734375</v>
      </c>
      <c r="C339">
        <v>6671151.69140625</v>
      </c>
      <c r="D339">
        <v>16.0987339019775</v>
      </c>
      <c r="E339" t="s">
        <v>2686</v>
      </c>
    </row>
    <row r="340" spans="1:5" x14ac:dyDescent="0.3">
      <c r="A340" t="s">
        <v>1983</v>
      </c>
      <c r="B340">
        <v>357328.50390625</v>
      </c>
      <c r="C340">
        <v>6667634.05859375</v>
      </c>
      <c r="D340">
        <v>6.5898661613464302</v>
      </c>
      <c r="E340" t="s">
        <v>2686</v>
      </c>
    </row>
    <row r="341" spans="1:5" x14ac:dyDescent="0.3">
      <c r="A341" t="s">
        <v>373</v>
      </c>
      <c r="B341">
        <v>357151.41015625</v>
      </c>
      <c r="C341">
        <v>6668539.21484375</v>
      </c>
      <c r="D341">
        <v>24.531528472900298</v>
      </c>
      <c r="E341" t="s">
        <v>2685</v>
      </c>
    </row>
    <row r="342" spans="1:5" x14ac:dyDescent="0.3">
      <c r="A342" t="s">
        <v>2097</v>
      </c>
      <c r="B342">
        <v>357158.15625</v>
      </c>
      <c r="C342">
        <v>6668476.37109375</v>
      </c>
      <c r="D342">
        <v>22.883937835693299</v>
      </c>
      <c r="E342" t="s">
        <v>2686</v>
      </c>
    </row>
    <row r="343" spans="1:5" x14ac:dyDescent="0.3">
      <c r="A343" t="s">
        <v>2052</v>
      </c>
      <c r="B343">
        <v>363072.44140625</v>
      </c>
      <c r="C343">
        <v>6671250.2265625</v>
      </c>
      <c r="D343">
        <v>13.4064893722534</v>
      </c>
      <c r="E343" t="s">
        <v>2686</v>
      </c>
    </row>
    <row r="344" spans="1:5" x14ac:dyDescent="0.3">
      <c r="A344" t="s">
        <v>2103</v>
      </c>
      <c r="B344">
        <v>363100.765625</v>
      </c>
      <c r="C344">
        <v>6671231.13671875</v>
      </c>
      <c r="D344">
        <v>13.345856666564901</v>
      </c>
      <c r="E344" t="s">
        <v>2686</v>
      </c>
    </row>
    <row r="345" spans="1:5" x14ac:dyDescent="0.3">
      <c r="A345" t="s">
        <v>2015</v>
      </c>
      <c r="B345">
        <v>363044.23828125</v>
      </c>
      <c r="C345">
        <v>6671297.8125</v>
      </c>
      <c r="D345">
        <v>15.6902360916137</v>
      </c>
      <c r="E345" t="s">
        <v>2686</v>
      </c>
    </row>
    <row r="346" spans="1:5" x14ac:dyDescent="0.3">
      <c r="A346" t="s">
        <v>2099</v>
      </c>
      <c r="B346">
        <v>363167.58984375</v>
      </c>
      <c r="C346">
        <v>6671189.8671875</v>
      </c>
      <c r="D346">
        <v>12.108685493469199</v>
      </c>
      <c r="E346" t="s">
        <v>2686</v>
      </c>
    </row>
    <row r="347" spans="1:5" x14ac:dyDescent="0.3">
      <c r="A347" t="s">
        <v>2109</v>
      </c>
      <c r="B347">
        <v>363248.859375</v>
      </c>
      <c r="C347">
        <v>6672218.1640625</v>
      </c>
      <c r="D347">
        <v>18.532476425170898</v>
      </c>
      <c r="E347" t="s">
        <v>2686</v>
      </c>
    </row>
    <row r="348" spans="1:5" x14ac:dyDescent="0.3">
      <c r="A348" t="s">
        <v>2098</v>
      </c>
      <c r="B348">
        <v>363046.73828125</v>
      </c>
      <c r="C348">
        <v>6671279.4296875</v>
      </c>
      <c r="D348">
        <v>15.0192499160766</v>
      </c>
      <c r="E348" t="s">
        <v>2686</v>
      </c>
    </row>
    <row r="349" spans="1:5" x14ac:dyDescent="0.3">
      <c r="A349" t="s">
        <v>2101</v>
      </c>
      <c r="B349">
        <v>365136.09765625</v>
      </c>
      <c r="C349">
        <v>6670400.328125</v>
      </c>
      <c r="D349">
        <v>27.650373458862301</v>
      </c>
      <c r="E349" t="s">
        <v>2686</v>
      </c>
    </row>
    <row r="350" spans="1:5" x14ac:dyDescent="0.3">
      <c r="A350" t="s">
        <v>372</v>
      </c>
      <c r="B350">
        <v>358073.32421875</v>
      </c>
      <c r="C350">
        <v>6667558.80078125</v>
      </c>
      <c r="D350">
        <v>5.1516780853271404</v>
      </c>
      <c r="E350" t="s">
        <v>2685</v>
      </c>
    </row>
    <row r="351" spans="1:5" x14ac:dyDescent="0.3">
      <c r="A351" t="s">
        <v>2102</v>
      </c>
      <c r="B351">
        <v>358056.9765625</v>
      </c>
      <c r="C351">
        <v>6667560.23828125</v>
      </c>
      <c r="D351">
        <v>6.5615053176879803</v>
      </c>
      <c r="E351" t="s">
        <v>2686</v>
      </c>
    </row>
    <row r="352" spans="1:5" x14ac:dyDescent="0.3">
      <c r="A352" t="s">
        <v>371</v>
      </c>
      <c r="B352">
        <v>359531.4375</v>
      </c>
      <c r="C352">
        <v>6667468.41796875</v>
      </c>
      <c r="D352">
        <v>10.189579963684</v>
      </c>
      <c r="E352" t="s">
        <v>2685</v>
      </c>
    </row>
    <row r="353" spans="1:5" x14ac:dyDescent="0.3">
      <c r="A353" t="s">
        <v>2114</v>
      </c>
      <c r="B353">
        <v>363146.63671875</v>
      </c>
      <c r="C353">
        <v>6671158.44140625</v>
      </c>
      <c r="D353">
        <v>11.9850511550903</v>
      </c>
      <c r="E353" t="s">
        <v>2686</v>
      </c>
    </row>
    <row r="354" spans="1:5" x14ac:dyDescent="0.3">
      <c r="A354" t="s">
        <v>2341</v>
      </c>
      <c r="B354">
        <v>363138.21484375</v>
      </c>
      <c r="C354">
        <v>6671145.3671875</v>
      </c>
      <c r="D354">
        <v>9.3119258880615199</v>
      </c>
      <c r="E354" t="s">
        <v>2686</v>
      </c>
    </row>
    <row r="355" spans="1:5" x14ac:dyDescent="0.3">
      <c r="A355" t="s">
        <v>370</v>
      </c>
      <c r="B355">
        <v>363097.53515625</v>
      </c>
      <c r="C355">
        <v>6671214.89453125</v>
      </c>
      <c r="D355">
        <v>13.091401100158601</v>
      </c>
      <c r="E355" t="s">
        <v>2685</v>
      </c>
    </row>
    <row r="356" spans="1:5" x14ac:dyDescent="0.3">
      <c r="A356" t="s">
        <v>1912</v>
      </c>
      <c r="B356">
        <v>363162.07421875</v>
      </c>
      <c r="C356">
        <v>6671325.34765625</v>
      </c>
      <c r="D356">
        <v>14.8657932281494</v>
      </c>
      <c r="E356" t="s">
        <v>2686</v>
      </c>
    </row>
    <row r="357" spans="1:5" x14ac:dyDescent="0.3">
      <c r="A357" t="s">
        <v>2104</v>
      </c>
      <c r="B357">
        <v>363186.3359375</v>
      </c>
      <c r="C357">
        <v>6671312.9453125</v>
      </c>
      <c r="D357">
        <v>14.702714920043899</v>
      </c>
      <c r="E357" t="s">
        <v>2686</v>
      </c>
    </row>
    <row r="358" spans="1:5" x14ac:dyDescent="0.3">
      <c r="A358" t="s">
        <v>2107</v>
      </c>
      <c r="B358">
        <v>363076.30859375</v>
      </c>
      <c r="C358">
        <v>6671354.7578125</v>
      </c>
      <c r="D358">
        <v>15.7374153137207</v>
      </c>
      <c r="E358" t="s">
        <v>2686</v>
      </c>
    </row>
    <row r="359" spans="1:5" x14ac:dyDescent="0.3">
      <c r="A359" t="s">
        <v>2100</v>
      </c>
      <c r="B359">
        <v>363062.95703125</v>
      </c>
      <c r="C359">
        <v>6671258.23828125</v>
      </c>
      <c r="D359">
        <v>13.5636339187622</v>
      </c>
      <c r="E359" t="s">
        <v>2686</v>
      </c>
    </row>
    <row r="360" spans="1:5" x14ac:dyDescent="0.3">
      <c r="A360" t="s">
        <v>2085</v>
      </c>
      <c r="B360">
        <v>363058.85546875</v>
      </c>
      <c r="C360">
        <v>6671366.2890625</v>
      </c>
      <c r="D360">
        <v>16.300466537475501</v>
      </c>
      <c r="E360" t="s">
        <v>2686</v>
      </c>
    </row>
    <row r="361" spans="1:5" x14ac:dyDescent="0.3">
      <c r="A361" t="s">
        <v>2106</v>
      </c>
      <c r="B361">
        <v>363078.65625</v>
      </c>
      <c r="C361">
        <v>6671352.984375</v>
      </c>
      <c r="D361">
        <v>15.655183792114199</v>
      </c>
      <c r="E361" t="s">
        <v>2686</v>
      </c>
    </row>
    <row r="362" spans="1:5" x14ac:dyDescent="0.3">
      <c r="A362" t="s">
        <v>2108</v>
      </c>
      <c r="B362">
        <v>363095.51171875</v>
      </c>
      <c r="C362">
        <v>6671340.8203125</v>
      </c>
      <c r="D362">
        <v>15.2326536178588</v>
      </c>
      <c r="E362" t="s">
        <v>2686</v>
      </c>
    </row>
    <row r="363" spans="1:5" x14ac:dyDescent="0.3">
      <c r="A363" t="s">
        <v>369</v>
      </c>
      <c r="B363">
        <v>357324.92578125</v>
      </c>
      <c r="C363">
        <v>6666143.19140625</v>
      </c>
      <c r="D363">
        <v>33.909069061279297</v>
      </c>
      <c r="E363" t="s">
        <v>2685</v>
      </c>
    </row>
    <row r="364" spans="1:5" x14ac:dyDescent="0.3">
      <c r="A364" t="s">
        <v>2662</v>
      </c>
      <c r="B364">
        <v>365178.48046875</v>
      </c>
      <c r="C364">
        <v>6670379.11328125</v>
      </c>
      <c r="D364">
        <v>29.469978332519499</v>
      </c>
      <c r="E364" t="s">
        <v>2686</v>
      </c>
    </row>
    <row r="365" spans="1:5" x14ac:dyDescent="0.3">
      <c r="A365" t="s">
        <v>2111</v>
      </c>
      <c r="B365">
        <v>357420.73828125</v>
      </c>
      <c r="C365">
        <v>6667442.9375</v>
      </c>
      <c r="D365">
        <v>7.0796928405761701</v>
      </c>
      <c r="E365" t="s">
        <v>2686</v>
      </c>
    </row>
    <row r="366" spans="1:5" x14ac:dyDescent="0.3">
      <c r="A366" t="s">
        <v>2465</v>
      </c>
      <c r="B366">
        <v>357401.30078125</v>
      </c>
      <c r="C366">
        <v>6667447.79296875</v>
      </c>
      <c r="D366">
        <v>7.1271777153015101</v>
      </c>
      <c r="E366" t="s">
        <v>2686</v>
      </c>
    </row>
    <row r="367" spans="1:5" x14ac:dyDescent="0.3">
      <c r="A367" t="s">
        <v>368</v>
      </c>
      <c r="B367">
        <v>356083.05859375</v>
      </c>
      <c r="C367">
        <v>6663882.4375</v>
      </c>
      <c r="D367">
        <v>11.5150079727172</v>
      </c>
      <c r="E367" t="s">
        <v>2685</v>
      </c>
    </row>
    <row r="368" spans="1:5" x14ac:dyDescent="0.3">
      <c r="A368" t="s">
        <v>2116</v>
      </c>
      <c r="B368">
        <v>363191.703125</v>
      </c>
      <c r="C368">
        <v>6671563.4375</v>
      </c>
      <c r="D368">
        <v>14.8570137023925</v>
      </c>
      <c r="E368" t="s">
        <v>2686</v>
      </c>
    </row>
    <row r="369" spans="1:5" x14ac:dyDescent="0.3">
      <c r="A369" t="s">
        <v>2112</v>
      </c>
      <c r="B369">
        <v>363192.328125</v>
      </c>
      <c r="C369">
        <v>6671565.51953125</v>
      </c>
      <c r="D369">
        <v>14.7857961654663</v>
      </c>
      <c r="E369" t="s">
        <v>2686</v>
      </c>
    </row>
    <row r="370" spans="1:5" x14ac:dyDescent="0.3">
      <c r="A370" t="s">
        <v>367</v>
      </c>
      <c r="B370">
        <v>363091.93359375</v>
      </c>
      <c r="C370">
        <v>6671335.8046875</v>
      </c>
      <c r="D370">
        <v>15.191310882568301</v>
      </c>
      <c r="E370" t="s">
        <v>2685</v>
      </c>
    </row>
    <row r="371" spans="1:5" x14ac:dyDescent="0.3">
      <c r="A371" t="s">
        <v>366</v>
      </c>
      <c r="B371">
        <v>356758.6953125</v>
      </c>
      <c r="C371">
        <v>6667894.3671875</v>
      </c>
      <c r="D371">
        <v>14.7794141769409</v>
      </c>
      <c r="E371" t="s">
        <v>2685</v>
      </c>
    </row>
    <row r="372" spans="1:5" x14ac:dyDescent="0.3">
      <c r="A372" t="s">
        <v>2113</v>
      </c>
      <c r="B372">
        <v>356755.57421875</v>
      </c>
      <c r="C372">
        <v>6667930.77734375</v>
      </c>
      <c r="D372">
        <v>16.5690822601318</v>
      </c>
      <c r="E372" t="s">
        <v>2686</v>
      </c>
    </row>
    <row r="373" spans="1:5" x14ac:dyDescent="0.3">
      <c r="A373" t="s">
        <v>2172</v>
      </c>
      <c r="B373">
        <v>357941.92578125</v>
      </c>
      <c r="C373">
        <v>6668125.359375</v>
      </c>
      <c r="D373">
        <v>8.4293575286865199</v>
      </c>
      <c r="E373" t="s">
        <v>2686</v>
      </c>
    </row>
    <row r="374" spans="1:5" x14ac:dyDescent="0.3">
      <c r="A374" t="s">
        <v>2363</v>
      </c>
      <c r="B374">
        <v>363231.765625</v>
      </c>
      <c r="C374">
        <v>6671533.828125</v>
      </c>
      <c r="D374">
        <v>12.699917793273899</v>
      </c>
      <c r="E374" t="s">
        <v>2686</v>
      </c>
    </row>
    <row r="375" spans="1:5" x14ac:dyDescent="0.3">
      <c r="A375" t="s">
        <v>364</v>
      </c>
      <c r="B375">
        <v>363198.9609375</v>
      </c>
      <c r="C375">
        <v>6671572.3828125</v>
      </c>
      <c r="D375">
        <v>14.4270477294921</v>
      </c>
      <c r="E375" t="s">
        <v>2685</v>
      </c>
    </row>
    <row r="376" spans="1:5" x14ac:dyDescent="0.3">
      <c r="A376" t="s">
        <v>363</v>
      </c>
      <c r="B376">
        <v>357805.5625</v>
      </c>
      <c r="C376">
        <v>6666446.86328125</v>
      </c>
      <c r="D376">
        <v>26.223497390746999</v>
      </c>
      <c r="E376" t="s">
        <v>2685</v>
      </c>
    </row>
    <row r="377" spans="1:5" x14ac:dyDescent="0.3">
      <c r="A377" t="s">
        <v>2117</v>
      </c>
      <c r="B377">
        <v>357792.64453125</v>
      </c>
      <c r="C377">
        <v>6666448.8515625</v>
      </c>
      <c r="D377">
        <v>27.16939163208</v>
      </c>
      <c r="E377" t="s">
        <v>2686</v>
      </c>
    </row>
    <row r="378" spans="1:5" x14ac:dyDescent="0.3">
      <c r="A378" t="s">
        <v>362</v>
      </c>
      <c r="B378">
        <v>357722.9140625</v>
      </c>
      <c r="C378">
        <v>6667714.796875</v>
      </c>
      <c r="D378">
        <v>9.7141494750976491</v>
      </c>
      <c r="E378" t="s">
        <v>2685</v>
      </c>
    </row>
    <row r="379" spans="1:5" x14ac:dyDescent="0.3">
      <c r="A379" t="s">
        <v>2120</v>
      </c>
      <c r="B379">
        <v>357340.11328125</v>
      </c>
      <c r="C379">
        <v>6666123.86328125</v>
      </c>
      <c r="D379">
        <v>35.126689910888601</v>
      </c>
      <c r="E379" t="s">
        <v>2686</v>
      </c>
    </row>
    <row r="380" spans="1:5" x14ac:dyDescent="0.3">
      <c r="A380" t="s">
        <v>361</v>
      </c>
      <c r="B380">
        <v>363164.94921875</v>
      </c>
      <c r="C380">
        <v>6672181.8828125</v>
      </c>
      <c r="D380">
        <v>20.2917366027832</v>
      </c>
      <c r="E380" t="s">
        <v>2685</v>
      </c>
    </row>
    <row r="381" spans="1:5" x14ac:dyDescent="0.3">
      <c r="A381" t="s">
        <v>2122</v>
      </c>
      <c r="B381">
        <v>357305.60546875</v>
      </c>
      <c r="C381">
        <v>6666060.29296875</v>
      </c>
      <c r="D381">
        <v>35.6311225891113</v>
      </c>
      <c r="E381" t="s">
        <v>2686</v>
      </c>
    </row>
    <row r="382" spans="1:5" x14ac:dyDescent="0.3">
      <c r="A382" t="s">
        <v>2121</v>
      </c>
      <c r="B382">
        <v>357844.140625</v>
      </c>
      <c r="C382">
        <v>6667486.36328125</v>
      </c>
      <c r="D382">
        <v>7.7773346900939897</v>
      </c>
      <c r="E382" t="s">
        <v>2686</v>
      </c>
    </row>
    <row r="383" spans="1:5" x14ac:dyDescent="0.3">
      <c r="A383" t="s">
        <v>2119</v>
      </c>
      <c r="B383">
        <v>357719.53125</v>
      </c>
      <c r="C383">
        <v>6667712.01171875</v>
      </c>
      <c r="D383">
        <v>9.8398475646972603</v>
      </c>
      <c r="E383" t="s">
        <v>2686</v>
      </c>
    </row>
    <row r="384" spans="1:5" x14ac:dyDescent="0.3">
      <c r="A384" t="s">
        <v>359</v>
      </c>
      <c r="B384">
        <v>357295.86328125</v>
      </c>
      <c r="C384">
        <v>6666070.8984375</v>
      </c>
      <c r="D384">
        <v>35.971794128417898</v>
      </c>
      <c r="E384" t="s">
        <v>2685</v>
      </c>
    </row>
    <row r="385" spans="1:5" x14ac:dyDescent="0.3">
      <c r="A385" t="s">
        <v>2128</v>
      </c>
      <c r="B385">
        <v>357741.953125</v>
      </c>
      <c r="C385">
        <v>6667928.58203125</v>
      </c>
      <c r="D385">
        <v>7.5040388107299796</v>
      </c>
      <c r="E385" t="s">
        <v>2686</v>
      </c>
    </row>
    <row r="386" spans="1:5" x14ac:dyDescent="0.3">
      <c r="A386" t="s">
        <v>2197</v>
      </c>
      <c r="B386">
        <v>357948.9609375</v>
      </c>
      <c r="C386">
        <v>6667707.1875</v>
      </c>
      <c r="D386">
        <v>7.2111454010009703</v>
      </c>
      <c r="E386" t="s">
        <v>2686</v>
      </c>
    </row>
    <row r="387" spans="1:5" x14ac:dyDescent="0.3">
      <c r="A387" t="s">
        <v>358</v>
      </c>
      <c r="B387">
        <v>358035.01953125</v>
      </c>
      <c r="C387">
        <v>6667610.80078125</v>
      </c>
      <c r="D387">
        <v>5.1682896614074698</v>
      </c>
      <c r="E387" t="s">
        <v>2685</v>
      </c>
    </row>
    <row r="388" spans="1:5" x14ac:dyDescent="0.3">
      <c r="A388" t="s">
        <v>2123</v>
      </c>
      <c r="B388">
        <v>358043.2890625</v>
      </c>
      <c r="C388">
        <v>6667597.02734375</v>
      </c>
      <c r="D388">
        <v>5.5173873901367099</v>
      </c>
      <c r="E388" t="s">
        <v>2686</v>
      </c>
    </row>
    <row r="389" spans="1:5" x14ac:dyDescent="0.3">
      <c r="A389" t="s">
        <v>2127</v>
      </c>
      <c r="B389">
        <v>357215.12109375</v>
      </c>
      <c r="C389">
        <v>6666259.97265625</v>
      </c>
      <c r="D389">
        <v>20.6133728027343</v>
      </c>
      <c r="E389" t="s">
        <v>2686</v>
      </c>
    </row>
    <row r="390" spans="1:5" x14ac:dyDescent="0.3">
      <c r="A390" t="s">
        <v>357</v>
      </c>
      <c r="B390">
        <v>356960.37109375</v>
      </c>
      <c r="C390">
        <v>6667807.140625</v>
      </c>
      <c r="D390">
        <v>10.8261270523071</v>
      </c>
      <c r="E390" t="s">
        <v>2685</v>
      </c>
    </row>
    <row r="391" spans="1:5" x14ac:dyDescent="0.3">
      <c r="A391" t="s">
        <v>2110</v>
      </c>
      <c r="B391">
        <v>357794.17578125</v>
      </c>
      <c r="C391">
        <v>6667716.84375</v>
      </c>
      <c r="D391">
        <v>8.8290004730224592</v>
      </c>
      <c r="E391" t="s">
        <v>2686</v>
      </c>
    </row>
    <row r="392" spans="1:5" x14ac:dyDescent="0.3">
      <c r="A392" t="s">
        <v>2125</v>
      </c>
      <c r="B392">
        <v>357781.38671875</v>
      </c>
      <c r="C392">
        <v>6667783.52734375</v>
      </c>
      <c r="D392">
        <v>8.4539451599121094</v>
      </c>
      <c r="E392" t="s">
        <v>2686</v>
      </c>
    </row>
    <row r="393" spans="1:5" x14ac:dyDescent="0.3">
      <c r="A393" t="s">
        <v>2660</v>
      </c>
      <c r="B393">
        <v>357773.05859375</v>
      </c>
      <c r="C393">
        <v>6667544.37890625</v>
      </c>
      <c r="D393">
        <v>8.0476999282836896</v>
      </c>
      <c r="E393" t="s">
        <v>2686</v>
      </c>
    </row>
    <row r="394" spans="1:5" x14ac:dyDescent="0.3">
      <c r="A394" t="s">
        <v>2168</v>
      </c>
      <c r="B394">
        <v>357282.1640625</v>
      </c>
      <c r="C394">
        <v>6666264.7109375</v>
      </c>
      <c r="D394">
        <v>25.7311916351318</v>
      </c>
      <c r="E394" t="s">
        <v>2686</v>
      </c>
    </row>
    <row r="395" spans="1:5" x14ac:dyDescent="0.3">
      <c r="A395" t="s">
        <v>2138</v>
      </c>
      <c r="B395">
        <v>357217.25</v>
      </c>
      <c r="C395">
        <v>6666260.09375</v>
      </c>
      <c r="D395">
        <v>20.608160018920898</v>
      </c>
      <c r="E395" t="s">
        <v>2686</v>
      </c>
    </row>
    <row r="396" spans="1:5" x14ac:dyDescent="0.3">
      <c r="A396" t="s">
        <v>2132</v>
      </c>
      <c r="B396">
        <v>358069.05078125</v>
      </c>
      <c r="C396">
        <v>6667447.90625</v>
      </c>
      <c r="D396">
        <v>6.1854496002197203</v>
      </c>
      <c r="E396" t="s">
        <v>2686</v>
      </c>
    </row>
    <row r="397" spans="1:5" x14ac:dyDescent="0.3">
      <c r="A397" t="s">
        <v>2126</v>
      </c>
      <c r="B397">
        <v>357198.078125</v>
      </c>
      <c r="C397">
        <v>6666266.63671875</v>
      </c>
      <c r="D397">
        <v>18.090387344360298</v>
      </c>
      <c r="E397" t="s">
        <v>2686</v>
      </c>
    </row>
    <row r="398" spans="1:5" x14ac:dyDescent="0.3">
      <c r="A398" t="s">
        <v>2663</v>
      </c>
      <c r="B398">
        <v>357752.99609375</v>
      </c>
      <c r="C398">
        <v>6667929.36328125</v>
      </c>
      <c r="D398">
        <v>7.5399475097656197</v>
      </c>
      <c r="E398" t="s">
        <v>2686</v>
      </c>
    </row>
    <row r="399" spans="1:5" x14ac:dyDescent="0.3">
      <c r="A399" t="s">
        <v>2169</v>
      </c>
      <c r="B399">
        <v>357268.26953125</v>
      </c>
      <c r="C399">
        <v>6669516.8203125</v>
      </c>
      <c r="D399">
        <v>43.524662017822202</v>
      </c>
      <c r="E399" t="s">
        <v>2686</v>
      </c>
    </row>
    <row r="400" spans="1:5" x14ac:dyDescent="0.3">
      <c r="A400" t="s">
        <v>2289</v>
      </c>
      <c r="B400">
        <v>357116.79296875</v>
      </c>
      <c r="C400">
        <v>6669470.46484375</v>
      </c>
      <c r="D400">
        <v>47.491641998291001</v>
      </c>
      <c r="E400" t="s">
        <v>2686</v>
      </c>
    </row>
    <row r="401" spans="1:5" x14ac:dyDescent="0.3">
      <c r="A401" t="s">
        <v>356</v>
      </c>
      <c r="B401">
        <v>357119.48046875</v>
      </c>
      <c r="C401">
        <v>6669462.3046875</v>
      </c>
      <c r="D401">
        <v>46.542388916015597</v>
      </c>
      <c r="E401" t="s">
        <v>2685</v>
      </c>
    </row>
    <row r="402" spans="1:5" x14ac:dyDescent="0.3">
      <c r="A402" t="s">
        <v>2286</v>
      </c>
      <c r="B402">
        <v>357061.765625</v>
      </c>
      <c r="C402">
        <v>6669457.91015625</v>
      </c>
      <c r="D402">
        <v>50.668651580810497</v>
      </c>
      <c r="E402" t="s">
        <v>2686</v>
      </c>
    </row>
    <row r="403" spans="1:5" x14ac:dyDescent="0.3">
      <c r="A403" t="s">
        <v>2304</v>
      </c>
      <c r="B403">
        <v>357043.04296875</v>
      </c>
      <c r="C403">
        <v>6669449.08984375</v>
      </c>
      <c r="D403">
        <v>52.653236389160099</v>
      </c>
      <c r="E403" t="s">
        <v>2686</v>
      </c>
    </row>
    <row r="404" spans="1:5" x14ac:dyDescent="0.3">
      <c r="A404" t="s">
        <v>2142</v>
      </c>
      <c r="B404">
        <v>357209.58203125</v>
      </c>
      <c r="C404">
        <v>6669507.86328125</v>
      </c>
      <c r="D404">
        <v>46.231361389160099</v>
      </c>
      <c r="E404" t="s">
        <v>2686</v>
      </c>
    </row>
    <row r="405" spans="1:5" x14ac:dyDescent="0.3">
      <c r="A405" t="s">
        <v>2124</v>
      </c>
      <c r="B405">
        <v>356963.79296875</v>
      </c>
      <c r="C405">
        <v>6667816.66796875</v>
      </c>
      <c r="D405">
        <v>11.0962686538696</v>
      </c>
      <c r="E405" t="s">
        <v>2686</v>
      </c>
    </row>
    <row r="406" spans="1:5" x14ac:dyDescent="0.3">
      <c r="A406" t="s">
        <v>2145</v>
      </c>
      <c r="B406">
        <v>357173.40234375</v>
      </c>
      <c r="C406">
        <v>6666113.0390625</v>
      </c>
      <c r="D406">
        <v>28.394159317016602</v>
      </c>
      <c r="E406" t="s">
        <v>2686</v>
      </c>
    </row>
    <row r="407" spans="1:5" x14ac:dyDescent="0.3">
      <c r="A407" t="s">
        <v>2137</v>
      </c>
      <c r="B407">
        <v>357194.05859375</v>
      </c>
      <c r="C407">
        <v>6666118.35546875</v>
      </c>
      <c r="D407">
        <v>29.751485824584901</v>
      </c>
      <c r="E407" t="s">
        <v>2686</v>
      </c>
    </row>
    <row r="408" spans="1:5" x14ac:dyDescent="0.3">
      <c r="A408" t="s">
        <v>2131</v>
      </c>
      <c r="B408">
        <v>358069.68359375</v>
      </c>
      <c r="C408">
        <v>6667478.64453125</v>
      </c>
      <c r="D408">
        <v>5.8085656166076598</v>
      </c>
      <c r="E408" t="s">
        <v>2686</v>
      </c>
    </row>
    <row r="409" spans="1:5" x14ac:dyDescent="0.3">
      <c r="A409" t="s">
        <v>2308</v>
      </c>
      <c r="B409">
        <v>357389.84375</v>
      </c>
      <c r="C409">
        <v>6669273.015625</v>
      </c>
      <c r="D409">
        <v>25.165317535400298</v>
      </c>
      <c r="E409" t="s">
        <v>2686</v>
      </c>
    </row>
    <row r="410" spans="1:5" x14ac:dyDescent="0.3">
      <c r="A410" t="s">
        <v>2256</v>
      </c>
      <c r="B410">
        <v>357307.5546875</v>
      </c>
      <c r="C410">
        <v>6669438.05078125</v>
      </c>
      <c r="D410">
        <v>32.059238433837798</v>
      </c>
      <c r="E410" t="s">
        <v>2686</v>
      </c>
    </row>
    <row r="411" spans="1:5" x14ac:dyDescent="0.3">
      <c r="A411" t="s">
        <v>2303</v>
      </c>
      <c r="B411">
        <v>357326.38671875</v>
      </c>
      <c r="C411">
        <v>6669483.98828125</v>
      </c>
      <c r="D411">
        <v>35.257816314697202</v>
      </c>
      <c r="E411" t="s">
        <v>2686</v>
      </c>
    </row>
    <row r="412" spans="1:5" x14ac:dyDescent="0.3">
      <c r="A412" t="s">
        <v>355</v>
      </c>
      <c r="B412">
        <v>357520.6953125</v>
      </c>
      <c r="C412">
        <v>6666455.734375</v>
      </c>
      <c r="D412">
        <v>37.284538269042898</v>
      </c>
      <c r="E412" t="s">
        <v>2685</v>
      </c>
    </row>
    <row r="413" spans="1:5" x14ac:dyDescent="0.3">
      <c r="A413" t="s">
        <v>2136</v>
      </c>
      <c r="B413">
        <v>357518.48828125</v>
      </c>
      <c r="C413">
        <v>6666432.9453125</v>
      </c>
      <c r="D413">
        <v>37.563636779785099</v>
      </c>
      <c r="E413" t="s">
        <v>2686</v>
      </c>
    </row>
    <row r="414" spans="1:5" x14ac:dyDescent="0.3">
      <c r="A414" t="s">
        <v>2133</v>
      </c>
      <c r="B414">
        <v>357389.5859375</v>
      </c>
      <c r="C414">
        <v>6669253.8203125</v>
      </c>
      <c r="D414">
        <v>24.223400115966701</v>
      </c>
      <c r="E414" t="s">
        <v>2686</v>
      </c>
    </row>
    <row r="415" spans="1:5" x14ac:dyDescent="0.3">
      <c r="A415" t="s">
        <v>2141</v>
      </c>
      <c r="B415">
        <v>362822.2421875</v>
      </c>
      <c r="C415">
        <v>6672899.44921875</v>
      </c>
      <c r="D415">
        <v>18.2147197723388</v>
      </c>
      <c r="E415" t="s">
        <v>2686</v>
      </c>
    </row>
    <row r="416" spans="1:5" x14ac:dyDescent="0.3">
      <c r="A416" t="s">
        <v>2152</v>
      </c>
      <c r="B416">
        <v>362846.71484375</v>
      </c>
      <c r="C416">
        <v>6672827.19140625</v>
      </c>
      <c r="D416">
        <v>18.758262634277301</v>
      </c>
      <c r="E416" t="s">
        <v>2686</v>
      </c>
    </row>
    <row r="417" spans="1:5" x14ac:dyDescent="0.3">
      <c r="A417" t="s">
        <v>2297</v>
      </c>
      <c r="B417">
        <v>357279.53125</v>
      </c>
      <c r="C417">
        <v>6669418.96875</v>
      </c>
      <c r="D417">
        <v>30.565929412841701</v>
      </c>
      <c r="E417" t="s">
        <v>2686</v>
      </c>
    </row>
    <row r="418" spans="1:5" x14ac:dyDescent="0.3">
      <c r="A418" t="s">
        <v>354</v>
      </c>
      <c r="B418">
        <v>357273.203125</v>
      </c>
      <c r="C418">
        <v>6669539.44140625</v>
      </c>
      <c r="D418">
        <v>45.913040161132798</v>
      </c>
      <c r="E418" t="s">
        <v>2685</v>
      </c>
    </row>
    <row r="419" spans="1:5" x14ac:dyDescent="0.3">
      <c r="A419" t="s">
        <v>353</v>
      </c>
      <c r="B419">
        <v>357212.72265625</v>
      </c>
      <c r="C419">
        <v>6669500.171875</v>
      </c>
      <c r="D419">
        <v>44.962966918945298</v>
      </c>
      <c r="E419" t="s">
        <v>2685</v>
      </c>
    </row>
    <row r="420" spans="1:5" x14ac:dyDescent="0.3">
      <c r="A420" t="s">
        <v>2249</v>
      </c>
      <c r="B420">
        <v>357065.27734375</v>
      </c>
      <c r="C420">
        <v>6666057.46484375</v>
      </c>
      <c r="D420">
        <v>31.4044380187988</v>
      </c>
      <c r="E420" t="s">
        <v>2686</v>
      </c>
    </row>
    <row r="421" spans="1:5" x14ac:dyDescent="0.3">
      <c r="A421" t="s">
        <v>2143</v>
      </c>
      <c r="B421">
        <v>357667.19921875</v>
      </c>
      <c r="C421">
        <v>6667925.8828125</v>
      </c>
      <c r="D421">
        <v>8.5531253814697195</v>
      </c>
      <c r="E421" t="s">
        <v>2686</v>
      </c>
    </row>
    <row r="422" spans="1:5" x14ac:dyDescent="0.3">
      <c r="A422" t="s">
        <v>2318</v>
      </c>
      <c r="B422">
        <v>357667.02734375</v>
      </c>
      <c r="C422">
        <v>6667928.03515625</v>
      </c>
      <c r="D422">
        <v>8.5797214508056605</v>
      </c>
      <c r="E422" t="s">
        <v>2686</v>
      </c>
    </row>
    <row r="423" spans="1:5" x14ac:dyDescent="0.3">
      <c r="A423" t="s">
        <v>352</v>
      </c>
      <c r="B423">
        <v>359477.015625</v>
      </c>
      <c r="C423">
        <v>6667550.44921875</v>
      </c>
      <c r="D423">
        <v>14.218044281005801</v>
      </c>
      <c r="E423" t="s">
        <v>2685</v>
      </c>
    </row>
    <row r="424" spans="1:5" x14ac:dyDescent="0.3">
      <c r="A424" t="s">
        <v>2144</v>
      </c>
      <c r="B424">
        <v>359472.23046875</v>
      </c>
      <c r="C424">
        <v>6667557.734375</v>
      </c>
      <c r="D424">
        <v>14.6458683013916</v>
      </c>
      <c r="E424" t="s">
        <v>2686</v>
      </c>
    </row>
    <row r="425" spans="1:5" x14ac:dyDescent="0.3">
      <c r="A425" t="s">
        <v>2146</v>
      </c>
      <c r="B425">
        <v>357214.83203125</v>
      </c>
      <c r="C425">
        <v>6666136</v>
      </c>
      <c r="D425">
        <v>30.075311660766602</v>
      </c>
      <c r="E425" t="s">
        <v>2686</v>
      </c>
    </row>
    <row r="426" spans="1:5" x14ac:dyDescent="0.3">
      <c r="A426" t="s">
        <v>2298</v>
      </c>
      <c r="B426">
        <v>357173.734375</v>
      </c>
      <c r="C426">
        <v>6669311.69140625</v>
      </c>
      <c r="D426">
        <v>31.676069259643501</v>
      </c>
      <c r="E426" t="s">
        <v>2686</v>
      </c>
    </row>
    <row r="427" spans="1:5" x14ac:dyDescent="0.3">
      <c r="A427" t="s">
        <v>2156</v>
      </c>
      <c r="B427">
        <v>358069.484375</v>
      </c>
      <c r="C427">
        <v>6666475.32421875</v>
      </c>
      <c r="D427">
        <v>29.036495208740199</v>
      </c>
      <c r="E427" t="s">
        <v>2686</v>
      </c>
    </row>
    <row r="428" spans="1:5" x14ac:dyDescent="0.3">
      <c r="A428" t="s">
        <v>2148</v>
      </c>
      <c r="B428">
        <v>357855.859375</v>
      </c>
      <c r="C428">
        <v>6666259.2421875</v>
      </c>
      <c r="D428">
        <v>28.5852241516113</v>
      </c>
      <c r="E428" t="s">
        <v>2686</v>
      </c>
    </row>
    <row r="429" spans="1:5" x14ac:dyDescent="0.3">
      <c r="A429" t="s">
        <v>351</v>
      </c>
      <c r="B429">
        <v>362871.54296875</v>
      </c>
      <c r="C429">
        <v>6673016.2578125</v>
      </c>
      <c r="D429">
        <v>20.5889492034912</v>
      </c>
      <c r="E429" t="s">
        <v>2685</v>
      </c>
    </row>
    <row r="430" spans="1:5" x14ac:dyDescent="0.3">
      <c r="A430" t="s">
        <v>2226</v>
      </c>
      <c r="B430">
        <v>357089.22265625</v>
      </c>
      <c r="C430">
        <v>6669346.6171875</v>
      </c>
      <c r="D430">
        <v>38.128650665283203</v>
      </c>
      <c r="E430" t="s">
        <v>2686</v>
      </c>
    </row>
    <row r="431" spans="1:5" x14ac:dyDescent="0.3">
      <c r="A431" t="s">
        <v>2151</v>
      </c>
      <c r="B431">
        <v>357109.21484375</v>
      </c>
      <c r="C431">
        <v>6669358.53125</v>
      </c>
      <c r="D431">
        <v>36.772617340087798</v>
      </c>
      <c r="E431" t="s">
        <v>2686</v>
      </c>
    </row>
    <row r="432" spans="1:5" x14ac:dyDescent="0.3">
      <c r="A432" t="s">
        <v>2149</v>
      </c>
      <c r="B432">
        <v>362881.5859375</v>
      </c>
      <c r="C432">
        <v>6672995.76953125</v>
      </c>
      <c r="D432">
        <v>18.8358840942382</v>
      </c>
      <c r="E432" t="s">
        <v>2686</v>
      </c>
    </row>
    <row r="433" spans="1:5" x14ac:dyDescent="0.3">
      <c r="A433" t="s">
        <v>350</v>
      </c>
      <c r="B433">
        <v>362845.72265625</v>
      </c>
      <c r="C433">
        <v>6672826.421875</v>
      </c>
      <c r="D433">
        <v>18.6324348449707</v>
      </c>
      <c r="E433" t="s">
        <v>2685</v>
      </c>
    </row>
    <row r="434" spans="1:5" x14ac:dyDescent="0.3">
      <c r="A434" t="s">
        <v>349</v>
      </c>
      <c r="B434">
        <v>362758.12890625</v>
      </c>
      <c r="C434">
        <v>6672911.0546875</v>
      </c>
      <c r="D434">
        <v>18.5349006652832</v>
      </c>
      <c r="E434" t="s">
        <v>2685</v>
      </c>
    </row>
    <row r="435" spans="1:5" x14ac:dyDescent="0.3">
      <c r="A435" t="s">
        <v>2162</v>
      </c>
      <c r="B435">
        <v>357050.359375</v>
      </c>
      <c r="C435">
        <v>6669324.625</v>
      </c>
      <c r="D435">
        <v>41.788887023925703</v>
      </c>
      <c r="E435" t="s">
        <v>2686</v>
      </c>
    </row>
    <row r="436" spans="1:5" x14ac:dyDescent="0.3">
      <c r="A436" t="s">
        <v>2154</v>
      </c>
      <c r="B436">
        <v>357362.9609375</v>
      </c>
      <c r="C436">
        <v>6669502.5234375</v>
      </c>
      <c r="D436">
        <v>36.043128967285099</v>
      </c>
      <c r="E436" t="s">
        <v>2686</v>
      </c>
    </row>
    <row r="437" spans="1:5" x14ac:dyDescent="0.3">
      <c r="A437" t="s">
        <v>2155</v>
      </c>
      <c r="B437">
        <v>357364.703125</v>
      </c>
      <c r="C437">
        <v>6669494.1640625</v>
      </c>
      <c r="D437">
        <v>34.755500793457003</v>
      </c>
      <c r="E437" t="s">
        <v>2686</v>
      </c>
    </row>
    <row r="438" spans="1:5" x14ac:dyDescent="0.3">
      <c r="A438" t="s">
        <v>2161</v>
      </c>
      <c r="B438">
        <v>357221.93359375</v>
      </c>
      <c r="C438">
        <v>6669411.6796875</v>
      </c>
      <c r="D438">
        <v>31.269771575927699</v>
      </c>
      <c r="E438" t="s">
        <v>2686</v>
      </c>
    </row>
    <row r="439" spans="1:5" x14ac:dyDescent="0.3">
      <c r="A439" t="s">
        <v>2018</v>
      </c>
      <c r="B439">
        <v>358135.703125</v>
      </c>
      <c r="C439">
        <v>6666255.07421875</v>
      </c>
      <c r="D439">
        <v>11.311800956726</v>
      </c>
      <c r="E439" t="s">
        <v>2686</v>
      </c>
    </row>
    <row r="440" spans="1:5" x14ac:dyDescent="0.3">
      <c r="A440" t="s">
        <v>348</v>
      </c>
      <c r="B440">
        <v>358072.17578125</v>
      </c>
      <c r="C440">
        <v>6666467.984375</v>
      </c>
      <c r="D440">
        <v>29.602148056030199</v>
      </c>
      <c r="E440" t="s">
        <v>2685</v>
      </c>
    </row>
    <row r="441" spans="1:5" x14ac:dyDescent="0.3">
      <c r="A441" t="s">
        <v>2292</v>
      </c>
      <c r="B441">
        <v>357258.875</v>
      </c>
      <c r="C441">
        <v>6669294.2734375</v>
      </c>
      <c r="D441">
        <v>29.926834106445298</v>
      </c>
      <c r="E441" t="s">
        <v>2686</v>
      </c>
    </row>
    <row r="442" spans="1:5" x14ac:dyDescent="0.3">
      <c r="A442" t="s">
        <v>347</v>
      </c>
      <c r="B442">
        <v>357128.75</v>
      </c>
      <c r="C442">
        <v>6669294.1640625</v>
      </c>
      <c r="D442">
        <v>36.946849822997997</v>
      </c>
      <c r="E442" t="s">
        <v>2685</v>
      </c>
    </row>
    <row r="443" spans="1:5" x14ac:dyDescent="0.3">
      <c r="A443" t="s">
        <v>2159</v>
      </c>
      <c r="B443">
        <v>357196.70703125</v>
      </c>
      <c r="C443">
        <v>6669404.26171875</v>
      </c>
      <c r="D443">
        <v>31.879102706909102</v>
      </c>
      <c r="E443" t="s">
        <v>2686</v>
      </c>
    </row>
    <row r="444" spans="1:5" x14ac:dyDescent="0.3">
      <c r="A444" t="s">
        <v>2160</v>
      </c>
      <c r="B444">
        <v>357207.00390625</v>
      </c>
      <c r="C444">
        <v>6669407.83203125</v>
      </c>
      <c r="D444">
        <v>31.8596992492675</v>
      </c>
      <c r="E444" t="s">
        <v>2686</v>
      </c>
    </row>
    <row r="445" spans="1:5" x14ac:dyDescent="0.3">
      <c r="A445" t="s">
        <v>2157</v>
      </c>
      <c r="B445">
        <v>357197.6484375</v>
      </c>
      <c r="C445">
        <v>6669317.97265625</v>
      </c>
      <c r="D445">
        <v>30.074514389038001</v>
      </c>
      <c r="E445" t="s">
        <v>2686</v>
      </c>
    </row>
    <row r="446" spans="1:5" x14ac:dyDescent="0.3">
      <c r="A446" t="s">
        <v>2067</v>
      </c>
      <c r="B446">
        <v>357021.73828125</v>
      </c>
      <c r="C446">
        <v>6669242.26953125</v>
      </c>
      <c r="D446">
        <v>40.673545837402301</v>
      </c>
      <c r="E446" t="s">
        <v>2686</v>
      </c>
    </row>
    <row r="447" spans="1:5" x14ac:dyDescent="0.3">
      <c r="A447" t="s">
        <v>346</v>
      </c>
      <c r="B447">
        <v>357188.3203125</v>
      </c>
      <c r="C447">
        <v>6669329.578125</v>
      </c>
      <c r="D447">
        <v>30.463624954223601</v>
      </c>
      <c r="E447" t="s">
        <v>2685</v>
      </c>
    </row>
    <row r="448" spans="1:5" x14ac:dyDescent="0.3">
      <c r="A448" t="s">
        <v>345</v>
      </c>
      <c r="B448">
        <v>366223.71484375</v>
      </c>
      <c r="C448">
        <v>6670109.49609375</v>
      </c>
      <c r="D448">
        <v>19.8855266571044</v>
      </c>
      <c r="E448" t="s">
        <v>2685</v>
      </c>
    </row>
    <row r="449" spans="1:5" x14ac:dyDescent="0.3">
      <c r="A449" t="s">
        <v>2165</v>
      </c>
      <c r="B449">
        <v>357284.23828125</v>
      </c>
      <c r="C449">
        <v>6669168.38671875</v>
      </c>
      <c r="D449">
        <v>22.004768371581999</v>
      </c>
      <c r="E449" t="s">
        <v>2686</v>
      </c>
    </row>
    <row r="450" spans="1:5" x14ac:dyDescent="0.3">
      <c r="A450" t="s">
        <v>2296</v>
      </c>
      <c r="B450">
        <v>357276.40234375</v>
      </c>
      <c r="C450">
        <v>6669219.1953125</v>
      </c>
      <c r="D450">
        <v>26.167852401733398</v>
      </c>
      <c r="E450" t="s">
        <v>2686</v>
      </c>
    </row>
    <row r="451" spans="1:5" x14ac:dyDescent="0.3">
      <c r="A451" t="s">
        <v>344</v>
      </c>
      <c r="B451">
        <v>358170.08203125</v>
      </c>
      <c r="C451">
        <v>6666214.34765625</v>
      </c>
      <c r="D451">
        <v>6.7465105056762598</v>
      </c>
      <c r="E451" t="s">
        <v>2685</v>
      </c>
    </row>
    <row r="452" spans="1:5" x14ac:dyDescent="0.3">
      <c r="A452" t="s">
        <v>2139</v>
      </c>
      <c r="B452">
        <v>357294.13671875</v>
      </c>
      <c r="C452">
        <v>6669256.5703125</v>
      </c>
      <c r="D452">
        <v>27.299364089965799</v>
      </c>
      <c r="E452" t="s">
        <v>2686</v>
      </c>
    </row>
    <row r="453" spans="1:5" x14ac:dyDescent="0.3">
      <c r="A453" t="s">
        <v>2140</v>
      </c>
      <c r="B453">
        <v>362829.47265625</v>
      </c>
      <c r="C453">
        <v>6672932.5</v>
      </c>
      <c r="D453">
        <v>18.333498001098601</v>
      </c>
      <c r="E453" t="s">
        <v>2686</v>
      </c>
    </row>
    <row r="454" spans="1:5" x14ac:dyDescent="0.3">
      <c r="A454" t="s">
        <v>343</v>
      </c>
      <c r="B454">
        <v>357400.6015625</v>
      </c>
      <c r="C454">
        <v>6668486.79296875</v>
      </c>
      <c r="D454">
        <v>20.2548503875732</v>
      </c>
      <c r="E454" t="s">
        <v>2685</v>
      </c>
    </row>
    <row r="455" spans="1:5" x14ac:dyDescent="0.3">
      <c r="A455" t="s">
        <v>2167</v>
      </c>
      <c r="B455">
        <v>357398.203125</v>
      </c>
      <c r="C455">
        <v>6668491.796875</v>
      </c>
      <c r="D455">
        <v>20.210548400878899</v>
      </c>
      <c r="E455" t="s">
        <v>2686</v>
      </c>
    </row>
    <row r="456" spans="1:5" x14ac:dyDescent="0.3">
      <c r="A456" t="s">
        <v>2191</v>
      </c>
      <c r="B456">
        <v>357382.84765625</v>
      </c>
      <c r="C456">
        <v>6668519.47265625</v>
      </c>
      <c r="D456">
        <v>20.048391342163001</v>
      </c>
      <c r="E456" t="s">
        <v>2686</v>
      </c>
    </row>
    <row r="457" spans="1:5" x14ac:dyDescent="0.3">
      <c r="A457" t="s">
        <v>2129</v>
      </c>
      <c r="B457">
        <v>357158.51171875</v>
      </c>
      <c r="C457">
        <v>6669478.953125</v>
      </c>
      <c r="D457">
        <v>47.126739501953097</v>
      </c>
      <c r="E457" t="s">
        <v>2686</v>
      </c>
    </row>
    <row r="458" spans="1:5" x14ac:dyDescent="0.3">
      <c r="A458" t="s">
        <v>2179</v>
      </c>
      <c r="B458">
        <v>357234.76171875</v>
      </c>
      <c r="C458">
        <v>6666158.3046875</v>
      </c>
      <c r="D458">
        <v>28.996801376342699</v>
      </c>
      <c r="E458" t="s">
        <v>2686</v>
      </c>
    </row>
    <row r="459" spans="1:5" x14ac:dyDescent="0.3">
      <c r="A459" t="s">
        <v>2174</v>
      </c>
      <c r="B459">
        <v>357240.88671875</v>
      </c>
      <c r="C459">
        <v>6666168.28125</v>
      </c>
      <c r="D459">
        <v>29.391500473022401</v>
      </c>
      <c r="E459" t="s">
        <v>2686</v>
      </c>
    </row>
    <row r="460" spans="1:5" x14ac:dyDescent="0.3">
      <c r="A460" t="s">
        <v>2171</v>
      </c>
      <c r="B460">
        <v>359381.58203125</v>
      </c>
      <c r="C460">
        <v>6667376.41796875</v>
      </c>
      <c r="D460">
        <v>20.7449951171875</v>
      </c>
      <c r="E460" t="s">
        <v>2686</v>
      </c>
    </row>
    <row r="461" spans="1:5" x14ac:dyDescent="0.3">
      <c r="A461" t="s">
        <v>342</v>
      </c>
      <c r="B461">
        <v>357170.78125</v>
      </c>
      <c r="C461">
        <v>6668010.9921875</v>
      </c>
      <c r="D461">
        <v>21.705177307128899</v>
      </c>
      <c r="E461" t="s">
        <v>2685</v>
      </c>
    </row>
    <row r="462" spans="1:5" x14ac:dyDescent="0.3">
      <c r="A462" t="s">
        <v>2173</v>
      </c>
      <c r="B462">
        <v>357146.875</v>
      </c>
      <c r="C462">
        <v>6668032.375</v>
      </c>
      <c r="D462">
        <v>25.702180862426701</v>
      </c>
      <c r="E462" t="s">
        <v>2686</v>
      </c>
    </row>
    <row r="463" spans="1:5" x14ac:dyDescent="0.3">
      <c r="A463" t="s">
        <v>340</v>
      </c>
      <c r="B463">
        <v>357221.7265625</v>
      </c>
      <c r="C463">
        <v>6666177.3125</v>
      </c>
      <c r="D463">
        <v>25.9513759613037</v>
      </c>
      <c r="E463" t="s">
        <v>2685</v>
      </c>
    </row>
    <row r="464" spans="1:5" x14ac:dyDescent="0.3">
      <c r="A464" t="s">
        <v>2180</v>
      </c>
      <c r="B464">
        <v>360107.06640625</v>
      </c>
      <c r="C464">
        <v>6668528.92578125</v>
      </c>
      <c r="D464">
        <v>17.05442237854</v>
      </c>
      <c r="E464" t="s">
        <v>2686</v>
      </c>
    </row>
    <row r="465" spans="1:5" x14ac:dyDescent="0.3">
      <c r="A465" t="s">
        <v>339</v>
      </c>
      <c r="B465">
        <v>358726.10546875</v>
      </c>
      <c r="C465">
        <v>6667756.6015625</v>
      </c>
      <c r="D465">
        <v>30.295719146728501</v>
      </c>
      <c r="E465" t="s">
        <v>2685</v>
      </c>
    </row>
    <row r="466" spans="1:5" x14ac:dyDescent="0.3">
      <c r="A466" t="s">
        <v>2175</v>
      </c>
      <c r="B466">
        <v>362428.125</v>
      </c>
      <c r="C466">
        <v>6671385.42578125</v>
      </c>
      <c r="D466">
        <v>18.1704406738281</v>
      </c>
      <c r="E466" t="s">
        <v>2686</v>
      </c>
    </row>
    <row r="467" spans="1:5" x14ac:dyDescent="0.3">
      <c r="A467" t="s">
        <v>2176</v>
      </c>
      <c r="B467">
        <v>357151.15234375</v>
      </c>
      <c r="C467">
        <v>6668440.82421875</v>
      </c>
      <c r="D467">
        <v>23.312150955200099</v>
      </c>
      <c r="E467" t="s">
        <v>2686</v>
      </c>
    </row>
    <row r="468" spans="1:5" x14ac:dyDescent="0.3">
      <c r="A468" t="s">
        <v>2193</v>
      </c>
      <c r="B468">
        <v>357777.38671875</v>
      </c>
      <c r="C468">
        <v>6667782.3828125</v>
      </c>
      <c r="D468">
        <v>8.4648866653442294</v>
      </c>
      <c r="E468" t="s">
        <v>2686</v>
      </c>
    </row>
    <row r="469" spans="1:5" x14ac:dyDescent="0.3">
      <c r="A469" t="s">
        <v>2410</v>
      </c>
      <c r="B469">
        <v>357801.984375</v>
      </c>
      <c r="C469">
        <v>6667719.4375</v>
      </c>
      <c r="D469">
        <v>8.5114011764526296</v>
      </c>
      <c r="E469" t="s">
        <v>2686</v>
      </c>
    </row>
    <row r="470" spans="1:5" x14ac:dyDescent="0.3">
      <c r="A470" t="s">
        <v>338</v>
      </c>
      <c r="B470">
        <v>357852.5625</v>
      </c>
      <c r="C470">
        <v>6666165.28515625</v>
      </c>
      <c r="D470">
        <v>19.979879379272401</v>
      </c>
      <c r="E470" t="s">
        <v>2685</v>
      </c>
    </row>
    <row r="471" spans="1:5" x14ac:dyDescent="0.3">
      <c r="A471" t="s">
        <v>2177</v>
      </c>
      <c r="B471">
        <v>357847.88671875</v>
      </c>
      <c r="C471">
        <v>6666157.55078125</v>
      </c>
      <c r="D471">
        <v>18.567529678344702</v>
      </c>
      <c r="E471" t="s">
        <v>2686</v>
      </c>
    </row>
    <row r="472" spans="1:5" x14ac:dyDescent="0.3">
      <c r="A472" t="s">
        <v>337</v>
      </c>
      <c r="B472">
        <v>360072.48046875</v>
      </c>
      <c r="C472">
        <v>6668665.3046875</v>
      </c>
      <c r="D472">
        <v>27.32954788208</v>
      </c>
      <c r="E472" t="s">
        <v>2685</v>
      </c>
    </row>
    <row r="473" spans="1:5" x14ac:dyDescent="0.3">
      <c r="A473" t="s">
        <v>2178</v>
      </c>
      <c r="B473">
        <v>358724.40234375</v>
      </c>
      <c r="C473">
        <v>6667799.296875</v>
      </c>
      <c r="D473">
        <v>29.818496704101499</v>
      </c>
      <c r="E473" t="s">
        <v>2686</v>
      </c>
    </row>
    <row r="474" spans="1:5" x14ac:dyDescent="0.3">
      <c r="A474" t="s">
        <v>335</v>
      </c>
      <c r="B474">
        <v>359354.01171875</v>
      </c>
      <c r="C474">
        <v>6667346.52734375</v>
      </c>
      <c r="D474">
        <v>26.087251663208001</v>
      </c>
      <c r="E474" t="s">
        <v>2685</v>
      </c>
    </row>
    <row r="475" spans="1:5" x14ac:dyDescent="0.3">
      <c r="A475" t="s">
        <v>334</v>
      </c>
      <c r="B475">
        <v>357206.63671875</v>
      </c>
      <c r="C475">
        <v>6666147.74609375</v>
      </c>
      <c r="D475">
        <v>27.5868816375732</v>
      </c>
      <c r="E475" t="s">
        <v>2685</v>
      </c>
    </row>
    <row r="476" spans="1:5" x14ac:dyDescent="0.3">
      <c r="A476" t="s">
        <v>2170</v>
      </c>
      <c r="B476">
        <v>363449.94140625</v>
      </c>
      <c r="C476">
        <v>6672345.16796875</v>
      </c>
      <c r="D476">
        <v>15.683251380920399</v>
      </c>
      <c r="E476" t="s">
        <v>2686</v>
      </c>
    </row>
    <row r="477" spans="1:5" x14ac:dyDescent="0.3">
      <c r="A477" t="s">
        <v>333</v>
      </c>
      <c r="B477">
        <v>355548.953125</v>
      </c>
      <c r="C477">
        <v>6664543.82421875</v>
      </c>
      <c r="D477">
        <v>20.4729309082031</v>
      </c>
      <c r="E477" t="s">
        <v>2685</v>
      </c>
    </row>
    <row r="478" spans="1:5" x14ac:dyDescent="0.3">
      <c r="A478" t="s">
        <v>332</v>
      </c>
      <c r="B478">
        <v>363024.55859375</v>
      </c>
      <c r="C478">
        <v>6671433.41015625</v>
      </c>
      <c r="D478">
        <v>18.3713359832763</v>
      </c>
      <c r="E478" t="s">
        <v>2685</v>
      </c>
    </row>
    <row r="479" spans="1:5" x14ac:dyDescent="0.3">
      <c r="A479" t="s">
        <v>2182</v>
      </c>
      <c r="B479">
        <v>363778.26953125</v>
      </c>
      <c r="C479">
        <v>6671008.0703125</v>
      </c>
      <c r="D479">
        <v>7.5467300415039</v>
      </c>
      <c r="E479" t="s">
        <v>2686</v>
      </c>
    </row>
    <row r="480" spans="1:5" x14ac:dyDescent="0.3">
      <c r="A480" t="s">
        <v>1954</v>
      </c>
      <c r="B480">
        <v>363801.22265625</v>
      </c>
      <c r="C480">
        <v>6671052.5234375</v>
      </c>
      <c r="D480">
        <v>7.5774841308593697</v>
      </c>
      <c r="E480" t="s">
        <v>2686</v>
      </c>
    </row>
    <row r="481" spans="1:5" x14ac:dyDescent="0.3">
      <c r="A481" t="s">
        <v>2189</v>
      </c>
      <c r="B481">
        <v>355630.390625</v>
      </c>
      <c r="C481">
        <v>6664575.90625</v>
      </c>
      <c r="D481">
        <v>20.488508224487301</v>
      </c>
      <c r="E481" t="s">
        <v>2686</v>
      </c>
    </row>
    <row r="482" spans="1:5" x14ac:dyDescent="0.3">
      <c r="A482" t="s">
        <v>2183</v>
      </c>
      <c r="B482">
        <v>355623.6640625</v>
      </c>
      <c r="C482">
        <v>6664579.73046875</v>
      </c>
      <c r="D482">
        <v>19.767938613891602</v>
      </c>
      <c r="E482" t="s">
        <v>2686</v>
      </c>
    </row>
    <row r="483" spans="1:5" x14ac:dyDescent="0.3">
      <c r="A483" t="s">
        <v>2184</v>
      </c>
      <c r="B483">
        <v>355569.02734375</v>
      </c>
      <c r="C483">
        <v>6664609.83203125</v>
      </c>
      <c r="D483">
        <v>13.2547140121459</v>
      </c>
      <c r="E483" t="s">
        <v>2686</v>
      </c>
    </row>
    <row r="484" spans="1:5" x14ac:dyDescent="0.3">
      <c r="A484" t="s">
        <v>2185</v>
      </c>
      <c r="B484">
        <v>355453.32421875</v>
      </c>
      <c r="C484">
        <v>6664607.3359375</v>
      </c>
      <c r="D484">
        <v>8.3956022262573207</v>
      </c>
      <c r="E484" t="s">
        <v>2686</v>
      </c>
    </row>
    <row r="485" spans="1:5" x14ac:dyDescent="0.3">
      <c r="A485" t="s">
        <v>2187</v>
      </c>
      <c r="B485">
        <v>357034.359375</v>
      </c>
      <c r="C485">
        <v>6668849.65234375</v>
      </c>
      <c r="D485">
        <v>20.621253967285099</v>
      </c>
      <c r="E485" t="s">
        <v>2686</v>
      </c>
    </row>
    <row r="486" spans="1:5" x14ac:dyDescent="0.3">
      <c r="A486" t="s">
        <v>331</v>
      </c>
      <c r="B486">
        <v>357035.58984375</v>
      </c>
      <c r="C486">
        <v>6668835.70703125</v>
      </c>
      <c r="D486">
        <v>20.516134262084901</v>
      </c>
      <c r="E486" t="s">
        <v>2685</v>
      </c>
    </row>
    <row r="487" spans="1:5" x14ac:dyDescent="0.3">
      <c r="A487" t="s">
        <v>2186</v>
      </c>
      <c r="B487">
        <v>355524.03515625</v>
      </c>
      <c r="C487">
        <v>6664664.4296875</v>
      </c>
      <c r="D487">
        <v>10.624285697936999</v>
      </c>
      <c r="E487" t="s">
        <v>2686</v>
      </c>
    </row>
    <row r="488" spans="1:5" x14ac:dyDescent="0.3">
      <c r="A488" t="s">
        <v>330</v>
      </c>
      <c r="B488">
        <v>357018.68359375</v>
      </c>
      <c r="C488">
        <v>6668856.67578125</v>
      </c>
      <c r="D488">
        <v>20.0168361663818</v>
      </c>
      <c r="E488" t="s">
        <v>2685</v>
      </c>
    </row>
    <row r="489" spans="1:5" x14ac:dyDescent="0.3">
      <c r="A489" t="s">
        <v>329</v>
      </c>
      <c r="B489">
        <v>357271.55859375</v>
      </c>
      <c r="C489">
        <v>6666122.859375</v>
      </c>
      <c r="D489">
        <v>36.221683502197202</v>
      </c>
      <c r="E489" t="s">
        <v>2685</v>
      </c>
    </row>
    <row r="490" spans="1:5" x14ac:dyDescent="0.3">
      <c r="A490" t="s">
        <v>2181</v>
      </c>
      <c r="B490">
        <v>355564.94140625</v>
      </c>
      <c r="C490">
        <v>6664613.19921875</v>
      </c>
      <c r="D490">
        <v>12.9338216781616</v>
      </c>
      <c r="E490" t="s">
        <v>2686</v>
      </c>
    </row>
    <row r="491" spans="1:5" x14ac:dyDescent="0.3">
      <c r="A491" t="s">
        <v>328</v>
      </c>
      <c r="B491">
        <v>358098.23828125</v>
      </c>
      <c r="C491">
        <v>6667485.4609375</v>
      </c>
      <c r="D491">
        <v>4.38852739334106</v>
      </c>
      <c r="E491" t="s">
        <v>2685</v>
      </c>
    </row>
    <row r="492" spans="1:5" x14ac:dyDescent="0.3">
      <c r="A492" t="s">
        <v>2188</v>
      </c>
      <c r="B492">
        <v>363746.66796875</v>
      </c>
      <c r="C492">
        <v>6671086.90234375</v>
      </c>
      <c r="D492">
        <v>7.9370059967040998</v>
      </c>
      <c r="E492" t="s">
        <v>2686</v>
      </c>
    </row>
    <row r="493" spans="1:5" x14ac:dyDescent="0.3">
      <c r="A493" t="s">
        <v>327</v>
      </c>
      <c r="B493">
        <v>363148.10546875</v>
      </c>
      <c r="C493">
        <v>6672419.80078125</v>
      </c>
      <c r="D493">
        <v>21.292135238647401</v>
      </c>
      <c r="E493" t="s">
        <v>2685</v>
      </c>
    </row>
    <row r="494" spans="1:5" x14ac:dyDescent="0.3">
      <c r="A494" t="s">
        <v>326</v>
      </c>
      <c r="B494">
        <v>363303.44921875</v>
      </c>
      <c r="C494">
        <v>6672182.0703125</v>
      </c>
      <c r="D494">
        <v>20.948472976684499</v>
      </c>
      <c r="E494" t="s">
        <v>2685</v>
      </c>
    </row>
    <row r="495" spans="1:5" x14ac:dyDescent="0.3">
      <c r="A495" t="s">
        <v>2192</v>
      </c>
      <c r="B495">
        <v>363260.890625</v>
      </c>
      <c r="C495">
        <v>6672183.60546875</v>
      </c>
      <c r="D495">
        <v>18.132223129272401</v>
      </c>
      <c r="E495" t="s">
        <v>2686</v>
      </c>
    </row>
    <row r="496" spans="1:5" x14ac:dyDescent="0.3">
      <c r="A496" t="s">
        <v>2195</v>
      </c>
      <c r="B496">
        <v>363800.015625</v>
      </c>
      <c r="C496">
        <v>6670974.15234375</v>
      </c>
      <c r="D496">
        <v>5.9024701118469203</v>
      </c>
      <c r="E496" t="s">
        <v>2686</v>
      </c>
    </row>
    <row r="497" spans="1:5" x14ac:dyDescent="0.3">
      <c r="A497" t="s">
        <v>325</v>
      </c>
      <c r="B497">
        <v>355630.6640625</v>
      </c>
      <c r="C497">
        <v>6664588.71484375</v>
      </c>
      <c r="D497">
        <v>19.194890975952099</v>
      </c>
      <c r="E497" t="s">
        <v>2685</v>
      </c>
    </row>
    <row r="498" spans="1:5" x14ac:dyDescent="0.3">
      <c r="A498" t="s">
        <v>324</v>
      </c>
      <c r="B498">
        <v>357374.12109375</v>
      </c>
      <c r="C498">
        <v>6668541.421875</v>
      </c>
      <c r="D498">
        <v>20.661144256591701</v>
      </c>
      <c r="E498" t="s">
        <v>2685</v>
      </c>
    </row>
    <row r="499" spans="1:5" x14ac:dyDescent="0.3">
      <c r="A499" t="s">
        <v>2360</v>
      </c>
      <c r="B499">
        <v>363261.9609375</v>
      </c>
      <c r="C499">
        <v>6672178.1875</v>
      </c>
      <c r="D499">
        <v>18.028964996337798</v>
      </c>
      <c r="E499" t="s">
        <v>2686</v>
      </c>
    </row>
    <row r="500" spans="1:5" x14ac:dyDescent="0.3">
      <c r="A500" t="s">
        <v>323</v>
      </c>
      <c r="B500">
        <v>357184.84765625</v>
      </c>
      <c r="C500">
        <v>6666099.953125</v>
      </c>
      <c r="D500">
        <v>31.152238845825099</v>
      </c>
      <c r="E500" t="s">
        <v>2685</v>
      </c>
    </row>
    <row r="501" spans="1:5" x14ac:dyDescent="0.3">
      <c r="A501" t="s">
        <v>2196</v>
      </c>
      <c r="B501">
        <v>358668.5</v>
      </c>
      <c r="C501">
        <v>6667842.015625</v>
      </c>
      <c r="D501">
        <v>30.915664672851499</v>
      </c>
      <c r="E501" t="s">
        <v>2686</v>
      </c>
    </row>
    <row r="502" spans="1:5" x14ac:dyDescent="0.3">
      <c r="A502" t="s">
        <v>322</v>
      </c>
      <c r="B502">
        <v>357026.12109375</v>
      </c>
      <c r="C502">
        <v>6666035.77734375</v>
      </c>
      <c r="D502">
        <v>27.144403457641602</v>
      </c>
      <c r="E502" t="s">
        <v>2685</v>
      </c>
    </row>
    <row r="503" spans="1:5" x14ac:dyDescent="0.3">
      <c r="A503" t="s">
        <v>2194</v>
      </c>
      <c r="B503">
        <v>357023.828125</v>
      </c>
      <c r="C503">
        <v>6666016.546875</v>
      </c>
      <c r="D503">
        <v>26.8018989562988</v>
      </c>
      <c r="E503" t="s">
        <v>2686</v>
      </c>
    </row>
    <row r="504" spans="1:5" x14ac:dyDescent="0.3">
      <c r="A504" t="s">
        <v>321</v>
      </c>
      <c r="B504">
        <v>363825.69921875</v>
      </c>
      <c r="C504">
        <v>6671000.140625</v>
      </c>
      <c r="D504">
        <v>6.0307979583740199</v>
      </c>
      <c r="E504" t="s">
        <v>2685</v>
      </c>
    </row>
    <row r="505" spans="1:5" x14ac:dyDescent="0.3">
      <c r="A505" t="s">
        <v>320</v>
      </c>
      <c r="B505">
        <v>358691.98828125</v>
      </c>
      <c r="C505">
        <v>6667845.05078125</v>
      </c>
      <c r="D505">
        <v>30.559486389160099</v>
      </c>
      <c r="E505" t="s">
        <v>2685</v>
      </c>
    </row>
    <row r="506" spans="1:5" x14ac:dyDescent="0.3">
      <c r="A506" t="s">
        <v>2665</v>
      </c>
      <c r="B506">
        <v>357933.2734375</v>
      </c>
      <c r="C506">
        <v>6667710.25</v>
      </c>
      <c r="D506">
        <v>7.5324106216430602</v>
      </c>
      <c r="E506" t="s">
        <v>2686</v>
      </c>
    </row>
    <row r="507" spans="1:5" x14ac:dyDescent="0.3">
      <c r="A507" t="s">
        <v>319</v>
      </c>
      <c r="B507">
        <v>357415.3125</v>
      </c>
      <c r="C507">
        <v>6669539.3671875</v>
      </c>
      <c r="D507">
        <v>38.387321472167898</v>
      </c>
      <c r="E507" t="s">
        <v>2685</v>
      </c>
    </row>
    <row r="508" spans="1:5" x14ac:dyDescent="0.3">
      <c r="A508" t="s">
        <v>2469</v>
      </c>
      <c r="B508">
        <v>357030.40625</v>
      </c>
      <c r="C508">
        <v>6668420.9921875</v>
      </c>
      <c r="D508">
        <v>25.861213684081999</v>
      </c>
      <c r="E508" t="s">
        <v>2686</v>
      </c>
    </row>
    <row r="509" spans="1:5" x14ac:dyDescent="0.3">
      <c r="A509" t="s">
        <v>2200</v>
      </c>
      <c r="B509">
        <v>357388.1328125</v>
      </c>
      <c r="C509">
        <v>6669499.77734375</v>
      </c>
      <c r="D509">
        <v>35.100425720214801</v>
      </c>
      <c r="E509" t="s">
        <v>2686</v>
      </c>
    </row>
    <row r="510" spans="1:5" x14ac:dyDescent="0.3">
      <c r="A510" t="s">
        <v>318</v>
      </c>
      <c r="B510">
        <v>363484.921875</v>
      </c>
      <c r="C510">
        <v>6672368.765625</v>
      </c>
      <c r="D510">
        <v>15.9085845947265</v>
      </c>
      <c r="E510" t="s">
        <v>2685</v>
      </c>
    </row>
    <row r="511" spans="1:5" x14ac:dyDescent="0.3">
      <c r="A511" t="s">
        <v>2202</v>
      </c>
      <c r="B511">
        <v>357042.43359375</v>
      </c>
      <c r="C511">
        <v>6666009.65625</v>
      </c>
      <c r="D511">
        <v>28.437196731567301</v>
      </c>
      <c r="E511" t="s">
        <v>2686</v>
      </c>
    </row>
    <row r="512" spans="1:5" x14ac:dyDescent="0.3">
      <c r="A512" t="s">
        <v>317</v>
      </c>
      <c r="B512">
        <v>357511.44921875</v>
      </c>
      <c r="C512">
        <v>6668046.5859375</v>
      </c>
      <c r="D512">
        <v>21.002355575561499</v>
      </c>
      <c r="E512" t="s">
        <v>2685</v>
      </c>
    </row>
    <row r="513" spans="1:5" x14ac:dyDescent="0.3">
      <c r="A513" t="s">
        <v>2209</v>
      </c>
      <c r="B513">
        <v>363418.453125</v>
      </c>
      <c r="C513">
        <v>6671361.07421875</v>
      </c>
      <c r="D513">
        <v>8.2868223190307599</v>
      </c>
      <c r="E513" t="s">
        <v>2686</v>
      </c>
    </row>
    <row r="514" spans="1:5" x14ac:dyDescent="0.3">
      <c r="A514" t="s">
        <v>316</v>
      </c>
      <c r="B514">
        <v>356837.6953125</v>
      </c>
      <c r="C514">
        <v>6665835.6015625</v>
      </c>
      <c r="D514">
        <v>17.967952728271399</v>
      </c>
      <c r="E514" t="s">
        <v>2685</v>
      </c>
    </row>
    <row r="515" spans="1:5" x14ac:dyDescent="0.3">
      <c r="A515" t="s">
        <v>2203</v>
      </c>
      <c r="B515">
        <v>356846.83984375</v>
      </c>
      <c r="C515">
        <v>6665839.2109375</v>
      </c>
      <c r="D515">
        <v>19.303817749023398</v>
      </c>
      <c r="E515" t="s">
        <v>2686</v>
      </c>
    </row>
    <row r="516" spans="1:5" x14ac:dyDescent="0.3">
      <c r="A516" t="s">
        <v>315</v>
      </c>
      <c r="B516">
        <v>356868.765625</v>
      </c>
      <c r="C516">
        <v>6665856.0234375</v>
      </c>
      <c r="D516">
        <v>21.4351997375488</v>
      </c>
      <c r="E516" t="s">
        <v>2685</v>
      </c>
    </row>
    <row r="517" spans="1:5" x14ac:dyDescent="0.3">
      <c r="A517" t="s">
        <v>2204</v>
      </c>
      <c r="B517">
        <v>356842.8359375</v>
      </c>
      <c r="C517">
        <v>6665848.8046875</v>
      </c>
      <c r="D517">
        <v>19.3156833648681</v>
      </c>
      <c r="E517" t="s">
        <v>2686</v>
      </c>
    </row>
    <row r="518" spans="1:5" x14ac:dyDescent="0.3">
      <c r="A518" t="s">
        <v>314</v>
      </c>
      <c r="B518">
        <v>357070.625</v>
      </c>
      <c r="C518">
        <v>6665995.7890625</v>
      </c>
      <c r="D518">
        <v>30.972850799560501</v>
      </c>
      <c r="E518" t="s">
        <v>2685</v>
      </c>
    </row>
    <row r="519" spans="1:5" x14ac:dyDescent="0.3">
      <c r="A519" t="s">
        <v>2207</v>
      </c>
      <c r="B519">
        <v>356842.80859375</v>
      </c>
      <c r="C519">
        <v>6665855.94140625</v>
      </c>
      <c r="D519">
        <v>19.502504348754801</v>
      </c>
      <c r="E519" t="s">
        <v>2686</v>
      </c>
    </row>
    <row r="520" spans="1:5" x14ac:dyDescent="0.3">
      <c r="A520" t="s">
        <v>313</v>
      </c>
      <c r="B520">
        <v>362554.109375</v>
      </c>
      <c r="C520">
        <v>6671361.73046875</v>
      </c>
      <c r="D520">
        <v>18.209377288818299</v>
      </c>
      <c r="E520" t="s">
        <v>2685</v>
      </c>
    </row>
    <row r="521" spans="1:5" x14ac:dyDescent="0.3">
      <c r="A521" t="s">
        <v>2219</v>
      </c>
      <c r="B521">
        <v>357391.2265625</v>
      </c>
      <c r="C521">
        <v>6669236.6171875</v>
      </c>
      <c r="D521">
        <v>23.507793426513601</v>
      </c>
      <c r="E521" t="s">
        <v>2686</v>
      </c>
    </row>
    <row r="522" spans="1:5" x14ac:dyDescent="0.3">
      <c r="A522" t="s">
        <v>2205</v>
      </c>
      <c r="B522">
        <v>357049.26953125</v>
      </c>
      <c r="C522">
        <v>6665991.81640625</v>
      </c>
      <c r="D522">
        <v>28.714239120483398</v>
      </c>
      <c r="E522" t="s">
        <v>2686</v>
      </c>
    </row>
    <row r="523" spans="1:5" x14ac:dyDescent="0.3">
      <c r="A523" t="s">
        <v>2238</v>
      </c>
      <c r="B523">
        <v>356842.77734375</v>
      </c>
      <c r="C523">
        <v>6665864.390625</v>
      </c>
      <c r="D523">
        <v>19.5262451171875</v>
      </c>
      <c r="E523" t="s">
        <v>2686</v>
      </c>
    </row>
    <row r="524" spans="1:5" x14ac:dyDescent="0.3">
      <c r="A524" t="s">
        <v>2208</v>
      </c>
      <c r="B524">
        <v>357042.046875</v>
      </c>
      <c r="C524">
        <v>6669223.82421875</v>
      </c>
      <c r="D524">
        <v>38.736614227294901</v>
      </c>
      <c r="E524" t="s">
        <v>2686</v>
      </c>
    </row>
    <row r="525" spans="1:5" x14ac:dyDescent="0.3">
      <c r="A525" t="s">
        <v>2273</v>
      </c>
      <c r="B525">
        <v>357045.1796875</v>
      </c>
      <c r="C525">
        <v>6669221.9453125</v>
      </c>
      <c r="D525">
        <v>38.5066108703613</v>
      </c>
      <c r="E525" t="s">
        <v>2686</v>
      </c>
    </row>
    <row r="526" spans="1:5" x14ac:dyDescent="0.3">
      <c r="A526" t="s">
        <v>2217</v>
      </c>
      <c r="B526">
        <v>357511.3515625</v>
      </c>
      <c r="C526">
        <v>6668058.265625</v>
      </c>
      <c r="D526">
        <v>20.1507549285888</v>
      </c>
      <c r="E526" t="s">
        <v>2686</v>
      </c>
    </row>
    <row r="527" spans="1:5" x14ac:dyDescent="0.3">
      <c r="A527" t="s">
        <v>2000</v>
      </c>
      <c r="B527">
        <v>360257.42578125</v>
      </c>
      <c r="C527">
        <v>6668593.9765625</v>
      </c>
      <c r="D527">
        <v>20.138362884521399</v>
      </c>
      <c r="E527" t="s">
        <v>2686</v>
      </c>
    </row>
    <row r="528" spans="1:5" x14ac:dyDescent="0.3">
      <c r="A528" t="s">
        <v>312</v>
      </c>
      <c r="B528">
        <v>356850.7890625</v>
      </c>
      <c r="C528">
        <v>6665796.36328125</v>
      </c>
      <c r="D528">
        <v>17.4755840301513</v>
      </c>
      <c r="E528" t="s">
        <v>2685</v>
      </c>
    </row>
    <row r="529" spans="1:5" x14ac:dyDescent="0.3">
      <c r="A529" t="s">
        <v>311</v>
      </c>
      <c r="B529">
        <v>363405.9453125</v>
      </c>
      <c r="C529">
        <v>6671349.70703125</v>
      </c>
      <c r="D529">
        <v>8.6921100616455007</v>
      </c>
      <c r="E529" t="s">
        <v>2685</v>
      </c>
    </row>
    <row r="530" spans="1:5" x14ac:dyDescent="0.3">
      <c r="A530" t="s">
        <v>1971</v>
      </c>
      <c r="B530">
        <v>363261.77734375</v>
      </c>
      <c r="C530">
        <v>6671339.21484375</v>
      </c>
      <c r="D530">
        <v>11.614797592163001</v>
      </c>
      <c r="E530" t="s">
        <v>2686</v>
      </c>
    </row>
    <row r="531" spans="1:5" x14ac:dyDescent="0.3">
      <c r="A531" t="s">
        <v>310</v>
      </c>
      <c r="B531">
        <v>357764.95703125</v>
      </c>
      <c r="C531">
        <v>6666432.5</v>
      </c>
      <c r="D531">
        <v>29.329666137695298</v>
      </c>
      <c r="E531" t="s">
        <v>2685</v>
      </c>
    </row>
    <row r="532" spans="1:5" x14ac:dyDescent="0.3">
      <c r="A532" t="s">
        <v>309</v>
      </c>
      <c r="B532">
        <v>357051.640625</v>
      </c>
      <c r="C532">
        <v>6666040.45703125</v>
      </c>
      <c r="D532">
        <v>30.688297271728501</v>
      </c>
      <c r="E532" t="s">
        <v>2685</v>
      </c>
    </row>
    <row r="533" spans="1:5" x14ac:dyDescent="0.3">
      <c r="A533" t="s">
        <v>2211</v>
      </c>
      <c r="B533">
        <v>357057.0625</v>
      </c>
      <c r="C533">
        <v>6666039.3203125</v>
      </c>
      <c r="D533">
        <v>31.4647006988525</v>
      </c>
      <c r="E533" t="s">
        <v>2686</v>
      </c>
    </row>
    <row r="534" spans="1:5" x14ac:dyDescent="0.3">
      <c r="A534" t="s">
        <v>308</v>
      </c>
      <c r="B534">
        <v>356873.125</v>
      </c>
      <c r="C534">
        <v>6665870.9453125</v>
      </c>
      <c r="D534">
        <v>21.846055984496999</v>
      </c>
      <c r="E534" t="s">
        <v>2685</v>
      </c>
    </row>
    <row r="535" spans="1:5" x14ac:dyDescent="0.3">
      <c r="A535" t="s">
        <v>2236</v>
      </c>
      <c r="B535">
        <v>358973.625</v>
      </c>
      <c r="C535">
        <v>6667794.40234375</v>
      </c>
      <c r="D535">
        <v>24.0519714355468</v>
      </c>
      <c r="E535" t="s">
        <v>2686</v>
      </c>
    </row>
    <row r="536" spans="1:5" x14ac:dyDescent="0.3">
      <c r="A536" t="s">
        <v>2213</v>
      </c>
      <c r="B536">
        <v>356981.43359375</v>
      </c>
      <c r="C536">
        <v>6665988.16796875</v>
      </c>
      <c r="D536">
        <v>24.3110027313232</v>
      </c>
      <c r="E536" t="s">
        <v>2686</v>
      </c>
    </row>
    <row r="537" spans="1:5" x14ac:dyDescent="0.3">
      <c r="A537" t="s">
        <v>2214</v>
      </c>
      <c r="B537">
        <v>356986.19140625</v>
      </c>
      <c r="C537">
        <v>6665989.54296875</v>
      </c>
      <c r="D537">
        <v>24.445213317871001</v>
      </c>
      <c r="E537" t="s">
        <v>2686</v>
      </c>
    </row>
    <row r="538" spans="1:5" x14ac:dyDescent="0.3">
      <c r="A538" t="s">
        <v>2222</v>
      </c>
      <c r="B538">
        <v>357401.234375</v>
      </c>
      <c r="C538">
        <v>6669324.51953125</v>
      </c>
      <c r="D538">
        <v>26.281629562377901</v>
      </c>
      <c r="E538" t="s">
        <v>2686</v>
      </c>
    </row>
    <row r="539" spans="1:5" x14ac:dyDescent="0.3">
      <c r="A539" t="s">
        <v>2225</v>
      </c>
      <c r="B539">
        <v>356996.9921875</v>
      </c>
      <c r="C539">
        <v>6669183.0390625</v>
      </c>
      <c r="D539">
        <v>33.533348083496001</v>
      </c>
      <c r="E539" t="s">
        <v>2686</v>
      </c>
    </row>
    <row r="540" spans="1:5" x14ac:dyDescent="0.3">
      <c r="A540" t="s">
        <v>307</v>
      </c>
      <c r="B540">
        <v>357037.02734375</v>
      </c>
      <c r="C540">
        <v>6669460.32421875</v>
      </c>
      <c r="D540">
        <v>52.2443237304687</v>
      </c>
      <c r="E540" t="s">
        <v>2685</v>
      </c>
    </row>
    <row r="541" spans="1:5" x14ac:dyDescent="0.3">
      <c r="A541" t="s">
        <v>2220</v>
      </c>
      <c r="B541">
        <v>357035.7421875</v>
      </c>
      <c r="C541">
        <v>6669445.41015625</v>
      </c>
      <c r="D541">
        <v>53.338420867919901</v>
      </c>
      <c r="E541" t="s">
        <v>2686</v>
      </c>
    </row>
    <row r="542" spans="1:5" x14ac:dyDescent="0.3">
      <c r="A542" t="s">
        <v>306</v>
      </c>
      <c r="B542">
        <v>357062.0390625</v>
      </c>
      <c r="C542">
        <v>6665927.6953125</v>
      </c>
      <c r="D542">
        <v>32.800563812255803</v>
      </c>
      <c r="E542" t="s">
        <v>2685</v>
      </c>
    </row>
    <row r="543" spans="1:5" x14ac:dyDescent="0.3">
      <c r="A543" t="s">
        <v>2221</v>
      </c>
      <c r="B543">
        <v>357039.05078125</v>
      </c>
      <c r="C543">
        <v>6665934.66015625</v>
      </c>
      <c r="D543">
        <v>29.8807678222656</v>
      </c>
      <c r="E543" t="s">
        <v>2686</v>
      </c>
    </row>
    <row r="544" spans="1:5" x14ac:dyDescent="0.3">
      <c r="A544" t="s">
        <v>2210</v>
      </c>
      <c r="B544">
        <v>357764.796875</v>
      </c>
      <c r="C544">
        <v>6666340.29296875</v>
      </c>
      <c r="D544">
        <v>32.039943695068303</v>
      </c>
      <c r="E544" t="s">
        <v>2686</v>
      </c>
    </row>
    <row r="545" spans="1:5" x14ac:dyDescent="0.3">
      <c r="A545" t="s">
        <v>305</v>
      </c>
      <c r="B545">
        <v>360263.1171875</v>
      </c>
      <c r="C545">
        <v>6668583.91015625</v>
      </c>
      <c r="D545">
        <v>20.5419311523437</v>
      </c>
      <c r="E545" t="s">
        <v>2685</v>
      </c>
    </row>
    <row r="546" spans="1:5" x14ac:dyDescent="0.3">
      <c r="A546" t="s">
        <v>304</v>
      </c>
      <c r="B546">
        <v>357445.04296875</v>
      </c>
      <c r="C546">
        <v>6669319</v>
      </c>
      <c r="D546">
        <v>23.4803161621093</v>
      </c>
      <c r="E546" t="s">
        <v>2685</v>
      </c>
    </row>
    <row r="547" spans="1:5" x14ac:dyDescent="0.3">
      <c r="A547" t="s">
        <v>2240</v>
      </c>
      <c r="B547">
        <v>356955.4453125</v>
      </c>
      <c r="C547">
        <v>6665827.27734375</v>
      </c>
      <c r="D547">
        <v>27.0757846832275</v>
      </c>
      <c r="E547" t="s">
        <v>2686</v>
      </c>
    </row>
    <row r="548" spans="1:5" x14ac:dyDescent="0.3">
      <c r="A548" t="s">
        <v>2271</v>
      </c>
      <c r="B548">
        <v>362814.45703125</v>
      </c>
      <c r="C548">
        <v>6672930.3828125</v>
      </c>
      <c r="D548">
        <v>18.752336502075099</v>
      </c>
      <c r="E548" t="s">
        <v>2686</v>
      </c>
    </row>
    <row r="549" spans="1:5" x14ac:dyDescent="0.3">
      <c r="A549" t="s">
        <v>2235</v>
      </c>
      <c r="B549">
        <v>357048.97265625</v>
      </c>
      <c r="C549">
        <v>6665974.65625</v>
      </c>
      <c r="D549">
        <v>28.686914443969702</v>
      </c>
      <c r="E549" t="s">
        <v>2686</v>
      </c>
    </row>
    <row r="550" spans="1:5" x14ac:dyDescent="0.3">
      <c r="A550" t="s">
        <v>2223</v>
      </c>
      <c r="B550">
        <v>357049.2109375</v>
      </c>
      <c r="C550">
        <v>6666003.62109375</v>
      </c>
      <c r="D550">
        <v>29.1061191558837</v>
      </c>
      <c r="E550" t="s">
        <v>2686</v>
      </c>
    </row>
    <row r="551" spans="1:5" x14ac:dyDescent="0.3">
      <c r="A551" t="s">
        <v>2215</v>
      </c>
      <c r="B551">
        <v>356868.03125</v>
      </c>
      <c r="C551">
        <v>6665798.95703125</v>
      </c>
      <c r="D551">
        <v>19.5573196411132</v>
      </c>
      <c r="E551" t="s">
        <v>2686</v>
      </c>
    </row>
    <row r="552" spans="1:5" x14ac:dyDescent="0.3">
      <c r="A552" t="s">
        <v>303</v>
      </c>
      <c r="B552">
        <v>356879.515625</v>
      </c>
      <c r="C552">
        <v>6665741.5390625</v>
      </c>
      <c r="D552">
        <v>21.188707351684499</v>
      </c>
      <c r="E552" t="s">
        <v>2685</v>
      </c>
    </row>
    <row r="553" spans="1:5" x14ac:dyDescent="0.3">
      <c r="A553" t="s">
        <v>2224</v>
      </c>
      <c r="B553">
        <v>356885.0625</v>
      </c>
      <c r="C553">
        <v>6665738.7421875</v>
      </c>
      <c r="D553">
        <v>22.0432739257812</v>
      </c>
      <c r="E553" t="s">
        <v>2686</v>
      </c>
    </row>
    <row r="554" spans="1:5" x14ac:dyDescent="0.3">
      <c r="A554" t="s">
        <v>2233</v>
      </c>
      <c r="B554">
        <v>357805.89453125</v>
      </c>
      <c r="C554">
        <v>6666185.8359375</v>
      </c>
      <c r="D554">
        <v>23.034723281860298</v>
      </c>
      <c r="E554" t="s">
        <v>2686</v>
      </c>
    </row>
    <row r="555" spans="1:5" x14ac:dyDescent="0.3">
      <c r="A555" t="s">
        <v>302</v>
      </c>
      <c r="B555">
        <v>357000.671875</v>
      </c>
      <c r="C555">
        <v>6669178.09375</v>
      </c>
      <c r="D555">
        <v>32.9517822265625</v>
      </c>
      <c r="E555" t="s">
        <v>2685</v>
      </c>
    </row>
    <row r="556" spans="1:5" x14ac:dyDescent="0.3">
      <c r="A556" t="s">
        <v>2150</v>
      </c>
      <c r="B556">
        <v>357088.47265625</v>
      </c>
      <c r="C556">
        <v>6669346.171875</v>
      </c>
      <c r="D556">
        <v>38.190364837646399</v>
      </c>
      <c r="E556" t="s">
        <v>2686</v>
      </c>
    </row>
    <row r="557" spans="1:5" x14ac:dyDescent="0.3">
      <c r="A557" t="s">
        <v>2459</v>
      </c>
      <c r="B557">
        <v>356759.375</v>
      </c>
      <c r="C557">
        <v>6668033.90234375</v>
      </c>
      <c r="D557">
        <v>18.6761169433593</v>
      </c>
      <c r="E557" t="s">
        <v>2686</v>
      </c>
    </row>
    <row r="558" spans="1:5" x14ac:dyDescent="0.3">
      <c r="A558" t="s">
        <v>2229</v>
      </c>
      <c r="B558">
        <v>356867.546875</v>
      </c>
      <c r="C558">
        <v>6665800.23828125</v>
      </c>
      <c r="D558">
        <v>19.544603347778299</v>
      </c>
      <c r="E558" t="s">
        <v>2686</v>
      </c>
    </row>
    <row r="559" spans="1:5" x14ac:dyDescent="0.3">
      <c r="A559" t="s">
        <v>301</v>
      </c>
      <c r="B559">
        <v>356973.953125</v>
      </c>
      <c r="C559">
        <v>6665970.640625</v>
      </c>
      <c r="D559">
        <v>27.631206512451101</v>
      </c>
      <c r="E559" t="s">
        <v>2685</v>
      </c>
    </row>
    <row r="560" spans="1:5" x14ac:dyDescent="0.3">
      <c r="A560" t="s">
        <v>300</v>
      </c>
      <c r="B560">
        <v>357037.078125</v>
      </c>
      <c r="C560">
        <v>6666005.70703125</v>
      </c>
      <c r="D560">
        <v>27.976690292358398</v>
      </c>
      <c r="E560" t="s">
        <v>2685</v>
      </c>
    </row>
    <row r="561" spans="1:5" x14ac:dyDescent="0.3">
      <c r="A561" t="s">
        <v>2227</v>
      </c>
      <c r="B561">
        <v>356895.875</v>
      </c>
      <c r="C561">
        <v>6665753.3515625</v>
      </c>
      <c r="D561">
        <v>21.4969577789306</v>
      </c>
      <c r="E561" t="s">
        <v>2686</v>
      </c>
    </row>
    <row r="562" spans="1:5" x14ac:dyDescent="0.3">
      <c r="A562" t="s">
        <v>2265</v>
      </c>
      <c r="B562">
        <v>356850.4453125</v>
      </c>
      <c r="C562">
        <v>6665832.74609375</v>
      </c>
      <c r="D562">
        <v>19.373119354248001</v>
      </c>
      <c r="E562" t="s">
        <v>2686</v>
      </c>
    </row>
    <row r="563" spans="1:5" x14ac:dyDescent="0.3">
      <c r="A563" t="s">
        <v>2228</v>
      </c>
      <c r="B563">
        <v>356863.46875</v>
      </c>
      <c r="C563">
        <v>6665809.51953125</v>
      </c>
      <c r="D563">
        <v>19.433809280395501</v>
      </c>
      <c r="E563" t="s">
        <v>2686</v>
      </c>
    </row>
    <row r="564" spans="1:5" x14ac:dyDescent="0.3">
      <c r="A564" t="s">
        <v>299</v>
      </c>
      <c r="B564">
        <v>357112.4609375</v>
      </c>
      <c r="C564">
        <v>6669344.078125</v>
      </c>
      <c r="D564">
        <v>36.023838043212798</v>
      </c>
      <c r="E564" t="s">
        <v>2685</v>
      </c>
    </row>
    <row r="565" spans="1:5" x14ac:dyDescent="0.3">
      <c r="A565" t="s">
        <v>2230</v>
      </c>
      <c r="B565">
        <v>356975.49609375</v>
      </c>
      <c r="C565">
        <v>6665986.87109375</v>
      </c>
      <c r="D565">
        <v>24.376029968261701</v>
      </c>
      <c r="E565" t="s">
        <v>2686</v>
      </c>
    </row>
    <row r="566" spans="1:5" x14ac:dyDescent="0.3">
      <c r="A566" t="s">
        <v>2231</v>
      </c>
      <c r="B566">
        <v>357016.08984375</v>
      </c>
      <c r="C566">
        <v>6665888.27734375</v>
      </c>
      <c r="D566">
        <v>30.140401840209901</v>
      </c>
      <c r="E566" t="s">
        <v>2686</v>
      </c>
    </row>
    <row r="567" spans="1:5" x14ac:dyDescent="0.3">
      <c r="A567" t="s">
        <v>298</v>
      </c>
      <c r="B567">
        <v>361828.796875</v>
      </c>
      <c r="C567">
        <v>6669118.89453125</v>
      </c>
      <c r="D567">
        <v>7.0123267173767001</v>
      </c>
      <c r="E567" t="s">
        <v>2685</v>
      </c>
    </row>
    <row r="568" spans="1:5" x14ac:dyDescent="0.3">
      <c r="A568" t="s">
        <v>297</v>
      </c>
      <c r="B568">
        <v>356877.3203125</v>
      </c>
      <c r="C568">
        <v>6665820.85546875</v>
      </c>
      <c r="D568">
        <v>20.874992370605401</v>
      </c>
      <c r="E568" t="s">
        <v>2685</v>
      </c>
    </row>
    <row r="569" spans="1:5" x14ac:dyDescent="0.3">
      <c r="A569" t="s">
        <v>2237</v>
      </c>
      <c r="B569">
        <v>358010.6640625</v>
      </c>
      <c r="C569">
        <v>6666191.41796875</v>
      </c>
      <c r="D569">
        <v>11.2074747085571</v>
      </c>
      <c r="E569" t="s">
        <v>2686</v>
      </c>
    </row>
    <row r="570" spans="1:5" x14ac:dyDescent="0.3">
      <c r="A570" t="s">
        <v>2279</v>
      </c>
      <c r="B570">
        <v>357037.1796875</v>
      </c>
      <c r="C570">
        <v>6668281.63671875</v>
      </c>
      <c r="D570">
        <v>23.1104221343994</v>
      </c>
      <c r="E570" t="s">
        <v>2686</v>
      </c>
    </row>
    <row r="571" spans="1:5" x14ac:dyDescent="0.3">
      <c r="A571" t="s">
        <v>2351</v>
      </c>
      <c r="B571">
        <v>357030.96484375</v>
      </c>
      <c r="C571">
        <v>6668278.703125</v>
      </c>
      <c r="D571">
        <v>23.894821166992099</v>
      </c>
      <c r="E571" t="s">
        <v>2686</v>
      </c>
    </row>
    <row r="572" spans="1:5" x14ac:dyDescent="0.3">
      <c r="A572" t="s">
        <v>296</v>
      </c>
      <c r="B572">
        <v>357046.94921875</v>
      </c>
      <c r="C572">
        <v>6665887.46875</v>
      </c>
      <c r="D572">
        <v>34.019233703613203</v>
      </c>
      <c r="E572" t="s">
        <v>2685</v>
      </c>
    </row>
    <row r="573" spans="1:5" x14ac:dyDescent="0.3">
      <c r="A573" t="s">
        <v>295</v>
      </c>
      <c r="B573">
        <v>357066.35546875</v>
      </c>
      <c r="C573">
        <v>6665976.0390625</v>
      </c>
      <c r="D573">
        <v>30.398155212402301</v>
      </c>
      <c r="E573" t="s">
        <v>2685</v>
      </c>
    </row>
    <row r="574" spans="1:5" x14ac:dyDescent="0.3">
      <c r="A574" t="s">
        <v>294</v>
      </c>
      <c r="B574">
        <v>356839.03125</v>
      </c>
      <c r="C574">
        <v>6665821.0859375</v>
      </c>
      <c r="D574">
        <v>17.2616252899169</v>
      </c>
      <c r="E574" t="s">
        <v>2685</v>
      </c>
    </row>
    <row r="575" spans="1:5" x14ac:dyDescent="0.3">
      <c r="A575" t="s">
        <v>2270</v>
      </c>
      <c r="B575">
        <v>358918.6875</v>
      </c>
      <c r="C575">
        <v>6667772.0625</v>
      </c>
      <c r="D575">
        <v>19.9808330535888</v>
      </c>
      <c r="E575" t="s">
        <v>2686</v>
      </c>
    </row>
    <row r="576" spans="1:5" x14ac:dyDescent="0.3">
      <c r="A576" t="s">
        <v>293</v>
      </c>
      <c r="B576">
        <v>356880.5546875</v>
      </c>
      <c r="C576">
        <v>6665808.1328125</v>
      </c>
      <c r="D576">
        <v>20.8171291351318</v>
      </c>
      <c r="E576" t="s">
        <v>2685</v>
      </c>
    </row>
    <row r="577" spans="1:5" x14ac:dyDescent="0.3">
      <c r="A577" t="s">
        <v>292</v>
      </c>
      <c r="B577">
        <v>358900.75</v>
      </c>
      <c r="C577">
        <v>6667799.82421875</v>
      </c>
      <c r="D577">
        <v>22.014219284057599</v>
      </c>
      <c r="E577" t="s">
        <v>2685</v>
      </c>
    </row>
    <row r="578" spans="1:5" x14ac:dyDescent="0.3">
      <c r="A578" t="s">
        <v>2201</v>
      </c>
      <c r="B578">
        <v>363490.80859375</v>
      </c>
      <c r="C578">
        <v>6672329.7265625</v>
      </c>
      <c r="D578">
        <v>14.7197313308715</v>
      </c>
      <c r="E578" t="s">
        <v>2686</v>
      </c>
    </row>
    <row r="579" spans="1:5" x14ac:dyDescent="0.3">
      <c r="A579" t="s">
        <v>291</v>
      </c>
      <c r="B579">
        <v>356833.76171875</v>
      </c>
      <c r="C579">
        <v>6665866.65625</v>
      </c>
      <c r="D579">
        <v>18.370153427123999</v>
      </c>
      <c r="E579" t="s">
        <v>2685</v>
      </c>
    </row>
    <row r="580" spans="1:5" x14ac:dyDescent="0.3">
      <c r="A580" t="s">
        <v>290</v>
      </c>
      <c r="B580">
        <v>356995.87890625</v>
      </c>
      <c r="C580">
        <v>6667376.03125</v>
      </c>
      <c r="D580">
        <v>9.8397140502929599</v>
      </c>
      <c r="E580" t="s">
        <v>2685</v>
      </c>
    </row>
    <row r="581" spans="1:5" x14ac:dyDescent="0.3">
      <c r="A581" t="s">
        <v>2241</v>
      </c>
      <c r="B581">
        <v>356987.51171875</v>
      </c>
      <c r="C581">
        <v>6667374.5390625</v>
      </c>
      <c r="D581">
        <v>10.3957252502441</v>
      </c>
      <c r="E581" t="s">
        <v>2686</v>
      </c>
    </row>
    <row r="582" spans="1:5" x14ac:dyDescent="0.3">
      <c r="A582" t="s">
        <v>289</v>
      </c>
      <c r="B582">
        <v>357068.01171875</v>
      </c>
      <c r="C582">
        <v>6669291.0625</v>
      </c>
      <c r="D582">
        <v>41.724491119384702</v>
      </c>
      <c r="E582" t="s">
        <v>2685</v>
      </c>
    </row>
    <row r="583" spans="1:5" x14ac:dyDescent="0.3">
      <c r="A583" t="s">
        <v>2239</v>
      </c>
      <c r="B583">
        <v>356934.95703125</v>
      </c>
      <c r="C583">
        <v>6665812.5</v>
      </c>
      <c r="D583">
        <v>25.495986938476499</v>
      </c>
      <c r="E583" t="s">
        <v>2686</v>
      </c>
    </row>
    <row r="584" spans="1:5" x14ac:dyDescent="0.3">
      <c r="A584" t="s">
        <v>2242</v>
      </c>
      <c r="B584">
        <v>357832.05078125</v>
      </c>
      <c r="C584">
        <v>6666301.21875</v>
      </c>
      <c r="D584">
        <v>26.983728408813398</v>
      </c>
      <c r="E584" t="s">
        <v>2686</v>
      </c>
    </row>
    <row r="585" spans="1:5" x14ac:dyDescent="0.3">
      <c r="A585" t="s">
        <v>2234</v>
      </c>
      <c r="B585">
        <v>357021.58984375</v>
      </c>
      <c r="C585">
        <v>6665898.04296875</v>
      </c>
      <c r="D585">
        <v>30.088176727294901</v>
      </c>
      <c r="E585" t="s">
        <v>2686</v>
      </c>
    </row>
    <row r="586" spans="1:5" x14ac:dyDescent="0.3">
      <c r="A586" t="s">
        <v>2257</v>
      </c>
      <c r="B586">
        <v>357010.26953125</v>
      </c>
      <c r="C586">
        <v>6667286.6875</v>
      </c>
      <c r="D586">
        <v>11.671664237976</v>
      </c>
      <c r="E586" t="s">
        <v>2686</v>
      </c>
    </row>
    <row r="587" spans="1:5" x14ac:dyDescent="0.3">
      <c r="A587" t="s">
        <v>288</v>
      </c>
      <c r="B587">
        <v>356904.66015625</v>
      </c>
      <c r="C587">
        <v>6665849.3984375</v>
      </c>
      <c r="D587">
        <v>23.799413681030199</v>
      </c>
      <c r="E587" t="s">
        <v>2685</v>
      </c>
    </row>
    <row r="588" spans="1:5" x14ac:dyDescent="0.3">
      <c r="A588" t="s">
        <v>287</v>
      </c>
      <c r="B588">
        <v>357639.046875</v>
      </c>
      <c r="C588">
        <v>6666434.6328125</v>
      </c>
      <c r="D588">
        <v>39.462696075439403</v>
      </c>
      <c r="E588" t="s">
        <v>2685</v>
      </c>
    </row>
    <row r="589" spans="1:5" x14ac:dyDescent="0.3">
      <c r="A589" t="s">
        <v>2244</v>
      </c>
      <c r="B589">
        <v>357055.3203125</v>
      </c>
      <c r="C589">
        <v>6667304.515625</v>
      </c>
      <c r="D589">
        <v>10.6943016052246</v>
      </c>
      <c r="E589" t="s">
        <v>2686</v>
      </c>
    </row>
    <row r="590" spans="1:5" x14ac:dyDescent="0.3">
      <c r="A590" t="s">
        <v>286</v>
      </c>
      <c r="B590">
        <v>356996.65234375</v>
      </c>
      <c r="C590">
        <v>6665984.05859375</v>
      </c>
      <c r="D590">
        <v>26.1177864074707</v>
      </c>
      <c r="E590" t="s">
        <v>2685</v>
      </c>
    </row>
    <row r="591" spans="1:5" x14ac:dyDescent="0.3">
      <c r="A591" t="s">
        <v>2245</v>
      </c>
      <c r="B591">
        <v>358790.9609375</v>
      </c>
      <c r="C591">
        <v>6667820.828125</v>
      </c>
      <c r="D591">
        <v>33.693279266357401</v>
      </c>
      <c r="E591" t="s">
        <v>2686</v>
      </c>
    </row>
    <row r="592" spans="1:5" x14ac:dyDescent="0.3">
      <c r="A592" t="s">
        <v>2246</v>
      </c>
      <c r="B592">
        <v>358791.59375</v>
      </c>
      <c r="C592">
        <v>6667819.578125</v>
      </c>
      <c r="D592">
        <v>33.580692291259702</v>
      </c>
      <c r="E592" t="s">
        <v>2686</v>
      </c>
    </row>
    <row r="593" spans="1:5" x14ac:dyDescent="0.3">
      <c r="A593" t="s">
        <v>2247</v>
      </c>
      <c r="B593">
        <v>358798.26171875</v>
      </c>
      <c r="C593">
        <v>6667789.61328125</v>
      </c>
      <c r="D593">
        <v>30.735818862915</v>
      </c>
      <c r="E593" t="s">
        <v>2686</v>
      </c>
    </row>
    <row r="594" spans="1:5" x14ac:dyDescent="0.3">
      <c r="A594" t="s">
        <v>2248</v>
      </c>
      <c r="B594">
        <v>357098.34765625</v>
      </c>
      <c r="C594">
        <v>6667301.75390625</v>
      </c>
      <c r="D594">
        <v>10.8968353271484</v>
      </c>
      <c r="E594" t="s">
        <v>2686</v>
      </c>
    </row>
    <row r="595" spans="1:5" x14ac:dyDescent="0.3">
      <c r="A595" t="s">
        <v>285</v>
      </c>
      <c r="B595">
        <v>357037.15625</v>
      </c>
      <c r="C595">
        <v>6668302.5546875</v>
      </c>
      <c r="D595">
        <v>21.879102706909102</v>
      </c>
      <c r="E595" t="s">
        <v>2685</v>
      </c>
    </row>
    <row r="596" spans="1:5" x14ac:dyDescent="0.3">
      <c r="A596" t="s">
        <v>284</v>
      </c>
      <c r="B596">
        <v>357038.06640625</v>
      </c>
      <c r="C596">
        <v>6665868.87109375</v>
      </c>
      <c r="D596">
        <v>34.070560455322202</v>
      </c>
      <c r="E596" t="s">
        <v>2685</v>
      </c>
    </row>
    <row r="597" spans="1:5" x14ac:dyDescent="0.3">
      <c r="A597" t="s">
        <v>283</v>
      </c>
      <c r="B597">
        <v>357007.54296875</v>
      </c>
      <c r="C597">
        <v>6666029.6328125</v>
      </c>
      <c r="D597">
        <v>24.0304565429687</v>
      </c>
      <c r="E597" t="s">
        <v>2685</v>
      </c>
    </row>
    <row r="598" spans="1:5" x14ac:dyDescent="0.3">
      <c r="A598" t="s">
        <v>2216</v>
      </c>
      <c r="B598">
        <v>357020.91796875</v>
      </c>
      <c r="C598">
        <v>6666015.8203125</v>
      </c>
      <c r="D598">
        <v>26.565046310424801</v>
      </c>
      <c r="E598" t="s">
        <v>2686</v>
      </c>
    </row>
    <row r="599" spans="1:5" x14ac:dyDescent="0.3">
      <c r="A599" t="s">
        <v>282</v>
      </c>
      <c r="B599">
        <v>358046.73828125</v>
      </c>
      <c r="C599">
        <v>6666165.93359375</v>
      </c>
      <c r="D599">
        <v>6.4629311561584402</v>
      </c>
      <c r="E599" t="s">
        <v>2685</v>
      </c>
    </row>
    <row r="600" spans="1:5" x14ac:dyDescent="0.3">
      <c r="A600" t="s">
        <v>2266</v>
      </c>
      <c r="B600">
        <v>358074.5859375</v>
      </c>
      <c r="C600">
        <v>6666235.69921875</v>
      </c>
      <c r="D600">
        <v>11.174874305725</v>
      </c>
      <c r="E600" t="s">
        <v>2686</v>
      </c>
    </row>
    <row r="601" spans="1:5" x14ac:dyDescent="0.3">
      <c r="A601" t="s">
        <v>281</v>
      </c>
      <c r="B601">
        <v>358988.5859375</v>
      </c>
      <c r="C601">
        <v>6667769.0703125</v>
      </c>
      <c r="D601">
        <v>26.2384719848632</v>
      </c>
      <c r="E601" t="s">
        <v>2685</v>
      </c>
    </row>
    <row r="602" spans="1:5" x14ac:dyDescent="0.3">
      <c r="A602" t="s">
        <v>280</v>
      </c>
      <c r="B602">
        <v>357112.3515625</v>
      </c>
      <c r="C602">
        <v>6669205.46875</v>
      </c>
      <c r="D602">
        <v>34.319248199462798</v>
      </c>
      <c r="E602" t="s">
        <v>2685</v>
      </c>
    </row>
    <row r="603" spans="1:5" x14ac:dyDescent="0.3">
      <c r="A603" t="s">
        <v>2243</v>
      </c>
      <c r="B603">
        <v>357632.6484375</v>
      </c>
      <c r="C603">
        <v>6666397.1796875</v>
      </c>
      <c r="D603">
        <v>38.516605377197202</v>
      </c>
      <c r="E603" t="s">
        <v>2686</v>
      </c>
    </row>
    <row r="604" spans="1:5" x14ac:dyDescent="0.3">
      <c r="A604" t="s">
        <v>2251</v>
      </c>
      <c r="B604">
        <v>358790.8046875</v>
      </c>
      <c r="C604">
        <v>6667780.625</v>
      </c>
      <c r="D604">
        <v>30.4452190399169</v>
      </c>
      <c r="E604" t="s">
        <v>2686</v>
      </c>
    </row>
    <row r="605" spans="1:5" x14ac:dyDescent="0.3">
      <c r="A605" t="s">
        <v>2212</v>
      </c>
      <c r="B605">
        <v>359182.2109375</v>
      </c>
      <c r="C605">
        <v>6667795.16796875</v>
      </c>
      <c r="D605">
        <v>36.379241943359297</v>
      </c>
      <c r="E605" t="s">
        <v>2686</v>
      </c>
    </row>
    <row r="606" spans="1:5" x14ac:dyDescent="0.3">
      <c r="A606" t="s">
        <v>2158</v>
      </c>
      <c r="B606">
        <v>357296.1640625</v>
      </c>
      <c r="C606">
        <v>6669138.12109375</v>
      </c>
      <c r="D606">
        <v>20.260881423950099</v>
      </c>
      <c r="E606" t="s">
        <v>2686</v>
      </c>
    </row>
    <row r="607" spans="1:5" x14ac:dyDescent="0.3">
      <c r="A607" t="s">
        <v>2253</v>
      </c>
      <c r="B607">
        <v>363114.859375</v>
      </c>
      <c r="C607">
        <v>6671755.11328125</v>
      </c>
      <c r="D607">
        <v>18.096435546875</v>
      </c>
      <c r="E607" t="s">
        <v>2686</v>
      </c>
    </row>
    <row r="608" spans="1:5" x14ac:dyDescent="0.3">
      <c r="A608" t="s">
        <v>279</v>
      </c>
      <c r="B608">
        <v>363114.875</v>
      </c>
      <c r="C608">
        <v>6671755.4921875</v>
      </c>
      <c r="D608">
        <v>18.091325759887599</v>
      </c>
      <c r="E608" t="s">
        <v>2685</v>
      </c>
    </row>
    <row r="609" spans="1:5" x14ac:dyDescent="0.3">
      <c r="A609" t="s">
        <v>278</v>
      </c>
      <c r="B609">
        <v>363114.83984375</v>
      </c>
      <c r="C609">
        <v>6671754.75</v>
      </c>
      <c r="D609">
        <v>18.101499557495099</v>
      </c>
      <c r="E609" t="s">
        <v>2685</v>
      </c>
    </row>
    <row r="610" spans="1:5" x14ac:dyDescent="0.3">
      <c r="A610" t="s">
        <v>277</v>
      </c>
      <c r="B610">
        <v>358114.01953125</v>
      </c>
      <c r="C610">
        <v>6666201.9140625</v>
      </c>
      <c r="D610">
        <v>7.0118064880370996</v>
      </c>
      <c r="E610" t="s">
        <v>2685</v>
      </c>
    </row>
    <row r="611" spans="1:5" x14ac:dyDescent="0.3">
      <c r="A611" t="s">
        <v>2254</v>
      </c>
      <c r="B611">
        <v>359531.296875</v>
      </c>
      <c r="C611">
        <v>6667643.46484375</v>
      </c>
      <c r="D611">
        <v>15.1687564849853</v>
      </c>
      <c r="E611" t="s">
        <v>2686</v>
      </c>
    </row>
    <row r="612" spans="1:5" x14ac:dyDescent="0.3">
      <c r="A612" t="s">
        <v>2255</v>
      </c>
      <c r="B612">
        <v>359487.25</v>
      </c>
      <c r="C612">
        <v>6667644.0546875</v>
      </c>
      <c r="D612">
        <v>15.285983085632299</v>
      </c>
      <c r="E612" t="s">
        <v>2686</v>
      </c>
    </row>
    <row r="613" spans="1:5" x14ac:dyDescent="0.3">
      <c r="A613" t="s">
        <v>276</v>
      </c>
      <c r="B613">
        <v>358802.265625</v>
      </c>
      <c r="C613">
        <v>6667789.9140625</v>
      </c>
      <c r="D613">
        <v>30.7120647430419</v>
      </c>
      <c r="E613" t="s">
        <v>2685</v>
      </c>
    </row>
    <row r="614" spans="1:5" x14ac:dyDescent="0.3">
      <c r="A614" t="s">
        <v>275</v>
      </c>
      <c r="B614">
        <v>358804.640625</v>
      </c>
      <c r="C614">
        <v>6667821.01171875</v>
      </c>
      <c r="D614">
        <v>34.579353332519503</v>
      </c>
      <c r="E614" t="s">
        <v>2685</v>
      </c>
    </row>
    <row r="615" spans="1:5" x14ac:dyDescent="0.3">
      <c r="A615" t="s">
        <v>274</v>
      </c>
      <c r="B615">
        <v>358781.75</v>
      </c>
      <c r="C615">
        <v>6667822.53125</v>
      </c>
      <c r="D615">
        <v>32.988685607910099</v>
      </c>
      <c r="E615" t="s">
        <v>2685</v>
      </c>
    </row>
    <row r="616" spans="1:5" x14ac:dyDescent="0.3">
      <c r="A616" t="s">
        <v>2283</v>
      </c>
      <c r="B616">
        <v>359459.0546875</v>
      </c>
      <c r="C616">
        <v>6667392.4921875</v>
      </c>
      <c r="D616">
        <v>13.5446348190307</v>
      </c>
      <c r="E616" t="s">
        <v>2686</v>
      </c>
    </row>
    <row r="617" spans="1:5" x14ac:dyDescent="0.3">
      <c r="A617" t="s">
        <v>273</v>
      </c>
      <c r="B617">
        <v>356968.99609375</v>
      </c>
      <c r="C617">
        <v>6666004.38671875</v>
      </c>
      <c r="D617">
        <v>21.5747261047363</v>
      </c>
      <c r="E617" t="s">
        <v>2685</v>
      </c>
    </row>
    <row r="618" spans="1:5" x14ac:dyDescent="0.3">
      <c r="A618" t="s">
        <v>2666</v>
      </c>
      <c r="B618">
        <v>358078.4453125</v>
      </c>
      <c r="C618">
        <v>6666225.82421875</v>
      </c>
      <c r="D618">
        <v>9.5347118377685494</v>
      </c>
      <c r="E618" t="s">
        <v>2686</v>
      </c>
    </row>
    <row r="619" spans="1:5" x14ac:dyDescent="0.3">
      <c r="A619" t="s">
        <v>272</v>
      </c>
      <c r="B619">
        <v>359193.77734375</v>
      </c>
      <c r="C619">
        <v>6667810.921875</v>
      </c>
      <c r="D619">
        <v>37.236167907714801</v>
      </c>
      <c r="E619" t="s">
        <v>2685</v>
      </c>
    </row>
    <row r="620" spans="1:5" x14ac:dyDescent="0.3">
      <c r="A620" t="s">
        <v>271</v>
      </c>
      <c r="B620">
        <v>359584.296875</v>
      </c>
      <c r="C620">
        <v>6667693.9375</v>
      </c>
      <c r="D620">
        <v>16.3594455718994</v>
      </c>
      <c r="E620" t="s">
        <v>2685</v>
      </c>
    </row>
    <row r="621" spans="1:5" x14ac:dyDescent="0.3">
      <c r="A621" t="s">
        <v>2252</v>
      </c>
      <c r="B621">
        <v>363154.0546875</v>
      </c>
      <c r="C621">
        <v>6672488.12890625</v>
      </c>
      <c r="D621">
        <v>19.884283065795898</v>
      </c>
      <c r="E621" t="s">
        <v>2686</v>
      </c>
    </row>
    <row r="622" spans="1:5" x14ac:dyDescent="0.3">
      <c r="A622" t="s">
        <v>270</v>
      </c>
      <c r="B622">
        <v>357059.73046875</v>
      </c>
      <c r="C622">
        <v>6669367.67578125</v>
      </c>
      <c r="D622">
        <v>41.474906921386697</v>
      </c>
      <c r="E622" t="s">
        <v>2685</v>
      </c>
    </row>
    <row r="623" spans="1:5" x14ac:dyDescent="0.3">
      <c r="A623" t="s">
        <v>2250</v>
      </c>
      <c r="B623">
        <v>357092.1015625</v>
      </c>
      <c r="C623">
        <v>6669206.52734375</v>
      </c>
      <c r="D623">
        <v>35.011211395263601</v>
      </c>
      <c r="E623" t="s">
        <v>2686</v>
      </c>
    </row>
    <row r="624" spans="1:5" x14ac:dyDescent="0.3">
      <c r="A624" t="s">
        <v>269</v>
      </c>
      <c r="B624">
        <v>357008.8125</v>
      </c>
      <c r="C624">
        <v>6667255.859375</v>
      </c>
      <c r="D624">
        <v>11.7019701004028</v>
      </c>
      <c r="E624" t="s">
        <v>2685</v>
      </c>
    </row>
    <row r="625" spans="1:5" x14ac:dyDescent="0.3">
      <c r="A625" t="s">
        <v>268</v>
      </c>
      <c r="B625">
        <v>357094.16796875</v>
      </c>
      <c r="C625">
        <v>6669200.1875</v>
      </c>
      <c r="D625">
        <v>34.298282623291001</v>
      </c>
      <c r="E625" t="s">
        <v>2685</v>
      </c>
    </row>
    <row r="626" spans="1:5" x14ac:dyDescent="0.3">
      <c r="A626" t="s">
        <v>267</v>
      </c>
      <c r="B626">
        <v>357273.22265625</v>
      </c>
      <c r="C626">
        <v>6669467.3828125</v>
      </c>
      <c r="D626">
        <v>36.6211738586425</v>
      </c>
      <c r="E626" t="s">
        <v>2685</v>
      </c>
    </row>
    <row r="627" spans="1:5" x14ac:dyDescent="0.3">
      <c r="A627" t="s">
        <v>266</v>
      </c>
      <c r="B627">
        <v>363156.12890625</v>
      </c>
      <c r="C627">
        <v>6672473.171875</v>
      </c>
      <c r="D627">
        <v>19.956926345825099</v>
      </c>
      <c r="E627" t="s">
        <v>2685</v>
      </c>
    </row>
    <row r="628" spans="1:5" x14ac:dyDescent="0.3">
      <c r="A628" t="s">
        <v>2260</v>
      </c>
      <c r="B628">
        <v>363108.55859375</v>
      </c>
      <c r="C628">
        <v>6672475.55078125</v>
      </c>
      <c r="D628">
        <v>21.8161602020263</v>
      </c>
      <c r="E628" t="s">
        <v>2686</v>
      </c>
    </row>
    <row r="629" spans="1:5" x14ac:dyDescent="0.3">
      <c r="A629" t="s">
        <v>2261</v>
      </c>
      <c r="B629">
        <v>357577.2890625</v>
      </c>
      <c r="C629">
        <v>6668334.95703125</v>
      </c>
      <c r="D629">
        <v>16.946680068969702</v>
      </c>
      <c r="E629" t="s">
        <v>2686</v>
      </c>
    </row>
    <row r="630" spans="1:5" x14ac:dyDescent="0.3">
      <c r="A630" t="s">
        <v>2421</v>
      </c>
      <c r="B630">
        <v>357583.40234375</v>
      </c>
      <c r="C630">
        <v>6668336.7421875</v>
      </c>
      <c r="D630">
        <v>17.031486511230401</v>
      </c>
      <c r="E630" t="s">
        <v>2686</v>
      </c>
    </row>
    <row r="631" spans="1:5" x14ac:dyDescent="0.3">
      <c r="A631" t="s">
        <v>2262</v>
      </c>
      <c r="B631">
        <v>357427.0546875</v>
      </c>
      <c r="C631">
        <v>6668649.55859375</v>
      </c>
      <c r="D631">
        <v>26.050197601318299</v>
      </c>
      <c r="E631" t="s">
        <v>2686</v>
      </c>
    </row>
    <row r="632" spans="1:5" x14ac:dyDescent="0.3">
      <c r="A632" t="s">
        <v>2263</v>
      </c>
      <c r="B632">
        <v>357145.3125</v>
      </c>
      <c r="C632">
        <v>6669380.11328125</v>
      </c>
      <c r="D632">
        <v>34.699005126953097</v>
      </c>
      <c r="E632" t="s">
        <v>2686</v>
      </c>
    </row>
    <row r="633" spans="1:5" x14ac:dyDescent="0.3">
      <c r="A633" t="s">
        <v>2264</v>
      </c>
      <c r="B633">
        <v>357468.65234375</v>
      </c>
      <c r="C633">
        <v>6667475.08984375</v>
      </c>
      <c r="D633">
        <v>7.5823807716369602</v>
      </c>
      <c r="E633" t="s">
        <v>2686</v>
      </c>
    </row>
    <row r="634" spans="1:5" x14ac:dyDescent="0.3">
      <c r="A634" t="s">
        <v>265</v>
      </c>
      <c r="B634">
        <v>357468.3984375</v>
      </c>
      <c r="C634">
        <v>6667472.30859375</v>
      </c>
      <c r="D634">
        <v>7.5456633567809996</v>
      </c>
      <c r="E634" t="s">
        <v>2685</v>
      </c>
    </row>
    <row r="635" spans="1:5" x14ac:dyDescent="0.3">
      <c r="A635" t="s">
        <v>2275</v>
      </c>
      <c r="B635">
        <v>359016.5234375</v>
      </c>
      <c r="C635">
        <v>6667117.3671875</v>
      </c>
      <c r="D635">
        <v>12.7188520431518</v>
      </c>
      <c r="E635" t="s">
        <v>2686</v>
      </c>
    </row>
    <row r="636" spans="1:5" x14ac:dyDescent="0.3">
      <c r="A636" t="s">
        <v>264</v>
      </c>
      <c r="B636">
        <v>357384.87109375</v>
      </c>
      <c r="C636">
        <v>6669490.21875</v>
      </c>
      <c r="D636">
        <v>33.563774108886697</v>
      </c>
      <c r="E636" t="s">
        <v>2685</v>
      </c>
    </row>
    <row r="637" spans="1:5" x14ac:dyDescent="0.3">
      <c r="A637" t="s">
        <v>2267</v>
      </c>
      <c r="B637">
        <v>357382.890625</v>
      </c>
      <c r="C637">
        <v>6669498.5078125</v>
      </c>
      <c r="D637">
        <v>34.969467163085902</v>
      </c>
      <c r="E637" t="s">
        <v>2686</v>
      </c>
    </row>
    <row r="638" spans="1:5" x14ac:dyDescent="0.3">
      <c r="A638" t="s">
        <v>2268</v>
      </c>
      <c r="B638">
        <v>362931.203125</v>
      </c>
      <c r="C638">
        <v>6673037.47265625</v>
      </c>
      <c r="D638">
        <v>19.7304973602294</v>
      </c>
      <c r="E638" t="s">
        <v>2686</v>
      </c>
    </row>
    <row r="639" spans="1:5" x14ac:dyDescent="0.3">
      <c r="A639" t="s">
        <v>262</v>
      </c>
      <c r="B639">
        <v>362784.79296875</v>
      </c>
      <c r="C639">
        <v>6672978.34375</v>
      </c>
      <c r="D639">
        <v>18.739797592163001</v>
      </c>
      <c r="E639" t="s">
        <v>2685</v>
      </c>
    </row>
    <row r="640" spans="1:5" x14ac:dyDescent="0.3">
      <c r="A640" t="s">
        <v>2272</v>
      </c>
      <c r="B640">
        <v>358786.59765625</v>
      </c>
      <c r="C640">
        <v>6667791.64453125</v>
      </c>
      <c r="D640">
        <v>30.8925876617431</v>
      </c>
      <c r="E640" t="s">
        <v>2686</v>
      </c>
    </row>
    <row r="641" spans="1:5" x14ac:dyDescent="0.3">
      <c r="A641" t="s">
        <v>261</v>
      </c>
      <c r="B641">
        <v>357132.43359375</v>
      </c>
      <c r="C641">
        <v>6669399.6640625</v>
      </c>
      <c r="D641">
        <v>37.877674102783203</v>
      </c>
      <c r="E641" t="s">
        <v>2685</v>
      </c>
    </row>
    <row r="642" spans="1:5" x14ac:dyDescent="0.3">
      <c r="A642" t="s">
        <v>260</v>
      </c>
      <c r="B642">
        <v>361886.08203125</v>
      </c>
      <c r="C642">
        <v>6668482.17578125</v>
      </c>
      <c r="D642">
        <v>13.66845703125</v>
      </c>
      <c r="E642" t="s">
        <v>2685</v>
      </c>
    </row>
    <row r="643" spans="1:5" x14ac:dyDescent="0.3">
      <c r="A643" t="s">
        <v>259</v>
      </c>
      <c r="B643">
        <v>357150.77734375</v>
      </c>
      <c r="C643">
        <v>6669427.109375</v>
      </c>
      <c r="D643">
        <v>39.3016548156738</v>
      </c>
      <c r="E643" t="s">
        <v>2685</v>
      </c>
    </row>
    <row r="644" spans="1:5" x14ac:dyDescent="0.3">
      <c r="A644" t="s">
        <v>258</v>
      </c>
      <c r="B644">
        <v>359001.07421875</v>
      </c>
      <c r="C644">
        <v>6667116.6640625</v>
      </c>
      <c r="D644">
        <v>11.2451925277709</v>
      </c>
      <c r="E644" t="s">
        <v>2685</v>
      </c>
    </row>
    <row r="645" spans="1:5" x14ac:dyDescent="0.3">
      <c r="A645" t="s">
        <v>2274</v>
      </c>
      <c r="B645">
        <v>357174.33203125</v>
      </c>
      <c r="C645">
        <v>6669394.8828125</v>
      </c>
      <c r="D645">
        <v>31.348354339599599</v>
      </c>
      <c r="E645" t="s">
        <v>2686</v>
      </c>
    </row>
    <row r="646" spans="1:5" x14ac:dyDescent="0.3">
      <c r="A646" t="s">
        <v>257</v>
      </c>
      <c r="B646">
        <v>357356.13671875</v>
      </c>
      <c r="C646">
        <v>6669473.3828125</v>
      </c>
      <c r="D646">
        <v>32.077606201171797</v>
      </c>
      <c r="E646" t="s">
        <v>2685</v>
      </c>
    </row>
    <row r="647" spans="1:5" x14ac:dyDescent="0.3">
      <c r="A647" t="s">
        <v>2276</v>
      </c>
      <c r="B647">
        <v>357339.84375</v>
      </c>
      <c r="C647">
        <v>6669487.12890625</v>
      </c>
      <c r="D647">
        <v>34.856029510497997</v>
      </c>
      <c r="E647" t="s">
        <v>2686</v>
      </c>
    </row>
    <row r="648" spans="1:5" x14ac:dyDescent="0.3">
      <c r="A648" t="s">
        <v>2277</v>
      </c>
      <c r="B648">
        <v>361934.09765625</v>
      </c>
      <c r="C648">
        <v>6669132.00390625</v>
      </c>
      <c r="D648">
        <v>2.5579359531402499</v>
      </c>
      <c r="E648" t="s">
        <v>2686</v>
      </c>
    </row>
    <row r="649" spans="1:5" x14ac:dyDescent="0.3">
      <c r="A649" t="s">
        <v>2278</v>
      </c>
      <c r="B649">
        <v>359023.3125</v>
      </c>
      <c r="C649">
        <v>6667090.953125</v>
      </c>
      <c r="D649">
        <v>9.2440032958984304</v>
      </c>
      <c r="E649" t="s">
        <v>2686</v>
      </c>
    </row>
    <row r="650" spans="1:5" x14ac:dyDescent="0.3">
      <c r="A650" t="s">
        <v>2280</v>
      </c>
      <c r="B650">
        <v>357091.421875</v>
      </c>
      <c r="C650">
        <v>6669208.59375</v>
      </c>
      <c r="D650">
        <v>35.242866516113203</v>
      </c>
      <c r="E650" t="s">
        <v>2686</v>
      </c>
    </row>
    <row r="651" spans="1:5" x14ac:dyDescent="0.3">
      <c r="A651" t="s">
        <v>2281</v>
      </c>
      <c r="B651">
        <v>357390.296875</v>
      </c>
      <c r="C651">
        <v>6669500.44921875</v>
      </c>
      <c r="D651">
        <v>35.1671333312988</v>
      </c>
      <c r="E651" t="s">
        <v>2686</v>
      </c>
    </row>
    <row r="652" spans="1:5" x14ac:dyDescent="0.3">
      <c r="A652" t="s">
        <v>2667</v>
      </c>
      <c r="B652">
        <v>357388.48046875</v>
      </c>
      <c r="C652">
        <v>6669506.70703125</v>
      </c>
      <c r="D652">
        <v>36.072418212890597</v>
      </c>
      <c r="E652" t="s">
        <v>2686</v>
      </c>
    </row>
    <row r="653" spans="1:5" x14ac:dyDescent="0.3">
      <c r="A653" t="s">
        <v>2282</v>
      </c>
      <c r="B653">
        <v>357695.77734375</v>
      </c>
      <c r="C653">
        <v>6667751.55078125</v>
      </c>
      <c r="D653">
        <v>8.3252630233764595</v>
      </c>
      <c r="E653" t="s">
        <v>2686</v>
      </c>
    </row>
    <row r="654" spans="1:5" x14ac:dyDescent="0.3">
      <c r="A654" t="s">
        <v>255</v>
      </c>
      <c r="B654">
        <v>357127.3828125</v>
      </c>
      <c r="C654">
        <v>6669506.546875</v>
      </c>
      <c r="D654">
        <v>50.175182342529297</v>
      </c>
      <c r="E654" t="s">
        <v>2685</v>
      </c>
    </row>
    <row r="655" spans="1:5" x14ac:dyDescent="0.3">
      <c r="A655" t="s">
        <v>2482</v>
      </c>
      <c r="B655">
        <v>357731.5</v>
      </c>
      <c r="C655">
        <v>6668477.18359375</v>
      </c>
      <c r="D655">
        <v>32.948837280273402</v>
      </c>
      <c r="E655" t="s">
        <v>2686</v>
      </c>
    </row>
    <row r="656" spans="1:5" x14ac:dyDescent="0.3">
      <c r="A656" t="s">
        <v>2284</v>
      </c>
      <c r="B656">
        <v>357115.80078125</v>
      </c>
      <c r="C656">
        <v>6669470.29296875</v>
      </c>
      <c r="D656">
        <v>47.497352600097599</v>
      </c>
      <c r="E656" t="s">
        <v>2686</v>
      </c>
    </row>
    <row r="657" spans="1:5" x14ac:dyDescent="0.3">
      <c r="A657" t="s">
        <v>2130</v>
      </c>
      <c r="B657">
        <v>357060.6875</v>
      </c>
      <c r="C657">
        <v>6669457.4296875</v>
      </c>
      <c r="D657">
        <v>50.769268035888601</v>
      </c>
      <c r="E657" t="s">
        <v>2686</v>
      </c>
    </row>
    <row r="658" spans="1:5" x14ac:dyDescent="0.3">
      <c r="A658" t="s">
        <v>254</v>
      </c>
      <c r="B658">
        <v>357084.46484375</v>
      </c>
      <c r="C658">
        <v>6669496.9609375</v>
      </c>
      <c r="D658">
        <v>48.344810485839801</v>
      </c>
      <c r="E658" t="s">
        <v>2685</v>
      </c>
    </row>
    <row r="659" spans="1:5" x14ac:dyDescent="0.3">
      <c r="A659" t="s">
        <v>2163</v>
      </c>
      <c r="B659">
        <v>357192.44921875</v>
      </c>
      <c r="C659">
        <v>6669318.109375</v>
      </c>
      <c r="D659">
        <v>30.275533676147401</v>
      </c>
      <c r="E659" t="s">
        <v>2686</v>
      </c>
    </row>
    <row r="660" spans="1:5" x14ac:dyDescent="0.3">
      <c r="A660" t="s">
        <v>253</v>
      </c>
      <c r="B660">
        <v>357071.96484375</v>
      </c>
      <c r="C660">
        <v>6669441.5</v>
      </c>
      <c r="D660">
        <v>50.8492622375488</v>
      </c>
      <c r="E660" t="s">
        <v>2685</v>
      </c>
    </row>
    <row r="661" spans="1:5" x14ac:dyDescent="0.3">
      <c r="A661" t="s">
        <v>252</v>
      </c>
      <c r="B661">
        <v>357337.2734375</v>
      </c>
      <c r="C661">
        <v>6669443.09765625</v>
      </c>
      <c r="D661">
        <v>30.4439983367919</v>
      </c>
      <c r="E661" t="s">
        <v>2685</v>
      </c>
    </row>
    <row r="662" spans="1:5" x14ac:dyDescent="0.3">
      <c r="A662" t="s">
        <v>2291</v>
      </c>
      <c r="B662">
        <v>357402.9140625</v>
      </c>
      <c r="C662">
        <v>6668527.5546875</v>
      </c>
      <c r="D662">
        <v>20.151388168334901</v>
      </c>
      <c r="E662" t="s">
        <v>2686</v>
      </c>
    </row>
    <row r="663" spans="1:5" x14ac:dyDescent="0.3">
      <c r="A663" t="s">
        <v>2409</v>
      </c>
      <c r="B663">
        <v>356829.77734375</v>
      </c>
      <c r="C663">
        <v>6668030.7109375</v>
      </c>
      <c r="D663">
        <v>18.1973781585693</v>
      </c>
      <c r="E663" t="s">
        <v>2686</v>
      </c>
    </row>
    <row r="664" spans="1:5" x14ac:dyDescent="0.3">
      <c r="A664" t="s">
        <v>2259</v>
      </c>
      <c r="B664">
        <v>357756.03515625</v>
      </c>
      <c r="C664">
        <v>6667606.47265625</v>
      </c>
      <c r="D664">
        <v>9.4615831375121999</v>
      </c>
      <c r="E664" t="s">
        <v>2686</v>
      </c>
    </row>
    <row r="665" spans="1:5" x14ac:dyDescent="0.3">
      <c r="A665" t="s">
        <v>251</v>
      </c>
      <c r="B665">
        <v>357378.74609375</v>
      </c>
      <c r="C665">
        <v>6669287.51953125</v>
      </c>
      <c r="D665">
        <v>26.6080608367919</v>
      </c>
      <c r="E665" t="s">
        <v>2685</v>
      </c>
    </row>
    <row r="666" spans="1:5" x14ac:dyDescent="0.3">
      <c r="A666" t="s">
        <v>2135</v>
      </c>
      <c r="B666">
        <v>357305.140625</v>
      </c>
      <c r="C666">
        <v>6669416.9296875</v>
      </c>
      <c r="D666">
        <v>29.678777694702099</v>
      </c>
      <c r="E666" t="s">
        <v>2686</v>
      </c>
    </row>
    <row r="667" spans="1:5" x14ac:dyDescent="0.3">
      <c r="A667" t="s">
        <v>2218</v>
      </c>
      <c r="B667">
        <v>357390.44921875</v>
      </c>
      <c r="C667">
        <v>6669279.2109375</v>
      </c>
      <c r="D667">
        <v>25.478569030761701</v>
      </c>
      <c r="E667" t="s">
        <v>2686</v>
      </c>
    </row>
    <row r="668" spans="1:5" x14ac:dyDescent="0.3">
      <c r="A668" t="s">
        <v>250</v>
      </c>
      <c r="B668">
        <v>357371.26953125</v>
      </c>
      <c r="C668">
        <v>6669536.16015625</v>
      </c>
      <c r="D668">
        <v>40.006370544433501</v>
      </c>
      <c r="E668" t="s">
        <v>2685</v>
      </c>
    </row>
    <row r="669" spans="1:5" x14ac:dyDescent="0.3">
      <c r="A669" t="s">
        <v>2293</v>
      </c>
      <c r="B669">
        <v>357369.24609375</v>
      </c>
      <c r="C669">
        <v>6669507.3359375</v>
      </c>
      <c r="D669">
        <v>36.550140380859297</v>
      </c>
      <c r="E669" t="s">
        <v>2686</v>
      </c>
    </row>
    <row r="670" spans="1:5" x14ac:dyDescent="0.3">
      <c r="A670" t="s">
        <v>249</v>
      </c>
      <c r="B670">
        <v>363253.04296875</v>
      </c>
      <c r="C670">
        <v>6672313.61328125</v>
      </c>
      <c r="D670">
        <v>18.932180404663001</v>
      </c>
      <c r="E670" t="s">
        <v>2685</v>
      </c>
    </row>
    <row r="671" spans="1:5" x14ac:dyDescent="0.3">
      <c r="A671" t="s">
        <v>2294</v>
      </c>
      <c r="B671">
        <v>363248.42578125</v>
      </c>
      <c r="C671">
        <v>6672307.09375</v>
      </c>
      <c r="D671">
        <v>18.827314376831001</v>
      </c>
      <c r="E671" t="s">
        <v>2686</v>
      </c>
    </row>
    <row r="672" spans="1:5" x14ac:dyDescent="0.3">
      <c r="A672" t="s">
        <v>2290</v>
      </c>
      <c r="B672">
        <v>357331.76953125</v>
      </c>
      <c r="C672">
        <v>6669409.36328125</v>
      </c>
      <c r="D672">
        <v>28.176067352294901</v>
      </c>
      <c r="E672" t="s">
        <v>2686</v>
      </c>
    </row>
    <row r="673" spans="1:5" x14ac:dyDescent="0.3">
      <c r="A673" t="s">
        <v>248</v>
      </c>
      <c r="B673">
        <v>357293.10546875</v>
      </c>
      <c r="C673">
        <v>6669170.67578125</v>
      </c>
      <c r="D673">
        <v>21.9052124023437</v>
      </c>
      <c r="E673" t="s">
        <v>2685</v>
      </c>
    </row>
    <row r="674" spans="1:5" x14ac:dyDescent="0.3">
      <c r="A674" t="s">
        <v>247</v>
      </c>
      <c r="B674">
        <v>357265.171875</v>
      </c>
      <c r="C674">
        <v>6669461.140625</v>
      </c>
      <c r="D674">
        <v>36.067710876464801</v>
      </c>
      <c r="E674" t="s">
        <v>2685</v>
      </c>
    </row>
    <row r="675" spans="1:5" x14ac:dyDescent="0.3">
      <c r="A675" t="s">
        <v>2287</v>
      </c>
      <c r="B675">
        <v>357094.01953125</v>
      </c>
      <c r="C675">
        <v>6669467.92578125</v>
      </c>
      <c r="D675">
        <v>48.283077239990199</v>
      </c>
      <c r="E675" t="s">
        <v>2686</v>
      </c>
    </row>
    <row r="676" spans="1:5" x14ac:dyDescent="0.3">
      <c r="A676" t="s">
        <v>246</v>
      </c>
      <c r="B676">
        <v>357289.78515625</v>
      </c>
      <c r="C676">
        <v>6669226.74609375</v>
      </c>
      <c r="D676">
        <v>26.0216751098632</v>
      </c>
      <c r="E676" t="s">
        <v>2685</v>
      </c>
    </row>
    <row r="677" spans="1:5" x14ac:dyDescent="0.3">
      <c r="A677" t="s">
        <v>2064</v>
      </c>
      <c r="B677">
        <v>359627.6171875</v>
      </c>
      <c r="C677">
        <v>6667680.3046875</v>
      </c>
      <c r="D677">
        <v>17.112432479858398</v>
      </c>
      <c r="E677" t="s">
        <v>2686</v>
      </c>
    </row>
    <row r="678" spans="1:5" x14ac:dyDescent="0.3">
      <c r="A678" t="s">
        <v>245</v>
      </c>
      <c r="B678">
        <v>357059.97265625</v>
      </c>
      <c r="C678">
        <v>6669483.05078125</v>
      </c>
      <c r="D678">
        <v>48.929981231689403</v>
      </c>
      <c r="E678" t="s">
        <v>2685</v>
      </c>
    </row>
    <row r="679" spans="1:5" x14ac:dyDescent="0.3">
      <c r="A679" t="s">
        <v>2147</v>
      </c>
      <c r="B679">
        <v>357013.890625</v>
      </c>
      <c r="C679">
        <v>6668050.6796875</v>
      </c>
      <c r="D679">
        <v>18.777746200561499</v>
      </c>
      <c r="E679" t="s">
        <v>2686</v>
      </c>
    </row>
    <row r="680" spans="1:5" x14ac:dyDescent="0.3">
      <c r="A680" t="s">
        <v>244</v>
      </c>
      <c r="B680">
        <v>357350.23828125</v>
      </c>
      <c r="C680">
        <v>6669525.09375</v>
      </c>
      <c r="D680">
        <v>39.206291198730398</v>
      </c>
      <c r="E680" t="s">
        <v>2685</v>
      </c>
    </row>
    <row r="681" spans="1:5" x14ac:dyDescent="0.3">
      <c r="A681" t="s">
        <v>243</v>
      </c>
      <c r="B681">
        <v>358766.57421875</v>
      </c>
      <c r="C681">
        <v>6667769.703125</v>
      </c>
      <c r="D681">
        <v>30.345666885375898</v>
      </c>
      <c r="E681" t="s">
        <v>2685</v>
      </c>
    </row>
    <row r="682" spans="1:5" x14ac:dyDescent="0.3">
      <c r="A682" t="s">
        <v>2295</v>
      </c>
      <c r="B682">
        <v>363083.5859375</v>
      </c>
      <c r="C682">
        <v>6672543.7734375</v>
      </c>
      <c r="D682">
        <v>19.482606887817301</v>
      </c>
      <c r="E682" t="s">
        <v>2686</v>
      </c>
    </row>
    <row r="683" spans="1:5" x14ac:dyDescent="0.3">
      <c r="A683" t="s">
        <v>2301</v>
      </c>
      <c r="B683">
        <v>359644.82421875</v>
      </c>
      <c r="C683">
        <v>6667823.04296875</v>
      </c>
      <c r="D683">
        <v>18.071496963500898</v>
      </c>
      <c r="E683" t="s">
        <v>2686</v>
      </c>
    </row>
    <row r="684" spans="1:5" x14ac:dyDescent="0.3">
      <c r="A684" t="s">
        <v>241</v>
      </c>
      <c r="B684">
        <v>359575.0390625</v>
      </c>
      <c r="C684">
        <v>6667788.1640625</v>
      </c>
      <c r="D684">
        <v>18.031894683837798</v>
      </c>
      <c r="E684" t="s">
        <v>2685</v>
      </c>
    </row>
    <row r="685" spans="1:5" x14ac:dyDescent="0.3">
      <c r="A685" t="s">
        <v>240</v>
      </c>
      <c r="B685">
        <v>357170.16796875</v>
      </c>
      <c r="C685">
        <v>6669469.703125</v>
      </c>
      <c r="D685">
        <v>45.147998809814403</v>
      </c>
      <c r="E685" t="s">
        <v>2685</v>
      </c>
    </row>
    <row r="686" spans="1:5" x14ac:dyDescent="0.3">
      <c r="A686" t="s">
        <v>2643</v>
      </c>
      <c r="B686">
        <v>362713.046875</v>
      </c>
      <c r="C686">
        <v>6670992.74609375</v>
      </c>
      <c r="D686">
        <v>16.968225479125898</v>
      </c>
      <c r="E686" t="s">
        <v>2686</v>
      </c>
    </row>
    <row r="687" spans="1:5" x14ac:dyDescent="0.3">
      <c r="A687" t="s">
        <v>238</v>
      </c>
      <c r="B687">
        <v>357407.38671875</v>
      </c>
      <c r="C687">
        <v>6669495.828125</v>
      </c>
      <c r="D687">
        <v>33.953762054443303</v>
      </c>
      <c r="E687" t="s">
        <v>2685</v>
      </c>
    </row>
    <row r="688" spans="1:5" x14ac:dyDescent="0.3">
      <c r="A688" t="s">
        <v>235</v>
      </c>
      <c r="B688">
        <v>363057.48828125</v>
      </c>
      <c r="C688">
        <v>6672532.6640625</v>
      </c>
      <c r="D688">
        <v>21.0159378051757</v>
      </c>
      <c r="E688" t="s">
        <v>2685</v>
      </c>
    </row>
    <row r="689" spans="1:5" x14ac:dyDescent="0.3">
      <c r="A689" t="s">
        <v>234</v>
      </c>
      <c r="B689">
        <v>357224.38671875</v>
      </c>
      <c r="C689">
        <v>6669449.83203125</v>
      </c>
      <c r="D689">
        <v>36.322212219238203</v>
      </c>
      <c r="E689" t="s">
        <v>2685</v>
      </c>
    </row>
    <row r="690" spans="1:5" x14ac:dyDescent="0.3">
      <c r="A690" t="s">
        <v>2302</v>
      </c>
      <c r="B690">
        <v>357227.3046875</v>
      </c>
      <c r="C690">
        <v>6669447.44140625</v>
      </c>
      <c r="D690">
        <v>35.834415435791001</v>
      </c>
      <c r="E690" t="s">
        <v>2686</v>
      </c>
    </row>
    <row r="691" spans="1:5" x14ac:dyDescent="0.3">
      <c r="A691" t="s">
        <v>233</v>
      </c>
      <c r="B691">
        <v>357227.50390625</v>
      </c>
      <c r="C691">
        <v>6669449.92578125</v>
      </c>
      <c r="D691">
        <v>36.150245666503899</v>
      </c>
      <c r="E691" t="s">
        <v>2685</v>
      </c>
    </row>
    <row r="692" spans="1:5" x14ac:dyDescent="0.3">
      <c r="A692" t="s">
        <v>232</v>
      </c>
      <c r="B692">
        <v>357090.88671875</v>
      </c>
      <c r="C692">
        <v>6669394.43359375</v>
      </c>
      <c r="D692">
        <v>41.070518493652301</v>
      </c>
      <c r="E692" t="s">
        <v>2685</v>
      </c>
    </row>
    <row r="693" spans="1:5" x14ac:dyDescent="0.3">
      <c r="A693" t="s">
        <v>2153</v>
      </c>
      <c r="B693">
        <v>357060.140625</v>
      </c>
      <c r="C693">
        <v>6669330.16796875</v>
      </c>
      <c r="D693">
        <v>40.810611724853501</v>
      </c>
      <c r="E693" t="s">
        <v>2686</v>
      </c>
    </row>
    <row r="694" spans="1:5" x14ac:dyDescent="0.3">
      <c r="A694" t="s">
        <v>2299</v>
      </c>
      <c r="B694">
        <v>359595.0390625</v>
      </c>
      <c r="C694">
        <v>6667777.23046875</v>
      </c>
      <c r="D694">
        <v>17.529533386230401</v>
      </c>
      <c r="E694" t="s">
        <v>2686</v>
      </c>
    </row>
    <row r="695" spans="1:5" x14ac:dyDescent="0.3">
      <c r="A695" t="s">
        <v>2668</v>
      </c>
      <c r="B695">
        <v>359590.890625</v>
      </c>
      <c r="C695">
        <v>6667772.890625</v>
      </c>
      <c r="D695">
        <v>17.505903244018501</v>
      </c>
      <c r="E695" t="s">
        <v>2686</v>
      </c>
    </row>
    <row r="696" spans="1:5" x14ac:dyDescent="0.3">
      <c r="A696" t="s">
        <v>2305</v>
      </c>
      <c r="B696">
        <v>357973.734375</v>
      </c>
      <c r="C696">
        <v>6667441.09765625</v>
      </c>
      <c r="D696">
        <v>7.9167332649230904</v>
      </c>
      <c r="E696" t="s">
        <v>2686</v>
      </c>
    </row>
    <row r="697" spans="1:5" x14ac:dyDescent="0.3">
      <c r="A697" t="s">
        <v>2134</v>
      </c>
      <c r="B697">
        <v>357302.671875</v>
      </c>
      <c r="C697">
        <v>6669417.14453125</v>
      </c>
      <c r="D697">
        <v>29.819957733154201</v>
      </c>
      <c r="E697" t="s">
        <v>2686</v>
      </c>
    </row>
    <row r="698" spans="1:5" x14ac:dyDescent="0.3">
      <c r="A698" t="s">
        <v>2563</v>
      </c>
      <c r="B698">
        <v>363192.390625</v>
      </c>
      <c r="C698">
        <v>6672341.55078125</v>
      </c>
      <c r="D698">
        <v>19.7036228179931</v>
      </c>
      <c r="E698" t="s">
        <v>2686</v>
      </c>
    </row>
    <row r="699" spans="1:5" x14ac:dyDescent="0.3">
      <c r="A699" t="s">
        <v>230</v>
      </c>
      <c r="B699">
        <v>359915.98046875</v>
      </c>
      <c r="C699">
        <v>6667866.17578125</v>
      </c>
      <c r="D699">
        <v>25.094835281371999</v>
      </c>
      <c r="E699" t="s">
        <v>2685</v>
      </c>
    </row>
    <row r="700" spans="1:5" x14ac:dyDescent="0.3">
      <c r="A700" t="s">
        <v>2307</v>
      </c>
      <c r="B700">
        <v>359916.7578125</v>
      </c>
      <c r="C700">
        <v>6667842.6171875</v>
      </c>
      <c r="D700">
        <v>25.191194534301701</v>
      </c>
      <c r="E700" t="s">
        <v>2686</v>
      </c>
    </row>
    <row r="701" spans="1:5" x14ac:dyDescent="0.3">
      <c r="A701" t="s">
        <v>229</v>
      </c>
      <c r="B701">
        <v>359989.0859375</v>
      </c>
      <c r="C701">
        <v>6667854.359375</v>
      </c>
      <c r="D701">
        <v>23.536409378051701</v>
      </c>
      <c r="E701" t="s">
        <v>2685</v>
      </c>
    </row>
    <row r="702" spans="1:5" x14ac:dyDescent="0.3">
      <c r="A702" t="s">
        <v>2309</v>
      </c>
      <c r="B702">
        <v>363115.15625</v>
      </c>
      <c r="C702">
        <v>6672458.77734375</v>
      </c>
      <c r="D702">
        <v>22.7117710113525</v>
      </c>
      <c r="E702" t="s">
        <v>2686</v>
      </c>
    </row>
    <row r="703" spans="1:5" x14ac:dyDescent="0.3">
      <c r="A703" t="s">
        <v>228</v>
      </c>
      <c r="B703">
        <v>363055.265625</v>
      </c>
      <c r="C703">
        <v>6672370.63671875</v>
      </c>
      <c r="D703">
        <v>25.713085174560501</v>
      </c>
      <c r="E703" t="s">
        <v>2685</v>
      </c>
    </row>
    <row r="704" spans="1:5" x14ac:dyDescent="0.3">
      <c r="A704" t="s">
        <v>2306</v>
      </c>
      <c r="B704">
        <v>363119.3828125</v>
      </c>
      <c r="C704">
        <v>6672277.30859375</v>
      </c>
      <c r="D704">
        <v>20.805583953857401</v>
      </c>
      <c r="E704" t="s">
        <v>2686</v>
      </c>
    </row>
    <row r="705" spans="1:5" x14ac:dyDescent="0.3">
      <c r="A705" t="s">
        <v>226</v>
      </c>
      <c r="B705">
        <v>363103.1640625</v>
      </c>
      <c r="C705">
        <v>6672216.5078125</v>
      </c>
      <c r="D705">
        <v>20.400945663452099</v>
      </c>
      <c r="E705" t="s">
        <v>2685</v>
      </c>
    </row>
    <row r="706" spans="1:5" x14ac:dyDescent="0.3">
      <c r="A706" t="s">
        <v>225</v>
      </c>
      <c r="B706">
        <v>357760.75</v>
      </c>
      <c r="C706">
        <v>6667631.00390625</v>
      </c>
      <c r="D706">
        <v>10.277655601501399</v>
      </c>
      <c r="E706" t="s">
        <v>2685</v>
      </c>
    </row>
    <row r="707" spans="1:5" x14ac:dyDescent="0.3">
      <c r="A707" t="s">
        <v>2310</v>
      </c>
      <c r="B707">
        <v>357750.88671875</v>
      </c>
      <c r="C707">
        <v>6667642.5</v>
      </c>
      <c r="D707">
        <v>10.913805007934499</v>
      </c>
      <c r="E707" t="s">
        <v>2686</v>
      </c>
    </row>
    <row r="708" spans="1:5" x14ac:dyDescent="0.3">
      <c r="A708" t="s">
        <v>224</v>
      </c>
      <c r="B708">
        <v>357753.5390625</v>
      </c>
      <c r="C708">
        <v>6667643.5390625</v>
      </c>
      <c r="D708">
        <v>10.9109172821044</v>
      </c>
      <c r="E708" t="s">
        <v>2685</v>
      </c>
    </row>
    <row r="709" spans="1:5" x14ac:dyDescent="0.3">
      <c r="A709" t="s">
        <v>222</v>
      </c>
      <c r="B709">
        <v>357974.70703125</v>
      </c>
      <c r="C709">
        <v>6667398.11328125</v>
      </c>
      <c r="D709">
        <v>7.35613584518432</v>
      </c>
      <c r="E709" t="s">
        <v>2685</v>
      </c>
    </row>
    <row r="710" spans="1:5" x14ac:dyDescent="0.3">
      <c r="A710" t="s">
        <v>2311</v>
      </c>
      <c r="B710">
        <v>363014.96875</v>
      </c>
      <c r="C710">
        <v>6672727.69140625</v>
      </c>
      <c r="D710">
        <v>18.113376617431602</v>
      </c>
      <c r="E710" t="s">
        <v>2686</v>
      </c>
    </row>
    <row r="711" spans="1:5" x14ac:dyDescent="0.3">
      <c r="A711" t="s">
        <v>2269</v>
      </c>
      <c r="B711">
        <v>362989.08203125</v>
      </c>
      <c r="C711">
        <v>6672801.640625</v>
      </c>
      <c r="D711">
        <v>20.6909275054931</v>
      </c>
      <c r="E711" t="s">
        <v>2686</v>
      </c>
    </row>
    <row r="712" spans="1:5" x14ac:dyDescent="0.3">
      <c r="A712" t="s">
        <v>2312</v>
      </c>
      <c r="B712">
        <v>357085.06640625</v>
      </c>
      <c r="C712">
        <v>6668421.625</v>
      </c>
      <c r="D712">
        <v>23.8970737457275</v>
      </c>
      <c r="E712" t="s">
        <v>2686</v>
      </c>
    </row>
    <row r="713" spans="1:5" x14ac:dyDescent="0.3">
      <c r="A713" t="s">
        <v>221</v>
      </c>
      <c r="B713">
        <v>357418.5078125</v>
      </c>
      <c r="C713">
        <v>6668641.90234375</v>
      </c>
      <c r="D713">
        <v>25.605669021606399</v>
      </c>
      <c r="E713" t="s">
        <v>2685</v>
      </c>
    </row>
    <row r="714" spans="1:5" x14ac:dyDescent="0.3">
      <c r="A714" t="s">
        <v>220</v>
      </c>
      <c r="B714">
        <v>362977.5078125</v>
      </c>
      <c r="C714">
        <v>6672714.62890625</v>
      </c>
      <c r="D714">
        <v>19.417516708373999</v>
      </c>
      <c r="E714" t="s">
        <v>2685</v>
      </c>
    </row>
    <row r="715" spans="1:5" x14ac:dyDescent="0.3">
      <c r="A715" t="s">
        <v>2313</v>
      </c>
      <c r="B715">
        <v>359881.9765625</v>
      </c>
      <c r="C715">
        <v>6667834.27734375</v>
      </c>
      <c r="D715">
        <v>24.500953674316399</v>
      </c>
      <c r="E715" t="s">
        <v>2686</v>
      </c>
    </row>
    <row r="716" spans="1:5" x14ac:dyDescent="0.3">
      <c r="A716" t="s">
        <v>2515</v>
      </c>
      <c r="B716">
        <v>359883.41015625</v>
      </c>
      <c r="C716">
        <v>6667831.953125</v>
      </c>
      <c r="D716">
        <v>24.7084560394287</v>
      </c>
      <c r="E716" t="s">
        <v>2686</v>
      </c>
    </row>
    <row r="717" spans="1:5" x14ac:dyDescent="0.3">
      <c r="A717" t="s">
        <v>2314</v>
      </c>
      <c r="B717">
        <v>359871.3828125</v>
      </c>
      <c r="C717">
        <v>6667778.38671875</v>
      </c>
      <c r="D717">
        <v>25.926029205322202</v>
      </c>
      <c r="E717" t="s">
        <v>2686</v>
      </c>
    </row>
    <row r="718" spans="1:5" x14ac:dyDescent="0.3">
      <c r="A718" t="s">
        <v>219</v>
      </c>
      <c r="B718">
        <v>359872.10546875</v>
      </c>
      <c r="C718">
        <v>6667776.83203125</v>
      </c>
      <c r="D718">
        <v>26.069126129150298</v>
      </c>
      <c r="E718" t="s">
        <v>2685</v>
      </c>
    </row>
    <row r="719" spans="1:5" x14ac:dyDescent="0.3">
      <c r="A719" t="s">
        <v>2315</v>
      </c>
      <c r="B719">
        <v>359851.63671875</v>
      </c>
      <c r="C719">
        <v>6667807.69921875</v>
      </c>
      <c r="D719">
        <v>21.223981857299801</v>
      </c>
      <c r="E719" t="s">
        <v>2686</v>
      </c>
    </row>
    <row r="720" spans="1:5" x14ac:dyDescent="0.3">
      <c r="A720" t="s">
        <v>2452</v>
      </c>
      <c r="B720">
        <v>359838.64453125</v>
      </c>
      <c r="C720">
        <v>6667795.46484375</v>
      </c>
      <c r="D720">
        <v>20.6913757324218</v>
      </c>
      <c r="E720" t="s">
        <v>2686</v>
      </c>
    </row>
    <row r="721" spans="1:5" x14ac:dyDescent="0.3">
      <c r="A721" t="s">
        <v>2317</v>
      </c>
      <c r="B721">
        <v>359981.26953125</v>
      </c>
      <c r="C721">
        <v>6667837.3984375</v>
      </c>
      <c r="D721">
        <v>23.214897155761701</v>
      </c>
      <c r="E721" t="s">
        <v>2686</v>
      </c>
    </row>
    <row r="722" spans="1:5" x14ac:dyDescent="0.3">
      <c r="A722" t="s">
        <v>217</v>
      </c>
      <c r="B722">
        <v>357574.1171875</v>
      </c>
      <c r="C722">
        <v>6667902.921875</v>
      </c>
      <c r="D722">
        <v>10.5709114074707</v>
      </c>
      <c r="E722" t="s">
        <v>2685</v>
      </c>
    </row>
    <row r="723" spans="1:5" x14ac:dyDescent="0.3">
      <c r="A723" t="s">
        <v>216</v>
      </c>
      <c r="B723">
        <v>359872.9921875</v>
      </c>
      <c r="C723">
        <v>6667779.17578125</v>
      </c>
      <c r="D723">
        <v>25.979469299316399</v>
      </c>
      <c r="E723" t="s">
        <v>2685</v>
      </c>
    </row>
    <row r="724" spans="1:5" x14ac:dyDescent="0.3">
      <c r="A724" t="s">
        <v>2316</v>
      </c>
      <c r="B724">
        <v>363118.09375</v>
      </c>
      <c r="C724">
        <v>6672276.19921875</v>
      </c>
      <c r="D724">
        <v>20.8289680480957</v>
      </c>
      <c r="E724" t="s">
        <v>2686</v>
      </c>
    </row>
    <row r="725" spans="1:5" x14ac:dyDescent="0.3">
      <c r="A725" t="s">
        <v>2206</v>
      </c>
      <c r="B725">
        <v>362509.0859375</v>
      </c>
      <c r="C725">
        <v>6671404.83984375</v>
      </c>
      <c r="D725">
        <v>18.2057380676269</v>
      </c>
      <c r="E725" t="s">
        <v>2686</v>
      </c>
    </row>
    <row r="726" spans="1:5" x14ac:dyDescent="0.3">
      <c r="A726" t="s">
        <v>213</v>
      </c>
      <c r="B726">
        <v>357261.4765625</v>
      </c>
      <c r="C726">
        <v>6669293.9296875</v>
      </c>
      <c r="D726">
        <v>29.913475036621001</v>
      </c>
      <c r="E726" t="s">
        <v>2685</v>
      </c>
    </row>
    <row r="727" spans="1:5" x14ac:dyDescent="0.3">
      <c r="A727" t="s">
        <v>211</v>
      </c>
      <c r="B727">
        <v>362712.3671875</v>
      </c>
      <c r="C727">
        <v>6671647.984375</v>
      </c>
      <c r="D727">
        <v>19.018510818481399</v>
      </c>
      <c r="E727" t="s">
        <v>2685</v>
      </c>
    </row>
    <row r="728" spans="1:5" x14ac:dyDescent="0.3">
      <c r="A728" t="s">
        <v>2328</v>
      </c>
      <c r="B728">
        <v>362748.98828125</v>
      </c>
      <c r="C728">
        <v>6671632.265625</v>
      </c>
      <c r="D728">
        <v>18.739290237426701</v>
      </c>
      <c r="E728" t="s">
        <v>2686</v>
      </c>
    </row>
    <row r="729" spans="1:5" x14ac:dyDescent="0.3">
      <c r="A729" t="s">
        <v>2319</v>
      </c>
      <c r="B729">
        <v>362730.84765625</v>
      </c>
      <c r="C729">
        <v>6671599.28125</v>
      </c>
      <c r="D729">
        <v>17.702823638916001</v>
      </c>
      <c r="E729" t="s">
        <v>2686</v>
      </c>
    </row>
    <row r="730" spans="1:5" x14ac:dyDescent="0.3">
      <c r="A730" t="s">
        <v>2342</v>
      </c>
      <c r="B730">
        <v>363484.5</v>
      </c>
      <c r="C730">
        <v>6672151.45703125</v>
      </c>
      <c r="D730">
        <v>13.519772529601999</v>
      </c>
      <c r="E730" t="s">
        <v>2686</v>
      </c>
    </row>
    <row r="731" spans="1:5" x14ac:dyDescent="0.3">
      <c r="A731" t="s">
        <v>209</v>
      </c>
      <c r="B731">
        <v>363452.53515625</v>
      </c>
      <c r="C731">
        <v>6672045.44921875</v>
      </c>
      <c r="D731">
        <v>14.077172279357899</v>
      </c>
      <c r="E731" t="s">
        <v>2685</v>
      </c>
    </row>
    <row r="732" spans="1:5" x14ac:dyDescent="0.3">
      <c r="A732" t="s">
        <v>208</v>
      </c>
      <c r="B732">
        <v>362521.66015625</v>
      </c>
      <c r="C732">
        <v>6670914.90234375</v>
      </c>
      <c r="D732">
        <v>21.107301712036101</v>
      </c>
      <c r="E732" t="s">
        <v>2685</v>
      </c>
    </row>
    <row r="733" spans="1:5" x14ac:dyDescent="0.3">
      <c r="A733" t="s">
        <v>2333</v>
      </c>
      <c r="B733">
        <v>362477.20703125</v>
      </c>
      <c r="C733">
        <v>6671679.27734375</v>
      </c>
      <c r="D733">
        <v>18.440038681030199</v>
      </c>
      <c r="E733" t="s">
        <v>2686</v>
      </c>
    </row>
    <row r="734" spans="1:5" x14ac:dyDescent="0.3">
      <c r="A734" t="s">
        <v>206</v>
      </c>
      <c r="B734">
        <v>362624.83203125</v>
      </c>
      <c r="C734">
        <v>6671591.61328125</v>
      </c>
      <c r="D734">
        <v>17.823457717895501</v>
      </c>
      <c r="E734" t="s">
        <v>2685</v>
      </c>
    </row>
    <row r="735" spans="1:5" x14ac:dyDescent="0.3">
      <c r="A735" t="s">
        <v>2321</v>
      </c>
      <c r="B735">
        <v>362434.15625</v>
      </c>
      <c r="C735">
        <v>6671378.80078125</v>
      </c>
      <c r="D735">
        <v>17.9782810211181</v>
      </c>
      <c r="E735" t="s">
        <v>2686</v>
      </c>
    </row>
    <row r="736" spans="1:5" x14ac:dyDescent="0.3">
      <c r="A736" t="s">
        <v>2322</v>
      </c>
      <c r="B736">
        <v>362432.09375</v>
      </c>
      <c r="C736">
        <v>6671385</v>
      </c>
      <c r="D736">
        <v>18.143857955932599</v>
      </c>
      <c r="E736" t="s">
        <v>2686</v>
      </c>
    </row>
    <row r="737" spans="1:5" x14ac:dyDescent="0.3">
      <c r="A737" t="s">
        <v>2323</v>
      </c>
      <c r="B737">
        <v>362184.40625</v>
      </c>
      <c r="C737">
        <v>6671761.859375</v>
      </c>
      <c r="D737">
        <v>21.7369289398193</v>
      </c>
      <c r="E737" t="s">
        <v>2686</v>
      </c>
    </row>
    <row r="738" spans="1:5" x14ac:dyDescent="0.3">
      <c r="A738" t="s">
        <v>2326</v>
      </c>
      <c r="B738">
        <v>362196.296875</v>
      </c>
      <c r="C738">
        <v>6671728.671875</v>
      </c>
      <c r="D738">
        <v>21.826572418212798</v>
      </c>
      <c r="E738" t="s">
        <v>2686</v>
      </c>
    </row>
    <row r="739" spans="1:5" x14ac:dyDescent="0.3">
      <c r="A739" t="s">
        <v>2325</v>
      </c>
      <c r="B739">
        <v>362190.62890625</v>
      </c>
      <c r="C739">
        <v>6671724.21875</v>
      </c>
      <c r="D739">
        <v>21.792543411254801</v>
      </c>
      <c r="E739" t="s">
        <v>2686</v>
      </c>
    </row>
    <row r="740" spans="1:5" x14ac:dyDescent="0.3">
      <c r="A740" t="s">
        <v>205</v>
      </c>
      <c r="B740">
        <v>362149.8046875</v>
      </c>
      <c r="C740">
        <v>6671741.7734375</v>
      </c>
      <c r="D740">
        <v>21.3604202270507</v>
      </c>
      <c r="E740" t="s">
        <v>2685</v>
      </c>
    </row>
    <row r="741" spans="1:5" x14ac:dyDescent="0.3">
      <c r="A741" t="s">
        <v>2324</v>
      </c>
      <c r="B741">
        <v>362414.10546875</v>
      </c>
      <c r="C741">
        <v>6671480.82421875</v>
      </c>
      <c r="D741">
        <v>20.561243057250898</v>
      </c>
      <c r="E741" t="s">
        <v>2686</v>
      </c>
    </row>
    <row r="742" spans="1:5" x14ac:dyDescent="0.3">
      <c r="A742" t="s">
        <v>2337</v>
      </c>
      <c r="B742">
        <v>362421.546875</v>
      </c>
      <c r="C742">
        <v>6671453.6015625</v>
      </c>
      <c r="D742">
        <v>20.301301956176701</v>
      </c>
      <c r="E742" t="s">
        <v>2686</v>
      </c>
    </row>
    <row r="743" spans="1:5" x14ac:dyDescent="0.3">
      <c r="A743" t="s">
        <v>204</v>
      </c>
      <c r="B743">
        <v>362402.91015625</v>
      </c>
      <c r="C743">
        <v>6671477.5390625</v>
      </c>
      <c r="D743">
        <v>20.769170761108398</v>
      </c>
      <c r="E743" t="s">
        <v>2685</v>
      </c>
    </row>
    <row r="744" spans="1:5" x14ac:dyDescent="0.3">
      <c r="A744" t="s">
        <v>203</v>
      </c>
      <c r="B744">
        <v>362209.70703125</v>
      </c>
      <c r="C744">
        <v>6671727.77734375</v>
      </c>
      <c r="D744">
        <v>21.967594146728501</v>
      </c>
      <c r="E744" t="s">
        <v>2685</v>
      </c>
    </row>
    <row r="745" spans="1:5" x14ac:dyDescent="0.3">
      <c r="A745" t="s">
        <v>2330</v>
      </c>
      <c r="B745">
        <v>363229</v>
      </c>
      <c r="C745">
        <v>6672314.07421875</v>
      </c>
      <c r="D745">
        <v>19.2172336578369</v>
      </c>
      <c r="E745" t="s">
        <v>2686</v>
      </c>
    </row>
    <row r="746" spans="1:5" x14ac:dyDescent="0.3">
      <c r="A746" t="s">
        <v>2327</v>
      </c>
      <c r="B746">
        <v>362713.4375</v>
      </c>
      <c r="C746">
        <v>6671605.76171875</v>
      </c>
      <c r="D746">
        <v>18.0385131835937</v>
      </c>
      <c r="E746" t="s">
        <v>2686</v>
      </c>
    </row>
    <row r="747" spans="1:5" x14ac:dyDescent="0.3">
      <c r="A747" t="s">
        <v>201</v>
      </c>
      <c r="B747">
        <v>362707.2109375</v>
      </c>
      <c r="C747">
        <v>6671578.09765625</v>
      </c>
      <c r="D747">
        <v>17.1118450164794</v>
      </c>
      <c r="E747" t="s">
        <v>2685</v>
      </c>
    </row>
    <row r="748" spans="1:5" x14ac:dyDescent="0.3">
      <c r="A748" t="s">
        <v>2332</v>
      </c>
      <c r="B748">
        <v>363227.44921875</v>
      </c>
      <c r="C748">
        <v>6672315.01171875</v>
      </c>
      <c r="D748">
        <v>19.241926193237301</v>
      </c>
      <c r="E748" t="s">
        <v>2686</v>
      </c>
    </row>
    <row r="749" spans="1:5" x14ac:dyDescent="0.3">
      <c r="A749" t="s">
        <v>200</v>
      </c>
      <c r="B749">
        <v>363262.484375</v>
      </c>
      <c r="C749">
        <v>6672396.36328125</v>
      </c>
      <c r="D749">
        <v>23.4218235015869</v>
      </c>
      <c r="E749" t="s">
        <v>2685</v>
      </c>
    </row>
    <row r="750" spans="1:5" x14ac:dyDescent="0.3">
      <c r="A750" t="s">
        <v>2007</v>
      </c>
      <c r="B750">
        <v>357820.1015625</v>
      </c>
      <c r="C750">
        <v>6668417.94921875</v>
      </c>
      <c r="D750">
        <v>26.628089904785099</v>
      </c>
      <c r="E750" t="s">
        <v>2686</v>
      </c>
    </row>
    <row r="751" spans="1:5" x14ac:dyDescent="0.3">
      <c r="A751" t="s">
        <v>2331</v>
      </c>
      <c r="B751">
        <v>357816.12890625</v>
      </c>
      <c r="C751">
        <v>6668389.45703125</v>
      </c>
      <c r="D751">
        <v>24.336921691894499</v>
      </c>
      <c r="E751" t="s">
        <v>2686</v>
      </c>
    </row>
    <row r="752" spans="1:5" x14ac:dyDescent="0.3">
      <c r="A752" t="s">
        <v>199</v>
      </c>
      <c r="B752">
        <v>357712.3125</v>
      </c>
      <c r="C752">
        <v>6668400.66015625</v>
      </c>
      <c r="D752">
        <v>22.2642498016357</v>
      </c>
      <c r="E752" t="s">
        <v>2685</v>
      </c>
    </row>
    <row r="753" spans="1:5" x14ac:dyDescent="0.3">
      <c r="A753" t="s">
        <v>2320</v>
      </c>
      <c r="B753">
        <v>363438.4609375</v>
      </c>
      <c r="C753">
        <v>6672051.578125</v>
      </c>
      <c r="D753">
        <v>14.882793426513601</v>
      </c>
      <c r="E753" t="s">
        <v>2686</v>
      </c>
    </row>
    <row r="754" spans="1:5" x14ac:dyDescent="0.3">
      <c r="A754" t="s">
        <v>2340</v>
      </c>
      <c r="B754">
        <v>363401.56640625</v>
      </c>
      <c r="C754">
        <v>6671911.80078125</v>
      </c>
      <c r="D754">
        <v>13.553859710693301</v>
      </c>
      <c r="E754" t="s">
        <v>2686</v>
      </c>
    </row>
    <row r="755" spans="1:5" x14ac:dyDescent="0.3">
      <c r="A755" t="s">
        <v>2329</v>
      </c>
      <c r="B755">
        <v>363397.953125</v>
      </c>
      <c r="C755">
        <v>6671919.14453125</v>
      </c>
      <c r="D755">
        <v>13.9846858978271</v>
      </c>
      <c r="E755" t="s">
        <v>2686</v>
      </c>
    </row>
    <row r="756" spans="1:5" x14ac:dyDescent="0.3">
      <c r="A756" t="s">
        <v>2344</v>
      </c>
      <c r="B756">
        <v>363489.44140625</v>
      </c>
      <c r="C756">
        <v>6672161.29296875</v>
      </c>
      <c r="D756">
        <v>12.9227437973022</v>
      </c>
      <c r="E756" t="s">
        <v>2686</v>
      </c>
    </row>
    <row r="757" spans="1:5" x14ac:dyDescent="0.3">
      <c r="A757" t="s">
        <v>2334</v>
      </c>
      <c r="B757">
        <v>362215.30859375</v>
      </c>
      <c r="C757">
        <v>6671670.3671875</v>
      </c>
      <c r="D757">
        <v>23.783287048339801</v>
      </c>
      <c r="E757" t="s">
        <v>2686</v>
      </c>
    </row>
    <row r="758" spans="1:5" x14ac:dyDescent="0.3">
      <c r="A758" t="s">
        <v>198</v>
      </c>
      <c r="B758">
        <v>362208.83203125</v>
      </c>
      <c r="C758">
        <v>6671667.76171875</v>
      </c>
      <c r="D758">
        <v>23.796634674072202</v>
      </c>
      <c r="E758" t="s">
        <v>2685</v>
      </c>
    </row>
    <row r="759" spans="1:5" x14ac:dyDescent="0.3">
      <c r="A759" t="s">
        <v>2343</v>
      </c>
      <c r="B759">
        <v>363630.72265625</v>
      </c>
      <c r="C759">
        <v>6671846.2265625</v>
      </c>
      <c r="D759">
        <v>9.5292587280273402</v>
      </c>
      <c r="E759" t="s">
        <v>2686</v>
      </c>
    </row>
    <row r="760" spans="1:5" x14ac:dyDescent="0.3">
      <c r="A760" t="s">
        <v>2335</v>
      </c>
      <c r="B760">
        <v>362415.09375</v>
      </c>
      <c r="C760">
        <v>6671445.7890625</v>
      </c>
      <c r="D760">
        <v>20.243940353393501</v>
      </c>
      <c r="E760" t="s">
        <v>2686</v>
      </c>
    </row>
    <row r="761" spans="1:5" x14ac:dyDescent="0.3">
      <c r="A761" t="s">
        <v>197</v>
      </c>
      <c r="B761">
        <v>362411.71875</v>
      </c>
      <c r="C761">
        <v>6671445.2890625</v>
      </c>
      <c r="D761">
        <v>20.250921249389599</v>
      </c>
      <c r="E761" t="s">
        <v>2685</v>
      </c>
    </row>
    <row r="762" spans="1:5" x14ac:dyDescent="0.3">
      <c r="A762" t="s">
        <v>2336</v>
      </c>
      <c r="B762">
        <v>362422.8671875</v>
      </c>
      <c r="C762">
        <v>6671448.9765625</v>
      </c>
      <c r="D762">
        <v>20.2319030761718</v>
      </c>
      <c r="E762" t="s">
        <v>2686</v>
      </c>
    </row>
    <row r="763" spans="1:5" x14ac:dyDescent="0.3">
      <c r="A763" t="s">
        <v>196</v>
      </c>
      <c r="B763">
        <v>362433.05859375</v>
      </c>
      <c r="C763">
        <v>6671451.2109375</v>
      </c>
      <c r="D763">
        <v>20.058357238769499</v>
      </c>
      <c r="E763" t="s">
        <v>2685</v>
      </c>
    </row>
    <row r="764" spans="1:5" x14ac:dyDescent="0.3">
      <c r="A764" t="s">
        <v>195</v>
      </c>
      <c r="B764">
        <v>362491.109375</v>
      </c>
      <c r="C764">
        <v>6670886.8046875</v>
      </c>
      <c r="D764">
        <v>20.347835540771399</v>
      </c>
      <c r="E764" t="s">
        <v>2685</v>
      </c>
    </row>
    <row r="765" spans="1:5" x14ac:dyDescent="0.3">
      <c r="A765" t="s">
        <v>2338</v>
      </c>
      <c r="B765">
        <v>362430.5078125</v>
      </c>
      <c r="C765">
        <v>6671580.4921875</v>
      </c>
      <c r="D765">
        <v>21.379100799560501</v>
      </c>
      <c r="E765" t="s">
        <v>2686</v>
      </c>
    </row>
    <row r="766" spans="1:5" x14ac:dyDescent="0.3">
      <c r="A766" t="s">
        <v>2339</v>
      </c>
      <c r="B766">
        <v>362636.30078125</v>
      </c>
      <c r="C766">
        <v>6670856.25</v>
      </c>
      <c r="D766">
        <v>18.3952827453613</v>
      </c>
      <c r="E766" t="s">
        <v>2686</v>
      </c>
    </row>
    <row r="767" spans="1:5" x14ac:dyDescent="0.3">
      <c r="A767" t="s">
        <v>2357</v>
      </c>
      <c r="B767">
        <v>362643.59375</v>
      </c>
      <c r="C767">
        <v>6670851.78515625</v>
      </c>
      <c r="D767">
        <v>18.212968826293899</v>
      </c>
      <c r="E767" t="s">
        <v>2686</v>
      </c>
    </row>
    <row r="768" spans="1:5" x14ac:dyDescent="0.3">
      <c r="A768" t="s">
        <v>193</v>
      </c>
      <c r="B768">
        <v>363218.54296875</v>
      </c>
      <c r="C768">
        <v>6670962.34765625</v>
      </c>
      <c r="D768">
        <v>6.4922890663146902</v>
      </c>
      <c r="E768" t="s">
        <v>2685</v>
      </c>
    </row>
    <row r="769" spans="1:5" x14ac:dyDescent="0.3">
      <c r="A769" t="s">
        <v>2638</v>
      </c>
      <c r="B769">
        <v>363493.8125</v>
      </c>
      <c r="C769">
        <v>6672190.06640625</v>
      </c>
      <c r="D769">
        <v>12.1738185882568</v>
      </c>
      <c r="E769" t="s">
        <v>2686</v>
      </c>
    </row>
    <row r="770" spans="1:5" x14ac:dyDescent="0.3">
      <c r="A770" t="s">
        <v>192</v>
      </c>
      <c r="B770">
        <v>363502.9921875</v>
      </c>
      <c r="C770">
        <v>6672187.43359375</v>
      </c>
      <c r="D770">
        <v>11.36066532135</v>
      </c>
      <c r="E770" t="s">
        <v>2685</v>
      </c>
    </row>
    <row r="771" spans="1:5" x14ac:dyDescent="0.3">
      <c r="A771" t="s">
        <v>2546</v>
      </c>
      <c r="B771">
        <v>363169.84375</v>
      </c>
      <c r="C771">
        <v>6671594.10546875</v>
      </c>
      <c r="D771">
        <v>15.2501716613769</v>
      </c>
      <c r="E771" t="s">
        <v>2686</v>
      </c>
    </row>
    <row r="772" spans="1:5" x14ac:dyDescent="0.3">
      <c r="A772" t="s">
        <v>191</v>
      </c>
      <c r="B772">
        <v>363492.046875</v>
      </c>
      <c r="C772">
        <v>6672146.3671875</v>
      </c>
      <c r="D772">
        <v>12.725313186645501</v>
      </c>
      <c r="E772" t="s">
        <v>2685</v>
      </c>
    </row>
    <row r="773" spans="1:5" x14ac:dyDescent="0.3">
      <c r="A773" t="s">
        <v>2349</v>
      </c>
      <c r="B773">
        <v>362898.29296875</v>
      </c>
      <c r="C773">
        <v>6671476.17578125</v>
      </c>
      <c r="D773">
        <v>16.448823928833001</v>
      </c>
      <c r="E773" t="s">
        <v>2686</v>
      </c>
    </row>
    <row r="774" spans="1:5" x14ac:dyDescent="0.3">
      <c r="A774" t="s">
        <v>190</v>
      </c>
      <c r="B774">
        <v>363409.8359375</v>
      </c>
      <c r="C774">
        <v>6671915.234375</v>
      </c>
      <c r="D774">
        <v>13.2772560119628</v>
      </c>
      <c r="E774" t="s">
        <v>2685</v>
      </c>
    </row>
    <row r="775" spans="1:5" x14ac:dyDescent="0.3">
      <c r="A775" t="s">
        <v>189</v>
      </c>
      <c r="B775">
        <v>363832.671875</v>
      </c>
      <c r="C775">
        <v>6671882.12890625</v>
      </c>
      <c r="D775">
        <v>23.619268417358398</v>
      </c>
      <c r="E775" t="s">
        <v>2685</v>
      </c>
    </row>
    <row r="776" spans="1:5" x14ac:dyDescent="0.3">
      <c r="A776" t="s">
        <v>2345</v>
      </c>
      <c r="B776">
        <v>363593.046875</v>
      </c>
      <c r="C776">
        <v>6672238.85546875</v>
      </c>
      <c r="D776">
        <v>8.4370965957641602</v>
      </c>
      <c r="E776" t="s">
        <v>2686</v>
      </c>
    </row>
    <row r="777" spans="1:5" x14ac:dyDescent="0.3">
      <c r="A777" t="s">
        <v>188</v>
      </c>
      <c r="B777">
        <v>363677.515625</v>
      </c>
      <c r="C777">
        <v>6672206.3125</v>
      </c>
      <c r="D777">
        <v>9.5352869033813406</v>
      </c>
      <c r="E777" t="s">
        <v>2685</v>
      </c>
    </row>
    <row r="778" spans="1:5" x14ac:dyDescent="0.3">
      <c r="A778" t="s">
        <v>2346</v>
      </c>
      <c r="B778">
        <v>362759.5546875</v>
      </c>
      <c r="C778">
        <v>6671509.0703125</v>
      </c>
      <c r="D778">
        <v>15.049939155578601</v>
      </c>
      <c r="E778" t="s">
        <v>2686</v>
      </c>
    </row>
    <row r="779" spans="1:5" x14ac:dyDescent="0.3">
      <c r="A779" t="s">
        <v>2347</v>
      </c>
      <c r="B779">
        <v>362811.703125</v>
      </c>
      <c r="C779">
        <v>6671469.68359375</v>
      </c>
      <c r="D779">
        <v>15.0912981033325</v>
      </c>
      <c r="E779" t="s">
        <v>2686</v>
      </c>
    </row>
    <row r="780" spans="1:5" x14ac:dyDescent="0.3">
      <c r="A780" t="s">
        <v>2348</v>
      </c>
      <c r="B780">
        <v>362884.390625</v>
      </c>
      <c r="C780">
        <v>6671445.1484375</v>
      </c>
      <c r="D780">
        <v>15.2366571426391</v>
      </c>
      <c r="E780" t="s">
        <v>2686</v>
      </c>
    </row>
    <row r="781" spans="1:5" x14ac:dyDescent="0.3">
      <c r="A781" t="s">
        <v>187</v>
      </c>
      <c r="B781">
        <v>362919.41015625</v>
      </c>
      <c r="C781">
        <v>6671425.6640625</v>
      </c>
      <c r="D781">
        <v>17.778406143188398</v>
      </c>
      <c r="E781" t="s">
        <v>2685</v>
      </c>
    </row>
    <row r="782" spans="1:5" x14ac:dyDescent="0.3">
      <c r="A782" t="s">
        <v>2350</v>
      </c>
      <c r="B782">
        <v>357022.51171875</v>
      </c>
      <c r="C782">
        <v>6668294.8359375</v>
      </c>
      <c r="D782">
        <v>23.790014266967699</v>
      </c>
      <c r="E782" t="s">
        <v>2686</v>
      </c>
    </row>
    <row r="783" spans="1:5" x14ac:dyDescent="0.3">
      <c r="A783" t="s">
        <v>186</v>
      </c>
      <c r="B783">
        <v>357013.97265625</v>
      </c>
      <c r="C783">
        <v>6668296.32421875</v>
      </c>
      <c r="D783">
        <v>24.8587951660156</v>
      </c>
      <c r="E783" t="s">
        <v>2685</v>
      </c>
    </row>
    <row r="784" spans="1:5" x14ac:dyDescent="0.3">
      <c r="A784" t="s">
        <v>2439</v>
      </c>
      <c r="B784">
        <v>357023.6171875</v>
      </c>
      <c r="C784">
        <v>6668275.23828125</v>
      </c>
      <c r="D784">
        <v>24.773269653320298</v>
      </c>
      <c r="E784" t="s">
        <v>2686</v>
      </c>
    </row>
    <row r="785" spans="1:5" x14ac:dyDescent="0.3">
      <c r="A785" t="s">
        <v>185</v>
      </c>
      <c r="B785">
        <v>357121.75390625</v>
      </c>
      <c r="C785">
        <v>6668035.87109375</v>
      </c>
      <c r="D785">
        <v>24.239345550537099</v>
      </c>
      <c r="E785" t="s">
        <v>2685</v>
      </c>
    </row>
    <row r="786" spans="1:5" x14ac:dyDescent="0.3">
      <c r="A786" t="s">
        <v>2353</v>
      </c>
      <c r="B786">
        <v>357128.203125</v>
      </c>
      <c r="C786">
        <v>6668017.07421875</v>
      </c>
      <c r="D786">
        <v>21.475355148315401</v>
      </c>
      <c r="E786" t="s">
        <v>2686</v>
      </c>
    </row>
    <row r="787" spans="1:5" x14ac:dyDescent="0.3">
      <c r="A787" t="s">
        <v>184</v>
      </c>
      <c r="B787">
        <v>363081.546875</v>
      </c>
      <c r="C787">
        <v>6671627.20703125</v>
      </c>
      <c r="D787">
        <v>19.2467651367187</v>
      </c>
      <c r="E787" t="s">
        <v>2685</v>
      </c>
    </row>
    <row r="788" spans="1:5" x14ac:dyDescent="0.3">
      <c r="A788" t="s">
        <v>183</v>
      </c>
      <c r="B788">
        <v>363085.9140625</v>
      </c>
      <c r="C788">
        <v>6672453.06640625</v>
      </c>
      <c r="D788">
        <v>24.4112243652343</v>
      </c>
      <c r="E788" t="s">
        <v>2685</v>
      </c>
    </row>
    <row r="789" spans="1:5" x14ac:dyDescent="0.3">
      <c r="A789" t="s">
        <v>2433</v>
      </c>
      <c r="B789">
        <v>357643.328125</v>
      </c>
      <c r="C789">
        <v>6668288.8515625</v>
      </c>
      <c r="D789">
        <v>15.5911092758178</v>
      </c>
      <c r="E789" t="s">
        <v>2686</v>
      </c>
    </row>
    <row r="790" spans="1:5" x14ac:dyDescent="0.3">
      <c r="A790" t="s">
        <v>2354</v>
      </c>
      <c r="B790">
        <v>357645.69140625</v>
      </c>
      <c r="C790">
        <v>6668166.421875</v>
      </c>
      <c r="D790">
        <v>12.9105377197265</v>
      </c>
      <c r="E790" t="s">
        <v>2686</v>
      </c>
    </row>
    <row r="791" spans="1:5" x14ac:dyDescent="0.3">
      <c r="A791" t="s">
        <v>182</v>
      </c>
      <c r="B791">
        <v>362460.28515625</v>
      </c>
      <c r="C791">
        <v>6671350.16015625</v>
      </c>
      <c r="D791">
        <v>17.483913421630799</v>
      </c>
      <c r="E791" t="s">
        <v>2685</v>
      </c>
    </row>
    <row r="792" spans="1:5" x14ac:dyDescent="0.3">
      <c r="A792" t="s">
        <v>181</v>
      </c>
      <c r="B792">
        <v>362382.0078125</v>
      </c>
      <c r="C792">
        <v>6671375.046875</v>
      </c>
      <c r="D792">
        <v>18.3417243957519</v>
      </c>
      <c r="E792" t="s">
        <v>2685</v>
      </c>
    </row>
    <row r="793" spans="1:5" x14ac:dyDescent="0.3">
      <c r="A793" t="s">
        <v>2037</v>
      </c>
      <c r="B793">
        <v>357123.66796875</v>
      </c>
      <c r="C793">
        <v>6667883.90234375</v>
      </c>
      <c r="D793">
        <v>15.383877754211399</v>
      </c>
      <c r="E793" t="s">
        <v>2686</v>
      </c>
    </row>
    <row r="794" spans="1:5" x14ac:dyDescent="0.3">
      <c r="A794" t="s">
        <v>2355</v>
      </c>
      <c r="B794">
        <v>362876.0625</v>
      </c>
      <c r="C794">
        <v>6671175.26171875</v>
      </c>
      <c r="D794">
        <v>15.0094347000122</v>
      </c>
      <c r="E794" t="s">
        <v>2686</v>
      </c>
    </row>
    <row r="795" spans="1:5" x14ac:dyDescent="0.3">
      <c r="A795" t="s">
        <v>180</v>
      </c>
      <c r="B795">
        <v>362966.73828125</v>
      </c>
      <c r="C795">
        <v>6671456.640625</v>
      </c>
      <c r="D795">
        <v>18.616846084594702</v>
      </c>
      <c r="E795" t="s">
        <v>2685</v>
      </c>
    </row>
    <row r="796" spans="1:5" x14ac:dyDescent="0.3">
      <c r="A796" t="s">
        <v>2356</v>
      </c>
      <c r="B796">
        <v>363060.265625</v>
      </c>
      <c r="C796">
        <v>6671521.87109375</v>
      </c>
      <c r="D796">
        <v>22.35178565979</v>
      </c>
      <c r="E796" t="s">
        <v>2686</v>
      </c>
    </row>
    <row r="797" spans="1:5" x14ac:dyDescent="0.3">
      <c r="A797" t="s">
        <v>179</v>
      </c>
      <c r="B797">
        <v>362647.47265625</v>
      </c>
      <c r="C797">
        <v>6670858.41796875</v>
      </c>
      <c r="D797">
        <v>18.0951614379882</v>
      </c>
      <c r="E797" t="s">
        <v>2685</v>
      </c>
    </row>
    <row r="798" spans="1:5" x14ac:dyDescent="0.3">
      <c r="A798" t="s">
        <v>178</v>
      </c>
      <c r="B798">
        <v>362640.94140625</v>
      </c>
      <c r="C798">
        <v>6670847.96875</v>
      </c>
      <c r="D798">
        <v>18.255466461181602</v>
      </c>
      <c r="E798" t="s">
        <v>2685</v>
      </c>
    </row>
    <row r="799" spans="1:5" x14ac:dyDescent="0.3">
      <c r="A799" t="s">
        <v>177</v>
      </c>
      <c r="B799">
        <v>362631.74609375</v>
      </c>
      <c r="C799">
        <v>6670798.24609375</v>
      </c>
      <c r="D799">
        <v>17.942516326904201</v>
      </c>
      <c r="E799" t="s">
        <v>2685</v>
      </c>
    </row>
    <row r="800" spans="1:5" x14ac:dyDescent="0.3">
      <c r="A800" t="s">
        <v>176</v>
      </c>
      <c r="B800">
        <v>362401.796875</v>
      </c>
      <c r="C800">
        <v>6671594.48828125</v>
      </c>
      <c r="D800">
        <v>21.1249389648437</v>
      </c>
      <c r="E800" t="s">
        <v>2685</v>
      </c>
    </row>
    <row r="801" spans="1:5" x14ac:dyDescent="0.3">
      <c r="A801" t="s">
        <v>2358</v>
      </c>
      <c r="B801">
        <v>363396.23046875</v>
      </c>
      <c r="C801">
        <v>6671916.30078125</v>
      </c>
      <c r="D801">
        <v>13.945569992065399</v>
      </c>
      <c r="E801" t="s">
        <v>2686</v>
      </c>
    </row>
    <row r="802" spans="1:5" x14ac:dyDescent="0.3">
      <c r="A802" t="s">
        <v>175</v>
      </c>
      <c r="B802">
        <v>363408.03125</v>
      </c>
      <c r="C802">
        <v>6671868.3125</v>
      </c>
      <c r="D802">
        <v>12.0186157226562</v>
      </c>
      <c r="E802" t="s">
        <v>2685</v>
      </c>
    </row>
    <row r="803" spans="1:5" x14ac:dyDescent="0.3">
      <c r="A803" t="s">
        <v>174</v>
      </c>
      <c r="B803">
        <v>363248.17578125</v>
      </c>
      <c r="C803">
        <v>6672176.9140625</v>
      </c>
      <c r="D803">
        <v>19.306404113769499</v>
      </c>
      <c r="E803" t="s">
        <v>2685</v>
      </c>
    </row>
    <row r="804" spans="1:5" x14ac:dyDescent="0.3">
      <c r="A804" t="s">
        <v>173</v>
      </c>
      <c r="B804">
        <v>362678.9375</v>
      </c>
      <c r="C804">
        <v>6671124.875</v>
      </c>
      <c r="D804">
        <v>16.6398601531982</v>
      </c>
      <c r="E804" t="s">
        <v>2685</v>
      </c>
    </row>
    <row r="805" spans="1:5" x14ac:dyDescent="0.3">
      <c r="A805" t="s">
        <v>2642</v>
      </c>
      <c r="B805">
        <v>362685.90625</v>
      </c>
      <c r="C805">
        <v>6671076.46484375</v>
      </c>
      <c r="D805">
        <v>16.852708816528299</v>
      </c>
      <c r="E805" t="s">
        <v>2686</v>
      </c>
    </row>
    <row r="806" spans="1:5" x14ac:dyDescent="0.3">
      <c r="A806" t="s">
        <v>172</v>
      </c>
      <c r="B806">
        <v>363258.67578125</v>
      </c>
      <c r="C806">
        <v>6671553.2421875</v>
      </c>
      <c r="D806">
        <v>11.5918054580688</v>
      </c>
      <c r="E806" t="s">
        <v>2685</v>
      </c>
    </row>
    <row r="807" spans="1:5" x14ac:dyDescent="0.3">
      <c r="A807" t="s">
        <v>171</v>
      </c>
      <c r="B807">
        <v>363232.8984375</v>
      </c>
      <c r="C807">
        <v>6671499.11328125</v>
      </c>
      <c r="D807">
        <v>12.0980319976806</v>
      </c>
      <c r="E807" t="s">
        <v>2685</v>
      </c>
    </row>
    <row r="808" spans="1:5" x14ac:dyDescent="0.3">
      <c r="A808" t="s">
        <v>2364</v>
      </c>
      <c r="B808">
        <v>363246.5</v>
      </c>
      <c r="C808">
        <v>6671517.37890625</v>
      </c>
      <c r="D808">
        <v>11.7071886062622</v>
      </c>
      <c r="E808" t="s">
        <v>2686</v>
      </c>
    </row>
    <row r="809" spans="1:5" x14ac:dyDescent="0.3">
      <c r="A809" t="s">
        <v>169</v>
      </c>
      <c r="B809">
        <v>363056.6171875</v>
      </c>
      <c r="C809">
        <v>6671513.97265625</v>
      </c>
      <c r="D809">
        <v>22.045526504516602</v>
      </c>
      <c r="E809" t="s">
        <v>2685</v>
      </c>
    </row>
    <row r="810" spans="1:5" x14ac:dyDescent="0.3">
      <c r="A810" t="s">
        <v>2365</v>
      </c>
      <c r="B810">
        <v>357832.35546875</v>
      </c>
      <c r="C810">
        <v>6667456.11328125</v>
      </c>
      <c r="D810">
        <v>8.6976213455200195</v>
      </c>
      <c r="E810" t="s">
        <v>2686</v>
      </c>
    </row>
    <row r="811" spans="1:5" x14ac:dyDescent="0.3">
      <c r="A811" t="s">
        <v>2366</v>
      </c>
      <c r="B811">
        <v>356968.17578125</v>
      </c>
      <c r="C811">
        <v>6668453.5703125</v>
      </c>
      <c r="D811">
        <v>30.536005020141602</v>
      </c>
      <c r="E811" t="s">
        <v>2686</v>
      </c>
    </row>
    <row r="812" spans="1:5" x14ac:dyDescent="0.3">
      <c r="A812" t="s">
        <v>168</v>
      </c>
      <c r="B812">
        <v>356966.7109375</v>
      </c>
      <c r="C812">
        <v>6668471.2578125</v>
      </c>
      <c r="D812">
        <v>30.892168045043899</v>
      </c>
      <c r="E812" t="s">
        <v>2685</v>
      </c>
    </row>
    <row r="813" spans="1:5" x14ac:dyDescent="0.3">
      <c r="A813" t="s">
        <v>2367</v>
      </c>
      <c r="B813">
        <v>356973.51171875</v>
      </c>
      <c r="C813">
        <v>6668453.58984375</v>
      </c>
      <c r="D813">
        <v>29.8361797332763</v>
      </c>
      <c r="E813" t="s">
        <v>2686</v>
      </c>
    </row>
    <row r="814" spans="1:5" x14ac:dyDescent="0.3">
      <c r="A814" t="s">
        <v>2368</v>
      </c>
      <c r="B814">
        <v>356975.66796875</v>
      </c>
      <c r="C814">
        <v>6668442.4453125</v>
      </c>
      <c r="D814">
        <v>29.098903656005799</v>
      </c>
      <c r="E814" t="s">
        <v>2686</v>
      </c>
    </row>
    <row r="815" spans="1:5" x14ac:dyDescent="0.3">
      <c r="A815" t="s">
        <v>167</v>
      </c>
      <c r="B815">
        <v>356971.0078125</v>
      </c>
      <c r="C815">
        <v>6668441.09375</v>
      </c>
      <c r="D815">
        <v>29.610649108886701</v>
      </c>
      <c r="E815" t="s">
        <v>2685</v>
      </c>
    </row>
    <row r="816" spans="1:5" x14ac:dyDescent="0.3">
      <c r="A816" t="s">
        <v>2369</v>
      </c>
      <c r="B816">
        <v>356968.0859375</v>
      </c>
      <c r="C816">
        <v>6668410.02734375</v>
      </c>
      <c r="D816">
        <v>28.820102691650298</v>
      </c>
      <c r="E816" t="s">
        <v>2686</v>
      </c>
    </row>
    <row r="817" spans="1:5" x14ac:dyDescent="0.3">
      <c r="A817" t="s">
        <v>2518</v>
      </c>
      <c r="B817">
        <v>356972.4140625</v>
      </c>
      <c r="C817">
        <v>6668395.0390625</v>
      </c>
      <c r="D817">
        <v>29.0306682586669</v>
      </c>
      <c r="E817" t="s">
        <v>2686</v>
      </c>
    </row>
    <row r="818" spans="1:5" x14ac:dyDescent="0.3">
      <c r="A818" t="s">
        <v>2370</v>
      </c>
      <c r="B818">
        <v>357009.56640625</v>
      </c>
      <c r="C818">
        <v>6668413.046875</v>
      </c>
      <c r="D818">
        <v>26.3345336914062</v>
      </c>
      <c r="E818" t="s">
        <v>2686</v>
      </c>
    </row>
    <row r="819" spans="1:5" x14ac:dyDescent="0.3">
      <c r="A819" t="s">
        <v>166</v>
      </c>
      <c r="B819">
        <v>357003.0546875</v>
      </c>
      <c r="C819">
        <v>6668426.06640625</v>
      </c>
      <c r="D819">
        <v>26.6920146942138</v>
      </c>
      <c r="E819" t="s">
        <v>2685</v>
      </c>
    </row>
    <row r="820" spans="1:5" x14ac:dyDescent="0.3">
      <c r="A820" t="s">
        <v>165</v>
      </c>
      <c r="B820">
        <v>357844.8359375</v>
      </c>
      <c r="C820">
        <v>6668972.22265625</v>
      </c>
      <c r="D820">
        <v>18.8674411773681</v>
      </c>
      <c r="E820" t="s">
        <v>2685</v>
      </c>
    </row>
    <row r="821" spans="1:5" x14ac:dyDescent="0.3">
      <c r="A821" t="s">
        <v>164</v>
      </c>
      <c r="B821">
        <v>357336.33984375</v>
      </c>
      <c r="C821">
        <v>6668455.69140625</v>
      </c>
      <c r="D821">
        <v>20.5198879241943</v>
      </c>
      <c r="E821" t="s">
        <v>2685</v>
      </c>
    </row>
    <row r="822" spans="1:5" x14ac:dyDescent="0.3">
      <c r="A822" t="s">
        <v>1998</v>
      </c>
      <c r="B822">
        <v>359700.69921875</v>
      </c>
      <c r="C822">
        <v>6667776.79296875</v>
      </c>
      <c r="D822">
        <v>18.444557189941399</v>
      </c>
      <c r="E822" t="s">
        <v>2686</v>
      </c>
    </row>
    <row r="823" spans="1:5" x14ac:dyDescent="0.3">
      <c r="A823" t="s">
        <v>163</v>
      </c>
      <c r="B823">
        <v>357975.27734375</v>
      </c>
      <c r="C823">
        <v>6668472.60546875</v>
      </c>
      <c r="D823">
        <v>22.792282104492099</v>
      </c>
      <c r="E823" t="s">
        <v>2685</v>
      </c>
    </row>
    <row r="824" spans="1:5" x14ac:dyDescent="0.3">
      <c r="A824" t="s">
        <v>2371</v>
      </c>
      <c r="B824">
        <v>358014.21484375</v>
      </c>
      <c r="C824">
        <v>6668519.55078125</v>
      </c>
      <c r="D824">
        <v>21.801050186157202</v>
      </c>
      <c r="E824" t="s">
        <v>2686</v>
      </c>
    </row>
    <row r="825" spans="1:5" x14ac:dyDescent="0.3">
      <c r="A825" t="s">
        <v>162</v>
      </c>
      <c r="B825">
        <v>357529.109375</v>
      </c>
      <c r="C825">
        <v>6667936.12109375</v>
      </c>
      <c r="D825">
        <v>18.588037490844702</v>
      </c>
      <c r="E825" t="s">
        <v>2685</v>
      </c>
    </row>
    <row r="826" spans="1:5" x14ac:dyDescent="0.3">
      <c r="A826" t="s">
        <v>2372</v>
      </c>
      <c r="B826">
        <v>357492.13671875</v>
      </c>
      <c r="C826">
        <v>6667984.08984375</v>
      </c>
      <c r="D826">
        <v>24.639184951782202</v>
      </c>
      <c r="E826" t="s">
        <v>2686</v>
      </c>
    </row>
    <row r="827" spans="1:5" x14ac:dyDescent="0.3">
      <c r="A827" t="s">
        <v>161</v>
      </c>
      <c r="B827">
        <v>357058.69921875</v>
      </c>
      <c r="C827">
        <v>6668037.4375</v>
      </c>
      <c r="D827">
        <v>19.072088241577099</v>
      </c>
      <c r="E827" t="s">
        <v>2685</v>
      </c>
    </row>
    <row r="828" spans="1:5" x14ac:dyDescent="0.3">
      <c r="A828" t="s">
        <v>2374</v>
      </c>
      <c r="B828">
        <v>357046.20703125</v>
      </c>
      <c r="C828">
        <v>6668020.31640625</v>
      </c>
      <c r="D828">
        <v>18.7801208496093</v>
      </c>
      <c r="E828" t="s">
        <v>2686</v>
      </c>
    </row>
    <row r="829" spans="1:5" x14ac:dyDescent="0.3">
      <c r="A829" t="s">
        <v>2379</v>
      </c>
      <c r="B829">
        <v>357561</v>
      </c>
      <c r="C829">
        <v>6668165.00390625</v>
      </c>
      <c r="D829">
        <v>14.493196487426699</v>
      </c>
      <c r="E829" t="s">
        <v>2686</v>
      </c>
    </row>
    <row r="830" spans="1:5" x14ac:dyDescent="0.3">
      <c r="A830" t="s">
        <v>1977</v>
      </c>
      <c r="B830">
        <v>357643.84375</v>
      </c>
      <c r="C830">
        <v>6668122.16015625</v>
      </c>
      <c r="D830">
        <v>13.160289764404199</v>
      </c>
      <c r="E830" t="s">
        <v>2686</v>
      </c>
    </row>
    <row r="831" spans="1:5" x14ac:dyDescent="0.3">
      <c r="A831" t="s">
        <v>160</v>
      </c>
      <c r="B831">
        <v>357632.0859375</v>
      </c>
      <c r="C831">
        <v>6668122.22265625</v>
      </c>
      <c r="D831">
        <v>13.3835535049438</v>
      </c>
      <c r="E831" t="s">
        <v>2685</v>
      </c>
    </row>
    <row r="832" spans="1:5" x14ac:dyDescent="0.3">
      <c r="A832" t="s">
        <v>2375</v>
      </c>
      <c r="B832">
        <v>357661.66015625</v>
      </c>
      <c r="C832">
        <v>6668009.73046875</v>
      </c>
      <c r="D832">
        <v>10.4115543365478</v>
      </c>
      <c r="E832" t="s">
        <v>2686</v>
      </c>
    </row>
    <row r="833" spans="1:5" x14ac:dyDescent="0.3">
      <c r="A833" t="s">
        <v>2376</v>
      </c>
      <c r="B833">
        <v>357627.9921875</v>
      </c>
      <c r="C833">
        <v>6668006.7421875</v>
      </c>
      <c r="D833">
        <v>11.0548286437988</v>
      </c>
      <c r="E833" t="s">
        <v>2686</v>
      </c>
    </row>
    <row r="834" spans="1:5" x14ac:dyDescent="0.3">
      <c r="A834" t="s">
        <v>159</v>
      </c>
      <c r="B834">
        <v>357625.4296875</v>
      </c>
      <c r="C834">
        <v>6668014.04296875</v>
      </c>
      <c r="D834">
        <v>11.691789627075099</v>
      </c>
      <c r="E834" t="s">
        <v>2685</v>
      </c>
    </row>
    <row r="835" spans="1:5" x14ac:dyDescent="0.3">
      <c r="A835" t="s">
        <v>158</v>
      </c>
      <c r="B835">
        <v>357626.65234375</v>
      </c>
      <c r="C835">
        <v>6667999.4453125</v>
      </c>
      <c r="D835">
        <v>10.7009115219116</v>
      </c>
      <c r="E835" t="s">
        <v>2685</v>
      </c>
    </row>
    <row r="836" spans="1:5" x14ac:dyDescent="0.3">
      <c r="A836" t="s">
        <v>2378</v>
      </c>
      <c r="B836">
        <v>357664.140625</v>
      </c>
      <c r="C836">
        <v>6667962.2578125</v>
      </c>
      <c r="D836">
        <v>8.9833993911743093</v>
      </c>
      <c r="E836" t="s">
        <v>2686</v>
      </c>
    </row>
    <row r="837" spans="1:5" x14ac:dyDescent="0.3">
      <c r="A837" t="s">
        <v>157</v>
      </c>
      <c r="B837">
        <v>357671.34765625</v>
      </c>
      <c r="C837">
        <v>6667962.73828125</v>
      </c>
      <c r="D837">
        <v>8.9138698577880806</v>
      </c>
      <c r="E837" t="s">
        <v>2685</v>
      </c>
    </row>
    <row r="838" spans="1:5" x14ac:dyDescent="0.3">
      <c r="A838" t="s">
        <v>156</v>
      </c>
      <c r="B838">
        <v>357630.4921875</v>
      </c>
      <c r="C838">
        <v>6667959.61328125</v>
      </c>
      <c r="D838">
        <v>9.0994148254394496</v>
      </c>
      <c r="E838" t="s">
        <v>2685</v>
      </c>
    </row>
    <row r="839" spans="1:5" x14ac:dyDescent="0.3">
      <c r="A839" t="s">
        <v>2377</v>
      </c>
      <c r="B839">
        <v>357664.078125</v>
      </c>
      <c r="C839">
        <v>6667963.6640625</v>
      </c>
      <c r="D839">
        <v>9.0113897323608398</v>
      </c>
      <c r="E839" t="s">
        <v>2686</v>
      </c>
    </row>
    <row r="840" spans="1:5" x14ac:dyDescent="0.3">
      <c r="A840" t="s">
        <v>2380</v>
      </c>
      <c r="B840">
        <v>357526.5078125</v>
      </c>
      <c r="C840">
        <v>6668162.6875</v>
      </c>
      <c r="D840">
        <v>15.1729173660278</v>
      </c>
      <c r="E840" t="s">
        <v>2686</v>
      </c>
    </row>
    <row r="841" spans="1:5" x14ac:dyDescent="0.3">
      <c r="A841" t="s">
        <v>155</v>
      </c>
      <c r="B841">
        <v>357524.59765625</v>
      </c>
      <c r="C841">
        <v>6668169.28125</v>
      </c>
      <c r="D841">
        <v>15.1782617568969</v>
      </c>
      <c r="E841" t="s">
        <v>2685</v>
      </c>
    </row>
    <row r="842" spans="1:5" x14ac:dyDescent="0.3">
      <c r="A842" t="s">
        <v>2381</v>
      </c>
      <c r="B842">
        <v>357536.7734375</v>
      </c>
      <c r="C842">
        <v>6668163.58203125</v>
      </c>
      <c r="D842">
        <v>15.016357421875</v>
      </c>
      <c r="E842" t="s">
        <v>2686</v>
      </c>
    </row>
    <row r="843" spans="1:5" x14ac:dyDescent="0.3">
      <c r="A843" t="s">
        <v>154</v>
      </c>
      <c r="B843">
        <v>357537.91015625</v>
      </c>
      <c r="C843">
        <v>6668146.42578125</v>
      </c>
      <c r="D843">
        <v>15.173505783081</v>
      </c>
      <c r="E843" t="s">
        <v>2685</v>
      </c>
    </row>
    <row r="844" spans="1:5" x14ac:dyDescent="0.3">
      <c r="A844" t="s">
        <v>153</v>
      </c>
      <c r="B844">
        <v>357501.8203125</v>
      </c>
      <c r="C844">
        <v>6668179.2109375</v>
      </c>
      <c r="D844">
        <v>15.200787544250399</v>
      </c>
      <c r="E844" t="s">
        <v>2685</v>
      </c>
    </row>
    <row r="845" spans="1:5" x14ac:dyDescent="0.3">
      <c r="A845" t="s">
        <v>152</v>
      </c>
      <c r="B845">
        <v>359509.76953125</v>
      </c>
      <c r="C845">
        <v>6667756.66796875</v>
      </c>
      <c r="D845">
        <v>16.2387580871582</v>
      </c>
      <c r="E845" t="s">
        <v>2685</v>
      </c>
    </row>
    <row r="846" spans="1:5" x14ac:dyDescent="0.3">
      <c r="A846" t="s">
        <v>2506</v>
      </c>
      <c r="B846">
        <v>359481.8125</v>
      </c>
      <c r="C846">
        <v>6667564.0546875</v>
      </c>
      <c r="D846">
        <v>14.200878143310501</v>
      </c>
      <c r="E846" t="s">
        <v>2686</v>
      </c>
    </row>
    <row r="847" spans="1:5" x14ac:dyDescent="0.3">
      <c r="A847" t="s">
        <v>2382</v>
      </c>
      <c r="B847">
        <v>357085.9453125</v>
      </c>
      <c r="C847">
        <v>6668412.53125</v>
      </c>
      <c r="D847">
        <v>23.373632431030199</v>
      </c>
      <c r="E847" t="s">
        <v>2686</v>
      </c>
    </row>
    <row r="848" spans="1:5" x14ac:dyDescent="0.3">
      <c r="A848" t="s">
        <v>151</v>
      </c>
      <c r="B848">
        <v>357082.24609375</v>
      </c>
      <c r="C848">
        <v>6668412.48046875</v>
      </c>
      <c r="D848">
        <v>23.515129089355401</v>
      </c>
      <c r="E848" t="s">
        <v>2685</v>
      </c>
    </row>
    <row r="849" spans="1:5" x14ac:dyDescent="0.3">
      <c r="A849" t="s">
        <v>2383</v>
      </c>
      <c r="B849">
        <v>357357.1015625</v>
      </c>
      <c r="C849">
        <v>6668507.59765625</v>
      </c>
      <c r="D849">
        <v>20.182888031005799</v>
      </c>
      <c r="E849" t="s">
        <v>2686</v>
      </c>
    </row>
    <row r="850" spans="1:5" x14ac:dyDescent="0.3">
      <c r="A850" t="s">
        <v>150</v>
      </c>
      <c r="B850">
        <v>357867.4453125</v>
      </c>
      <c r="C850">
        <v>6668521.05078125</v>
      </c>
      <c r="D850">
        <v>33.3661499023437</v>
      </c>
      <c r="E850" t="s">
        <v>2685</v>
      </c>
    </row>
    <row r="851" spans="1:5" x14ac:dyDescent="0.3">
      <c r="A851" t="s">
        <v>2393</v>
      </c>
      <c r="B851">
        <v>356870.89453125</v>
      </c>
      <c r="C851">
        <v>6668047.25390625</v>
      </c>
      <c r="D851">
        <v>18.432897567748999</v>
      </c>
      <c r="E851" t="s">
        <v>2686</v>
      </c>
    </row>
    <row r="852" spans="1:5" x14ac:dyDescent="0.3">
      <c r="A852" t="s">
        <v>2352</v>
      </c>
      <c r="B852">
        <v>356924.75</v>
      </c>
      <c r="C852">
        <v>6667985.41796875</v>
      </c>
      <c r="D852">
        <v>18.355812072753899</v>
      </c>
      <c r="E852" t="s">
        <v>2686</v>
      </c>
    </row>
    <row r="853" spans="1:5" x14ac:dyDescent="0.3">
      <c r="A853" t="s">
        <v>149</v>
      </c>
      <c r="B853">
        <v>356967.8203125</v>
      </c>
      <c r="C853">
        <v>6667994.51171875</v>
      </c>
      <c r="D853">
        <v>18.546318054199201</v>
      </c>
      <c r="E853" t="s">
        <v>2685</v>
      </c>
    </row>
    <row r="854" spans="1:5" x14ac:dyDescent="0.3">
      <c r="A854" t="s">
        <v>2385</v>
      </c>
      <c r="B854">
        <v>357513.375</v>
      </c>
      <c r="C854">
        <v>6667430.484375</v>
      </c>
      <c r="D854">
        <v>6.7605900764465297</v>
      </c>
      <c r="E854" t="s">
        <v>2686</v>
      </c>
    </row>
    <row r="855" spans="1:5" x14ac:dyDescent="0.3">
      <c r="A855" t="s">
        <v>2565</v>
      </c>
      <c r="B855">
        <v>357523.01953125</v>
      </c>
      <c r="C855">
        <v>6667429.34375</v>
      </c>
      <c r="D855">
        <v>6.7537817955017001</v>
      </c>
      <c r="E855" t="s">
        <v>2686</v>
      </c>
    </row>
    <row r="856" spans="1:5" x14ac:dyDescent="0.3">
      <c r="A856" t="s">
        <v>2505</v>
      </c>
      <c r="B856">
        <v>359665.55078125</v>
      </c>
      <c r="C856">
        <v>6667725.3828125</v>
      </c>
      <c r="D856">
        <v>17.699415206909102</v>
      </c>
      <c r="E856" t="s">
        <v>2686</v>
      </c>
    </row>
    <row r="857" spans="1:5" x14ac:dyDescent="0.3">
      <c r="A857" t="s">
        <v>2463</v>
      </c>
      <c r="B857">
        <v>357674.5390625</v>
      </c>
      <c r="C857">
        <v>6667857.6875</v>
      </c>
      <c r="D857">
        <v>8.3388452529907209</v>
      </c>
      <c r="E857" t="s">
        <v>2686</v>
      </c>
    </row>
    <row r="858" spans="1:5" x14ac:dyDescent="0.3">
      <c r="A858" t="s">
        <v>148</v>
      </c>
      <c r="B858">
        <v>357698.12890625</v>
      </c>
      <c r="C858">
        <v>6667825.60546875</v>
      </c>
      <c r="D858">
        <v>8.2197504043579102</v>
      </c>
      <c r="E858" t="s">
        <v>2685</v>
      </c>
    </row>
    <row r="859" spans="1:5" x14ac:dyDescent="0.3">
      <c r="A859" t="s">
        <v>2387</v>
      </c>
      <c r="B859">
        <v>357681.53125</v>
      </c>
      <c r="C859">
        <v>6667826.359375</v>
      </c>
      <c r="D859">
        <v>8.3064804077148402</v>
      </c>
      <c r="E859" t="s">
        <v>2686</v>
      </c>
    </row>
    <row r="860" spans="1:5" x14ac:dyDescent="0.3">
      <c r="A860" t="s">
        <v>2388</v>
      </c>
      <c r="B860">
        <v>357624.2734375</v>
      </c>
      <c r="C860">
        <v>6667613.7734375</v>
      </c>
      <c r="D860">
        <v>8.4229955673217702</v>
      </c>
      <c r="E860" t="s">
        <v>2686</v>
      </c>
    </row>
    <row r="861" spans="1:5" x14ac:dyDescent="0.3">
      <c r="A861" t="s">
        <v>147</v>
      </c>
      <c r="B861">
        <v>357628.55859375</v>
      </c>
      <c r="C861">
        <v>6667623.66796875</v>
      </c>
      <c r="D861">
        <v>8.5963487625121999</v>
      </c>
      <c r="E861" t="s">
        <v>2685</v>
      </c>
    </row>
    <row r="862" spans="1:5" x14ac:dyDescent="0.3">
      <c r="A862" t="s">
        <v>2390</v>
      </c>
      <c r="B862">
        <v>356818.140625</v>
      </c>
      <c r="C862">
        <v>6668011.2109375</v>
      </c>
      <c r="D862">
        <v>17.936458587646399</v>
      </c>
      <c r="E862" t="s">
        <v>2686</v>
      </c>
    </row>
    <row r="863" spans="1:5" x14ac:dyDescent="0.3">
      <c r="A863" t="s">
        <v>146</v>
      </c>
      <c r="B863">
        <v>356819.99609375</v>
      </c>
      <c r="C863">
        <v>6668005.40234375</v>
      </c>
      <c r="D863">
        <v>17.867113113403299</v>
      </c>
      <c r="E863" t="s">
        <v>2685</v>
      </c>
    </row>
    <row r="864" spans="1:5" x14ac:dyDescent="0.3">
      <c r="A864" t="s">
        <v>2391</v>
      </c>
      <c r="B864">
        <v>356828.2734375</v>
      </c>
      <c r="C864">
        <v>6668032.390625</v>
      </c>
      <c r="D864">
        <v>18.243770599365199</v>
      </c>
      <c r="E864" t="s">
        <v>2686</v>
      </c>
    </row>
    <row r="865" spans="1:5" x14ac:dyDescent="0.3">
      <c r="A865" t="s">
        <v>145</v>
      </c>
      <c r="B865">
        <v>356830.671875</v>
      </c>
      <c r="C865">
        <v>6668040.10546875</v>
      </c>
      <c r="D865">
        <v>18.407903671264599</v>
      </c>
      <c r="E865" t="s">
        <v>2685</v>
      </c>
    </row>
    <row r="866" spans="1:5" x14ac:dyDescent="0.3">
      <c r="A866" t="s">
        <v>144</v>
      </c>
      <c r="B866">
        <v>356820.2890625</v>
      </c>
      <c r="C866">
        <v>6668041.30078125</v>
      </c>
      <c r="D866">
        <v>18.491289138793899</v>
      </c>
      <c r="E866" t="s">
        <v>2685</v>
      </c>
    </row>
    <row r="867" spans="1:5" x14ac:dyDescent="0.3">
      <c r="A867" t="s">
        <v>143</v>
      </c>
      <c r="B867">
        <v>356856.96875</v>
      </c>
      <c r="C867">
        <v>6668022.10546875</v>
      </c>
      <c r="D867">
        <v>17.905565261840799</v>
      </c>
      <c r="E867" t="s">
        <v>2685</v>
      </c>
    </row>
    <row r="868" spans="1:5" x14ac:dyDescent="0.3">
      <c r="A868" t="s">
        <v>2392</v>
      </c>
      <c r="B868">
        <v>356853.2734375</v>
      </c>
      <c r="C868">
        <v>6668040.1640625</v>
      </c>
      <c r="D868">
        <v>18.334030151367099</v>
      </c>
      <c r="E868" t="s">
        <v>2686</v>
      </c>
    </row>
    <row r="869" spans="1:5" x14ac:dyDescent="0.3">
      <c r="A869" t="s">
        <v>142</v>
      </c>
      <c r="B869">
        <v>356857.73828125</v>
      </c>
      <c r="C869">
        <v>6668062.91796875</v>
      </c>
      <c r="D869">
        <v>19.277883529663001</v>
      </c>
      <c r="E869" t="s">
        <v>2685</v>
      </c>
    </row>
    <row r="870" spans="1:5" x14ac:dyDescent="0.3">
      <c r="A870" t="s">
        <v>141</v>
      </c>
      <c r="B870">
        <v>356882.31640625</v>
      </c>
      <c r="C870">
        <v>6668030.89453125</v>
      </c>
      <c r="D870">
        <v>17.955154418945298</v>
      </c>
      <c r="E870" t="s">
        <v>2685</v>
      </c>
    </row>
    <row r="871" spans="1:5" x14ac:dyDescent="0.3">
      <c r="A871" t="s">
        <v>2395</v>
      </c>
      <c r="B871">
        <v>356804.8046875</v>
      </c>
      <c r="C871">
        <v>6668443.66796875</v>
      </c>
      <c r="D871">
        <v>30.455244064331001</v>
      </c>
      <c r="E871" t="s">
        <v>2686</v>
      </c>
    </row>
    <row r="872" spans="1:5" x14ac:dyDescent="0.3">
      <c r="A872" t="s">
        <v>140</v>
      </c>
      <c r="B872">
        <v>356819.32421875</v>
      </c>
      <c r="C872">
        <v>6668460.421875</v>
      </c>
      <c r="D872">
        <v>29.347642898559499</v>
      </c>
      <c r="E872" t="s">
        <v>2685</v>
      </c>
    </row>
    <row r="873" spans="1:5" x14ac:dyDescent="0.3">
      <c r="A873" t="s">
        <v>139</v>
      </c>
      <c r="B873">
        <v>356800.16015625</v>
      </c>
      <c r="C873">
        <v>6668456.96875</v>
      </c>
      <c r="D873">
        <v>29.247653961181602</v>
      </c>
      <c r="E873" t="s">
        <v>2685</v>
      </c>
    </row>
    <row r="874" spans="1:5" x14ac:dyDescent="0.3">
      <c r="A874" t="s">
        <v>138</v>
      </c>
      <c r="B874">
        <v>356794.671875</v>
      </c>
      <c r="C874">
        <v>6668418.5078125</v>
      </c>
      <c r="D874">
        <v>31.5103034973144</v>
      </c>
      <c r="E874" t="s">
        <v>2685</v>
      </c>
    </row>
    <row r="875" spans="1:5" x14ac:dyDescent="0.3">
      <c r="A875" t="s">
        <v>2396</v>
      </c>
      <c r="B875">
        <v>356810.76953125</v>
      </c>
      <c r="C875">
        <v>6668426.40625</v>
      </c>
      <c r="D875">
        <v>31.3100261688232</v>
      </c>
      <c r="E875" t="s">
        <v>2686</v>
      </c>
    </row>
    <row r="876" spans="1:5" x14ac:dyDescent="0.3">
      <c r="A876" t="s">
        <v>2397</v>
      </c>
      <c r="B876">
        <v>356816.02734375</v>
      </c>
      <c r="C876">
        <v>6668413.50390625</v>
      </c>
      <c r="D876">
        <v>31.655061721801701</v>
      </c>
      <c r="E876" t="s">
        <v>2686</v>
      </c>
    </row>
    <row r="877" spans="1:5" x14ac:dyDescent="0.3">
      <c r="A877" t="s">
        <v>137</v>
      </c>
      <c r="B877">
        <v>356827.96484375</v>
      </c>
      <c r="C877">
        <v>6668418.28515625</v>
      </c>
      <c r="D877">
        <v>31.599489212036101</v>
      </c>
      <c r="E877" t="s">
        <v>2685</v>
      </c>
    </row>
    <row r="878" spans="1:5" x14ac:dyDescent="0.3">
      <c r="A878" t="s">
        <v>136</v>
      </c>
      <c r="B878">
        <v>356816.12890625</v>
      </c>
      <c r="C878">
        <v>6668376.23828125</v>
      </c>
      <c r="D878">
        <v>31.776687622070298</v>
      </c>
      <c r="E878" t="s">
        <v>2685</v>
      </c>
    </row>
    <row r="879" spans="1:5" x14ac:dyDescent="0.3">
      <c r="A879" t="s">
        <v>2399</v>
      </c>
      <c r="B879">
        <v>356846.28125</v>
      </c>
      <c r="C879">
        <v>6668355.640625</v>
      </c>
      <c r="D879">
        <v>30.987583160400298</v>
      </c>
      <c r="E879" t="s">
        <v>2686</v>
      </c>
    </row>
    <row r="880" spans="1:5" x14ac:dyDescent="0.3">
      <c r="A880" t="s">
        <v>135</v>
      </c>
      <c r="B880">
        <v>356840.91796875</v>
      </c>
      <c r="C880">
        <v>6668353.7421875</v>
      </c>
      <c r="D880">
        <v>31.013521194458001</v>
      </c>
      <c r="E880" t="s">
        <v>2685</v>
      </c>
    </row>
    <row r="881" spans="1:5" x14ac:dyDescent="0.3">
      <c r="A881" t="s">
        <v>134</v>
      </c>
      <c r="B881">
        <v>356850.54296875</v>
      </c>
      <c r="C881">
        <v>6668353.87109375</v>
      </c>
      <c r="D881">
        <v>30.864250183105401</v>
      </c>
      <c r="E881" t="s">
        <v>2685</v>
      </c>
    </row>
    <row r="882" spans="1:5" x14ac:dyDescent="0.3">
      <c r="A882" t="s">
        <v>2511</v>
      </c>
      <c r="B882">
        <v>357644.48046875</v>
      </c>
      <c r="C882">
        <v>6668166.20703125</v>
      </c>
      <c r="D882">
        <v>12.919412612915</v>
      </c>
      <c r="E882" t="s">
        <v>2686</v>
      </c>
    </row>
    <row r="883" spans="1:5" x14ac:dyDescent="0.3">
      <c r="A883" t="s">
        <v>2548</v>
      </c>
      <c r="B883">
        <v>357152.296875</v>
      </c>
      <c r="C883">
        <v>6668294.8046875</v>
      </c>
      <c r="D883">
        <v>21.06077003479</v>
      </c>
      <c r="E883" t="s">
        <v>2686</v>
      </c>
    </row>
    <row r="884" spans="1:5" x14ac:dyDescent="0.3">
      <c r="A884" t="s">
        <v>2400</v>
      </c>
      <c r="B884">
        <v>357403.66015625</v>
      </c>
      <c r="C884">
        <v>6668015.08203125</v>
      </c>
      <c r="D884">
        <v>27.982210159301701</v>
      </c>
      <c r="E884" t="s">
        <v>2686</v>
      </c>
    </row>
    <row r="885" spans="1:5" x14ac:dyDescent="0.3">
      <c r="A885" t="s">
        <v>2472</v>
      </c>
      <c r="B885">
        <v>357387.85546875</v>
      </c>
      <c r="C885">
        <v>6668011.97265625</v>
      </c>
      <c r="D885">
        <v>28.4263000488281</v>
      </c>
      <c r="E885" t="s">
        <v>2686</v>
      </c>
    </row>
    <row r="886" spans="1:5" x14ac:dyDescent="0.3">
      <c r="A886" t="s">
        <v>133</v>
      </c>
      <c r="B886">
        <v>357325.19140625</v>
      </c>
      <c r="C886">
        <v>6668055.19921875</v>
      </c>
      <c r="D886">
        <v>28.573179244995099</v>
      </c>
      <c r="E886" t="s">
        <v>2685</v>
      </c>
    </row>
    <row r="887" spans="1:5" x14ac:dyDescent="0.3">
      <c r="A887" t="s">
        <v>2402</v>
      </c>
      <c r="B887">
        <v>357330.30859375</v>
      </c>
      <c r="C887">
        <v>6668056.71484375</v>
      </c>
      <c r="D887">
        <v>28.470069885253899</v>
      </c>
      <c r="E887" t="s">
        <v>2686</v>
      </c>
    </row>
    <row r="888" spans="1:5" x14ac:dyDescent="0.3">
      <c r="A888" t="s">
        <v>2373</v>
      </c>
      <c r="B888">
        <v>357491.32421875</v>
      </c>
      <c r="C888">
        <v>6668050.30078125</v>
      </c>
      <c r="D888">
        <v>22.2415161132812</v>
      </c>
      <c r="E888" t="s">
        <v>2686</v>
      </c>
    </row>
    <row r="889" spans="1:5" x14ac:dyDescent="0.3">
      <c r="A889" t="s">
        <v>2449</v>
      </c>
      <c r="B889">
        <v>357537.1171875</v>
      </c>
      <c r="C889">
        <v>6668066.62109375</v>
      </c>
      <c r="D889">
        <v>18.259384155273398</v>
      </c>
      <c r="E889" t="s">
        <v>2686</v>
      </c>
    </row>
    <row r="890" spans="1:5" x14ac:dyDescent="0.3">
      <c r="A890" t="s">
        <v>2403</v>
      </c>
      <c r="B890">
        <v>357098.41015625</v>
      </c>
      <c r="C890">
        <v>6667304.140625</v>
      </c>
      <c r="D890">
        <v>10.8284502029418</v>
      </c>
      <c r="E890" t="s">
        <v>2686</v>
      </c>
    </row>
    <row r="891" spans="1:5" x14ac:dyDescent="0.3">
      <c r="A891" t="s">
        <v>132</v>
      </c>
      <c r="B891">
        <v>356884.953125</v>
      </c>
      <c r="C891">
        <v>6668368.15234375</v>
      </c>
      <c r="D891">
        <v>30.309400558471602</v>
      </c>
      <c r="E891" t="s">
        <v>2685</v>
      </c>
    </row>
    <row r="892" spans="1:5" x14ac:dyDescent="0.3">
      <c r="A892" t="s">
        <v>131</v>
      </c>
      <c r="B892">
        <v>357730.1484375</v>
      </c>
      <c r="C892">
        <v>6668116.828125</v>
      </c>
      <c r="D892">
        <v>15.321551322936999</v>
      </c>
      <c r="E892" t="s">
        <v>2685</v>
      </c>
    </row>
    <row r="893" spans="1:5" x14ac:dyDescent="0.3">
      <c r="A893" t="s">
        <v>2405</v>
      </c>
      <c r="B893">
        <v>357453.0625</v>
      </c>
      <c r="C893">
        <v>6668433.80078125</v>
      </c>
      <c r="D893">
        <v>19.7842597961425</v>
      </c>
      <c r="E893" t="s">
        <v>2686</v>
      </c>
    </row>
    <row r="894" spans="1:5" x14ac:dyDescent="0.3">
      <c r="A894" t="s">
        <v>2406</v>
      </c>
      <c r="B894">
        <v>357073.8515625</v>
      </c>
      <c r="C894">
        <v>6668291.48828125</v>
      </c>
      <c r="D894">
        <v>21.008995056152301</v>
      </c>
      <c r="E894" t="s">
        <v>2686</v>
      </c>
    </row>
    <row r="895" spans="1:5" x14ac:dyDescent="0.3">
      <c r="A895" t="s">
        <v>129</v>
      </c>
      <c r="B895">
        <v>357073.90625</v>
      </c>
      <c r="C895">
        <v>6668292.6328125</v>
      </c>
      <c r="D895">
        <v>20.953647613525298</v>
      </c>
      <c r="E895" t="s">
        <v>2685</v>
      </c>
    </row>
    <row r="896" spans="1:5" x14ac:dyDescent="0.3">
      <c r="A896" t="s">
        <v>128</v>
      </c>
      <c r="B896">
        <v>359630.31640625</v>
      </c>
      <c r="C896">
        <v>6667677.44140625</v>
      </c>
      <c r="D896">
        <v>17.040779113769499</v>
      </c>
      <c r="E896" t="s">
        <v>2685</v>
      </c>
    </row>
    <row r="897" spans="1:5" x14ac:dyDescent="0.3">
      <c r="A897" t="s">
        <v>2166</v>
      </c>
      <c r="B897">
        <v>357292.20703125</v>
      </c>
      <c r="C897">
        <v>6668455.05078125</v>
      </c>
      <c r="D897">
        <v>20.9363079071044</v>
      </c>
      <c r="E897" t="s">
        <v>2686</v>
      </c>
    </row>
    <row r="898" spans="1:5" x14ac:dyDescent="0.3">
      <c r="A898" t="s">
        <v>2450</v>
      </c>
      <c r="B898">
        <v>357297.5703125</v>
      </c>
      <c r="C898">
        <v>6668454.58203125</v>
      </c>
      <c r="D898">
        <v>20.865306854248001</v>
      </c>
      <c r="E898" t="s">
        <v>2686</v>
      </c>
    </row>
    <row r="899" spans="1:5" x14ac:dyDescent="0.3">
      <c r="A899" t="s">
        <v>127</v>
      </c>
      <c r="B899">
        <v>357697.984375</v>
      </c>
      <c r="C899">
        <v>6667517.9609375</v>
      </c>
      <c r="D899">
        <v>8.84857082366943</v>
      </c>
      <c r="E899" t="s">
        <v>2685</v>
      </c>
    </row>
    <row r="900" spans="1:5" x14ac:dyDescent="0.3">
      <c r="A900" t="s">
        <v>126</v>
      </c>
      <c r="B900">
        <v>357672.56640625</v>
      </c>
      <c r="C900">
        <v>6667568.00390625</v>
      </c>
      <c r="D900">
        <v>11.797313690185501</v>
      </c>
      <c r="E900" t="s">
        <v>2685</v>
      </c>
    </row>
    <row r="901" spans="1:5" x14ac:dyDescent="0.3">
      <c r="A901" t="s">
        <v>2481</v>
      </c>
      <c r="B901">
        <v>357097.9375</v>
      </c>
      <c r="C901">
        <v>6667195.1640625</v>
      </c>
      <c r="D901">
        <v>11.660365104675201</v>
      </c>
      <c r="E901" t="s">
        <v>2686</v>
      </c>
    </row>
    <row r="902" spans="1:5" x14ac:dyDescent="0.3">
      <c r="A902" t="s">
        <v>125</v>
      </c>
      <c r="B902">
        <v>357839.35546875</v>
      </c>
      <c r="C902">
        <v>6667675.5625</v>
      </c>
      <c r="D902">
        <v>8.5178880691528303</v>
      </c>
      <c r="E902" t="s">
        <v>2685</v>
      </c>
    </row>
    <row r="903" spans="1:5" x14ac:dyDescent="0.3">
      <c r="A903" t="s">
        <v>2431</v>
      </c>
      <c r="B903">
        <v>357398.171875</v>
      </c>
      <c r="C903">
        <v>6667374.5</v>
      </c>
      <c r="D903">
        <v>5.9900002479553196</v>
      </c>
      <c r="E903" t="s">
        <v>2686</v>
      </c>
    </row>
    <row r="904" spans="1:5" x14ac:dyDescent="0.3">
      <c r="A904" t="s">
        <v>2386</v>
      </c>
      <c r="B904">
        <v>357380.6796875</v>
      </c>
      <c r="C904">
        <v>6667416.22265625</v>
      </c>
      <c r="D904">
        <v>6.5068330764770499</v>
      </c>
      <c r="E904" t="s">
        <v>2686</v>
      </c>
    </row>
    <row r="905" spans="1:5" x14ac:dyDescent="0.3">
      <c r="A905" t="s">
        <v>124</v>
      </c>
      <c r="B905">
        <v>357620.9921875</v>
      </c>
      <c r="C905">
        <v>6667609.34375</v>
      </c>
      <c r="D905">
        <v>8.2747669219970703</v>
      </c>
      <c r="E905" t="s">
        <v>2685</v>
      </c>
    </row>
    <row r="906" spans="1:5" x14ac:dyDescent="0.3">
      <c r="A906" t="s">
        <v>2514</v>
      </c>
      <c r="B906">
        <v>357918.04296875</v>
      </c>
      <c r="C906">
        <v>6667453.75390625</v>
      </c>
      <c r="D906">
        <v>9.1267175674438406</v>
      </c>
      <c r="E906" t="s">
        <v>2686</v>
      </c>
    </row>
    <row r="907" spans="1:5" x14ac:dyDescent="0.3">
      <c r="A907" t="s">
        <v>2411</v>
      </c>
      <c r="B907">
        <v>357058.62109375</v>
      </c>
      <c r="C907">
        <v>6668424.75390625</v>
      </c>
      <c r="D907">
        <v>25.055015563964801</v>
      </c>
      <c r="E907" t="s">
        <v>2686</v>
      </c>
    </row>
    <row r="908" spans="1:5" x14ac:dyDescent="0.3">
      <c r="A908" t="s">
        <v>2412</v>
      </c>
      <c r="B908">
        <v>357604.81640625</v>
      </c>
      <c r="C908">
        <v>6668348.38671875</v>
      </c>
      <c r="D908">
        <v>17.546422958373999</v>
      </c>
      <c r="E908" t="s">
        <v>2686</v>
      </c>
    </row>
    <row r="909" spans="1:5" x14ac:dyDescent="0.3">
      <c r="A909" t="s">
        <v>123</v>
      </c>
      <c r="B909">
        <v>357635.6640625</v>
      </c>
      <c r="C909">
        <v>6668372.6015625</v>
      </c>
      <c r="D909">
        <v>19.612571716308501</v>
      </c>
      <c r="E909" t="s">
        <v>2685</v>
      </c>
    </row>
    <row r="910" spans="1:5" x14ac:dyDescent="0.3">
      <c r="A910" t="s">
        <v>2413</v>
      </c>
      <c r="B910">
        <v>357270.20703125</v>
      </c>
      <c r="C910">
        <v>6668457.9375</v>
      </c>
      <c r="D910">
        <v>21.165651321411101</v>
      </c>
      <c r="E910" t="s">
        <v>2686</v>
      </c>
    </row>
    <row r="911" spans="1:5" x14ac:dyDescent="0.3">
      <c r="A911" t="s">
        <v>122</v>
      </c>
      <c r="B911">
        <v>357268.73828125</v>
      </c>
      <c r="C911">
        <v>6668449.65625</v>
      </c>
      <c r="D911">
        <v>21.4853401184082</v>
      </c>
      <c r="E911" t="s">
        <v>2685</v>
      </c>
    </row>
    <row r="912" spans="1:5" x14ac:dyDescent="0.3">
      <c r="A912" t="s">
        <v>121</v>
      </c>
      <c r="B912">
        <v>357285.73828125</v>
      </c>
      <c r="C912">
        <v>6668461.82421875</v>
      </c>
      <c r="D912">
        <v>20.799633026123001</v>
      </c>
      <c r="E912" t="s">
        <v>2685</v>
      </c>
    </row>
    <row r="913" spans="1:5" x14ac:dyDescent="0.3">
      <c r="A913" t="s">
        <v>2414</v>
      </c>
      <c r="B913">
        <v>357284.85546875</v>
      </c>
      <c r="C913">
        <v>6668455.69921875</v>
      </c>
      <c r="D913">
        <v>21.028358459472599</v>
      </c>
      <c r="E913" t="s">
        <v>2686</v>
      </c>
    </row>
    <row r="914" spans="1:5" x14ac:dyDescent="0.3">
      <c r="A914" t="s">
        <v>2384</v>
      </c>
      <c r="B914">
        <v>357157.453125</v>
      </c>
      <c r="C914">
        <v>6668476.45703125</v>
      </c>
      <c r="D914">
        <v>22.900392532348601</v>
      </c>
      <c r="E914" t="s">
        <v>2686</v>
      </c>
    </row>
    <row r="915" spans="1:5" x14ac:dyDescent="0.3">
      <c r="A915" t="s">
        <v>120</v>
      </c>
      <c r="B915">
        <v>357366.1328125</v>
      </c>
      <c r="C915">
        <v>6667758.90234375</v>
      </c>
      <c r="D915">
        <v>12.095506668090801</v>
      </c>
      <c r="E915" t="s">
        <v>2685</v>
      </c>
    </row>
    <row r="916" spans="1:5" x14ac:dyDescent="0.3">
      <c r="A916" t="s">
        <v>2547</v>
      </c>
      <c r="B916">
        <v>357381.72265625</v>
      </c>
      <c r="C916">
        <v>6667764.78125</v>
      </c>
      <c r="D916">
        <v>12.9136905670166</v>
      </c>
      <c r="E916" t="s">
        <v>2686</v>
      </c>
    </row>
    <row r="917" spans="1:5" x14ac:dyDescent="0.3">
      <c r="A917" t="s">
        <v>2415</v>
      </c>
      <c r="B917">
        <v>357356.0078125</v>
      </c>
      <c r="C917">
        <v>6667809.7890625</v>
      </c>
      <c r="D917">
        <v>15.8041620254516</v>
      </c>
      <c r="E917" t="s">
        <v>2686</v>
      </c>
    </row>
    <row r="918" spans="1:5" x14ac:dyDescent="0.3">
      <c r="A918" t="s">
        <v>119</v>
      </c>
      <c r="B918">
        <v>357358.16796875</v>
      </c>
      <c r="C918">
        <v>6667811.515625</v>
      </c>
      <c r="D918">
        <v>15.9650049209594</v>
      </c>
      <c r="E918" t="s">
        <v>2685</v>
      </c>
    </row>
    <row r="919" spans="1:5" x14ac:dyDescent="0.3">
      <c r="A919" t="s">
        <v>2473</v>
      </c>
      <c r="B919">
        <v>357449.2421875</v>
      </c>
      <c r="C919">
        <v>6668028.21484375</v>
      </c>
      <c r="D919">
        <v>25.778282165527301</v>
      </c>
      <c r="E919" t="s">
        <v>2686</v>
      </c>
    </row>
    <row r="920" spans="1:5" x14ac:dyDescent="0.3">
      <c r="A920" t="s">
        <v>118</v>
      </c>
      <c r="B920">
        <v>357340.203125</v>
      </c>
      <c r="C920">
        <v>6667826.828125</v>
      </c>
      <c r="D920">
        <v>17.064886093139599</v>
      </c>
      <c r="E920" t="s">
        <v>2685</v>
      </c>
    </row>
    <row r="921" spans="1:5" x14ac:dyDescent="0.3">
      <c r="A921" t="s">
        <v>2416</v>
      </c>
      <c r="B921">
        <v>357601.5546875</v>
      </c>
      <c r="C921">
        <v>6668344.83203125</v>
      </c>
      <c r="D921">
        <v>17.3939819335937</v>
      </c>
      <c r="E921" t="s">
        <v>2686</v>
      </c>
    </row>
    <row r="922" spans="1:5" x14ac:dyDescent="0.3">
      <c r="A922" t="s">
        <v>2417</v>
      </c>
      <c r="B922">
        <v>356843.37890625</v>
      </c>
      <c r="C922">
        <v>6668368.44921875</v>
      </c>
      <c r="D922">
        <v>31.328626632690401</v>
      </c>
      <c r="E922" t="s">
        <v>2686</v>
      </c>
    </row>
    <row r="923" spans="1:5" x14ac:dyDescent="0.3">
      <c r="A923" t="s">
        <v>2398</v>
      </c>
      <c r="B923">
        <v>356833.1484375</v>
      </c>
      <c r="C923">
        <v>6668370.046875</v>
      </c>
      <c r="D923">
        <v>31.479728698730401</v>
      </c>
      <c r="E923" t="s">
        <v>2686</v>
      </c>
    </row>
    <row r="924" spans="1:5" x14ac:dyDescent="0.3">
      <c r="A924" t="s">
        <v>2418</v>
      </c>
      <c r="B924">
        <v>356818.55859375</v>
      </c>
      <c r="C924">
        <v>6668407.29296875</v>
      </c>
      <c r="D924">
        <v>31.747444152831999</v>
      </c>
      <c r="E924" t="s">
        <v>2686</v>
      </c>
    </row>
    <row r="925" spans="1:5" x14ac:dyDescent="0.3">
      <c r="A925" t="s">
        <v>116</v>
      </c>
      <c r="B925">
        <v>356814.6171875</v>
      </c>
      <c r="C925">
        <v>6668404.48828125</v>
      </c>
      <c r="D925">
        <v>31.8145542144775</v>
      </c>
      <c r="E925" t="s">
        <v>2685</v>
      </c>
    </row>
    <row r="926" spans="1:5" x14ac:dyDescent="0.3">
      <c r="A926" t="s">
        <v>115</v>
      </c>
      <c r="B926">
        <v>356836.90625</v>
      </c>
      <c r="C926">
        <v>6668438.21484375</v>
      </c>
      <c r="D926">
        <v>31.2993774414062</v>
      </c>
      <c r="E926" t="s">
        <v>2685</v>
      </c>
    </row>
    <row r="927" spans="1:5" x14ac:dyDescent="0.3">
      <c r="A927" t="s">
        <v>2419</v>
      </c>
      <c r="B927">
        <v>356809.59375</v>
      </c>
      <c r="C927">
        <v>6668429.96484375</v>
      </c>
      <c r="D927">
        <v>31.191410064697202</v>
      </c>
      <c r="E927" t="s">
        <v>2686</v>
      </c>
    </row>
    <row r="928" spans="1:5" x14ac:dyDescent="0.3">
      <c r="A928" t="s">
        <v>114</v>
      </c>
      <c r="B928">
        <v>356802.05859375</v>
      </c>
      <c r="C928">
        <v>6668434.22265625</v>
      </c>
      <c r="D928">
        <v>30.931341171264599</v>
      </c>
      <c r="E928" t="s">
        <v>2685</v>
      </c>
    </row>
    <row r="929" spans="1:5" x14ac:dyDescent="0.3">
      <c r="A929" t="s">
        <v>113</v>
      </c>
      <c r="B929">
        <v>357595.30859375</v>
      </c>
      <c r="C929">
        <v>6668309.48828125</v>
      </c>
      <c r="D929">
        <v>16.267860412597599</v>
      </c>
      <c r="E929" t="s">
        <v>2685</v>
      </c>
    </row>
    <row r="930" spans="1:5" x14ac:dyDescent="0.3">
      <c r="A930" t="s">
        <v>112</v>
      </c>
      <c r="B930">
        <v>357576.0390625</v>
      </c>
      <c r="C930">
        <v>6668337.7734375</v>
      </c>
      <c r="D930">
        <v>17.034835815429599</v>
      </c>
      <c r="E930" t="s">
        <v>2685</v>
      </c>
    </row>
    <row r="931" spans="1:5" x14ac:dyDescent="0.3">
      <c r="A931" t="s">
        <v>2422</v>
      </c>
      <c r="B931">
        <v>357456.0078125</v>
      </c>
      <c r="C931">
        <v>6668526.55859375</v>
      </c>
      <c r="D931">
        <v>20.2317295074462</v>
      </c>
      <c r="E931" t="s">
        <v>2686</v>
      </c>
    </row>
    <row r="932" spans="1:5" x14ac:dyDescent="0.3">
      <c r="A932" t="s">
        <v>111</v>
      </c>
      <c r="B932">
        <v>357427.2421875</v>
      </c>
      <c r="C932">
        <v>6668579.76171875</v>
      </c>
      <c r="D932">
        <v>22.4344367980957</v>
      </c>
      <c r="E932" t="s">
        <v>2685</v>
      </c>
    </row>
    <row r="933" spans="1:5" x14ac:dyDescent="0.3">
      <c r="A933" t="s">
        <v>2423</v>
      </c>
      <c r="B933">
        <v>358084.6484375</v>
      </c>
      <c r="C933">
        <v>6668464.73046875</v>
      </c>
      <c r="D933">
        <v>13.735679626464799</v>
      </c>
      <c r="E933" t="s">
        <v>2686</v>
      </c>
    </row>
    <row r="934" spans="1:5" x14ac:dyDescent="0.3">
      <c r="A934" t="s">
        <v>2404</v>
      </c>
      <c r="B934">
        <v>356885.8515625</v>
      </c>
      <c r="C934">
        <v>6668380.01953125</v>
      </c>
      <c r="D934">
        <v>30.447698593139599</v>
      </c>
      <c r="E934" t="s">
        <v>2686</v>
      </c>
    </row>
    <row r="935" spans="1:5" x14ac:dyDescent="0.3">
      <c r="A935" t="s">
        <v>2424</v>
      </c>
      <c r="B935">
        <v>356884.00390625</v>
      </c>
      <c r="C935">
        <v>6668384.84765625</v>
      </c>
      <c r="D935">
        <v>30.605258941650298</v>
      </c>
      <c r="E935" t="s">
        <v>2686</v>
      </c>
    </row>
    <row r="936" spans="1:5" x14ac:dyDescent="0.3">
      <c r="A936" t="s">
        <v>110</v>
      </c>
      <c r="B936">
        <v>356876.77734375</v>
      </c>
      <c r="C936">
        <v>6668403.19921875</v>
      </c>
      <c r="D936">
        <v>31.606491088867099</v>
      </c>
      <c r="E936" t="s">
        <v>2685</v>
      </c>
    </row>
    <row r="937" spans="1:5" x14ac:dyDescent="0.3">
      <c r="A937" t="s">
        <v>2434</v>
      </c>
      <c r="B937">
        <v>356881.8984375</v>
      </c>
      <c r="C937">
        <v>6668390.19921875</v>
      </c>
      <c r="D937">
        <v>30.815090179443299</v>
      </c>
      <c r="E937" t="s">
        <v>2686</v>
      </c>
    </row>
    <row r="938" spans="1:5" x14ac:dyDescent="0.3">
      <c r="A938" t="s">
        <v>109</v>
      </c>
      <c r="B938">
        <v>357131.125</v>
      </c>
      <c r="C938">
        <v>6667873.52734375</v>
      </c>
      <c r="D938">
        <v>15.25825881958</v>
      </c>
      <c r="E938" t="s">
        <v>2685</v>
      </c>
    </row>
    <row r="939" spans="1:5" x14ac:dyDescent="0.3">
      <c r="A939" t="s">
        <v>2425</v>
      </c>
      <c r="B939">
        <v>357129.1171875</v>
      </c>
      <c r="C939">
        <v>6668432.046875</v>
      </c>
      <c r="D939">
        <v>23.515354156494102</v>
      </c>
      <c r="E939" t="s">
        <v>2686</v>
      </c>
    </row>
    <row r="940" spans="1:5" x14ac:dyDescent="0.3">
      <c r="A940" t="s">
        <v>2493</v>
      </c>
      <c r="B940">
        <v>357129.0859375</v>
      </c>
      <c r="C940">
        <v>6668433.640625</v>
      </c>
      <c r="D940">
        <v>23.577888488769499</v>
      </c>
      <c r="E940" t="s">
        <v>2686</v>
      </c>
    </row>
    <row r="941" spans="1:5" x14ac:dyDescent="0.3">
      <c r="A941" t="s">
        <v>108</v>
      </c>
      <c r="B941">
        <v>357128.32421875</v>
      </c>
      <c r="C941">
        <v>6668001.59765625</v>
      </c>
      <c r="D941">
        <v>19.508398056030199</v>
      </c>
      <c r="E941" t="s">
        <v>2685</v>
      </c>
    </row>
    <row r="942" spans="1:5" x14ac:dyDescent="0.3">
      <c r="A942" t="s">
        <v>2427</v>
      </c>
      <c r="B942">
        <v>356953.83203125</v>
      </c>
      <c r="C942">
        <v>6667821.55859375</v>
      </c>
      <c r="D942">
        <v>11.2610931396484</v>
      </c>
      <c r="E942" t="s">
        <v>2686</v>
      </c>
    </row>
    <row r="943" spans="1:5" x14ac:dyDescent="0.3">
      <c r="A943" t="s">
        <v>107</v>
      </c>
      <c r="B943">
        <v>356959.296875</v>
      </c>
      <c r="C943">
        <v>6667830.703125</v>
      </c>
      <c r="D943">
        <v>11.6104688644409</v>
      </c>
      <c r="E943" t="s">
        <v>2685</v>
      </c>
    </row>
    <row r="944" spans="1:5" x14ac:dyDescent="0.3">
      <c r="A944" t="s">
        <v>2428</v>
      </c>
      <c r="B944">
        <v>356935.00390625</v>
      </c>
      <c r="C944">
        <v>6667830.8125</v>
      </c>
      <c r="D944">
        <v>11.7407999038696</v>
      </c>
      <c r="E944" t="s">
        <v>2686</v>
      </c>
    </row>
    <row r="945" spans="1:5" x14ac:dyDescent="0.3">
      <c r="A945" t="s">
        <v>106</v>
      </c>
      <c r="B945">
        <v>356933.74609375</v>
      </c>
      <c r="C945">
        <v>6667827.6484375</v>
      </c>
      <c r="D945">
        <v>11.6376752853393</v>
      </c>
      <c r="E945" t="s">
        <v>2685</v>
      </c>
    </row>
    <row r="946" spans="1:5" x14ac:dyDescent="0.3">
      <c r="A946" t="s">
        <v>105</v>
      </c>
      <c r="B946">
        <v>356939.33984375</v>
      </c>
      <c r="C946">
        <v>6667838.09375</v>
      </c>
      <c r="D946">
        <v>12.022422790527299</v>
      </c>
      <c r="E946" t="s">
        <v>2685</v>
      </c>
    </row>
    <row r="947" spans="1:5" x14ac:dyDescent="0.3">
      <c r="A947" t="s">
        <v>2429</v>
      </c>
      <c r="B947">
        <v>356919.0703125</v>
      </c>
      <c r="C947">
        <v>6667838.671875</v>
      </c>
      <c r="D947">
        <v>12.251348495483301</v>
      </c>
      <c r="E947" t="s">
        <v>2686</v>
      </c>
    </row>
    <row r="948" spans="1:5" x14ac:dyDescent="0.3">
      <c r="A948" t="s">
        <v>2430</v>
      </c>
      <c r="B948">
        <v>356872.84765625</v>
      </c>
      <c r="C948">
        <v>6667861.4296875</v>
      </c>
      <c r="D948">
        <v>13.7469358444213</v>
      </c>
      <c r="E948" t="s">
        <v>2686</v>
      </c>
    </row>
    <row r="949" spans="1:5" x14ac:dyDescent="0.3">
      <c r="A949" t="s">
        <v>104</v>
      </c>
      <c r="B949">
        <v>356867.8671875</v>
      </c>
      <c r="C949">
        <v>6667858.9140625</v>
      </c>
      <c r="D949">
        <v>13.742434501647899</v>
      </c>
      <c r="E949" t="s">
        <v>2685</v>
      </c>
    </row>
    <row r="950" spans="1:5" x14ac:dyDescent="0.3">
      <c r="A950" t="s">
        <v>103</v>
      </c>
      <c r="B950">
        <v>356888.66015625</v>
      </c>
      <c r="C950">
        <v>6667878.51953125</v>
      </c>
      <c r="D950">
        <v>14.8942651748657</v>
      </c>
      <c r="E950" t="s">
        <v>2685</v>
      </c>
    </row>
    <row r="951" spans="1:5" x14ac:dyDescent="0.3">
      <c r="A951" t="s">
        <v>102</v>
      </c>
      <c r="B951">
        <v>357419.19140625</v>
      </c>
      <c r="C951">
        <v>6667366.92578125</v>
      </c>
      <c r="D951">
        <v>6.0288348197937003</v>
      </c>
      <c r="E951" t="s">
        <v>2685</v>
      </c>
    </row>
    <row r="952" spans="1:5" x14ac:dyDescent="0.3">
      <c r="A952" t="s">
        <v>2477</v>
      </c>
      <c r="B952">
        <v>357040.40625</v>
      </c>
      <c r="C952">
        <v>6667834.4609375</v>
      </c>
      <c r="D952">
        <v>12.0722503662109</v>
      </c>
      <c r="E952" t="s">
        <v>2686</v>
      </c>
    </row>
    <row r="953" spans="1:5" x14ac:dyDescent="0.3">
      <c r="A953" t="s">
        <v>100</v>
      </c>
      <c r="B953">
        <v>356636.6875</v>
      </c>
      <c r="C953">
        <v>6667875.6875</v>
      </c>
      <c r="D953">
        <v>21.109104156494102</v>
      </c>
      <c r="E953" t="s">
        <v>2685</v>
      </c>
    </row>
    <row r="954" spans="1:5" x14ac:dyDescent="0.3">
      <c r="A954" t="s">
        <v>99</v>
      </c>
      <c r="B954">
        <v>357324.94140625</v>
      </c>
      <c r="C954">
        <v>6668076.49609375</v>
      </c>
      <c r="D954">
        <v>27.9298381805419</v>
      </c>
      <c r="E954" t="s">
        <v>2685</v>
      </c>
    </row>
    <row r="955" spans="1:5" x14ac:dyDescent="0.3">
      <c r="A955" t="s">
        <v>98</v>
      </c>
      <c r="B955">
        <v>356894.38671875</v>
      </c>
      <c r="C955">
        <v>6668405.48046875</v>
      </c>
      <c r="D955">
        <v>31.3818359375</v>
      </c>
      <c r="E955" t="s">
        <v>2685</v>
      </c>
    </row>
    <row r="956" spans="1:5" x14ac:dyDescent="0.3">
      <c r="A956" t="s">
        <v>2435</v>
      </c>
      <c r="B956">
        <v>356929.234375</v>
      </c>
      <c r="C956">
        <v>6668418.90234375</v>
      </c>
      <c r="D956">
        <v>30.535070419311499</v>
      </c>
      <c r="E956" t="s">
        <v>2686</v>
      </c>
    </row>
    <row r="957" spans="1:5" x14ac:dyDescent="0.3">
      <c r="A957" t="s">
        <v>97</v>
      </c>
      <c r="B957">
        <v>356937.07421875</v>
      </c>
      <c r="C957">
        <v>6668421.12890625</v>
      </c>
      <c r="D957">
        <v>30.502313613891602</v>
      </c>
      <c r="E957" t="s">
        <v>2685</v>
      </c>
    </row>
    <row r="958" spans="1:5" x14ac:dyDescent="0.3">
      <c r="A958" t="s">
        <v>2436</v>
      </c>
      <c r="B958">
        <v>356935.21484375</v>
      </c>
      <c r="C958">
        <v>6668399.71484375</v>
      </c>
      <c r="D958">
        <v>29.6971035003662</v>
      </c>
      <c r="E958" t="s">
        <v>2686</v>
      </c>
    </row>
    <row r="959" spans="1:5" x14ac:dyDescent="0.3">
      <c r="A959" t="s">
        <v>2437</v>
      </c>
      <c r="B959">
        <v>356935.02734375</v>
      </c>
      <c r="C959">
        <v>6668394.55078125</v>
      </c>
      <c r="D959">
        <v>30.125684738159102</v>
      </c>
      <c r="E959" t="s">
        <v>2686</v>
      </c>
    </row>
    <row r="960" spans="1:5" x14ac:dyDescent="0.3">
      <c r="A960" t="s">
        <v>96</v>
      </c>
      <c r="B960">
        <v>356937.1015625</v>
      </c>
      <c r="C960">
        <v>6668388.1796875</v>
      </c>
      <c r="D960">
        <v>30.755130767822202</v>
      </c>
      <c r="E960" t="s">
        <v>2685</v>
      </c>
    </row>
    <row r="961" spans="1:5" x14ac:dyDescent="0.3">
      <c r="A961" t="s">
        <v>2438</v>
      </c>
      <c r="B961">
        <v>357434.31640625</v>
      </c>
      <c r="C961">
        <v>6667674.79296875</v>
      </c>
      <c r="D961">
        <v>7.1876926422119096</v>
      </c>
      <c r="E961" t="s">
        <v>2686</v>
      </c>
    </row>
    <row r="962" spans="1:5" x14ac:dyDescent="0.3">
      <c r="A962" t="s">
        <v>95</v>
      </c>
      <c r="B962">
        <v>357428.6328125</v>
      </c>
      <c r="C962">
        <v>6667671.51171875</v>
      </c>
      <c r="D962">
        <v>7.1406769752502397</v>
      </c>
      <c r="E962" t="s">
        <v>2685</v>
      </c>
    </row>
    <row r="963" spans="1:5" x14ac:dyDescent="0.3">
      <c r="A963" t="s">
        <v>94</v>
      </c>
      <c r="B963">
        <v>357036.78515625</v>
      </c>
      <c r="C963">
        <v>6668234.23046875</v>
      </c>
      <c r="D963">
        <v>28.210321426391602</v>
      </c>
      <c r="E963" t="s">
        <v>2685</v>
      </c>
    </row>
    <row r="964" spans="1:5" x14ac:dyDescent="0.3">
      <c r="A964" t="s">
        <v>93</v>
      </c>
      <c r="B964">
        <v>359661.91796875</v>
      </c>
      <c r="C964">
        <v>6667695.0703125</v>
      </c>
      <c r="D964">
        <v>17.676996231079102</v>
      </c>
      <c r="E964" t="s">
        <v>2685</v>
      </c>
    </row>
    <row r="965" spans="1:5" x14ac:dyDescent="0.3">
      <c r="A965" t="s">
        <v>2440</v>
      </c>
      <c r="B965">
        <v>359667.4609375</v>
      </c>
      <c r="C965">
        <v>6667723.86328125</v>
      </c>
      <c r="D965">
        <v>17.686763763427699</v>
      </c>
      <c r="E965" t="s">
        <v>2686</v>
      </c>
    </row>
    <row r="966" spans="1:5" x14ac:dyDescent="0.3">
      <c r="A966" t="s">
        <v>92</v>
      </c>
      <c r="B966">
        <v>359672.203125</v>
      </c>
      <c r="C966">
        <v>6667725.890625</v>
      </c>
      <c r="D966">
        <v>17.6548557281494</v>
      </c>
      <c r="E966" t="s">
        <v>2685</v>
      </c>
    </row>
    <row r="967" spans="1:5" x14ac:dyDescent="0.3">
      <c r="A967" t="s">
        <v>91</v>
      </c>
      <c r="B967">
        <v>358026.80859375</v>
      </c>
      <c r="C967">
        <v>6668557.30078125</v>
      </c>
      <c r="D967">
        <v>22.543594360351499</v>
      </c>
      <c r="E967" t="s">
        <v>2685</v>
      </c>
    </row>
    <row r="968" spans="1:5" x14ac:dyDescent="0.3">
      <c r="A968" t="s">
        <v>90</v>
      </c>
      <c r="B968">
        <v>357440.53515625</v>
      </c>
      <c r="C968">
        <v>6668360.2890625</v>
      </c>
      <c r="D968">
        <v>17.952562332153299</v>
      </c>
      <c r="E968" t="s">
        <v>2685</v>
      </c>
    </row>
    <row r="969" spans="1:5" x14ac:dyDescent="0.3">
      <c r="A969" t="s">
        <v>2442</v>
      </c>
      <c r="B969">
        <v>357430.96875</v>
      </c>
      <c r="C969">
        <v>6668363.63671875</v>
      </c>
      <c r="D969">
        <v>18.16890335083</v>
      </c>
      <c r="E969" t="s">
        <v>2686</v>
      </c>
    </row>
    <row r="970" spans="1:5" x14ac:dyDescent="0.3">
      <c r="A970" t="s">
        <v>2443</v>
      </c>
      <c r="B970">
        <v>357667.9140625</v>
      </c>
      <c r="C970">
        <v>6667918.3359375</v>
      </c>
      <c r="D970">
        <v>8.4574022293090803</v>
      </c>
      <c r="E970" t="s">
        <v>2686</v>
      </c>
    </row>
    <row r="971" spans="1:5" x14ac:dyDescent="0.3">
      <c r="A971" t="s">
        <v>2513</v>
      </c>
      <c r="B971">
        <v>357423.0703125</v>
      </c>
      <c r="C971">
        <v>6668356.01953125</v>
      </c>
      <c r="D971">
        <v>18.265789031982401</v>
      </c>
      <c r="E971" t="s">
        <v>2686</v>
      </c>
    </row>
    <row r="972" spans="1:5" x14ac:dyDescent="0.3">
      <c r="A972" t="s">
        <v>89</v>
      </c>
      <c r="B972">
        <v>357461.875</v>
      </c>
      <c r="C972">
        <v>6668430.296875</v>
      </c>
      <c r="D972">
        <v>19.827379226684499</v>
      </c>
      <c r="E972" t="s">
        <v>2685</v>
      </c>
    </row>
    <row r="973" spans="1:5" x14ac:dyDescent="0.3">
      <c r="A973" t="s">
        <v>2444</v>
      </c>
      <c r="B973">
        <v>357179.65234375</v>
      </c>
      <c r="C973">
        <v>6667907.625</v>
      </c>
      <c r="D973">
        <v>17.3743476867675</v>
      </c>
      <c r="E973" t="s">
        <v>2686</v>
      </c>
    </row>
    <row r="974" spans="1:5" x14ac:dyDescent="0.3">
      <c r="A974" t="s">
        <v>2468</v>
      </c>
      <c r="B974">
        <v>357062.65234375</v>
      </c>
      <c r="C974">
        <v>6668424.39453125</v>
      </c>
      <c r="D974">
        <v>24.8792819976806</v>
      </c>
      <c r="E974" t="s">
        <v>2686</v>
      </c>
    </row>
    <row r="975" spans="1:5" x14ac:dyDescent="0.3">
      <c r="A975" t="s">
        <v>2445</v>
      </c>
      <c r="B975">
        <v>359478.484375</v>
      </c>
      <c r="C975">
        <v>6667644.6171875</v>
      </c>
      <c r="D975">
        <v>15.327125549316399</v>
      </c>
      <c r="E975" t="s">
        <v>2686</v>
      </c>
    </row>
    <row r="976" spans="1:5" x14ac:dyDescent="0.3">
      <c r="A976" t="s">
        <v>88</v>
      </c>
      <c r="B976">
        <v>359489.01953125</v>
      </c>
      <c r="C976">
        <v>6667661.2890625</v>
      </c>
      <c r="D976">
        <v>15.3393859863281</v>
      </c>
      <c r="E976" t="s">
        <v>2685</v>
      </c>
    </row>
    <row r="977" spans="1:5" x14ac:dyDescent="0.3">
      <c r="A977" t="s">
        <v>2446</v>
      </c>
      <c r="B977">
        <v>356784.62109375</v>
      </c>
      <c r="C977">
        <v>6668003.82421875</v>
      </c>
      <c r="D977">
        <v>17.607963562011701</v>
      </c>
      <c r="E977" t="s">
        <v>2686</v>
      </c>
    </row>
    <row r="978" spans="1:5" x14ac:dyDescent="0.3">
      <c r="A978" t="s">
        <v>2447</v>
      </c>
      <c r="B978">
        <v>356796.50390625</v>
      </c>
      <c r="C978">
        <v>6668008.5390625</v>
      </c>
      <c r="D978">
        <v>17.8622512817382</v>
      </c>
      <c r="E978" t="s">
        <v>2686</v>
      </c>
    </row>
    <row r="979" spans="1:5" x14ac:dyDescent="0.3">
      <c r="A979" t="s">
        <v>87</v>
      </c>
      <c r="B979">
        <v>356792.67578125</v>
      </c>
      <c r="C979">
        <v>6668019.14453125</v>
      </c>
      <c r="D979">
        <v>18.034944534301701</v>
      </c>
      <c r="E979" t="s">
        <v>2685</v>
      </c>
    </row>
    <row r="980" spans="1:5" x14ac:dyDescent="0.3">
      <c r="A980" t="s">
        <v>2517</v>
      </c>
      <c r="B980">
        <v>357053.05078125</v>
      </c>
      <c r="C980">
        <v>6668480.05859375</v>
      </c>
      <c r="D980">
        <v>26.6732883453369</v>
      </c>
      <c r="E980" t="s">
        <v>2686</v>
      </c>
    </row>
    <row r="981" spans="1:5" x14ac:dyDescent="0.3">
      <c r="A981" t="s">
        <v>2466</v>
      </c>
      <c r="B981">
        <v>357721.66796875</v>
      </c>
      <c r="C981">
        <v>6667697.4140625</v>
      </c>
      <c r="D981">
        <v>10.617743492126399</v>
      </c>
      <c r="E981" t="s">
        <v>2686</v>
      </c>
    </row>
    <row r="982" spans="1:5" x14ac:dyDescent="0.3">
      <c r="A982" t="s">
        <v>2300</v>
      </c>
      <c r="B982">
        <v>357515.7421875</v>
      </c>
      <c r="C982">
        <v>6667433.125</v>
      </c>
      <c r="D982">
        <v>6.8298225402831996</v>
      </c>
      <c r="E982" t="s">
        <v>2686</v>
      </c>
    </row>
    <row r="983" spans="1:5" x14ac:dyDescent="0.3">
      <c r="A983" t="s">
        <v>86</v>
      </c>
      <c r="B983">
        <v>357533.53515625</v>
      </c>
      <c r="C983">
        <v>6668082.15625</v>
      </c>
      <c r="D983">
        <v>17.5810146331787</v>
      </c>
      <c r="E983" t="s">
        <v>2685</v>
      </c>
    </row>
    <row r="984" spans="1:5" x14ac:dyDescent="0.3">
      <c r="A984" t="s">
        <v>85</v>
      </c>
      <c r="B984">
        <v>357491.7890625</v>
      </c>
      <c r="C984">
        <v>6668449.6796875</v>
      </c>
      <c r="D984">
        <v>20.9164714813232</v>
      </c>
      <c r="E984" t="s">
        <v>2685</v>
      </c>
    </row>
    <row r="985" spans="1:5" x14ac:dyDescent="0.3">
      <c r="A985" t="s">
        <v>84</v>
      </c>
      <c r="B985">
        <v>357599.5859375</v>
      </c>
      <c r="C985">
        <v>6668448.35546875</v>
      </c>
      <c r="D985">
        <v>23.785137176513601</v>
      </c>
      <c r="E985" t="s">
        <v>2685</v>
      </c>
    </row>
    <row r="986" spans="1:5" x14ac:dyDescent="0.3">
      <c r="A986" t="s">
        <v>2451</v>
      </c>
      <c r="B986">
        <v>358072.0078125</v>
      </c>
      <c r="C986">
        <v>6668998.12890625</v>
      </c>
      <c r="D986">
        <v>19.190198898315401</v>
      </c>
      <c r="E986" t="s">
        <v>2686</v>
      </c>
    </row>
    <row r="987" spans="1:5" x14ac:dyDescent="0.3">
      <c r="A987" t="s">
        <v>83</v>
      </c>
      <c r="B987">
        <v>358042.19140625</v>
      </c>
      <c r="C987">
        <v>6668992.125</v>
      </c>
      <c r="D987">
        <v>18.285045623779201</v>
      </c>
      <c r="E987" t="s">
        <v>2685</v>
      </c>
    </row>
    <row r="988" spans="1:5" x14ac:dyDescent="0.3">
      <c r="A988" t="s">
        <v>82</v>
      </c>
      <c r="B988">
        <v>359830.02734375</v>
      </c>
      <c r="C988">
        <v>6667805.02734375</v>
      </c>
      <c r="D988">
        <v>20.341976165771399</v>
      </c>
      <c r="E988" t="s">
        <v>2685</v>
      </c>
    </row>
    <row r="989" spans="1:5" x14ac:dyDescent="0.3">
      <c r="A989" t="s">
        <v>81</v>
      </c>
      <c r="B989">
        <v>357618.62109375</v>
      </c>
      <c r="C989">
        <v>6667761.11328125</v>
      </c>
      <c r="D989">
        <v>8.1184186935424805</v>
      </c>
      <c r="E989" t="s">
        <v>2685</v>
      </c>
    </row>
    <row r="990" spans="1:5" x14ac:dyDescent="0.3">
      <c r="A990" t="s">
        <v>2420</v>
      </c>
      <c r="B990">
        <v>356859.96875</v>
      </c>
      <c r="C990">
        <v>6668375.22265625</v>
      </c>
      <c r="D990">
        <v>31.119092941284102</v>
      </c>
      <c r="E990" t="s">
        <v>2686</v>
      </c>
    </row>
    <row r="991" spans="1:5" x14ac:dyDescent="0.3">
      <c r="A991" t="s">
        <v>80</v>
      </c>
      <c r="B991">
        <v>356850.8671875</v>
      </c>
      <c r="C991">
        <v>6668396.48046875</v>
      </c>
      <c r="D991">
        <v>31.633050918579102</v>
      </c>
      <c r="E991" t="s">
        <v>2685</v>
      </c>
    </row>
    <row r="992" spans="1:5" x14ac:dyDescent="0.3">
      <c r="A992" t="s">
        <v>2454</v>
      </c>
      <c r="B992">
        <v>356816.09765625</v>
      </c>
      <c r="C992">
        <v>6668017.6171875</v>
      </c>
      <c r="D992">
        <v>18.033443450927699</v>
      </c>
      <c r="E992" t="s">
        <v>2686</v>
      </c>
    </row>
    <row r="993" spans="1:5" x14ac:dyDescent="0.3">
      <c r="A993" t="s">
        <v>2491</v>
      </c>
      <c r="B993">
        <v>356758.39453125</v>
      </c>
      <c r="C993">
        <v>6667933.53125</v>
      </c>
      <c r="D993">
        <v>16.710556030273398</v>
      </c>
      <c r="E993" t="s">
        <v>2686</v>
      </c>
    </row>
    <row r="994" spans="1:5" x14ac:dyDescent="0.3">
      <c r="A994" t="s">
        <v>79</v>
      </c>
      <c r="B994">
        <v>356976.1875</v>
      </c>
      <c r="C994">
        <v>6668239.32421875</v>
      </c>
      <c r="D994">
        <v>23.7603950500488</v>
      </c>
      <c r="E994" t="s">
        <v>2685</v>
      </c>
    </row>
    <row r="995" spans="1:5" x14ac:dyDescent="0.3">
      <c r="A995" t="s">
        <v>2490</v>
      </c>
      <c r="B995">
        <v>356766.078125</v>
      </c>
      <c r="C995">
        <v>6668085.43359375</v>
      </c>
      <c r="D995">
        <v>21.908348083496001</v>
      </c>
      <c r="E995" t="s">
        <v>2686</v>
      </c>
    </row>
    <row r="996" spans="1:5" x14ac:dyDescent="0.3">
      <c r="A996" t="s">
        <v>2455</v>
      </c>
      <c r="B996">
        <v>356747.0625</v>
      </c>
      <c r="C996">
        <v>6668071.26953125</v>
      </c>
      <c r="D996">
        <v>21.237684249877901</v>
      </c>
      <c r="E996" t="s">
        <v>2686</v>
      </c>
    </row>
    <row r="997" spans="1:5" x14ac:dyDescent="0.3">
      <c r="A997" t="s">
        <v>78</v>
      </c>
      <c r="B997">
        <v>356745.6796875</v>
      </c>
      <c r="C997">
        <v>6668073.31640625</v>
      </c>
      <c r="D997">
        <v>21.3933811187744</v>
      </c>
      <c r="E997" t="s">
        <v>2685</v>
      </c>
    </row>
    <row r="998" spans="1:5" x14ac:dyDescent="0.3">
      <c r="A998" t="s">
        <v>2456</v>
      </c>
      <c r="B998">
        <v>356736.1015625</v>
      </c>
      <c r="C998">
        <v>6668062.30078125</v>
      </c>
      <c r="D998">
        <v>20.8233928680419</v>
      </c>
      <c r="E998" t="s">
        <v>2686</v>
      </c>
    </row>
    <row r="999" spans="1:5" x14ac:dyDescent="0.3">
      <c r="A999" t="s">
        <v>77</v>
      </c>
      <c r="B999">
        <v>356733.48046875</v>
      </c>
      <c r="C999">
        <v>6668061.765625</v>
      </c>
      <c r="D999">
        <v>20.846214294433501</v>
      </c>
      <c r="E999" t="s">
        <v>2685</v>
      </c>
    </row>
    <row r="1000" spans="1:5" x14ac:dyDescent="0.3">
      <c r="A1000" t="s">
        <v>2457</v>
      </c>
      <c r="B1000">
        <v>356741.80859375</v>
      </c>
      <c r="C1000">
        <v>6668055.32421875</v>
      </c>
      <c r="D1000">
        <v>20.247707366943299</v>
      </c>
      <c r="E1000" t="s">
        <v>2686</v>
      </c>
    </row>
    <row r="1001" spans="1:5" x14ac:dyDescent="0.3">
      <c r="A1001" t="s">
        <v>76</v>
      </c>
      <c r="B1001">
        <v>356740.296875</v>
      </c>
      <c r="C1001">
        <v>6668054.234375</v>
      </c>
      <c r="D1001">
        <v>20.206357955932599</v>
      </c>
      <c r="E1001" t="s">
        <v>2685</v>
      </c>
    </row>
    <row r="1002" spans="1:5" x14ac:dyDescent="0.3">
      <c r="A1002" t="s">
        <v>2458</v>
      </c>
      <c r="B1002">
        <v>356749.0546875</v>
      </c>
      <c r="C1002">
        <v>6668046.515625</v>
      </c>
      <c r="D1002">
        <v>19.544843673706001</v>
      </c>
      <c r="E1002" t="s">
        <v>2686</v>
      </c>
    </row>
    <row r="1003" spans="1:5" x14ac:dyDescent="0.3">
      <c r="A1003" t="s">
        <v>75</v>
      </c>
      <c r="B1003">
        <v>356754.5625</v>
      </c>
      <c r="C1003">
        <v>6668051.16796875</v>
      </c>
      <c r="D1003">
        <v>19.755241394042901</v>
      </c>
      <c r="E1003" t="s">
        <v>2685</v>
      </c>
    </row>
    <row r="1004" spans="1:5" x14ac:dyDescent="0.3">
      <c r="A1004" t="s">
        <v>74</v>
      </c>
      <c r="B1004">
        <v>356756.375</v>
      </c>
      <c r="C1004">
        <v>6668030.98828125</v>
      </c>
      <c r="D1004">
        <v>18.5511054992675</v>
      </c>
      <c r="E1004" t="s">
        <v>2685</v>
      </c>
    </row>
    <row r="1005" spans="1:5" x14ac:dyDescent="0.3">
      <c r="A1005" t="s">
        <v>2460</v>
      </c>
      <c r="B1005">
        <v>356755.1015625</v>
      </c>
      <c r="C1005">
        <v>6667992.30859375</v>
      </c>
      <c r="D1005">
        <v>17.1077785491943</v>
      </c>
      <c r="E1005" t="s">
        <v>2686</v>
      </c>
    </row>
    <row r="1006" spans="1:5" x14ac:dyDescent="0.3">
      <c r="A1006" t="s">
        <v>73</v>
      </c>
      <c r="B1006">
        <v>356756.12890625</v>
      </c>
      <c r="C1006">
        <v>6667989.7421875</v>
      </c>
      <c r="D1006">
        <v>17.047872543334901</v>
      </c>
      <c r="E1006" t="s">
        <v>2685</v>
      </c>
    </row>
    <row r="1007" spans="1:5" x14ac:dyDescent="0.3">
      <c r="A1007" t="s">
        <v>2461</v>
      </c>
      <c r="B1007">
        <v>356981.375</v>
      </c>
      <c r="C1007">
        <v>6668414.015625</v>
      </c>
      <c r="D1007">
        <v>28.005292892456001</v>
      </c>
      <c r="E1007" t="s">
        <v>2686</v>
      </c>
    </row>
    <row r="1008" spans="1:5" x14ac:dyDescent="0.3">
      <c r="A1008" t="s">
        <v>2199</v>
      </c>
      <c r="B1008">
        <v>357015.3984375</v>
      </c>
      <c r="C1008">
        <v>6668413.6484375</v>
      </c>
      <c r="D1008">
        <v>26.1211338043212</v>
      </c>
      <c r="E1008" t="s">
        <v>2686</v>
      </c>
    </row>
    <row r="1009" spans="1:5" x14ac:dyDescent="0.3">
      <c r="A1009" t="s">
        <v>2462</v>
      </c>
      <c r="B1009">
        <v>357743.66015625</v>
      </c>
      <c r="C1009">
        <v>6667639.66015625</v>
      </c>
      <c r="D1009">
        <v>11.147401809692299</v>
      </c>
      <c r="E1009" t="s">
        <v>2686</v>
      </c>
    </row>
    <row r="1010" spans="1:5" x14ac:dyDescent="0.3">
      <c r="A1010" t="s">
        <v>72</v>
      </c>
      <c r="B1010">
        <v>357003.66796875</v>
      </c>
      <c r="C1010">
        <v>6668326.70703125</v>
      </c>
      <c r="D1010">
        <v>27.048854827880799</v>
      </c>
      <c r="E1010" t="s">
        <v>2685</v>
      </c>
    </row>
    <row r="1011" spans="1:5" x14ac:dyDescent="0.3">
      <c r="A1011" t="s">
        <v>71</v>
      </c>
      <c r="B1011">
        <v>356821.45703125</v>
      </c>
      <c r="C1011">
        <v>6668012.328125</v>
      </c>
      <c r="D1011">
        <v>17.939430236816399</v>
      </c>
      <c r="E1011" t="s">
        <v>2685</v>
      </c>
    </row>
    <row r="1012" spans="1:5" x14ac:dyDescent="0.3">
      <c r="A1012" t="s">
        <v>2509</v>
      </c>
      <c r="B1012">
        <v>357331.03515625</v>
      </c>
      <c r="C1012">
        <v>6668010.69921875</v>
      </c>
      <c r="D1012">
        <v>27.759336471557599</v>
      </c>
      <c r="E1012" t="s">
        <v>2686</v>
      </c>
    </row>
    <row r="1013" spans="1:5" x14ac:dyDescent="0.3">
      <c r="A1013" t="s">
        <v>2467</v>
      </c>
      <c r="B1013">
        <v>357119.44140625</v>
      </c>
      <c r="C1013">
        <v>6668422.66015625</v>
      </c>
      <c r="D1013">
        <v>23.228652954101499</v>
      </c>
      <c r="E1013" t="s">
        <v>2686</v>
      </c>
    </row>
    <row r="1014" spans="1:5" x14ac:dyDescent="0.3">
      <c r="A1014" t="s">
        <v>538</v>
      </c>
      <c r="B1014">
        <v>357118.30859375</v>
      </c>
      <c r="C1014">
        <v>6668419.9609375</v>
      </c>
      <c r="D1014">
        <v>23.110702514648398</v>
      </c>
      <c r="E1014" t="s">
        <v>2685</v>
      </c>
    </row>
    <row r="1015" spans="1:5" x14ac:dyDescent="0.3">
      <c r="A1015" t="s">
        <v>2470</v>
      </c>
      <c r="B1015">
        <v>357122.171875</v>
      </c>
      <c r="C1015">
        <v>6667996.62890625</v>
      </c>
      <c r="D1015">
        <v>19.159578323364201</v>
      </c>
      <c r="E1015" t="s">
        <v>2686</v>
      </c>
    </row>
    <row r="1016" spans="1:5" x14ac:dyDescent="0.3">
      <c r="A1016" t="s">
        <v>537</v>
      </c>
      <c r="B1016">
        <v>356790.56640625</v>
      </c>
      <c r="C1016">
        <v>6668110.25390625</v>
      </c>
      <c r="D1016">
        <v>22.472349166870099</v>
      </c>
      <c r="E1016" t="s">
        <v>2685</v>
      </c>
    </row>
    <row r="1017" spans="1:5" x14ac:dyDescent="0.3">
      <c r="A1017" t="s">
        <v>536</v>
      </c>
      <c r="B1017">
        <v>357675.8984375</v>
      </c>
      <c r="C1017">
        <v>6667918.8203125</v>
      </c>
      <c r="D1017">
        <v>8.35504150390625</v>
      </c>
      <c r="E1017" t="s">
        <v>2685</v>
      </c>
    </row>
    <row r="1018" spans="1:5" x14ac:dyDescent="0.3">
      <c r="A1018" t="s">
        <v>535</v>
      </c>
      <c r="B1018">
        <v>357762.6015625</v>
      </c>
      <c r="C1018">
        <v>6667876.0078125</v>
      </c>
      <c r="D1018">
        <v>7.6811165809631303</v>
      </c>
      <c r="E1018" t="s">
        <v>2685</v>
      </c>
    </row>
    <row r="1019" spans="1:5" x14ac:dyDescent="0.3">
      <c r="A1019" t="s">
        <v>2471</v>
      </c>
      <c r="B1019">
        <v>357339.6171875</v>
      </c>
      <c r="C1019">
        <v>6668010.8125</v>
      </c>
      <c r="D1019">
        <v>27.855623245239201</v>
      </c>
      <c r="E1019" t="s">
        <v>2686</v>
      </c>
    </row>
    <row r="1020" spans="1:5" x14ac:dyDescent="0.3">
      <c r="A1020" t="s">
        <v>534</v>
      </c>
      <c r="B1020">
        <v>357344.3984375</v>
      </c>
      <c r="C1020">
        <v>6668002.58203125</v>
      </c>
      <c r="D1020">
        <v>28.015180587768501</v>
      </c>
      <c r="E1020" t="s">
        <v>2685</v>
      </c>
    </row>
    <row r="1021" spans="1:5" x14ac:dyDescent="0.3">
      <c r="A1021" t="s">
        <v>533</v>
      </c>
      <c r="B1021">
        <v>357388.96875</v>
      </c>
      <c r="C1021">
        <v>6668000.953125</v>
      </c>
      <c r="D1021">
        <v>28.229936599731399</v>
      </c>
      <c r="E1021" t="s">
        <v>2685</v>
      </c>
    </row>
    <row r="1022" spans="1:5" x14ac:dyDescent="0.3">
      <c r="A1022" t="s">
        <v>532</v>
      </c>
      <c r="B1022">
        <v>357453.15234375</v>
      </c>
      <c r="C1022">
        <v>6668007.71484375</v>
      </c>
      <c r="D1022">
        <v>25.448919296264599</v>
      </c>
      <c r="E1022" t="s">
        <v>2685</v>
      </c>
    </row>
    <row r="1023" spans="1:5" x14ac:dyDescent="0.3">
      <c r="A1023" t="s">
        <v>2474</v>
      </c>
      <c r="B1023">
        <v>357576.203125</v>
      </c>
      <c r="C1023">
        <v>6667403.58203125</v>
      </c>
      <c r="D1023">
        <v>6.8962755203246999</v>
      </c>
      <c r="E1023" t="s">
        <v>2686</v>
      </c>
    </row>
    <row r="1024" spans="1:5" x14ac:dyDescent="0.3">
      <c r="A1024" t="s">
        <v>2475</v>
      </c>
      <c r="B1024">
        <v>357688.2109375</v>
      </c>
      <c r="C1024">
        <v>6667396.84375</v>
      </c>
      <c r="D1024">
        <v>6.6566905975341797</v>
      </c>
      <c r="E1024" t="s">
        <v>2686</v>
      </c>
    </row>
    <row r="1025" spans="1:5" x14ac:dyDescent="0.3">
      <c r="A1025" t="s">
        <v>531</v>
      </c>
      <c r="B1025">
        <v>357682.9375</v>
      </c>
      <c r="C1025">
        <v>6667369.21484375</v>
      </c>
      <c r="D1025">
        <v>6.4761252403259197</v>
      </c>
      <c r="E1025" t="s">
        <v>2685</v>
      </c>
    </row>
    <row r="1026" spans="1:5" x14ac:dyDescent="0.3">
      <c r="A1026" t="s">
        <v>2476</v>
      </c>
      <c r="B1026">
        <v>357687.74609375</v>
      </c>
      <c r="C1026">
        <v>6667373.875</v>
      </c>
      <c r="D1026">
        <v>6.5621223449706996</v>
      </c>
      <c r="E1026" t="s">
        <v>2686</v>
      </c>
    </row>
    <row r="1027" spans="1:5" x14ac:dyDescent="0.3">
      <c r="A1027" t="s">
        <v>530</v>
      </c>
      <c r="B1027">
        <v>357691.70703125</v>
      </c>
      <c r="C1027">
        <v>6667372.55078125</v>
      </c>
      <c r="D1027">
        <v>6.6357460021972603</v>
      </c>
      <c r="E1027" t="s">
        <v>2685</v>
      </c>
    </row>
    <row r="1028" spans="1:5" x14ac:dyDescent="0.3">
      <c r="A1028" t="s">
        <v>529</v>
      </c>
      <c r="B1028">
        <v>357719.69140625</v>
      </c>
      <c r="C1028">
        <v>6667387.26171875</v>
      </c>
      <c r="D1028">
        <v>7.4114522933959899</v>
      </c>
      <c r="E1028" t="s">
        <v>2685</v>
      </c>
    </row>
    <row r="1029" spans="1:5" x14ac:dyDescent="0.3">
      <c r="A1029" t="s">
        <v>528</v>
      </c>
      <c r="B1029">
        <v>357036.4765625</v>
      </c>
      <c r="C1029">
        <v>6667819.44921875</v>
      </c>
      <c r="D1029">
        <v>11.547753334045399</v>
      </c>
      <c r="E1029" t="s">
        <v>2685</v>
      </c>
    </row>
    <row r="1030" spans="1:5" x14ac:dyDescent="0.3">
      <c r="A1030" t="s">
        <v>527</v>
      </c>
      <c r="B1030">
        <v>357036.0546875</v>
      </c>
      <c r="C1030">
        <v>6667834.0859375</v>
      </c>
      <c r="D1030">
        <v>12.004380226135201</v>
      </c>
      <c r="E1030" t="s">
        <v>2685</v>
      </c>
    </row>
    <row r="1031" spans="1:5" x14ac:dyDescent="0.3">
      <c r="A1031" t="s">
        <v>526</v>
      </c>
      <c r="B1031">
        <v>357013.6640625</v>
      </c>
      <c r="C1031">
        <v>6667796.90234375</v>
      </c>
      <c r="D1031">
        <v>10.674918174743601</v>
      </c>
      <c r="E1031" t="s">
        <v>2685</v>
      </c>
    </row>
    <row r="1032" spans="1:5" x14ac:dyDescent="0.3">
      <c r="A1032" t="s">
        <v>525</v>
      </c>
      <c r="B1032">
        <v>356997.796875</v>
      </c>
      <c r="C1032">
        <v>6667811.859375</v>
      </c>
      <c r="D1032">
        <v>11.055883407592701</v>
      </c>
      <c r="E1032" t="s">
        <v>2685</v>
      </c>
    </row>
    <row r="1033" spans="1:5" x14ac:dyDescent="0.3">
      <c r="A1033" t="s">
        <v>524</v>
      </c>
      <c r="B1033">
        <v>357177.859375</v>
      </c>
      <c r="C1033">
        <v>6667665.1640625</v>
      </c>
      <c r="D1033">
        <v>6.9481348991393999</v>
      </c>
      <c r="E1033" t="s">
        <v>2685</v>
      </c>
    </row>
    <row r="1034" spans="1:5" x14ac:dyDescent="0.3">
      <c r="A1034" t="s">
        <v>2479</v>
      </c>
      <c r="B1034">
        <v>357181.59375</v>
      </c>
      <c r="C1034">
        <v>6667706.0703125</v>
      </c>
      <c r="D1034">
        <v>8.6996860504150302</v>
      </c>
      <c r="E1034" t="s">
        <v>2686</v>
      </c>
    </row>
    <row r="1035" spans="1:5" x14ac:dyDescent="0.3">
      <c r="A1035" t="s">
        <v>523</v>
      </c>
      <c r="B1035">
        <v>357182.01953125</v>
      </c>
      <c r="C1035">
        <v>6667709.7109375</v>
      </c>
      <c r="D1035">
        <v>8.9643402099609304</v>
      </c>
      <c r="E1035" t="s">
        <v>2685</v>
      </c>
    </row>
    <row r="1036" spans="1:5" x14ac:dyDescent="0.3">
      <c r="A1036" t="s">
        <v>2480</v>
      </c>
      <c r="B1036">
        <v>358044.6015625</v>
      </c>
      <c r="C1036">
        <v>6667395.46484375</v>
      </c>
      <c r="D1036">
        <v>6.6288070678710902</v>
      </c>
      <c r="E1036" t="s">
        <v>2686</v>
      </c>
    </row>
    <row r="1037" spans="1:5" x14ac:dyDescent="0.3">
      <c r="A1037" t="s">
        <v>522</v>
      </c>
      <c r="B1037">
        <v>357135.7109375</v>
      </c>
      <c r="C1037">
        <v>6667187.86328125</v>
      </c>
      <c r="D1037">
        <v>11.546885490417401</v>
      </c>
      <c r="E1037" t="s">
        <v>2685</v>
      </c>
    </row>
    <row r="1038" spans="1:5" x14ac:dyDescent="0.3">
      <c r="A1038" t="s">
        <v>521</v>
      </c>
      <c r="B1038">
        <v>357969.48046875</v>
      </c>
      <c r="C1038">
        <v>6667286.58203125</v>
      </c>
      <c r="D1038">
        <v>6.2479496002197203</v>
      </c>
      <c r="E1038" t="s">
        <v>2685</v>
      </c>
    </row>
    <row r="1039" spans="1:5" x14ac:dyDescent="0.3">
      <c r="A1039" t="s">
        <v>520</v>
      </c>
      <c r="B1039">
        <v>357338.0390625</v>
      </c>
      <c r="C1039">
        <v>6668528.52734375</v>
      </c>
      <c r="D1039">
        <v>21.201862335205</v>
      </c>
      <c r="E1039" t="s">
        <v>2685</v>
      </c>
    </row>
    <row r="1040" spans="1:5" x14ac:dyDescent="0.3">
      <c r="A1040" t="s">
        <v>519</v>
      </c>
      <c r="B1040">
        <v>357738.609375</v>
      </c>
      <c r="C1040">
        <v>6668505.43359375</v>
      </c>
      <c r="D1040">
        <v>36.341217041015597</v>
      </c>
      <c r="E1040" t="s">
        <v>2685</v>
      </c>
    </row>
    <row r="1041" spans="1:5" x14ac:dyDescent="0.3">
      <c r="A1041" t="s">
        <v>518</v>
      </c>
      <c r="B1041">
        <v>357150.99609375</v>
      </c>
      <c r="C1041">
        <v>6668037.7578125</v>
      </c>
      <c r="D1041">
        <v>26.509077072143501</v>
      </c>
      <c r="E1041" t="s">
        <v>2685</v>
      </c>
    </row>
    <row r="1042" spans="1:5" x14ac:dyDescent="0.3">
      <c r="A1042" t="s">
        <v>517</v>
      </c>
      <c r="B1042">
        <v>357324.95703125</v>
      </c>
      <c r="C1042">
        <v>6667955.453125</v>
      </c>
      <c r="D1042">
        <v>26.188591003417901</v>
      </c>
      <c r="E1042" t="s">
        <v>2685</v>
      </c>
    </row>
    <row r="1043" spans="1:5" x14ac:dyDescent="0.3">
      <c r="A1043" t="s">
        <v>2483</v>
      </c>
      <c r="B1043">
        <v>357263.9765625</v>
      </c>
      <c r="C1043">
        <v>6667945.65234375</v>
      </c>
      <c r="D1043">
        <v>20.820888519287099</v>
      </c>
      <c r="E1043" t="s">
        <v>2686</v>
      </c>
    </row>
    <row r="1044" spans="1:5" x14ac:dyDescent="0.3">
      <c r="A1044" t="s">
        <v>2485</v>
      </c>
      <c r="B1044">
        <v>357248.98828125</v>
      </c>
      <c r="C1044">
        <v>6667949.26171875</v>
      </c>
      <c r="D1044">
        <v>19.370033264160099</v>
      </c>
      <c r="E1044" t="s">
        <v>2686</v>
      </c>
    </row>
    <row r="1045" spans="1:5" x14ac:dyDescent="0.3">
      <c r="A1045" t="s">
        <v>516</v>
      </c>
      <c r="B1045">
        <v>357263.30078125</v>
      </c>
      <c r="C1045">
        <v>6667937.61328125</v>
      </c>
      <c r="D1045">
        <v>20.228736877441399</v>
      </c>
      <c r="E1045" t="s">
        <v>2685</v>
      </c>
    </row>
    <row r="1046" spans="1:5" x14ac:dyDescent="0.3">
      <c r="A1046" t="s">
        <v>2484</v>
      </c>
      <c r="B1046">
        <v>357257.640625</v>
      </c>
      <c r="C1046">
        <v>6667946.15625</v>
      </c>
      <c r="D1046">
        <v>20.11448097229</v>
      </c>
      <c r="E1046" t="s">
        <v>2686</v>
      </c>
    </row>
    <row r="1047" spans="1:5" x14ac:dyDescent="0.3">
      <c r="A1047" t="s">
        <v>515</v>
      </c>
      <c r="B1047">
        <v>357257.82421875</v>
      </c>
      <c r="C1047">
        <v>6667948.89453125</v>
      </c>
      <c r="D1047">
        <v>20.2877292633056</v>
      </c>
      <c r="E1047" t="s">
        <v>2685</v>
      </c>
    </row>
    <row r="1048" spans="1:5" x14ac:dyDescent="0.3">
      <c r="A1048" t="s">
        <v>514</v>
      </c>
      <c r="B1048">
        <v>357204</v>
      </c>
      <c r="C1048">
        <v>6667925.13671875</v>
      </c>
      <c r="D1048">
        <v>17.825860977172798</v>
      </c>
      <c r="E1048" t="s">
        <v>2685</v>
      </c>
    </row>
    <row r="1049" spans="1:5" x14ac:dyDescent="0.3">
      <c r="A1049" t="s">
        <v>2487</v>
      </c>
      <c r="B1049">
        <v>357513.328125</v>
      </c>
      <c r="C1049">
        <v>6667411.68359375</v>
      </c>
      <c r="D1049">
        <v>6.2882051467895499</v>
      </c>
      <c r="E1049" t="s">
        <v>2686</v>
      </c>
    </row>
    <row r="1050" spans="1:5" x14ac:dyDescent="0.3">
      <c r="A1050" t="s">
        <v>513</v>
      </c>
      <c r="B1050">
        <v>357051.421875</v>
      </c>
      <c r="C1050">
        <v>6667738.69921875</v>
      </c>
      <c r="D1050">
        <v>8.57647705078125</v>
      </c>
      <c r="E1050" t="s">
        <v>2685</v>
      </c>
    </row>
    <row r="1051" spans="1:5" x14ac:dyDescent="0.3">
      <c r="A1051" t="s">
        <v>512</v>
      </c>
      <c r="B1051">
        <v>357044.0625</v>
      </c>
      <c r="C1051">
        <v>6667743.3046875</v>
      </c>
      <c r="D1051">
        <v>8.6819343566894496</v>
      </c>
      <c r="E1051" t="s">
        <v>2685</v>
      </c>
    </row>
    <row r="1052" spans="1:5" x14ac:dyDescent="0.3">
      <c r="A1052" t="s">
        <v>2498</v>
      </c>
      <c r="B1052">
        <v>356799.55859375</v>
      </c>
      <c r="C1052">
        <v>6668098.98046875</v>
      </c>
      <c r="D1052">
        <v>21.672328948974599</v>
      </c>
      <c r="E1052" t="s">
        <v>2686</v>
      </c>
    </row>
    <row r="1053" spans="1:5" x14ac:dyDescent="0.3">
      <c r="A1053" t="s">
        <v>2489</v>
      </c>
      <c r="B1053">
        <v>356772.48046875</v>
      </c>
      <c r="C1053">
        <v>6668090.75390625</v>
      </c>
      <c r="D1053">
        <v>22.072780609130799</v>
      </c>
      <c r="E1053" t="s">
        <v>2686</v>
      </c>
    </row>
    <row r="1054" spans="1:5" x14ac:dyDescent="0.3">
      <c r="A1054" t="s">
        <v>511</v>
      </c>
      <c r="B1054">
        <v>356771.3203125</v>
      </c>
      <c r="C1054">
        <v>6668092.5078125</v>
      </c>
      <c r="D1054">
        <v>22.2029724121093</v>
      </c>
      <c r="E1054" t="s">
        <v>2685</v>
      </c>
    </row>
    <row r="1055" spans="1:5" x14ac:dyDescent="0.3">
      <c r="A1055" t="s">
        <v>510</v>
      </c>
      <c r="B1055">
        <v>356772.16015625</v>
      </c>
      <c r="C1055">
        <v>6668078.7109375</v>
      </c>
      <c r="D1055">
        <v>21.342256546020501</v>
      </c>
      <c r="E1055" t="s">
        <v>2685</v>
      </c>
    </row>
    <row r="1056" spans="1:5" x14ac:dyDescent="0.3">
      <c r="A1056" t="s">
        <v>509</v>
      </c>
      <c r="B1056">
        <v>357124.91015625</v>
      </c>
      <c r="C1056">
        <v>6667954.53125</v>
      </c>
      <c r="D1056">
        <v>17.940828323364201</v>
      </c>
      <c r="E1056" t="s">
        <v>2685</v>
      </c>
    </row>
    <row r="1057" spans="1:5" x14ac:dyDescent="0.3">
      <c r="A1057" t="s">
        <v>508</v>
      </c>
      <c r="B1057">
        <v>357124.9765625</v>
      </c>
      <c r="C1057">
        <v>6668437.125</v>
      </c>
      <c r="D1057">
        <v>23.7956829071044</v>
      </c>
      <c r="E1057" t="s">
        <v>2685</v>
      </c>
    </row>
    <row r="1058" spans="1:5" x14ac:dyDescent="0.3">
      <c r="A1058" t="s">
        <v>507</v>
      </c>
      <c r="B1058">
        <v>357244.703125</v>
      </c>
      <c r="C1058">
        <v>6667637.984375</v>
      </c>
      <c r="D1058">
        <v>6.7563714981079102</v>
      </c>
      <c r="E1058" t="s">
        <v>2685</v>
      </c>
    </row>
    <row r="1059" spans="1:5" x14ac:dyDescent="0.3">
      <c r="A1059" t="s">
        <v>2494</v>
      </c>
      <c r="B1059">
        <v>357294.28125</v>
      </c>
      <c r="C1059">
        <v>6667637.05859375</v>
      </c>
      <c r="D1059">
        <v>6.7327890396118102</v>
      </c>
      <c r="E1059" t="s">
        <v>2686</v>
      </c>
    </row>
    <row r="1060" spans="1:5" x14ac:dyDescent="0.3">
      <c r="A1060" t="s">
        <v>506</v>
      </c>
      <c r="B1060">
        <v>357293.6015625</v>
      </c>
      <c r="C1060">
        <v>6667631.61328125</v>
      </c>
      <c r="D1060">
        <v>6.6947135925292898</v>
      </c>
      <c r="E1060" t="s">
        <v>2685</v>
      </c>
    </row>
    <row r="1061" spans="1:5" x14ac:dyDescent="0.3">
      <c r="A1061" t="s">
        <v>505</v>
      </c>
      <c r="B1061">
        <v>357087.453125</v>
      </c>
      <c r="C1061">
        <v>6668411.9609375</v>
      </c>
      <c r="D1061">
        <v>23.282106399536101</v>
      </c>
      <c r="E1061" t="s">
        <v>2685</v>
      </c>
    </row>
    <row r="1062" spans="1:5" x14ac:dyDescent="0.3">
      <c r="A1062" t="s">
        <v>504</v>
      </c>
      <c r="B1062">
        <v>356877.30078125</v>
      </c>
      <c r="C1062">
        <v>6667880.84765625</v>
      </c>
      <c r="D1062">
        <v>15.058529853820801</v>
      </c>
      <c r="E1062" t="s">
        <v>2685</v>
      </c>
    </row>
    <row r="1063" spans="1:5" x14ac:dyDescent="0.3">
      <c r="A1063" t="s">
        <v>2495</v>
      </c>
      <c r="B1063">
        <v>356890.640625</v>
      </c>
      <c r="C1063">
        <v>6667852.234375</v>
      </c>
      <c r="D1063">
        <v>13.0716857910156</v>
      </c>
      <c r="E1063" t="s">
        <v>2686</v>
      </c>
    </row>
    <row r="1064" spans="1:5" x14ac:dyDescent="0.3">
      <c r="A1064" t="s">
        <v>503</v>
      </c>
      <c r="B1064">
        <v>356889.19140625</v>
      </c>
      <c r="C1064">
        <v>6667851.296875</v>
      </c>
      <c r="D1064">
        <v>13.0524845123291</v>
      </c>
      <c r="E1064" t="s">
        <v>2685</v>
      </c>
    </row>
    <row r="1065" spans="1:5" x14ac:dyDescent="0.3">
      <c r="A1065" t="s">
        <v>2496</v>
      </c>
      <c r="B1065">
        <v>356906.078125</v>
      </c>
      <c r="C1065">
        <v>6667844.73828125</v>
      </c>
      <c r="D1065">
        <v>12.6474752426147</v>
      </c>
      <c r="E1065" t="s">
        <v>2686</v>
      </c>
    </row>
    <row r="1066" spans="1:5" x14ac:dyDescent="0.3">
      <c r="A1066" t="s">
        <v>502</v>
      </c>
      <c r="B1066">
        <v>356903.46484375</v>
      </c>
      <c r="C1066">
        <v>6667839.63671875</v>
      </c>
      <c r="D1066">
        <v>12.508592605590801</v>
      </c>
      <c r="E1066" t="s">
        <v>2685</v>
      </c>
    </row>
    <row r="1067" spans="1:5" x14ac:dyDescent="0.3">
      <c r="A1067" t="s">
        <v>2497</v>
      </c>
      <c r="B1067">
        <v>356933.71875</v>
      </c>
      <c r="C1067">
        <v>6667865.23828125</v>
      </c>
      <c r="D1067">
        <v>13.817607879638601</v>
      </c>
      <c r="E1067" t="s">
        <v>2686</v>
      </c>
    </row>
    <row r="1068" spans="1:5" x14ac:dyDescent="0.3">
      <c r="A1068" t="s">
        <v>501</v>
      </c>
      <c r="B1068">
        <v>356924.484375</v>
      </c>
      <c r="C1068">
        <v>6667868.66015625</v>
      </c>
      <c r="D1068">
        <v>13.989935874938899</v>
      </c>
      <c r="E1068" t="s">
        <v>2685</v>
      </c>
    </row>
    <row r="1069" spans="1:5" x14ac:dyDescent="0.3">
      <c r="A1069" t="s">
        <v>2464</v>
      </c>
      <c r="B1069">
        <v>357149.5546875</v>
      </c>
      <c r="C1069">
        <v>6668438.98828125</v>
      </c>
      <c r="D1069">
        <v>23.396457672119102</v>
      </c>
      <c r="E1069" t="s">
        <v>2686</v>
      </c>
    </row>
    <row r="1070" spans="1:5" x14ac:dyDescent="0.3">
      <c r="A1070" t="s">
        <v>498</v>
      </c>
      <c r="B1070">
        <v>356809.09375</v>
      </c>
      <c r="C1070">
        <v>6668085.578125</v>
      </c>
      <c r="D1070">
        <v>20.5790290832519</v>
      </c>
      <c r="E1070" t="s">
        <v>2685</v>
      </c>
    </row>
    <row r="1071" spans="1:5" x14ac:dyDescent="0.3">
      <c r="A1071" t="s">
        <v>497</v>
      </c>
      <c r="B1071">
        <v>356808.26171875</v>
      </c>
      <c r="C1071">
        <v>6668102.26171875</v>
      </c>
      <c r="D1071">
        <v>22.250465393066399</v>
      </c>
      <c r="E1071" t="s">
        <v>2685</v>
      </c>
    </row>
    <row r="1072" spans="1:5" x14ac:dyDescent="0.3">
      <c r="A1072" t="s">
        <v>2499</v>
      </c>
      <c r="B1072">
        <v>357048.578125</v>
      </c>
      <c r="C1072">
        <v>6668480.2265625</v>
      </c>
      <c r="D1072">
        <v>26.697582244873001</v>
      </c>
      <c r="E1072" t="s">
        <v>2686</v>
      </c>
    </row>
    <row r="1073" spans="1:5" x14ac:dyDescent="0.3">
      <c r="A1073" t="s">
        <v>496</v>
      </c>
      <c r="B1073">
        <v>357053.6484375</v>
      </c>
      <c r="C1073">
        <v>6668481.25</v>
      </c>
      <c r="D1073">
        <v>26.688438415527301</v>
      </c>
      <c r="E1073" t="s">
        <v>2685</v>
      </c>
    </row>
    <row r="1074" spans="1:5" x14ac:dyDescent="0.3">
      <c r="A1074" t="s">
        <v>2500</v>
      </c>
      <c r="B1074">
        <v>357048.1796875</v>
      </c>
      <c r="C1074">
        <v>6668482.59375</v>
      </c>
      <c r="D1074">
        <v>26.735029220581001</v>
      </c>
      <c r="E1074" t="s">
        <v>2686</v>
      </c>
    </row>
    <row r="1075" spans="1:5" x14ac:dyDescent="0.3">
      <c r="A1075" t="s">
        <v>495</v>
      </c>
      <c r="B1075">
        <v>357031.65234375</v>
      </c>
      <c r="C1075">
        <v>6668479.55078125</v>
      </c>
      <c r="D1075">
        <v>26.676557540893501</v>
      </c>
      <c r="E1075" t="s">
        <v>2685</v>
      </c>
    </row>
    <row r="1076" spans="1:5" x14ac:dyDescent="0.3">
      <c r="A1076" t="s">
        <v>2501</v>
      </c>
      <c r="B1076">
        <v>357043.17578125</v>
      </c>
      <c r="C1076">
        <v>6668514.51953125</v>
      </c>
      <c r="D1076">
        <v>26.028615951538001</v>
      </c>
      <c r="E1076" t="s">
        <v>2686</v>
      </c>
    </row>
    <row r="1077" spans="1:5" x14ac:dyDescent="0.3">
      <c r="A1077" t="s">
        <v>494</v>
      </c>
      <c r="B1077">
        <v>357069.01171875</v>
      </c>
      <c r="C1077">
        <v>6668519.17578125</v>
      </c>
      <c r="D1077">
        <v>25.081325531005799</v>
      </c>
      <c r="E1077" t="s">
        <v>2685</v>
      </c>
    </row>
    <row r="1078" spans="1:5" x14ac:dyDescent="0.3">
      <c r="A1078" t="s">
        <v>2502</v>
      </c>
      <c r="B1078">
        <v>357026.453125</v>
      </c>
      <c r="C1078">
        <v>6668514.4609375</v>
      </c>
      <c r="D1078">
        <v>26.5046272277832</v>
      </c>
      <c r="E1078" t="s">
        <v>2686</v>
      </c>
    </row>
    <row r="1079" spans="1:5" x14ac:dyDescent="0.3">
      <c r="A1079" t="s">
        <v>493</v>
      </c>
      <c r="B1079">
        <v>357026.99609375</v>
      </c>
      <c r="C1079">
        <v>6668509.97265625</v>
      </c>
      <c r="D1079">
        <v>26.726263046264599</v>
      </c>
      <c r="E1079" t="s">
        <v>2685</v>
      </c>
    </row>
    <row r="1080" spans="1:5" x14ac:dyDescent="0.3">
      <c r="A1080" t="s">
        <v>2503</v>
      </c>
      <c r="B1080">
        <v>357006.36328125</v>
      </c>
      <c r="C1080">
        <v>6668512.078125</v>
      </c>
      <c r="D1080">
        <v>27.239400863647401</v>
      </c>
      <c r="E1080" t="s">
        <v>2686</v>
      </c>
    </row>
    <row r="1081" spans="1:5" x14ac:dyDescent="0.3">
      <c r="A1081" t="s">
        <v>492</v>
      </c>
      <c r="B1081">
        <v>357005.97265625</v>
      </c>
      <c r="C1081">
        <v>6668514.921875</v>
      </c>
      <c r="D1081">
        <v>27.1631164550781</v>
      </c>
      <c r="E1081" t="s">
        <v>2685</v>
      </c>
    </row>
    <row r="1082" spans="1:5" x14ac:dyDescent="0.3">
      <c r="A1082" t="s">
        <v>2504</v>
      </c>
      <c r="B1082">
        <v>356995.3515625</v>
      </c>
      <c r="C1082">
        <v>6668510.71484375</v>
      </c>
      <c r="D1082">
        <v>27.6200656890869</v>
      </c>
      <c r="E1082" t="s">
        <v>2686</v>
      </c>
    </row>
    <row r="1083" spans="1:5" x14ac:dyDescent="0.3">
      <c r="A1083" t="s">
        <v>491</v>
      </c>
      <c r="B1083">
        <v>356995.578125</v>
      </c>
      <c r="C1083">
        <v>6668498.9375</v>
      </c>
      <c r="D1083">
        <v>27.730566024780199</v>
      </c>
      <c r="E1083" t="s">
        <v>2685</v>
      </c>
    </row>
    <row r="1084" spans="1:5" x14ac:dyDescent="0.3">
      <c r="A1084" t="s">
        <v>490</v>
      </c>
      <c r="B1084">
        <v>356993.1484375</v>
      </c>
      <c r="C1084">
        <v>6668511.859375</v>
      </c>
      <c r="D1084">
        <v>27.6649856567382</v>
      </c>
      <c r="E1084" t="s">
        <v>2685</v>
      </c>
    </row>
    <row r="1085" spans="1:5" x14ac:dyDescent="0.3">
      <c r="A1085" t="s">
        <v>2521</v>
      </c>
      <c r="B1085">
        <v>357035.61328125</v>
      </c>
      <c r="C1085">
        <v>6668515.89453125</v>
      </c>
      <c r="D1085">
        <v>26.1321811676025</v>
      </c>
      <c r="E1085" t="s">
        <v>2686</v>
      </c>
    </row>
    <row r="1086" spans="1:5" x14ac:dyDescent="0.3">
      <c r="A1086" t="s">
        <v>2664</v>
      </c>
      <c r="B1086">
        <v>359465.265625</v>
      </c>
      <c r="C1086">
        <v>6667550.4375</v>
      </c>
      <c r="D1086">
        <v>14.970746040344199</v>
      </c>
      <c r="E1086" t="s">
        <v>2686</v>
      </c>
    </row>
    <row r="1087" spans="1:5" x14ac:dyDescent="0.3">
      <c r="A1087" t="s">
        <v>2507</v>
      </c>
      <c r="B1087">
        <v>357059.54296875</v>
      </c>
      <c r="C1087">
        <v>6668444.828125</v>
      </c>
      <c r="D1087">
        <v>25.4185066223144</v>
      </c>
      <c r="E1087" t="s">
        <v>2686</v>
      </c>
    </row>
    <row r="1088" spans="1:5" x14ac:dyDescent="0.3">
      <c r="A1088" t="s">
        <v>489</v>
      </c>
      <c r="B1088">
        <v>357053.640625</v>
      </c>
      <c r="C1088">
        <v>6668443.796875</v>
      </c>
      <c r="D1088">
        <v>25.544834136962798</v>
      </c>
      <c r="E1088" t="s">
        <v>2685</v>
      </c>
    </row>
    <row r="1089" spans="1:5" x14ac:dyDescent="0.3">
      <c r="A1089" t="s">
        <v>488</v>
      </c>
      <c r="B1089">
        <v>357059.67578125</v>
      </c>
      <c r="C1089">
        <v>6668417.5703125</v>
      </c>
      <c r="D1089">
        <v>24.836997985839801</v>
      </c>
      <c r="E1089" t="s">
        <v>2685</v>
      </c>
    </row>
    <row r="1090" spans="1:5" x14ac:dyDescent="0.3">
      <c r="A1090" t="s">
        <v>487</v>
      </c>
      <c r="B1090">
        <v>357029.65234375</v>
      </c>
      <c r="C1090">
        <v>6668430.10546875</v>
      </c>
      <c r="D1090">
        <v>25.968685150146399</v>
      </c>
      <c r="E1090" t="s">
        <v>2685</v>
      </c>
    </row>
    <row r="1091" spans="1:5" x14ac:dyDescent="0.3">
      <c r="A1091" t="s">
        <v>2519</v>
      </c>
      <c r="B1091">
        <v>357016.78125</v>
      </c>
      <c r="C1091">
        <v>6668403.91796875</v>
      </c>
      <c r="D1091">
        <v>25.832145690917901</v>
      </c>
      <c r="E1091" t="s">
        <v>2686</v>
      </c>
    </row>
    <row r="1092" spans="1:5" x14ac:dyDescent="0.3">
      <c r="A1092" t="s">
        <v>2508</v>
      </c>
      <c r="B1092">
        <v>356911.5</v>
      </c>
      <c r="C1092">
        <v>6668387.81640625</v>
      </c>
      <c r="D1092">
        <v>30.406774520873999</v>
      </c>
      <c r="E1092" t="s">
        <v>2686</v>
      </c>
    </row>
    <row r="1093" spans="1:5" x14ac:dyDescent="0.3">
      <c r="A1093" t="s">
        <v>486</v>
      </c>
      <c r="B1093">
        <v>356913.265625</v>
      </c>
      <c r="C1093">
        <v>6668378.96875</v>
      </c>
      <c r="D1093">
        <v>31.0419311523437</v>
      </c>
      <c r="E1093" t="s">
        <v>2685</v>
      </c>
    </row>
    <row r="1094" spans="1:5" x14ac:dyDescent="0.3">
      <c r="A1094" t="s">
        <v>485</v>
      </c>
      <c r="B1094">
        <v>356965.65625</v>
      </c>
      <c r="C1094">
        <v>6668453.58984375</v>
      </c>
      <c r="D1094">
        <v>30.852159500121999</v>
      </c>
      <c r="E1094" t="s">
        <v>2685</v>
      </c>
    </row>
    <row r="1095" spans="1:5" x14ac:dyDescent="0.3">
      <c r="A1095" t="s">
        <v>484</v>
      </c>
      <c r="B1095">
        <v>356975.0859375</v>
      </c>
      <c r="C1095">
        <v>6668453.671875</v>
      </c>
      <c r="D1095">
        <v>29.62744140625</v>
      </c>
      <c r="E1095" t="s">
        <v>2685</v>
      </c>
    </row>
    <row r="1096" spans="1:5" x14ac:dyDescent="0.3">
      <c r="A1096" t="s">
        <v>2448</v>
      </c>
      <c r="B1096">
        <v>357058.37109375</v>
      </c>
      <c r="C1096">
        <v>6668453.46484375</v>
      </c>
      <c r="D1096">
        <v>25.698154449462798</v>
      </c>
      <c r="E1096" t="s">
        <v>2686</v>
      </c>
    </row>
    <row r="1097" spans="1:5" x14ac:dyDescent="0.3">
      <c r="A1097" t="s">
        <v>2510</v>
      </c>
      <c r="B1097">
        <v>357025.796875</v>
      </c>
      <c r="C1097">
        <v>6668788.1640625</v>
      </c>
      <c r="D1097">
        <v>20.535739898681602</v>
      </c>
      <c r="E1097" t="s">
        <v>2686</v>
      </c>
    </row>
    <row r="1098" spans="1:5" x14ac:dyDescent="0.3">
      <c r="A1098" t="s">
        <v>2512</v>
      </c>
      <c r="B1098">
        <v>358003.3828125</v>
      </c>
      <c r="C1098">
        <v>6668715.640625</v>
      </c>
      <c r="D1098">
        <v>16.886978149413999</v>
      </c>
      <c r="E1098" t="s">
        <v>2686</v>
      </c>
    </row>
    <row r="1099" spans="1:5" x14ac:dyDescent="0.3">
      <c r="A1099" t="s">
        <v>2401</v>
      </c>
      <c r="B1099">
        <v>357276.48828125</v>
      </c>
      <c r="C1099">
        <v>6668014.9375</v>
      </c>
      <c r="D1099">
        <v>23.9844646453857</v>
      </c>
      <c r="E1099" t="s">
        <v>2686</v>
      </c>
    </row>
    <row r="1100" spans="1:5" x14ac:dyDescent="0.3">
      <c r="A1100" t="s">
        <v>483</v>
      </c>
      <c r="B1100">
        <v>357276.34375</v>
      </c>
      <c r="C1100">
        <v>6668011.7578125</v>
      </c>
      <c r="D1100">
        <v>24.1056728363037</v>
      </c>
      <c r="E1100" t="s">
        <v>2685</v>
      </c>
    </row>
    <row r="1101" spans="1:5" x14ac:dyDescent="0.3">
      <c r="A1101" t="s">
        <v>1996</v>
      </c>
      <c r="B1101">
        <v>357391.5859375</v>
      </c>
      <c r="C1101">
        <v>6667452.45703125</v>
      </c>
      <c r="D1101">
        <v>7.1689090728759703</v>
      </c>
      <c r="E1101" t="s">
        <v>2686</v>
      </c>
    </row>
    <row r="1102" spans="1:5" x14ac:dyDescent="0.3">
      <c r="A1102" t="s">
        <v>482</v>
      </c>
      <c r="B1102">
        <v>357512.26171875</v>
      </c>
      <c r="C1102">
        <v>6667337.60546875</v>
      </c>
      <c r="D1102">
        <v>6.0011940002441397</v>
      </c>
      <c r="E1102" t="s">
        <v>2685</v>
      </c>
    </row>
    <row r="1103" spans="1:5" x14ac:dyDescent="0.3">
      <c r="A1103" t="s">
        <v>481</v>
      </c>
      <c r="B1103">
        <v>357575.171875</v>
      </c>
      <c r="C1103">
        <v>6667357.5234375</v>
      </c>
      <c r="D1103">
        <v>6.4801082611083904</v>
      </c>
      <c r="E1103" t="s">
        <v>2685</v>
      </c>
    </row>
    <row r="1104" spans="1:5" x14ac:dyDescent="0.3">
      <c r="A1104" t="s">
        <v>2516</v>
      </c>
      <c r="B1104">
        <v>359840.08984375</v>
      </c>
      <c r="C1104">
        <v>6667898.6484375</v>
      </c>
      <c r="D1104">
        <v>23.004022598266602</v>
      </c>
      <c r="E1104" t="s">
        <v>2686</v>
      </c>
    </row>
    <row r="1105" spans="1:5" x14ac:dyDescent="0.3">
      <c r="A1105" t="s">
        <v>479</v>
      </c>
      <c r="B1105">
        <v>357003.63671875</v>
      </c>
      <c r="C1105">
        <v>6667886.94921875</v>
      </c>
      <c r="D1105">
        <v>15.4594249725341</v>
      </c>
      <c r="E1105" t="s">
        <v>2685</v>
      </c>
    </row>
    <row r="1106" spans="1:5" x14ac:dyDescent="0.3">
      <c r="A1106" t="s">
        <v>477</v>
      </c>
      <c r="B1106">
        <v>356963.5078125</v>
      </c>
      <c r="C1106">
        <v>6668392.546875</v>
      </c>
      <c r="D1106">
        <v>29.591497421264599</v>
      </c>
      <c r="E1106" t="s">
        <v>2685</v>
      </c>
    </row>
    <row r="1107" spans="1:5" x14ac:dyDescent="0.3">
      <c r="A1107" t="s">
        <v>476</v>
      </c>
      <c r="B1107">
        <v>356978.95703125</v>
      </c>
      <c r="C1107">
        <v>6668396.98046875</v>
      </c>
      <c r="D1107">
        <v>28.5369472503662</v>
      </c>
      <c r="E1107" t="s">
        <v>2685</v>
      </c>
    </row>
    <row r="1108" spans="1:5" x14ac:dyDescent="0.3">
      <c r="A1108" t="s">
        <v>475</v>
      </c>
      <c r="B1108">
        <v>357010.125</v>
      </c>
      <c r="C1108">
        <v>6668403.26953125</v>
      </c>
      <c r="D1108">
        <v>26.169322967529201</v>
      </c>
      <c r="E1108" t="s">
        <v>2685</v>
      </c>
    </row>
    <row r="1109" spans="1:5" x14ac:dyDescent="0.3">
      <c r="A1109" t="s">
        <v>474</v>
      </c>
      <c r="B1109">
        <v>357026.4296875</v>
      </c>
      <c r="C1109">
        <v>6668404.921875</v>
      </c>
      <c r="D1109">
        <v>25.478984832763601</v>
      </c>
      <c r="E1109" t="s">
        <v>2685</v>
      </c>
    </row>
    <row r="1110" spans="1:5" x14ac:dyDescent="0.3">
      <c r="A1110" t="s">
        <v>2520</v>
      </c>
      <c r="B1110">
        <v>357033.33984375</v>
      </c>
      <c r="C1110">
        <v>6668533.47265625</v>
      </c>
      <c r="D1110">
        <v>24.437562942504801</v>
      </c>
      <c r="E1110" t="s">
        <v>2686</v>
      </c>
    </row>
    <row r="1111" spans="1:5" x14ac:dyDescent="0.3">
      <c r="A1111" t="s">
        <v>473</v>
      </c>
      <c r="B1111">
        <v>357035.46484375</v>
      </c>
      <c r="C1111">
        <v>6668533.84375</v>
      </c>
      <c r="D1111">
        <v>24.266462326049801</v>
      </c>
      <c r="E1111" t="s">
        <v>2685</v>
      </c>
    </row>
    <row r="1112" spans="1:5" x14ac:dyDescent="0.3">
      <c r="A1112" t="s">
        <v>472</v>
      </c>
      <c r="B1112">
        <v>357029.796875</v>
      </c>
      <c r="C1112">
        <v>6668532.93359375</v>
      </c>
      <c r="D1112">
        <v>24.7117404937744</v>
      </c>
      <c r="E1112" t="s">
        <v>2685</v>
      </c>
    </row>
    <row r="1113" spans="1:5" x14ac:dyDescent="0.3">
      <c r="A1113" t="s">
        <v>471</v>
      </c>
      <c r="B1113">
        <v>357072.328125</v>
      </c>
      <c r="C1113">
        <v>6668481.93359375</v>
      </c>
      <c r="D1113">
        <v>26.406436920166001</v>
      </c>
      <c r="E1113" t="s">
        <v>2685</v>
      </c>
    </row>
    <row r="1114" spans="1:5" x14ac:dyDescent="0.3">
      <c r="A1114" t="s">
        <v>470</v>
      </c>
      <c r="B1114">
        <v>357083.54296875</v>
      </c>
      <c r="C1114">
        <v>6668455.27734375</v>
      </c>
      <c r="D1114">
        <v>25.248933792114201</v>
      </c>
      <c r="E1114" t="s">
        <v>2685</v>
      </c>
    </row>
    <row r="1115" spans="1:5" x14ac:dyDescent="0.3">
      <c r="A1115" t="s">
        <v>2522</v>
      </c>
      <c r="B1115">
        <v>361883.81140947598</v>
      </c>
      <c r="C1115">
        <v>6668480.8958054604</v>
      </c>
      <c r="D1115">
        <v>13.570213317871</v>
      </c>
      <c r="E1115" t="s">
        <v>2686</v>
      </c>
    </row>
    <row r="1116" spans="1:5" x14ac:dyDescent="0.3">
      <c r="A1116" t="s">
        <v>2525</v>
      </c>
      <c r="B1116">
        <v>363261.53125</v>
      </c>
      <c r="C1116">
        <v>6671702.30859375</v>
      </c>
      <c r="D1116">
        <v>12.995225906371999</v>
      </c>
      <c r="E1116" t="s">
        <v>2686</v>
      </c>
    </row>
    <row r="1117" spans="1:5" x14ac:dyDescent="0.3">
      <c r="A1117" t="s">
        <v>2524</v>
      </c>
      <c r="B1117">
        <v>356961.08203125</v>
      </c>
      <c r="C1117">
        <v>6665831.41796875</v>
      </c>
      <c r="D1117">
        <v>27.4141120910644</v>
      </c>
      <c r="E1117" t="s">
        <v>2686</v>
      </c>
    </row>
    <row r="1118" spans="1:5" x14ac:dyDescent="0.3">
      <c r="A1118" t="s">
        <v>2528</v>
      </c>
      <c r="B1118">
        <v>362191.125</v>
      </c>
      <c r="C1118">
        <v>6671762.8671875</v>
      </c>
      <c r="D1118">
        <v>21.751104354858398</v>
      </c>
      <c r="E1118" t="s">
        <v>2686</v>
      </c>
    </row>
    <row r="1119" spans="1:5" x14ac:dyDescent="0.3">
      <c r="A1119" t="s">
        <v>466</v>
      </c>
      <c r="B1119">
        <v>356957.96484375</v>
      </c>
      <c r="C1119">
        <v>6665836.26171875</v>
      </c>
      <c r="D1119">
        <v>27.349473953246999</v>
      </c>
      <c r="E1119" t="s">
        <v>2685</v>
      </c>
    </row>
    <row r="1120" spans="1:5" x14ac:dyDescent="0.3">
      <c r="A1120" t="s">
        <v>2523</v>
      </c>
      <c r="B1120">
        <v>363279.41796875</v>
      </c>
      <c r="C1120">
        <v>6671728.1015625</v>
      </c>
      <c r="D1120">
        <v>13.583091735839799</v>
      </c>
      <c r="E1120" t="s">
        <v>2686</v>
      </c>
    </row>
    <row r="1121" spans="1:5" x14ac:dyDescent="0.3">
      <c r="A1121" t="s">
        <v>2683</v>
      </c>
      <c r="B1121">
        <v>358286.81640625</v>
      </c>
      <c r="C1121">
        <v>6668107.39453125</v>
      </c>
      <c r="D1121">
        <v>10.4152526855468</v>
      </c>
      <c r="E1121" t="s">
        <v>2686</v>
      </c>
    </row>
    <row r="1122" spans="1:5" x14ac:dyDescent="0.3">
      <c r="A1122" t="s">
        <v>465</v>
      </c>
      <c r="B1122">
        <v>362067.828125</v>
      </c>
      <c r="C1122">
        <v>6671879.1953125</v>
      </c>
      <c r="D1122">
        <v>25.816911697387599</v>
      </c>
      <c r="E1122" t="s">
        <v>2685</v>
      </c>
    </row>
    <row r="1123" spans="1:5" x14ac:dyDescent="0.3">
      <c r="A1123" t="s">
        <v>2647</v>
      </c>
      <c r="B1123">
        <v>358360.29296875</v>
      </c>
      <c r="C1123">
        <v>6668281.38671875</v>
      </c>
      <c r="D1123">
        <v>9.7817068099975497</v>
      </c>
      <c r="E1123" t="s">
        <v>2686</v>
      </c>
    </row>
    <row r="1124" spans="1:5" x14ac:dyDescent="0.3">
      <c r="A1124" t="s">
        <v>2526</v>
      </c>
      <c r="B1124">
        <v>362075.83203125</v>
      </c>
      <c r="C1124">
        <v>6671886.40625</v>
      </c>
      <c r="D1124">
        <v>27.062175750732401</v>
      </c>
      <c r="E1124" t="s">
        <v>2686</v>
      </c>
    </row>
    <row r="1125" spans="1:5" x14ac:dyDescent="0.3">
      <c r="A1125" t="s">
        <v>2527</v>
      </c>
      <c r="B1125">
        <v>358404.36328125</v>
      </c>
      <c r="C1125">
        <v>6668330.86328125</v>
      </c>
      <c r="D1125">
        <v>10.168004989624</v>
      </c>
      <c r="E1125" t="s">
        <v>2686</v>
      </c>
    </row>
    <row r="1126" spans="1:5" x14ac:dyDescent="0.3">
      <c r="A1126" t="s">
        <v>464</v>
      </c>
      <c r="B1126">
        <v>365973.27734375</v>
      </c>
      <c r="C1126">
        <v>6670138.0078125</v>
      </c>
      <c r="D1126">
        <v>27.8813877105712</v>
      </c>
      <c r="E1126" t="s">
        <v>2685</v>
      </c>
    </row>
    <row r="1127" spans="1:5" x14ac:dyDescent="0.3">
      <c r="A1127" t="s">
        <v>2529</v>
      </c>
      <c r="B1127">
        <v>365989.1796875</v>
      </c>
      <c r="C1127">
        <v>6670189.5390625</v>
      </c>
      <c r="D1127">
        <v>27.279413223266602</v>
      </c>
      <c r="E1127" t="s">
        <v>2686</v>
      </c>
    </row>
    <row r="1128" spans="1:5" x14ac:dyDescent="0.3">
      <c r="A1128" t="s">
        <v>2530</v>
      </c>
      <c r="B1128">
        <v>357070.86328125</v>
      </c>
      <c r="C1128">
        <v>6668289.94921875</v>
      </c>
      <c r="D1128">
        <v>21.1166267395019</v>
      </c>
      <c r="E1128" t="s">
        <v>2686</v>
      </c>
    </row>
    <row r="1129" spans="1:5" x14ac:dyDescent="0.3">
      <c r="A1129" t="s">
        <v>2550</v>
      </c>
      <c r="B1129">
        <v>357152.3046875</v>
      </c>
      <c r="C1129">
        <v>6668294.234375</v>
      </c>
      <c r="D1129">
        <v>21.087375640869102</v>
      </c>
      <c r="E1129" t="s">
        <v>2686</v>
      </c>
    </row>
    <row r="1130" spans="1:5" x14ac:dyDescent="0.3">
      <c r="A1130" t="s">
        <v>2549</v>
      </c>
      <c r="B1130">
        <v>357097.34375</v>
      </c>
      <c r="C1130">
        <v>6668289.40625</v>
      </c>
      <c r="D1130">
        <v>20.773880004882798</v>
      </c>
      <c r="E1130" t="s">
        <v>2686</v>
      </c>
    </row>
    <row r="1131" spans="1:5" x14ac:dyDescent="0.3">
      <c r="A1131" t="s">
        <v>463</v>
      </c>
      <c r="B1131">
        <v>362920.14453125</v>
      </c>
      <c r="C1131">
        <v>6671149.328125</v>
      </c>
      <c r="D1131">
        <v>16.0356044769287</v>
      </c>
      <c r="E1131" t="s">
        <v>2685</v>
      </c>
    </row>
    <row r="1132" spans="1:5" x14ac:dyDescent="0.3">
      <c r="A1132" t="s">
        <v>2531</v>
      </c>
      <c r="B1132">
        <v>363085.07421875</v>
      </c>
      <c r="C1132">
        <v>6671470.8203125</v>
      </c>
      <c r="D1132">
        <v>20.5953674316406</v>
      </c>
      <c r="E1132" t="s">
        <v>2686</v>
      </c>
    </row>
    <row r="1133" spans="1:5" x14ac:dyDescent="0.3">
      <c r="A1133" t="s">
        <v>462</v>
      </c>
      <c r="B1133">
        <v>363216.8125</v>
      </c>
      <c r="C1133">
        <v>6671740.28125</v>
      </c>
      <c r="D1133">
        <v>14.5916996002197</v>
      </c>
      <c r="E1133" t="s">
        <v>2685</v>
      </c>
    </row>
    <row r="1134" spans="1:5" x14ac:dyDescent="0.3">
      <c r="A1134" t="s">
        <v>2532</v>
      </c>
      <c r="B1134">
        <v>363261.13671875</v>
      </c>
      <c r="C1134">
        <v>6671701.6953125</v>
      </c>
      <c r="D1134">
        <v>12.989299774169901</v>
      </c>
      <c r="E1134" t="s">
        <v>2686</v>
      </c>
    </row>
    <row r="1135" spans="1:5" x14ac:dyDescent="0.3">
      <c r="A1135" t="s">
        <v>461</v>
      </c>
      <c r="B1135">
        <v>357039.39453125</v>
      </c>
      <c r="C1135">
        <v>6667784.421875</v>
      </c>
      <c r="D1135">
        <v>10.3388299942016</v>
      </c>
      <c r="E1135" t="s">
        <v>2685</v>
      </c>
    </row>
    <row r="1136" spans="1:5" x14ac:dyDescent="0.3">
      <c r="A1136" t="s">
        <v>460</v>
      </c>
      <c r="B1136">
        <v>363113.7109375</v>
      </c>
      <c r="C1136">
        <v>6671495.71875</v>
      </c>
      <c r="D1136">
        <v>20.524082183837798</v>
      </c>
      <c r="E1136" t="s">
        <v>2685</v>
      </c>
    </row>
    <row r="1137" spans="1:5" x14ac:dyDescent="0.3">
      <c r="A1137" t="s">
        <v>2533</v>
      </c>
      <c r="B1137">
        <v>363113.875</v>
      </c>
      <c r="C1137">
        <v>6671496.703125</v>
      </c>
      <c r="D1137">
        <v>20.5303344726562</v>
      </c>
      <c r="E1137" t="s">
        <v>2686</v>
      </c>
    </row>
    <row r="1138" spans="1:5" x14ac:dyDescent="0.3">
      <c r="A1138" t="s">
        <v>2534</v>
      </c>
      <c r="B1138">
        <v>363114.09765625</v>
      </c>
      <c r="C1138">
        <v>6671496.92578125</v>
      </c>
      <c r="D1138">
        <v>20.5245857238769</v>
      </c>
      <c r="E1138" t="s">
        <v>2686</v>
      </c>
    </row>
    <row r="1139" spans="1:5" x14ac:dyDescent="0.3">
      <c r="A1139" t="s">
        <v>459</v>
      </c>
      <c r="B1139">
        <v>363114.5625</v>
      </c>
      <c r="C1139">
        <v>6671496.48046875</v>
      </c>
      <c r="D1139">
        <v>20.5016174316406</v>
      </c>
      <c r="E1139" t="s">
        <v>2685</v>
      </c>
    </row>
    <row r="1140" spans="1:5" x14ac:dyDescent="0.3">
      <c r="A1140" t="s">
        <v>2535</v>
      </c>
      <c r="B1140">
        <v>363114.73828125</v>
      </c>
      <c r="C1140">
        <v>6671497.56640625</v>
      </c>
      <c r="D1140">
        <v>20.507345199584901</v>
      </c>
      <c r="E1140" t="s">
        <v>2686</v>
      </c>
    </row>
    <row r="1141" spans="1:5" x14ac:dyDescent="0.3">
      <c r="A1141" t="s">
        <v>2545</v>
      </c>
      <c r="B1141">
        <v>363037.64453125</v>
      </c>
      <c r="C1141">
        <v>6671453.5390625</v>
      </c>
      <c r="D1141">
        <v>19.721529006958001</v>
      </c>
      <c r="E1141" t="s">
        <v>2686</v>
      </c>
    </row>
    <row r="1142" spans="1:5" x14ac:dyDescent="0.3">
      <c r="A1142" t="s">
        <v>2536</v>
      </c>
      <c r="B1142">
        <v>363043.125</v>
      </c>
      <c r="C1142">
        <v>6671450.609375</v>
      </c>
      <c r="D1142">
        <v>19.8360595703125</v>
      </c>
      <c r="E1142" t="s">
        <v>2686</v>
      </c>
    </row>
    <row r="1143" spans="1:5" x14ac:dyDescent="0.3">
      <c r="A1143" t="s">
        <v>2537</v>
      </c>
      <c r="B1143">
        <v>363029.80859375</v>
      </c>
      <c r="C1143">
        <v>6671428.09765625</v>
      </c>
      <c r="D1143">
        <v>18.285543441772401</v>
      </c>
      <c r="E1143" t="s">
        <v>2686</v>
      </c>
    </row>
    <row r="1144" spans="1:5" x14ac:dyDescent="0.3">
      <c r="A1144" t="s">
        <v>2671</v>
      </c>
      <c r="B1144">
        <v>362959.39453125</v>
      </c>
      <c r="C1144">
        <v>6671330.8359375</v>
      </c>
      <c r="D1144">
        <v>14.636861801147401</v>
      </c>
      <c r="E1144" t="s">
        <v>2686</v>
      </c>
    </row>
    <row r="1145" spans="1:5" x14ac:dyDescent="0.3">
      <c r="A1145" t="s">
        <v>2538</v>
      </c>
      <c r="B1145">
        <v>363069.43359375</v>
      </c>
      <c r="C1145">
        <v>6671484.921875</v>
      </c>
      <c r="D1145">
        <v>21.2950420379638</v>
      </c>
      <c r="E1145" t="s">
        <v>2686</v>
      </c>
    </row>
    <row r="1146" spans="1:5" x14ac:dyDescent="0.3">
      <c r="A1146" t="s">
        <v>457</v>
      </c>
      <c r="B1146">
        <v>358066.23828125</v>
      </c>
      <c r="C1146">
        <v>6667591.703125</v>
      </c>
      <c r="D1146">
        <v>5.8020038604736301</v>
      </c>
      <c r="E1146" t="s">
        <v>2685</v>
      </c>
    </row>
    <row r="1147" spans="1:5" x14ac:dyDescent="0.3">
      <c r="A1147" t="s">
        <v>2539</v>
      </c>
      <c r="B1147">
        <v>358047.55078125</v>
      </c>
      <c r="C1147">
        <v>6667587.578125</v>
      </c>
      <c r="D1147">
        <v>5.7463617324829102</v>
      </c>
      <c r="E1147" t="s">
        <v>2686</v>
      </c>
    </row>
    <row r="1148" spans="1:5" x14ac:dyDescent="0.3">
      <c r="A1148" t="s">
        <v>2540</v>
      </c>
      <c r="B1148">
        <v>357911.00390625</v>
      </c>
      <c r="C1148">
        <v>6667643.07421875</v>
      </c>
      <c r="D1148">
        <v>7.10196781158447</v>
      </c>
      <c r="E1148" t="s">
        <v>2686</v>
      </c>
    </row>
    <row r="1149" spans="1:5" x14ac:dyDescent="0.3">
      <c r="A1149" t="s">
        <v>456</v>
      </c>
      <c r="B1149">
        <v>357911.26953125</v>
      </c>
      <c r="C1149">
        <v>6667641.3984375</v>
      </c>
      <c r="D1149">
        <v>7.0897746086120597</v>
      </c>
      <c r="E1149" t="s">
        <v>2685</v>
      </c>
    </row>
    <row r="1150" spans="1:5" x14ac:dyDescent="0.3">
      <c r="A1150" t="s">
        <v>455</v>
      </c>
      <c r="B1150">
        <v>357909.3203125</v>
      </c>
      <c r="C1150">
        <v>6667642.7890625</v>
      </c>
      <c r="D1150">
        <v>7.1923060417175204</v>
      </c>
      <c r="E1150" t="s">
        <v>2685</v>
      </c>
    </row>
    <row r="1151" spans="1:5" x14ac:dyDescent="0.3">
      <c r="A1151" t="s">
        <v>2541</v>
      </c>
      <c r="B1151">
        <v>357948.6328125</v>
      </c>
      <c r="C1151">
        <v>6667669.4296875</v>
      </c>
      <c r="D1151">
        <v>7.3099479675292898</v>
      </c>
      <c r="E1151" t="s">
        <v>2686</v>
      </c>
    </row>
    <row r="1152" spans="1:5" x14ac:dyDescent="0.3">
      <c r="A1152" t="s">
        <v>454</v>
      </c>
      <c r="B1152">
        <v>357904.69921875</v>
      </c>
      <c r="C1152">
        <v>6667789.74609375</v>
      </c>
      <c r="D1152">
        <v>7.4263029098510698</v>
      </c>
      <c r="E1152" t="s">
        <v>2685</v>
      </c>
    </row>
    <row r="1153" spans="1:5" x14ac:dyDescent="0.3">
      <c r="A1153" t="s">
        <v>2542</v>
      </c>
      <c r="B1153">
        <v>357957.4921875</v>
      </c>
      <c r="C1153">
        <v>6667757.16015625</v>
      </c>
      <c r="D1153">
        <v>6.5984849929809499</v>
      </c>
      <c r="E1153" t="s">
        <v>2686</v>
      </c>
    </row>
    <row r="1154" spans="1:5" x14ac:dyDescent="0.3">
      <c r="A1154" t="s">
        <v>453</v>
      </c>
      <c r="B1154">
        <v>359709.71484375</v>
      </c>
      <c r="C1154">
        <v>6667475.97265625</v>
      </c>
      <c r="D1154">
        <v>5.8422684669494602</v>
      </c>
      <c r="E1154" t="s">
        <v>2685</v>
      </c>
    </row>
    <row r="1155" spans="1:5" x14ac:dyDescent="0.3">
      <c r="A1155" t="s">
        <v>2551</v>
      </c>
      <c r="B1155">
        <v>359712.5625</v>
      </c>
      <c r="C1155">
        <v>6667472.2109375</v>
      </c>
      <c r="D1155">
        <v>5.7782354354858398</v>
      </c>
      <c r="E1155" t="s">
        <v>2686</v>
      </c>
    </row>
    <row r="1156" spans="1:5" x14ac:dyDescent="0.3">
      <c r="A1156" t="s">
        <v>452</v>
      </c>
      <c r="B1156">
        <v>357024.796875</v>
      </c>
      <c r="C1156">
        <v>6665770.6640625</v>
      </c>
      <c r="D1156">
        <v>30.799526214599599</v>
      </c>
      <c r="E1156" t="s">
        <v>2685</v>
      </c>
    </row>
    <row r="1157" spans="1:5" x14ac:dyDescent="0.3">
      <c r="A1157" t="s">
        <v>2552</v>
      </c>
      <c r="B1157">
        <v>357023.21875</v>
      </c>
      <c r="C1157">
        <v>6665769.43359375</v>
      </c>
      <c r="D1157">
        <v>30.6765956878662</v>
      </c>
      <c r="E1157" t="s">
        <v>2686</v>
      </c>
    </row>
    <row r="1158" spans="1:5" x14ac:dyDescent="0.3">
      <c r="A1158" t="s">
        <v>2553</v>
      </c>
      <c r="B1158">
        <v>363373.74609375</v>
      </c>
      <c r="C1158">
        <v>6671921.38671875</v>
      </c>
      <c r="D1158">
        <v>14.7233562469482</v>
      </c>
      <c r="E1158" t="s">
        <v>2686</v>
      </c>
    </row>
    <row r="1159" spans="1:5" x14ac:dyDescent="0.3">
      <c r="A1159" t="s">
        <v>451</v>
      </c>
      <c r="B1159">
        <v>363377.44921875</v>
      </c>
      <c r="C1159">
        <v>6671944.07421875</v>
      </c>
      <c r="D1159">
        <v>15.3618364334106</v>
      </c>
      <c r="E1159" t="s">
        <v>2685</v>
      </c>
    </row>
    <row r="1160" spans="1:5" x14ac:dyDescent="0.3">
      <c r="A1160" t="s">
        <v>450</v>
      </c>
      <c r="B1160">
        <v>364443.41015625</v>
      </c>
      <c r="C1160">
        <v>6671399.171875</v>
      </c>
      <c r="D1160">
        <v>10.191704750061</v>
      </c>
      <c r="E1160" t="s">
        <v>2685</v>
      </c>
    </row>
    <row r="1161" spans="1:5" x14ac:dyDescent="0.3">
      <c r="A1161" t="s">
        <v>2554</v>
      </c>
      <c r="B1161">
        <v>364464.58984375</v>
      </c>
      <c r="C1161">
        <v>6671359.44921875</v>
      </c>
      <c r="D1161">
        <v>8.1735324859619105</v>
      </c>
      <c r="E1161" t="s">
        <v>2686</v>
      </c>
    </row>
    <row r="1162" spans="1:5" x14ac:dyDescent="0.3">
      <c r="A1162" t="s">
        <v>449</v>
      </c>
      <c r="B1162">
        <v>358238.5546875</v>
      </c>
      <c r="C1162">
        <v>6668730.26171875</v>
      </c>
      <c r="D1162">
        <v>11.941753387451101</v>
      </c>
      <c r="E1162" t="s">
        <v>2685</v>
      </c>
    </row>
    <row r="1163" spans="1:5" x14ac:dyDescent="0.3">
      <c r="A1163" t="s">
        <v>2555</v>
      </c>
      <c r="B1163">
        <v>358216.42578125</v>
      </c>
      <c r="C1163">
        <v>6668738.1015625</v>
      </c>
      <c r="D1163">
        <v>12.500587463378899</v>
      </c>
      <c r="E1163" t="s">
        <v>2686</v>
      </c>
    </row>
    <row r="1164" spans="1:5" x14ac:dyDescent="0.3">
      <c r="A1164" t="s">
        <v>448</v>
      </c>
      <c r="B1164">
        <v>364329.66015625</v>
      </c>
      <c r="C1164">
        <v>6671743.1640625</v>
      </c>
      <c r="D1164">
        <v>8.0200872421264595</v>
      </c>
      <c r="E1164" t="s">
        <v>2685</v>
      </c>
    </row>
    <row r="1165" spans="1:5" x14ac:dyDescent="0.3">
      <c r="A1165" t="s">
        <v>2556</v>
      </c>
      <c r="B1165">
        <v>364337.69921875</v>
      </c>
      <c r="C1165">
        <v>6671720.546875</v>
      </c>
      <c r="D1165">
        <v>7.3786902427673304</v>
      </c>
      <c r="E1165" t="s">
        <v>2686</v>
      </c>
    </row>
    <row r="1166" spans="1:5" x14ac:dyDescent="0.3">
      <c r="A1166" t="s">
        <v>2557</v>
      </c>
      <c r="B1166">
        <v>365598.27734375</v>
      </c>
      <c r="C1166">
        <v>6670110.734375</v>
      </c>
      <c r="D1166">
        <v>26.891746520996001</v>
      </c>
      <c r="E1166" t="s">
        <v>2686</v>
      </c>
    </row>
    <row r="1167" spans="1:5" x14ac:dyDescent="0.3">
      <c r="A1167" t="s">
        <v>447</v>
      </c>
      <c r="B1167">
        <v>365593.8359375</v>
      </c>
      <c r="C1167">
        <v>6670132.0234375</v>
      </c>
      <c r="D1167">
        <v>27.460119247436499</v>
      </c>
      <c r="E1167" t="s">
        <v>2685</v>
      </c>
    </row>
    <row r="1168" spans="1:5" x14ac:dyDescent="0.3">
      <c r="A1168" t="s">
        <v>2561</v>
      </c>
      <c r="B1168">
        <v>357252.12890625</v>
      </c>
      <c r="C1168">
        <v>6666042.9296875</v>
      </c>
      <c r="D1168">
        <v>35.254573822021399</v>
      </c>
      <c r="E1168" t="s">
        <v>2686</v>
      </c>
    </row>
    <row r="1169" spans="1:5" x14ac:dyDescent="0.3">
      <c r="A1169" t="s">
        <v>2562</v>
      </c>
      <c r="B1169">
        <v>363136.453125</v>
      </c>
      <c r="C1169">
        <v>6672416.546875</v>
      </c>
      <c r="D1169">
        <v>21.936780929565401</v>
      </c>
      <c r="E1169" t="s">
        <v>2686</v>
      </c>
    </row>
    <row r="1170" spans="1:5" x14ac:dyDescent="0.3">
      <c r="A1170" t="s">
        <v>2569</v>
      </c>
      <c r="B1170">
        <v>357489.8359375</v>
      </c>
      <c r="C1170">
        <v>6666424.76953125</v>
      </c>
      <c r="D1170">
        <v>36.0004272460937</v>
      </c>
      <c r="E1170" t="s">
        <v>2686</v>
      </c>
    </row>
    <row r="1171" spans="1:5" x14ac:dyDescent="0.3">
      <c r="A1171" t="s">
        <v>2673</v>
      </c>
      <c r="B1171">
        <v>357023.37890625</v>
      </c>
      <c r="C1171">
        <v>6669438.4453125</v>
      </c>
      <c r="D1171">
        <v>54.133949279785099</v>
      </c>
      <c r="E1171" t="s">
        <v>2686</v>
      </c>
    </row>
    <row r="1172" spans="1:5" x14ac:dyDescent="0.3">
      <c r="A1172" t="s">
        <v>2560</v>
      </c>
      <c r="B1172">
        <v>359647.27734375</v>
      </c>
      <c r="C1172">
        <v>6667577.46484375</v>
      </c>
      <c r="D1172">
        <v>12.3976583480834</v>
      </c>
      <c r="E1172" t="s">
        <v>2686</v>
      </c>
    </row>
    <row r="1173" spans="1:5" x14ac:dyDescent="0.3">
      <c r="A1173" t="s">
        <v>441</v>
      </c>
      <c r="B1173">
        <v>362670.88671875</v>
      </c>
      <c r="C1173">
        <v>6671072.3359375</v>
      </c>
      <c r="D1173">
        <v>16.708375930786101</v>
      </c>
      <c r="E1173" t="s">
        <v>2685</v>
      </c>
    </row>
    <row r="1174" spans="1:5" x14ac:dyDescent="0.3">
      <c r="A1174" t="s">
        <v>2566</v>
      </c>
      <c r="B1174">
        <v>357139.30859375</v>
      </c>
      <c r="C1174">
        <v>6667515.22265625</v>
      </c>
      <c r="D1174">
        <v>6.3675827980041504</v>
      </c>
      <c r="E1174" t="s">
        <v>2686</v>
      </c>
    </row>
    <row r="1175" spans="1:5" x14ac:dyDescent="0.3">
      <c r="A1175" t="s">
        <v>440</v>
      </c>
      <c r="B1175">
        <v>357073.75</v>
      </c>
      <c r="C1175">
        <v>6667520.4765625</v>
      </c>
      <c r="D1175">
        <v>6.48583984375</v>
      </c>
      <c r="E1175" t="s">
        <v>2685</v>
      </c>
    </row>
    <row r="1176" spans="1:5" x14ac:dyDescent="0.3">
      <c r="A1176" t="s">
        <v>2567</v>
      </c>
      <c r="B1176">
        <v>357183.3046875</v>
      </c>
      <c r="C1176">
        <v>6667509.53125</v>
      </c>
      <c r="D1176">
        <v>6.9523038864135698</v>
      </c>
      <c r="E1176" t="s">
        <v>2686</v>
      </c>
    </row>
    <row r="1177" spans="1:5" x14ac:dyDescent="0.3">
      <c r="A1177" t="s">
        <v>439</v>
      </c>
      <c r="B1177">
        <v>357490.0078125</v>
      </c>
      <c r="C1177">
        <v>6666465.80078125</v>
      </c>
      <c r="D1177">
        <v>36.904037475585902</v>
      </c>
      <c r="E1177" t="s">
        <v>2685</v>
      </c>
    </row>
    <row r="1178" spans="1:5" x14ac:dyDescent="0.3">
      <c r="A1178" t="s">
        <v>438</v>
      </c>
      <c r="B1178">
        <v>357234.609375</v>
      </c>
      <c r="C1178">
        <v>6666028.00390625</v>
      </c>
      <c r="D1178">
        <v>36.057041168212798</v>
      </c>
      <c r="E1178" t="s">
        <v>2685</v>
      </c>
    </row>
    <row r="1179" spans="1:5" x14ac:dyDescent="0.3">
      <c r="A1179" t="s">
        <v>437</v>
      </c>
      <c r="B1179">
        <v>357182.1640625</v>
      </c>
      <c r="C1179">
        <v>6667500.09375</v>
      </c>
      <c r="D1179">
        <v>6.79577159881591</v>
      </c>
      <c r="E1179" t="s">
        <v>2685</v>
      </c>
    </row>
    <row r="1180" spans="1:5" x14ac:dyDescent="0.3">
      <c r="A1180" t="s">
        <v>436</v>
      </c>
      <c r="B1180">
        <v>359674.6953125</v>
      </c>
      <c r="C1180">
        <v>6667556.890625</v>
      </c>
      <c r="D1180">
        <v>11.8833971023559</v>
      </c>
      <c r="E1180" t="s">
        <v>2685</v>
      </c>
    </row>
    <row r="1181" spans="1:5" x14ac:dyDescent="0.3">
      <c r="A1181" t="s">
        <v>2571</v>
      </c>
      <c r="B1181">
        <v>362878.92578125</v>
      </c>
      <c r="C1181">
        <v>6671451.96484375</v>
      </c>
      <c r="D1181">
        <v>15.0421848297119</v>
      </c>
      <c r="E1181" t="s">
        <v>2686</v>
      </c>
    </row>
    <row r="1182" spans="1:5" x14ac:dyDescent="0.3">
      <c r="A1182" t="s">
        <v>2570</v>
      </c>
      <c r="B1182">
        <v>362879.34375</v>
      </c>
      <c r="C1182">
        <v>6671452.45703125</v>
      </c>
      <c r="D1182">
        <v>15.061937332153301</v>
      </c>
      <c r="E1182" t="s">
        <v>2686</v>
      </c>
    </row>
    <row r="1183" spans="1:5" x14ac:dyDescent="0.3">
      <c r="A1183" t="s">
        <v>2572</v>
      </c>
      <c r="B1183">
        <v>362880.375</v>
      </c>
      <c r="C1183">
        <v>6671448.69921875</v>
      </c>
      <c r="D1183">
        <v>15.0325927734375</v>
      </c>
      <c r="E1183" t="s">
        <v>2686</v>
      </c>
    </row>
    <row r="1184" spans="1:5" x14ac:dyDescent="0.3">
      <c r="A1184" t="s">
        <v>66</v>
      </c>
      <c r="B1184">
        <v>357942.40954845899</v>
      </c>
      <c r="C1184">
        <v>6668102.5811444502</v>
      </c>
      <c r="D1184">
        <v>8.32008552551269</v>
      </c>
      <c r="E1184" t="s">
        <v>2685</v>
      </c>
    </row>
    <row r="1185" spans="1:5" x14ac:dyDescent="0.3">
      <c r="A1185" t="s">
        <v>2573</v>
      </c>
      <c r="B1185">
        <v>366065.55078125</v>
      </c>
      <c r="C1185">
        <v>6670399.4765625</v>
      </c>
      <c r="D1185">
        <v>27.445236206054599</v>
      </c>
      <c r="E1185" t="s">
        <v>2686</v>
      </c>
    </row>
    <row r="1186" spans="1:5" x14ac:dyDescent="0.3">
      <c r="A1186" t="s">
        <v>2674</v>
      </c>
      <c r="B1186">
        <v>366229.79296875</v>
      </c>
      <c r="C1186">
        <v>6670328.50390625</v>
      </c>
      <c r="D1186">
        <v>23.489099502563398</v>
      </c>
      <c r="E1186" t="s">
        <v>2686</v>
      </c>
    </row>
    <row r="1187" spans="1:5" x14ac:dyDescent="0.3">
      <c r="A1187" t="s">
        <v>2641</v>
      </c>
      <c r="B1187">
        <v>356954.58984375</v>
      </c>
      <c r="C1187">
        <v>6668002.12890625</v>
      </c>
      <c r="D1187">
        <v>18.869401931762599</v>
      </c>
      <c r="E1187" t="s">
        <v>2686</v>
      </c>
    </row>
    <row r="1188" spans="1:5" x14ac:dyDescent="0.3">
      <c r="A1188" t="s">
        <v>2574</v>
      </c>
      <c r="B1188">
        <v>356952.8359375</v>
      </c>
      <c r="C1188">
        <v>6668003.796875</v>
      </c>
      <c r="D1188">
        <v>18.731710433959901</v>
      </c>
      <c r="E1188" t="s">
        <v>2686</v>
      </c>
    </row>
    <row r="1189" spans="1:5" x14ac:dyDescent="0.3">
      <c r="A1189" t="s">
        <v>2576</v>
      </c>
      <c r="B1189">
        <v>356950.82421875</v>
      </c>
      <c r="C1189">
        <v>6668002.52734375</v>
      </c>
      <c r="D1189">
        <v>18.703859329223601</v>
      </c>
      <c r="E1189" t="s">
        <v>2686</v>
      </c>
    </row>
    <row r="1190" spans="1:5" x14ac:dyDescent="0.3">
      <c r="A1190" t="s">
        <v>2575</v>
      </c>
      <c r="B1190">
        <v>356954.6015625</v>
      </c>
      <c r="C1190">
        <v>6668005.15234375</v>
      </c>
      <c r="D1190">
        <v>18.751966476440401</v>
      </c>
      <c r="E1190" t="s">
        <v>2686</v>
      </c>
    </row>
    <row r="1191" spans="1:5" x14ac:dyDescent="0.3">
      <c r="A1191" t="s">
        <v>2675</v>
      </c>
      <c r="B1191">
        <v>362527.03515625</v>
      </c>
      <c r="C1191">
        <v>6670868.32421875</v>
      </c>
      <c r="D1191">
        <v>19.199420928955</v>
      </c>
      <c r="E1191" t="s">
        <v>2686</v>
      </c>
    </row>
    <row r="1192" spans="1:5" x14ac:dyDescent="0.3">
      <c r="A1192" t="s">
        <v>2577</v>
      </c>
      <c r="B1192">
        <v>362536.37109375</v>
      </c>
      <c r="C1192">
        <v>6670878.94921875</v>
      </c>
      <c r="D1192">
        <v>19.503250122070298</v>
      </c>
      <c r="E1192" t="s">
        <v>2686</v>
      </c>
    </row>
    <row r="1193" spans="1:5" x14ac:dyDescent="0.3">
      <c r="A1193" t="s">
        <v>2578</v>
      </c>
      <c r="B1193">
        <v>362536.625</v>
      </c>
      <c r="C1193">
        <v>6670879.265625</v>
      </c>
      <c r="D1193">
        <v>19.524166107177699</v>
      </c>
      <c r="E1193" t="s">
        <v>2686</v>
      </c>
    </row>
    <row r="1194" spans="1:5" x14ac:dyDescent="0.3">
      <c r="A1194" t="s">
        <v>2639</v>
      </c>
      <c r="B1194">
        <v>362542.6015625</v>
      </c>
      <c r="C1194">
        <v>6670889.08984375</v>
      </c>
      <c r="D1194">
        <v>19.957788467407202</v>
      </c>
      <c r="E1194" t="s">
        <v>2686</v>
      </c>
    </row>
    <row r="1195" spans="1:5" x14ac:dyDescent="0.3">
      <c r="A1195" t="s">
        <v>2579</v>
      </c>
      <c r="B1195">
        <v>362536.4921875</v>
      </c>
      <c r="C1195">
        <v>6670877.6953125</v>
      </c>
      <c r="D1195">
        <v>19.4482307434082</v>
      </c>
      <c r="E1195" t="s">
        <v>2686</v>
      </c>
    </row>
    <row r="1196" spans="1:5" x14ac:dyDescent="0.3">
      <c r="A1196" t="s">
        <v>2618</v>
      </c>
      <c r="B1196">
        <v>364416.71875</v>
      </c>
      <c r="C1196">
        <v>6671740.15234375</v>
      </c>
      <c r="D1196">
        <v>8.2948532104492099</v>
      </c>
      <c r="E1196" t="s">
        <v>2686</v>
      </c>
    </row>
    <row r="1197" spans="1:5" x14ac:dyDescent="0.3">
      <c r="A1197" t="s">
        <v>2580</v>
      </c>
      <c r="B1197">
        <v>364407.8515625</v>
      </c>
      <c r="C1197">
        <v>6671753.6640625</v>
      </c>
      <c r="D1197">
        <v>8.3996028900146396</v>
      </c>
      <c r="E1197" t="s">
        <v>2686</v>
      </c>
    </row>
    <row r="1198" spans="1:5" x14ac:dyDescent="0.3">
      <c r="A1198" t="s">
        <v>47</v>
      </c>
      <c r="B1198">
        <v>363241.328125</v>
      </c>
      <c r="C1198">
        <v>6672004.58984375</v>
      </c>
      <c r="D1198">
        <v>15.357663154601999</v>
      </c>
      <c r="E1198" t="s">
        <v>2685</v>
      </c>
    </row>
    <row r="1199" spans="1:5" x14ac:dyDescent="0.3">
      <c r="A1199" t="s">
        <v>2581</v>
      </c>
      <c r="B1199">
        <v>363237.140625</v>
      </c>
      <c r="C1199">
        <v>6671945.34765625</v>
      </c>
      <c r="D1199">
        <v>14.1630096435546</v>
      </c>
      <c r="E1199" t="s">
        <v>2686</v>
      </c>
    </row>
    <row r="1200" spans="1:5" x14ac:dyDescent="0.3">
      <c r="A1200" t="s">
        <v>2564</v>
      </c>
      <c r="B1200">
        <v>356783.3046875</v>
      </c>
      <c r="C1200">
        <v>6668003.19921875</v>
      </c>
      <c r="D1200">
        <v>17.5532131195068</v>
      </c>
      <c r="E1200" t="s">
        <v>2686</v>
      </c>
    </row>
    <row r="1201" spans="1:5" x14ac:dyDescent="0.3">
      <c r="A1201" t="s">
        <v>2582</v>
      </c>
      <c r="B1201">
        <v>362696.453125</v>
      </c>
      <c r="C1201">
        <v>6671044.21875</v>
      </c>
      <c r="D1201">
        <v>17.391942977905199</v>
      </c>
      <c r="E1201" t="s">
        <v>2686</v>
      </c>
    </row>
    <row r="1202" spans="1:5" x14ac:dyDescent="0.3">
      <c r="A1202" t="s">
        <v>2616</v>
      </c>
      <c r="B1202">
        <v>362779.95703125</v>
      </c>
      <c r="C1202">
        <v>6670984.2734375</v>
      </c>
      <c r="D1202">
        <v>15.9421024322509</v>
      </c>
      <c r="E1202" t="s">
        <v>2686</v>
      </c>
    </row>
    <row r="1203" spans="1:5" x14ac:dyDescent="0.3">
      <c r="A1203" t="s">
        <v>2617</v>
      </c>
      <c r="B1203">
        <v>362774.38671875</v>
      </c>
      <c r="C1203">
        <v>6670956.09765625</v>
      </c>
      <c r="D1203">
        <v>15.6987390518188</v>
      </c>
      <c r="E1203" t="s">
        <v>2686</v>
      </c>
    </row>
    <row r="1204" spans="1:5" x14ac:dyDescent="0.3">
      <c r="A1204" t="s">
        <v>2583</v>
      </c>
      <c r="B1204">
        <v>362612.4921875</v>
      </c>
      <c r="C1204">
        <v>6670817.45703125</v>
      </c>
      <c r="D1204">
        <v>18.393190383911101</v>
      </c>
      <c r="E1204" t="s">
        <v>2686</v>
      </c>
    </row>
    <row r="1205" spans="1:5" x14ac:dyDescent="0.3">
      <c r="A1205" t="s">
        <v>46</v>
      </c>
      <c r="B1205">
        <v>366388.23828125</v>
      </c>
      <c r="C1205">
        <v>6670420.66015625</v>
      </c>
      <c r="D1205">
        <v>23.6390666961669</v>
      </c>
      <c r="E1205" t="s">
        <v>2685</v>
      </c>
    </row>
    <row r="1206" spans="1:5" x14ac:dyDescent="0.3">
      <c r="A1206" t="s">
        <v>2584</v>
      </c>
      <c r="B1206">
        <v>366377.7890625</v>
      </c>
      <c r="C1206">
        <v>6670449.86328125</v>
      </c>
      <c r="D1206">
        <v>26.5585403442382</v>
      </c>
      <c r="E1206" t="s">
        <v>2686</v>
      </c>
    </row>
    <row r="1207" spans="1:5" x14ac:dyDescent="0.3">
      <c r="A1207" t="s">
        <v>57</v>
      </c>
      <c r="B1207">
        <v>365639.296875</v>
      </c>
      <c r="C1207">
        <v>6670175.32421875</v>
      </c>
      <c r="D1207">
        <v>34.185222625732401</v>
      </c>
      <c r="E1207" t="s">
        <v>2685</v>
      </c>
    </row>
    <row r="1208" spans="1:5" x14ac:dyDescent="0.3">
      <c r="A1208" t="s">
        <v>2586</v>
      </c>
      <c r="B1208">
        <v>362613.765625</v>
      </c>
      <c r="C1208">
        <v>6670826.94140625</v>
      </c>
      <c r="D1208">
        <v>18.387502670288001</v>
      </c>
      <c r="E1208" t="s">
        <v>2686</v>
      </c>
    </row>
    <row r="1209" spans="1:5" x14ac:dyDescent="0.3">
      <c r="A1209" t="s">
        <v>2585</v>
      </c>
      <c r="B1209">
        <v>365656.94921875</v>
      </c>
      <c r="C1209">
        <v>6670150.19140625</v>
      </c>
      <c r="D1209">
        <v>29.2413024902343</v>
      </c>
      <c r="E1209" t="s">
        <v>2686</v>
      </c>
    </row>
    <row r="1210" spans="1:5" x14ac:dyDescent="0.3">
      <c r="A1210" t="s">
        <v>56</v>
      </c>
      <c r="B1210">
        <v>365693.13671875</v>
      </c>
      <c r="C1210">
        <v>6670223.4140625</v>
      </c>
      <c r="D1210">
        <v>32.275604248046797</v>
      </c>
      <c r="E1210" t="s">
        <v>2685</v>
      </c>
    </row>
    <row r="1211" spans="1:5" x14ac:dyDescent="0.3">
      <c r="A1211" t="s">
        <v>2587</v>
      </c>
      <c r="B1211">
        <v>365738.375</v>
      </c>
      <c r="C1211">
        <v>6670193.33203125</v>
      </c>
      <c r="D1211">
        <v>28.618412017822202</v>
      </c>
      <c r="E1211" t="s">
        <v>2686</v>
      </c>
    </row>
    <row r="1212" spans="1:5" x14ac:dyDescent="0.3">
      <c r="A1212" t="s">
        <v>2588</v>
      </c>
      <c r="B1212">
        <v>356990.27734375</v>
      </c>
      <c r="C1212">
        <v>6667865.640625</v>
      </c>
      <c r="D1212">
        <v>14.3766326904296</v>
      </c>
      <c r="E1212" t="s">
        <v>2686</v>
      </c>
    </row>
    <row r="1213" spans="1:5" x14ac:dyDescent="0.3">
      <c r="A1213" t="s">
        <v>2589</v>
      </c>
      <c r="B1213">
        <v>356991.75390625</v>
      </c>
      <c r="C1213">
        <v>6667864.92578125</v>
      </c>
      <c r="D1213">
        <v>14.2621297836303</v>
      </c>
      <c r="E1213" t="s">
        <v>2686</v>
      </c>
    </row>
    <row r="1214" spans="1:5" x14ac:dyDescent="0.3">
      <c r="A1214" t="s">
        <v>2615</v>
      </c>
      <c r="B1214">
        <v>357084.23828125</v>
      </c>
      <c r="C1214">
        <v>6667865.84375</v>
      </c>
      <c r="D1214">
        <v>14.3904056549072</v>
      </c>
      <c r="E1214" t="s">
        <v>2686</v>
      </c>
    </row>
    <row r="1215" spans="1:5" x14ac:dyDescent="0.3">
      <c r="A1215" t="s">
        <v>2590</v>
      </c>
      <c r="B1215">
        <v>357090.7265625</v>
      </c>
      <c r="C1215">
        <v>6667868.515625</v>
      </c>
      <c r="D1215">
        <v>14.452109336853001</v>
      </c>
      <c r="E1215" t="s">
        <v>2686</v>
      </c>
    </row>
    <row r="1216" spans="1:5" x14ac:dyDescent="0.3">
      <c r="A1216" t="s">
        <v>2676</v>
      </c>
      <c r="B1216">
        <v>357094.76171875</v>
      </c>
      <c r="C1216">
        <v>6667870.2265625</v>
      </c>
      <c r="D1216">
        <v>14.546078681945801</v>
      </c>
      <c r="E1216" t="s">
        <v>2686</v>
      </c>
    </row>
    <row r="1217" spans="1:5" x14ac:dyDescent="0.3">
      <c r="A1217" t="s">
        <v>2591</v>
      </c>
      <c r="B1217">
        <v>357092.37109375</v>
      </c>
      <c r="C1217">
        <v>6667869.171875</v>
      </c>
      <c r="D1217">
        <v>14.487612724304199</v>
      </c>
      <c r="E1217" t="s">
        <v>2686</v>
      </c>
    </row>
    <row r="1218" spans="1:5" x14ac:dyDescent="0.3">
      <c r="A1218" t="s">
        <v>2592</v>
      </c>
      <c r="B1218">
        <v>357091.5625</v>
      </c>
      <c r="C1218">
        <v>6667868.8125</v>
      </c>
      <c r="D1218">
        <v>14.4685745239257</v>
      </c>
      <c r="E1218" t="s">
        <v>2686</v>
      </c>
    </row>
    <row r="1219" spans="1:5" x14ac:dyDescent="0.3">
      <c r="A1219" t="s">
        <v>2593</v>
      </c>
      <c r="B1219">
        <v>357090.41796875</v>
      </c>
      <c r="C1219">
        <v>6667871.93359375</v>
      </c>
      <c r="D1219">
        <v>14.6540155410766</v>
      </c>
      <c r="E1219" t="s">
        <v>2686</v>
      </c>
    </row>
    <row r="1220" spans="1:5" x14ac:dyDescent="0.3">
      <c r="A1220" t="s">
        <v>2595</v>
      </c>
      <c r="B1220">
        <v>357005.49609375</v>
      </c>
      <c r="C1220">
        <v>6667859.78515625</v>
      </c>
      <c r="D1220">
        <v>13.474637031555099</v>
      </c>
      <c r="E1220" t="s">
        <v>2686</v>
      </c>
    </row>
    <row r="1221" spans="1:5" x14ac:dyDescent="0.3">
      <c r="A1221" t="s">
        <v>478</v>
      </c>
      <c r="B1221">
        <v>357014.97265625</v>
      </c>
      <c r="C1221">
        <v>6667868.0078125</v>
      </c>
      <c r="D1221">
        <v>14.0567970275878</v>
      </c>
      <c r="E1221" t="s">
        <v>2685</v>
      </c>
    </row>
    <row r="1222" spans="1:5" x14ac:dyDescent="0.3">
      <c r="A1222" t="s">
        <v>2596</v>
      </c>
      <c r="B1222">
        <v>356994.96875</v>
      </c>
      <c r="C1222">
        <v>6667871.2109375</v>
      </c>
      <c r="D1222">
        <v>14.5550842285156</v>
      </c>
      <c r="E1222" t="s">
        <v>2686</v>
      </c>
    </row>
    <row r="1223" spans="1:5" x14ac:dyDescent="0.3">
      <c r="A1223" t="s">
        <v>2597</v>
      </c>
      <c r="B1223">
        <v>356957.77734375</v>
      </c>
      <c r="C1223">
        <v>6667880.921875</v>
      </c>
      <c r="D1223">
        <v>16.2398986816406</v>
      </c>
      <c r="E1223" t="s">
        <v>2686</v>
      </c>
    </row>
    <row r="1224" spans="1:5" x14ac:dyDescent="0.3">
      <c r="A1224" t="s">
        <v>499</v>
      </c>
      <c r="B1224">
        <v>356955.53125</v>
      </c>
      <c r="C1224">
        <v>6667876.4921875</v>
      </c>
      <c r="D1224">
        <v>15.800135612487701</v>
      </c>
      <c r="E1224" t="s">
        <v>2685</v>
      </c>
    </row>
    <row r="1225" spans="1:5" x14ac:dyDescent="0.3">
      <c r="A1225" t="s">
        <v>2598</v>
      </c>
      <c r="B1225">
        <v>356941.6953125</v>
      </c>
      <c r="C1225">
        <v>6667883.0859375</v>
      </c>
      <c r="D1225">
        <v>16.016838073730401</v>
      </c>
      <c r="E1225" t="s">
        <v>2686</v>
      </c>
    </row>
    <row r="1226" spans="1:5" x14ac:dyDescent="0.3">
      <c r="A1226" t="s">
        <v>2602</v>
      </c>
      <c r="B1226">
        <v>356946.36328125</v>
      </c>
      <c r="C1226">
        <v>6667887.32421875</v>
      </c>
      <c r="D1226">
        <v>16.730161666870099</v>
      </c>
      <c r="E1226" t="s">
        <v>2686</v>
      </c>
    </row>
    <row r="1227" spans="1:5" x14ac:dyDescent="0.3">
      <c r="A1227" t="s">
        <v>2599</v>
      </c>
      <c r="B1227">
        <v>356958.5546875</v>
      </c>
      <c r="C1227">
        <v>6667881.7265625</v>
      </c>
      <c r="D1227">
        <v>16.3660869598388</v>
      </c>
      <c r="E1227" t="s">
        <v>2686</v>
      </c>
    </row>
    <row r="1228" spans="1:5" x14ac:dyDescent="0.3">
      <c r="A1228" t="s">
        <v>2600</v>
      </c>
      <c r="B1228">
        <v>356972.26953125</v>
      </c>
      <c r="C1228">
        <v>6667874.69921875</v>
      </c>
      <c r="D1228">
        <v>14.983979225158601</v>
      </c>
      <c r="E1228" t="s">
        <v>2686</v>
      </c>
    </row>
    <row r="1229" spans="1:5" x14ac:dyDescent="0.3">
      <c r="A1229" t="s">
        <v>2601</v>
      </c>
      <c r="B1229">
        <v>357003.01953125</v>
      </c>
      <c r="C1229">
        <v>6667859.23828125</v>
      </c>
      <c r="D1229">
        <v>13.4176721572875</v>
      </c>
      <c r="E1229" t="s">
        <v>2686</v>
      </c>
    </row>
    <row r="1230" spans="1:5" x14ac:dyDescent="0.3">
      <c r="A1230" t="s">
        <v>480</v>
      </c>
      <c r="B1230">
        <v>356987.71875</v>
      </c>
      <c r="C1230">
        <v>6667861.85546875</v>
      </c>
      <c r="D1230">
        <v>14.239761352539</v>
      </c>
      <c r="E1230" t="s">
        <v>2685</v>
      </c>
    </row>
    <row r="1231" spans="1:5" x14ac:dyDescent="0.3">
      <c r="A1231" t="s">
        <v>130</v>
      </c>
      <c r="B1231">
        <v>356978.84375</v>
      </c>
      <c r="C1231">
        <v>6667886.48828125</v>
      </c>
      <c r="D1231">
        <v>16.259284973144499</v>
      </c>
      <c r="E1231" t="s">
        <v>2685</v>
      </c>
    </row>
    <row r="1232" spans="1:5" x14ac:dyDescent="0.3">
      <c r="A1232" t="s">
        <v>2603</v>
      </c>
      <c r="B1232">
        <v>366376.81640625</v>
      </c>
      <c r="C1232">
        <v>6670451.9453125</v>
      </c>
      <c r="D1232">
        <v>26.644056320190401</v>
      </c>
      <c r="E1232" t="s">
        <v>2686</v>
      </c>
    </row>
    <row r="1233" spans="1:5" x14ac:dyDescent="0.3">
      <c r="A1233" t="s">
        <v>2604</v>
      </c>
      <c r="B1233">
        <v>357324.05859375</v>
      </c>
      <c r="C1233">
        <v>6667598.46484375</v>
      </c>
      <c r="D1233">
        <v>6.7240533828735298</v>
      </c>
      <c r="E1233" t="s">
        <v>2686</v>
      </c>
    </row>
    <row r="1234" spans="1:5" x14ac:dyDescent="0.3">
      <c r="A1234" t="s">
        <v>2677</v>
      </c>
      <c r="B1234">
        <v>357327.6328125</v>
      </c>
      <c r="C1234">
        <v>6667598.05078125</v>
      </c>
      <c r="D1234">
        <v>6.7292761802673304</v>
      </c>
      <c r="E1234" t="s">
        <v>2686</v>
      </c>
    </row>
    <row r="1235" spans="1:5" x14ac:dyDescent="0.3">
      <c r="A1235" t="s">
        <v>2605</v>
      </c>
      <c r="B1235">
        <v>357323.1328125</v>
      </c>
      <c r="C1235">
        <v>6667598.6171875</v>
      </c>
      <c r="D1235">
        <v>6.7223887443542401</v>
      </c>
      <c r="E1235" t="s">
        <v>2686</v>
      </c>
    </row>
    <row r="1236" spans="1:5" x14ac:dyDescent="0.3">
      <c r="A1236" t="s">
        <v>2606</v>
      </c>
      <c r="B1236">
        <v>357328.3125</v>
      </c>
      <c r="C1236">
        <v>6667597.9921875</v>
      </c>
      <c r="D1236">
        <v>6.7301325798034597</v>
      </c>
      <c r="E1236" t="s">
        <v>2686</v>
      </c>
    </row>
    <row r="1237" spans="1:5" x14ac:dyDescent="0.3">
      <c r="A1237" t="s">
        <v>2607</v>
      </c>
      <c r="B1237">
        <v>356878.75</v>
      </c>
      <c r="C1237">
        <v>6667873.25390625</v>
      </c>
      <c r="D1237">
        <v>14.0770721435546</v>
      </c>
      <c r="E1237" t="s">
        <v>2686</v>
      </c>
    </row>
    <row r="1238" spans="1:5" x14ac:dyDescent="0.3">
      <c r="A1238" t="s">
        <v>2645</v>
      </c>
      <c r="B1238">
        <v>356878.1953125</v>
      </c>
      <c r="C1238">
        <v>6667873.48046875</v>
      </c>
      <c r="D1238">
        <v>14.1136007308959</v>
      </c>
      <c r="E1238" t="s">
        <v>2686</v>
      </c>
    </row>
    <row r="1239" spans="1:5" x14ac:dyDescent="0.3">
      <c r="A1239" t="s">
        <v>500</v>
      </c>
      <c r="B1239">
        <v>356952.921875</v>
      </c>
      <c r="C1239">
        <v>6667899.65234375</v>
      </c>
      <c r="D1239">
        <v>17.7113132476806</v>
      </c>
      <c r="E1239" t="s">
        <v>2685</v>
      </c>
    </row>
    <row r="1240" spans="1:5" x14ac:dyDescent="0.3">
      <c r="A1240" t="s">
        <v>61</v>
      </c>
      <c r="B1240">
        <v>363239.12890625</v>
      </c>
      <c r="C1240">
        <v>6671913.65625</v>
      </c>
      <c r="D1240">
        <v>14.0149421691894</v>
      </c>
      <c r="E1240" t="s">
        <v>2685</v>
      </c>
    </row>
    <row r="1241" spans="1:5" x14ac:dyDescent="0.3">
      <c r="A1241" t="s">
        <v>2594</v>
      </c>
      <c r="B1241">
        <v>357034.72265625</v>
      </c>
      <c r="C1241">
        <v>6667843.2734375</v>
      </c>
      <c r="D1241">
        <v>12.5928134918212</v>
      </c>
      <c r="E1241" t="s">
        <v>2686</v>
      </c>
    </row>
    <row r="1242" spans="1:5" x14ac:dyDescent="0.3">
      <c r="A1242" t="s">
        <v>2611</v>
      </c>
      <c r="B1242">
        <v>357004.4765625</v>
      </c>
      <c r="C1242">
        <v>6667858.53515625</v>
      </c>
      <c r="D1242">
        <v>13.383425712585399</v>
      </c>
      <c r="E1242" t="s">
        <v>2686</v>
      </c>
    </row>
    <row r="1243" spans="1:5" x14ac:dyDescent="0.3">
      <c r="A1243" t="s">
        <v>101</v>
      </c>
      <c r="B1243">
        <v>357003.4140625</v>
      </c>
      <c r="C1243">
        <v>6667855.48828125</v>
      </c>
      <c r="D1243">
        <v>13.1789436340332</v>
      </c>
      <c r="E1243" t="s">
        <v>2685</v>
      </c>
    </row>
    <row r="1244" spans="1:5" x14ac:dyDescent="0.3">
      <c r="A1244" t="s">
        <v>2612</v>
      </c>
      <c r="B1244">
        <v>357003.67578125</v>
      </c>
      <c r="C1244">
        <v>6667858.9140625</v>
      </c>
      <c r="D1244">
        <v>13.402050971984799</v>
      </c>
      <c r="E1244" t="s">
        <v>2686</v>
      </c>
    </row>
    <row r="1245" spans="1:5" x14ac:dyDescent="0.3">
      <c r="A1245" t="s">
        <v>2613</v>
      </c>
      <c r="B1245">
        <v>362739.53515625</v>
      </c>
      <c r="C1245">
        <v>6671054.828125</v>
      </c>
      <c r="D1245">
        <v>17.901607513427699</v>
      </c>
      <c r="E1245" t="s">
        <v>2686</v>
      </c>
    </row>
    <row r="1246" spans="1:5" x14ac:dyDescent="0.3">
      <c r="A1246" t="s">
        <v>64</v>
      </c>
      <c r="B1246">
        <v>362739.609375</v>
      </c>
      <c r="C1246">
        <v>6671054.5859375</v>
      </c>
      <c r="D1246">
        <v>17.905775070190401</v>
      </c>
      <c r="E1246" t="s">
        <v>2685</v>
      </c>
    </row>
    <row r="1247" spans="1:5" x14ac:dyDescent="0.3">
      <c r="A1247" t="s">
        <v>63</v>
      </c>
      <c r="B1247">
        <v>362741.05859375</v>
      </c>
      <c r="C1247">
        <v>6671054.91015625</v>
      </c>
      <c r="D1247">
        <v>17.816156387329102</v>
      </c>
      <c r="E1247" t="s">
        <v>2685</v>
      </c>
    </row>
    <row r="1248" spans="1:5" x14ac:dyDescent="0.3">
      <c r="A1248" t="s">
        <v>2614</v>
      </c>
      <c r="B1248">
        <v>362739.2890625</v>
      </c>
      <c r="C1248">
        <v>6671055.62109375</v>
      </c>
      <c r="D1248">
        <v>17.888603210449201</v>
      </c>
      <c r="E1248" t="s">
        <v>2686</v>
      </c>
    </row>
    <row r="1249" spans="1:5" x14ac:dyDescent="0.3">
      <c r="A1249" t="s">
        <v>2608</v>
      </c>
      <c r="B1249">
        <v>356873.46484375</v>
      </c>
      <c r="C1249">
        <v>6667861.109375</v>
      </c>
      <c r="D1249">
        <v>13.376038551330501</v>
      </c>
      <c r="E1249" t="s">
        <v>2686</v>
      </c>
    </row>
    <row r="1250" spans="1:5" x14ac:dyDescent="0.3">
      <c r="A1250" t="s">
        <v>2640</v>
      </c>
      <c r="B1250">
        <v>356877.9921875</v>
      </c>
      <c r="C1250">
        <v>6667873.98828125</v>
      </c>
      <c r="D1250">
        <v>14.176852226257299</v>
      </c>
      <c r="E1250" t="s">
        <v>2686</v>
      </c>
    </row>
    <row r="1251" spans="1:5" x14ac:dyDescent="0.3">
      <c r="A1251" t="s">
        <v>2610</v>
      </c>
      <c r="B1251">
        <v>363239.37890625</v>
      </c>
      <c r="C1251">
        <v>6671858.43359375</v>
      </c>
      <c r="D1251">
        <v>14.9005813598632</v>
      </c>
      <c r="E1251" t="s">
        <v>2686</v>
      </c>
    </row>
    <row r="1252" spans="1:5" x14ac:dyDescent="0.3">
      <c r="A1252" t="s">
        <v>60</v>
      </c>
      <c r="B1252">
        <v>356782.0546875</v>
      </c>
      <c r="C1252">
        <v>6667995.15625</v>
      </c>
      <c r="D1252">
        <v>17.422552108764599</v>
      </c>
      <c r="E1252" t="s">
        <v>2685</v>
      </c>
    </row>
    <row r="1253" spans="1:5" x14ac:dyDescent="0.3">
      <c r="A1253" t="s">
        <v>48</v>
      </c>
      <c r="B1253">
        <v>362779.7421875</v>
      </c>
      <c r="C1253">
        <v>6670983.59375</v>
      </c>
      <c r="D1253">
        <v>15.933753013610801</v>
      </c>
      <c r="E1253" t="s">
        <v>2685</v>
      </c>
    </row>
    <row r="1254" spans="1:5" x14ac:dyDescent="0.3">
      <c r="A1254" t="s">
        <v>62</v>
      </c>
      <c r="B1254">
        <v>362780.17578125</v>
      </c>
      <c r="C1254">
        <v>6670984.9765625</v>
      </c>
      <c r="D1254">
        <v>15.9464883804321</v>
      </c>
      <c r="E1254" t="s">
        <v>2685</v>
      </c>
    </row>
    <row r="1255" spans="1:5" x14ac:dyDescent="0.3">
      <c r="A1255" t="s">
        <v>58</v>
      </c>
      <c r="B1255">
        <v>364418.61328125</v>
      </c>
      <c r="C1255">
        <v>6671739.36328125</v>
      </c>
      <c r="D1255">
        <v>8.32037258148193</v>
      </c>
      <c r="E1255" t="s">
        <v>2685</v>
      </c>
    </row>
    <row r="1256" spans="1:5" x14ac:dyDescent="0.3">
      <c r="A1256" t="s">
        <v>59</v>
      </c>
      <c r="B1256">
        <v>364417.32421875</v>
      </c>
      <c r="C1256">
        <v>6671738.76171875</v>
      </c>
      <c r="D1256">
        <v>8.3165998458862305</v>
      </c>
      <c r="E1256" t="s">
        <v>2685</v>
      </c>
    </row>
    <row r="1257" spans="1:5" x14ac:dyDescent="0.3">
      <c r="A1257" t="s">
        <v>2619</v>
      </c>
      <c r="B1257">
        <v>363153.6328125</v>
      </c>
      <c r="C1257">
        <v>6672009.6015625</v>
      </c>
      <c r="D1257">
        <v>17.7343635559082</v>
      </c>
      <c r="E1257" t="s">
        <v>2686</v>
      </c>
    </row>
    <row r="1258" spans="1:5" x14ac:dyDescent="0.3">
      <c r="A1258" t="s">
        <v>65</v>
      </c>
      <c r="B1258">
        <v>363145.93359375</v>
      </c>
      <c r="C1258">
        <v>6672008.9296875</v>
      </c>
      <c r="D1258">
        <v>18.253339767456001</v>
      </c>
      <c r="E1258" t="s">
        <v>2685</v>
      </c>
    </row>
    <row r="1259" spans="1:5" x14ac:dyDescent="0.3">
      <c r="A1259" t="s">
        <v>2620</v>
      </c>
      <c r="B1259">
        <v>363655.015625</v>
      </c>
      <c r="C1259">
        <v>6671070.03515625</v>
      </c>
      <c r="D1259">
        <v>10.4855070114135</v>
      </c>
      <c r="E1259" t="s">
        <v>2686</v>
      </c>
    </row>
    <row r="1260" spans="1:5" x14ac:dyDescent="0.3">
      <c r="A1260" t="s">
        <v>51</v>
      </c>
      <c r="B1260">
        <v>363662.37890625</v>
      </c>
      <c r="C1260">
        <v>6671072.59375</v>
      </c>
      <c r="D1260">
        <v>10.099377632141101</v>
      </c>
      <c r="E1260" t="s">
        <v>2685</v>
      </c>
    </row>
    <row r="1261" spans="1:5" x14ac:dyDescent="0.3">
      <c r="A1261" t="s">
        <v>49</v>
      </c>
      <c r="B1261">
        <v>358357.375</v>
      </c>
      <c r="C1261">
        <v>6668173.53515625</v>
      </c>
      <c r="D1261">
        <v>13.9997339248657</v>
      </c>
      <c r="E1261" t="s">
        <v>2685</v>
      </c>
    </row>
    <row r="1262" spans="1:5" x14ac:dyDescent="0.3">
      <c r="A1262" t="s">
        <v>50</v>
      </c>
      <c r="B1262">
        <v>358353.5859375</v>
      </c>
      <c r="C1262">
        <v>6668128.26953125</v>
      </c>
      <c r="D1262">
        <v>15.0213050842285</v>
      </c>
      <c r="E1262" t="s">
        <v>2685</v>
      </c>
    </row>
    <row r="1263" spans="1:5" x14ac:dyDescent="0.3">
      <c r="A1263" t="s">
        <v>2622</v>
      </c>
      <c r="B1263">
        <v>358329.90625</v>
      </c>
      <c r="C1263">
        <v>6668145.375</v>
      </c>
      <c r="D1263">
        <v>12.031832695007299</v>
      </c>
      <c r="E1263" t="s">
        <v>2686</v>
      </c>
    </row>
    <row r="1264" spans="1:5" x14ac:dyDescent="0.3">
      <c r="A1264" t="s">
        <v>2621</v>
      </c>
      <c r="B1264">
        <v>358332.16015625</v>
      </c>
      <c r="C1264">
        <v>6668179.4140625</v>
      </c>
      <c r="D1264">
        <v>11.1185207366943</v>
      </c>
      <c r="E1264" t="s">
        <v>2686</v>
      </c>
    </row>
    <row r="1265" spans="1:5" x14ac:dyDescent="0.3">
      <c r="A1265" t="s">
        <v>2623</v>
      </c>
      <c r="B1265">
        <v>366336.39453125</v>
      </c>
      <c r="C1265">
        <v>6670559.69921875</v>
      </c>
      <c r="D1265">
        <v>23.809869766235298</v>
      </c>
      <c r="E1265" t="s">
        <v>2686</v>
      </c>
    </row>
    <row r="1266" spans="1:5" x14ac:dyDescent="0.3">
      <c r="A1266" t="s">
        <v>2644</v>
      </c>
      <c r="B1266">
        <v>357859.95703125</v>
      </c>
      <c r="C1266">
        <v>6668931.11328125</v>
      </c>
      <c r="D1266">
        <v>18.732496261596602</v>
      </c>
      <c r="E1266" t="s">
        <v>2686</v>
      </c>
    </row>
    <row r="1267" spans="1:5" x14ac:dyDescent="0.3">
      <c r="A1267" t="s">
        <v>2635</v>
      </c>
      <c r="B1267">
        <v>362785.0859375</v>
      </c>
      <c r="C1267">
        <v>6671078.4140625</v>
      </c>
      <c r="D1267">
        <v>15.853160858154199</v>
      </c>
      <c r="E1267" t="s">
        <v>2686</v>
      </c>
    </row>
    <row r="1268" spans="1:5" x14ac:dyDescent="0.3">
      <c r="A1268" t="s">
        <v>2625</v>
      </c>
      <c r="B1268">
        <v>357859.47265625</v>
      </c>
      <c r="C1268">
        <v>6668915.78515625</v>
      </c>
      <c r="D1268">
        <v>19.069057464599599</v>
      </c>
      <c r="E1268" t="s">
        <v>2686</v>
      </c>
    </row>
    <row r="1269" spans="1:5" x14ac:dyDescent="0.3">
      <c r="A1269" t="s">
        <v>2626</v>
      </c>
      <c r="B1269">
        <v>364514.6953125</v>
      </c>
      <c r="C1269">
        <v>6671666.44921875</v>
      </c>
      <c r="D1269">
        <v>11.191443443298301</v>
      </c>
      <c r="E1269" t="s">
        <v>2686</v>
      </c>
    </row>
    <row r="1270" spans="1:5" x14ac:dyDescent="0.3">
      <c r="A1270" t="s">
        <v>45</v>
      </c>
      <c r="B1270">
        <v>364515.2734375</v>
      </c>
      <c r="C1270">
        <v>6671666.72265625</v>
      </c>
      <c r="D1270">
        <v>11.209017753601</v>
      </c>
      <c r="E1270" t="s">
        <v>2685</v>
      </c>
    </row>
    <row r="1271" spans="1:5" x14ac:dyDescent="0.3">
      <c r="A1271" t="s">
        <v>52</v>
      </c>
      <c r="B1271">
        <v>364517.9453125</v>
      </c>
      <c r="C1271">
        <v>6671668.03515625</v>
      </c>
      <c r="D1271">
        <v>11.279008865356399</v>
      </c>
      <c r="E1271" t="s">
        <v>2685</v>
      </c>
    </row>
    <row r="1272" spans="1:5" x14ac:dyDescent="0.3">
      <c r="A1272" t="s">
        <v>2627</v>
      </c>
      <c r="B1272">
        <v>364514.1796875</v>
      </c>
      <c r="C1272">
        <v>6671666.5859375</v>
      </c>
      <c r="D1272">
        <v>11.1940870285034</v>
      </c>
      <c r="E1272" t="s">
        <v>2686</v>
      </c>
    </row>
    <row r="1273" spans="1:5" x14ac:dyDescent="0.3">
      <c r="A1273" t="s">
        <v>2628</v>
      </c>
      <c r="B1273">
        <v>364513.7890625</v>
      </c>
      <c r="C1273">
        <v>6671667.4296875</v>
      </c>
      <c r="D1273">
        <v>11.2345924377441</v>
      </c>
      <c r="E1273" t="s">
        <v>2686</v>
      </c>
    </row>
    <row r="1274" spans="1:5" x14ac:dyDescent="0.3">
      <c r="A1274" t="s">
        <v>2629</v>
      </c>
      <c r="B1274">
        <v>364530.3515625</v>
      </c>
      <c r="C1274">
        <v>6671669.52734375</v>
      </c>
      <c r="D1274">
        <v>11.2464256286621</v>
      </c>
      <c r="E1274" t="s">
        <v>2686</v>
      </c>
    </row>
    <row r="1275" spans="1:5" x14ac:dyDescent="0.3">
      <c r="A1275" t="s">
        <v>2624</v>
      </c>
      <c r="B1275">
        <v>362785.38671875</v>
      </c>
      <c r="C1275">
        <v>6671079.1796875</v>
      </c>
      <c r="D1275">
        <v>15.8394927978515</v>
      </c>
      <c r="E1275" t="s">
        <v>2686</v>
      </c>
    </row>
    <row r="1276" spans="1:5" x14ac:dyDescent="0.3">
      <c r="A1276" t="s">
        <v>2630</v>
      </c>
      <c r="B1276">
        <v>362785.09375</v>
      </c>
      <c r="C1276">
        <v>6671079.49609375</v>
      </c>
      <c r="D1276">
        <v>15.8439874649047</v>
      </c>
      <c r="E1276" t="s">
        <v>2686</v>
      </c>
    </row>
    <row r="1277" spans="1:5" x14ac:dyDescent="0.3">
      <c r="A1277" t="s">
        <v>53</v>
      </c>
      <c r="B1277">
        <v>362785.1015625</v>
      </c>
      <c r="C1277">
        <v>6671080.13671875</v>
      </c>
      <c r="D1277">
        <v>15.8411598205566</v>
      </c>
      <c r="E1277" t="s">
        <v>2685</v>
      </c>
    </row>
    <row r="1278" spans="1:5" x14ac:dyDescent="0.3">
      <c r="A1278" t="s">
        <v>2631</v>
      </c>
      <c r="B1278">
        <v>362786.27734375</v>
      </c>
      <c r="C1278">
        <v>6671079.1953125</v>
      </c>
      <c r="D1278">
        <v>15.81773853302</v>
      </c>
      <c r="E1278" t="s">
        <v>2686</v>
      </c>
    </row>
    <row r="1279" spans="1:5" x14ac:dyDescent="0.3">
      <c r="A1279" t="s">
        <v>2632</v>
      </c>
      <c r="B1279">
        <v>362838.65625</v>
      </c>
      <c r="C1279">
        <v>6671055.1015625</v>
      </c>
      <c r="D1279">
        <v>15.833142280578601</v>
      </c>
      <c r="E1279" t="s">
        <v>2686</v>
      </c>
    </row>
    <row r="1280" spans="1:5" x14ac:dyDescent="0.3">
      <c r="A1280" t="s">
        <v>2633</v>
      </c>
      <c r="B1280">
        <v>363497.75</v>
      </c>
      <c r="C1280">
        <v>6672325.95703125</v>
      </c>
      <c r="D1280">
        <v>14.1386623382568</v>
      </c>
      <c r="E1280" t="s">
        <v>2686</v>
      </c>
    </row>
    <row r="1281" spans="1:5" x14ac:dyDescent="0.3">
      <c r="A1281" t="s">
        <v>2634</v>
      </c>
      <c r="B1281">
        <v>357860.3984375</v>
      </c>
      <c r="C1281">
        <v>6668931.109375</v>
      </c>
      <c r="D1281">
        <v>18.709842681884702</v>
      </c>
      <c r="E1281" t="s">
        <v>2686</v>
      </c>
    </row>
    <row r="1282" spans="1:5" x14ac:dyDescent="0.3">
      <c r="A1282" t="s">
        <v>2679</v>
      </c>
      <c r="B1282">
        <v>357866.0390625</v>
      </c>
      <c r="C1282">
        <v>6668915.35546875</v>
      </c>
      <c r="D1282">
        <v>18.029960632324201</v>
      </c>
      <c r="E1282" t="s">
        <v>2686</v>
      </c>
    </row>
    <row r="1283" spans="1:5" x14ac:dyDescent="0.3">
      <c r="A1283" t="s">
        <v>2680</v>
      </c>
      <c r="B1283">
        <v>362785.08984375</v>
      </c>
      <c r="C1283">
        <v>6671077.90234375</v>
      </c>
      <c r="D1283">
        <v>15.857310295104901</v>
      </c>
      <c r="E1283" t="s">
        <v>2686</v>
      </c>
    </row>
    <row r="1284" spans="1:5" x14ac:dyDescent="0.3">
      <c r="A1284" t="s">
        <v>54</v>
      </c>
      <c r="B1284">
        <v>363316.92578125</v>
      </c>
      <c r="C1284">
        <v>6671833.13671875</v>
      </c>
      <c r="D1284">
        <v>14.193519592285099</v>
      </c>
      <c r="E1284" t="s">
        <v>2685</v>
      </c>
    </row>
    <row r="1285" spans="1:5" x14ac:dyDescent="0.3">
      <c r="A1285" t="s">
        <v>2636</v>
      </c>
      <c r="B1285">
        <v>363304.515625</v>
      </c>
      <c r="C1285">
        <v>6671821.30078125</v>
      </c>
      <c r="D1285">
        <v>13.994055747985801</v>
      </c>
      <c r="E1285" t="s">
        <v>2686</v>
      </c>
    </row>
    <row r="1286" spans="1:5" x14ac:dyDescent="0.3">
      <c r="A1286" t="s">
        <v>55</v>
      </c>
      <c r="B1286">
        <v>363456.78125</v>
      </c>
      <c r="C1286">
        <v>6672186.5625</v>
      </c>
      <c r="D1286">
        <v>17.0650100708007</v>
      </c>
      <c r="E1286" t="s">
        <v>2685</v>
      </c>
    </row>
    <row r="1287" spans="1:5" x14ac:dyDescent="0.3">
      <c r="A1287" t="s">
        <v>2609</v>
      </c>
      <c r="B1287">
        <v>362627.73046875</v>
      </c>
      <c r="C1287">
        <v>6671623.796875</v>
      </c>
      <c r="D1287">
        <v>18.2328796386718</v>
      </c>
      <c r="E1287" t="s">
        <v>2686</v>
      </c>
    </row>
    <row r="1288" spans="1:5" x14ac:dyDescent="0.3">
      <c r="A1288" t="s">
        <v>2646</v>
      </c>
      <c r="B1288">
        <v>362786.83984375</v>
      </c>
      <c r="C1288">
        <v>6670948.59765625</v>
      </c>
      <c r="D1288">
        <v>15.580115318298301</v>
      </c>
      <c r="E1288" t="s">
        <v>2686</v>
      </c>
    </row>
    <row r="1289" spans="1:5" x14ac:dyDescent="0.3">
      <c r="A1289" t="s">
        <v>2682</v>
      </c>
      <c r="B1289">
        <v>356871.16015625</v>
      </c>
      <c r="C1289">
        <v>6667862.25390625</v>
      </c>
      <c r="D1289">
        <v>13.4228143692016</v>
      </c>
      <c r="E1289" t="s">
        <v>2686</v>
      </c>
    </row>
    <row r="1290" spans="1:5" x14ac:dyDescent="0.3">
      <c r="A1290" t="s">
        <v>70</v>
      </c>
      <c r="B1290">
        <v>355459.8828125</v>
      </c>
      <c r="C1290">
        <v>6664662.25390625</v>
      </c>
      <c r="D1290">
        <v>10.2162427902221</v>
      </c>
      <c r="E1290" t="s">
        <v>2685</v>
      </c>
    </row>
    <row r="1291" spans="1:5" x14ac:dyDescent="0.3">
      <c r="A1291" t="s">
        <v>69</v>
      </c>
      <c r="B1291">
        <v>355672.48828125</v>
      </c>
      <c r="C1291">
        <v>6664548.40234375</v>
      </c>
      <c r="D1291">
        <v>22.768508911132798</v>
      </c>
      <c r="E1291" t="s">
        <v>2685</v>
      </c>
    </row>
    <row r="1292" spans="1:5" x14ac:dyDescent="0.3">
      <c r="A1292" t="s">
        <v>68</v>
      </c>
      <c r="B1292">
        <v>357047.3125</v>
      </c>
      <c r="C1292">
        <v>6669431.23828125</v>
      </c>
      <c r="D1292">
        <v>52.748100280761697</v>
      </c>
      <c r="E1292" t="s">
        <v>2685</v>
      </c>
    </row>
    <row r="1293" spans="1:5" x14ac:dyDescent="0.3">
      <c r="A1293" t="s">
        <v>67</v>
      </c>
      <c r="B1293">
        <v>357457.57421875</v>
      </c>
      <c r="C1293">
        <v>6669242.19140625</v>
      </c>
      <c r="D1293">
        <v>22.848049163818299</v>
      </c>
      <c r="E1293" t="s">
        <v>2685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4E7F-D7CB-4899-987A-5C1546F75AF0}">
  <dimension ref="A1:C496"/>
  <sheetViews>
    <sheetView tabSelected="1" workbookViewId="0">
      <selection activeCell="F15" sqref="F15"/>
    </sheetView>
  </sheetViews>
  <sheetFormatPr defaultRowHeight="14.4" x14ac:dyDescent="0.3"/>
  <cols>
    <col min="1" max="1" width="21.44140625" customWidth="1"/>
    <col min="2" max="2" width="19.77734375" customWidth="1"/>
    <col min="3" max="3" width="15.33203125" customWidth="1"/>
  </cols>
  <sheetData>
    <row r="1" spans="1:3" x14ac:dyDescent="0.3">
      <c r="A1" s="1" t="s">
        <v>0</v>
      </c>
      <c r="B1" t="s">
        <v>2689</v>
      </c>
      <c r="C1" t="s">
        <v>2690</v>
      </c>
    </row>
    <row r="2" spans="1:3" x14ac:dyDescent="0.3">
      <c r="A2" t="s">
        <v>45</v>
      </c>
      <c r="B2">
        <v>0</v>
      </c>
      <c r="C2">
        <f>ABS(B2)</f>
        <v>0</v>
      </c>
    </row>
    <row r="3" spans="1:3" x14ac:dyDescent="0.3">
      <c r="A3" t="s">
        <v>46</v>
      </c>
      <c r="B3">
        <v>0.37855624472205202</v>
      </c>
      <c r="C3">
        <f t="shared" ref="C3:C66" si="0">ABS(B3)</f>
        <v>0.37855624472205202</v>
      </c>
    </row>
    <row r="4" spans="1:3" x14ac:dyDescent="0.3">
      <c r="A4" t="s">
        <v>47</v>
      </c>
      <c r="B4">
        <v>0.40856424666963398</v>
      </c>
      <c r="C4">
        <f t="shared" si="0"/>
        <v>0.40856424666963398</v>
      </c>
    </row>
    <row r="5" spans="1:3" x14ac:dyDescent="0.3">
      <c r="A5" t="s">
        <v>48</v>
      </c>
      <c r="B5">
        <v>0.29320410512498801</v>
      </c>
      <c r="C5">
        <f t="shared" si="0"/>
        <v>0.29320410512498801</v>
      </c>
    </row>
    <row r="6" spans="1:3" x14ac:dyDescent="0.3">
      <c r="A6" t="s">
        <v>49</v>
      </c>
      <c r="B6">
        <v>0.38668274722127599</v>
      </c>
      <c r="C6">
        <f t="shared" si="0"/>
        <v>0.38668274722127599</v>
      </c>
    </row>
    <row r="7" spans="1:3" x14ac:dyDescent="0.3">
      <c r="A7" t="s">
        <v>50</v>
      </c>
      <c r="B7">
        <v>0.356039114775132</v>
      </c>
      <c r="C7">
        <f t="shared" si="0"/>
        <v>0.356039114775132</v>
      </c>
    </row>
    <row r="8" spans="1:3" x14ac:dyDescent="0.3">
      <c r="A8" t="s">
        <v>51</v>
      </c>
      <c r="B8">
        <v>0.103329286327717</v>
      </c>
      <c r="C8">
        <f t="shared" si="0"/>
        <v>0.103329286327717</v>
      </c>
    </row>
    <row r="9" spans="1:3" x14ac:dyDescent="0.3">
      <c r="A9" t="s">
        <v>52</v>
      </c>
      <c r="B9">
        <v>0.36156272758619701</v>
      </c>
      <c r="C9">
        <f t="shared" si="0"/>
        <v>0.36156272758619701</v>
      </c>
    </row>
    <row r="10" spans="1:3" x14ac:dyDescent="0.3">
      <c r="A10" t="s">
        <v>53</v>
      </c>
      <c r="B10">
        <v>0.51439155317030805</v>
      </c>
      <c r="C10">
        <f t="shared" si="0"/>
        <v>0.51439155317030805</v>
      </c>
    </row>
    <row r="11" spans="1:3" x14ac:dyDescent="0.3">
      <c r="A11" t="s">
        <v>54</v>
      </c>
      <c r="B11">
        <v>0.29601993448540398</v>
      </c>
      <c r="C11">
        <f t="shared" si="0"/>
        <v>0.29601993448540398</v>
      </c>
    </row>
    <row r="12" spans="1:3" x14ac:dyDescent="0.3">
      <c r="A12" t="s">
        <v>55</v>
      </c>
      <c r="B12">
        <v>0.45697527469238203</v>
      </c>
      <c r="C12">
        <f t="shared" si="0"/>
        <v>0.45697527469238203</v>
      </c>
    </row>
    <row r="13" spans="1:3" x14ac:dyDescent="0.3">
      <c r="A13" t="s">
        <v>56</v>
      </c>
      <c r="B13">
        <v>0.59724567259441497</v>
      </c>
      <c r="C13">
        <f t="shared" si="0"/>
        <v>0.59724567259441497</v>
      </c>
    </row>
    <row r="14" spans="1:3" x14ac:dyDescent="0.3">
      <c r="A14" t="s">
        <v>57</v>
      </c>
      <c r="B14">
        <v>0.52652727790243803</v>
      </c>
      <c r="C14">
        <f t="shared" si="0"/>
        <v>0.52652727790243803</v>
      </c>
    </row>
    <row r="15" spans="1:3" x14ac:dyDescent="0.3">
      <c r="A15" t="s">
        <v>58</v>
      </c>
      <c r="B15">
        <v>0.46489202603755703</v>
      </c>
      <c r="C15">
        <f t="shared" si="0"/>
        <v>0.46489202603755703</v>
      </c>
    </row>
    <row r="16" spans="1:3" x14ac:dyDescent="0.3">
      <c r="A16" t="s">
        <v>59</v>
      </c>
      <c r="B16">
        <v>0.56378621078785496</v>
      </c>
      <c r="C16">
        <f t="shared" si="0"/>
        <v>0.56378621078785496</v>
      </c>
    </row>
    <row r="17" spans="1:3" x14ac:dyDescent="0.3">
      <c r="A17" t="s">
        <v>60</v>
      </c>
      <c r="B17">
        <v>8.6440650830708302E-2</v>
      </c>
      <c r="C17">
        <f t="shared" si="0"/>
        <v>8.6440650830708302E-2</v>
      </c>
    </row>
    <row r="18" spans="1:3" x14ac:dyDescent="0.3">
      <c r="A18" t="s">
        <v>61</v>
      </c>
      <c r="B18">
        <v>0.58285505727036202</v>
      </c>
      <c r="C18">
        <f t="shared" si="0"/>
        <v>0.58285505727036202</v>
      </c>
    </row>
    <row r="19" spans="1:3" x14ac:dyDescent="0.3">
      <c r="A19" t="s">
        <v>62</v>
      </c>
      <c r="B19">
        <v>0.35072526524176001</v>
      </c>
      <c r="C19">
        <f t="shared" si="0"/>
        <v>0.35072526524176001</v>
      </c>
    </row>
    <row r="20" spans="1:3" x14ac:dyDescent="0.3">
      <c r="A20" t="s">
        <v>63</v>
      </c>
      <c r="B20">
        <v>0.18034198375329999</v>
      </c>
      <c r="C20">
        <f t="shared" si="0"/>
        <v>0.18034198375329999</v>
      </c>
    </row>
    <row r="21" spans="1:3" x14ac:dyDescent="0.3">
      <c r="A21" t="s">
        <v>64</v>
      </c>
      <c r="B21">
        <v>0.248697429819944</v>
      </c>
      <c r="C21">
        <f t="shared" si="0"/>
        <v>0.248697429819944</v>
      </c>
    </row>
    <row r="22" spans="1:3" x14ac:dyDescent="0.3">
      <c r="A22" t="s">
        <v>65</v>
      </c>
      <c r="B22">
        <v>4.2887415211684203E-2</v>
      </c>
      <c r="C22">
        <f t="shared" si="0"/>
        <v>4.2887415211684203E-2</v>
      </c>
    </row>
    <row r="23" spans="1:3" x14ac:dyDescent="0.3">
      <c r="A23" t="s">
        <v>66</v>
      </c>
      <c r="B23">
        <v>4.4142859862721</v>
      </c>
      <c r="C23">
        <f t="shared" si="0"/>
        <v>4.4142859862721</v>
      </c>
    </row>
    <row r="24" spans="1:3" x14ac:dyDescent="0.3">
      <c r="A24" t="s">
        <v>67</v>
      </c>
      <c r="B24">
        <v>0.36979411172426702</v>
      </c>
      <c r="C24">
        <f t="shared" si="0"/>
        <v>0.36979411172426702</v>
      </c>
    </row>
    <row r="25" spans="1:3" x14ac:dyDescent="0.3">
      <c r="A25" t="s">
        <v>68</v>
      </c>
      <c r="B25">
        <v>7.4091986426321393E-2</v>
      </c>
      <c r="C25">
        <f t="shared" si="0"/>
        <v>7.4091986426321393E-2</v>
      </c>
    </row>
    <row r="26" spans="1:3" x14ac:dyDescent="0.3">
      <c r="A26" t="s">
        <v>69</v>
      </c>
      <c r="B26">
        <v>1.09052642836255</v>
      </c>
      <c r="C26">
        <f t="shared" si="0"/>
        <v>1.09052642836255</v>
      </c>
    </row>
    <row r="27" spans="1:3" x14ac:dyDescent="0.3">
      <c r="A27" t="s">
        <v>70</v>
      </c>
      <c r="B27">
        <v>0.39449144053304003</v>
      </c>
      <c r="C27">
        <f t="shared" si="0"/>
        <v>0.39449144053304003</v>
      </c>
    </row>
    <row r="28" spans="1:3" x14ac:dyDescent="0.3">
      <c r="A28" t="s">
        <v>71</v>
      </c>
      <c r="B28">
        <v>3.0538750807297298E-2</v>
      </c>
      <c r="C28">
        <f t="shared" si="0"/>
        <v>3.0538750807297298E-2</v>
      </c>
    </row>
    <row r="29" spans="1:3" x14ac:dyDescent="0.3">
      <c r="A29" t="s">
        <v>72</v>
      </c>
      <c r="B29">
        <v>6.7584744020457999E-2</v>
      </c>
      <c r="C29">
        <f t="shared" si="0"/>
        <v>6.7584744020457999E-2</v>
      </c>
    </row>
    <row r="30" spans="1:3" x14ac:dyDescent="0.3">
      <c r="A30" t="s">
        <v>73</v>
      </c>
      <c r="B30">
        <v>2.4697328808773799E-2</v>
      </c>
      <c r="C30">
        <f t="shared" si="0"/>
        <v>2.4697328808773799E-2</v>
      </c>
    </row>
    <row r="31" spans="1:3" x14ac:dyDescent="0.3">
      <c r="A31" t="s">
        <v>74</v>
      </c>
      <c r="B31">
        <v>5.5236079616071097E-2</v>
      </c>
      <c r="C31">
        <f t="shared" si="0"/>
        <v>5.5236079616071097E-2</v>
      </c>
    </row>
    <row r="32" spans="1:3" x14ac:dyDescent="0.3">
      <c r="A32" t="s">
        <v>75</v>
      </c>
      <c r="B32">
        <v>3.7045993213160697E-2</v>
      </c>
      <c r="C32">
        <f t="shared" si="0"/>
        <v>3.7045993213160697E-2</v>
      </c>
    </row>
    <row r="33" spans="1:3" x14ac:dyDescent="0.3">
      <c r="A33" t="s">
        <v>76</v>
      </c>
      <c r="B33">
        <v>3.0538750807297298E-2</v>
      </c>
      <c r="C33">
        <f t="shared" si="0"/>
        <v>3.0538750807297298E-2</v>
      </c>
    </row>
    <row r="34" spans="1:3" x14ac:dyDescent="0.3">
      <c r="A34" t="s">
        <v>77</v>
      </c>
      <c r="B34">
        <v>2.4697328808773799E-2</v>
      </c>
      <c r="C34">
        <f t="shared" si="0"/>
        <v>2.4697328808773799E-2</v>
      </c>
    </row>
    <row r="35" spans="1:3" x14ac:dyDescent="0.3">
      <c r="A35" t="s">
        <v>78</v>
      </c>
      <c r="B35">
        <v>3.7045993213160697E-2</v>
      </c>
      <c r="C35">
        <f t="shared" si="0"/>
        <v>3.7045993213160697E-2</v>
      </c>
    </row>
    <row r="36" spans="1:3" x14ac:dyDescent="0.3">
      <c r="A36" t="s">
        <v>79</v>
      </c>
      <c r="B36">
        <v>0.16225677898923499</v>
      </c>
      <c r="C36">
        <f t="shared" si="0"/>
        <v>0.16225677898923499</v>
      </c>
    </row>
    <row r="37" spans="1:3" x14ac:dyDescent="0.3">
      <c r="A37" t="s">
        <v>80</v>
      </c>
      <c r="B37">
        <v>3.7045993213160697E-2</v>
      </c>
      <c r="C37">
        <f t="shared" si="0"/>
        <v>3.7045993213160697E-2</v>
      </c>
    </row>
    <row r="38" spans="1:3" x14ac:dyDescent="0.3">
      <c r="A38" t="s">
        <v>81</v>
      </c>
      <c r="B38">
        <v>5.1127109604884398</v>
      </c>
      <c r="C38">
        <f t="shared" si="0"/>
        <v>5.1127109604884398</v>
      </c>
    </row>
    <row r="39" spans="1:3" x14ac:dyDescent="0.3">
      <c r="A39" t="s">
        <v>82</v>
      </c>
      <c r="B39">
        <v>0.73892240304119405</v>
      </c>
      <c r="C39">
        <f t="shared" si="0"/>
        <v>0.73892240304119405</v>
      </c>
    </row>
    <row r="40" spans="1:3" x14ac:dyDescent="0.3">
      <c r="A40" t="s">
        <v>83</v>
      </c>
      <c r="B40">
        <v>0.67133765902073606</v>
      </c>
      <c r="C40">
        <f t="shared" si="0"/>
        <v>0.67133765902073606</v>
      </c>
    </row>
    <row r="41" spans="1:3" x14ac:dyDescent="0.3">
      <c r="A41" t="s">
        <v>84</v>
      </c>
      <c r="B41">
        <v>0.42675433307254401</v>
      </c>
      <c r="C41">
        <f t="shared" si="0"/>
        <v>0.42675433307254401</v>
      </c>
    </row>
    <row r="42" spans="1:3" x14ac:dyDescent="0.3">
      <c r="A42" t="s">
        <v>85</v>
      </c>
      <c r="B42">
        <v>0.37563553372279002</v>
      </c>
      <c r="C42">
        <f t="shared" si="0"/>
        <v>0.37563553372279002</v>
      </c>
    </row>
    <row r="43" spans="1:3" x14ac:dyDescent="0.3">
      <c r="A43" t="s">
        <v>86</v>
      </c>
      <c r="B43">
        <v>1.0305072238255299</v>
      </c>
      <c r="C43">
        <f t="shared" si="0"/>
        <v>1.0305072238255299</v>
      </c>
    </row>
    <row r="44" spans="1:3" x14ac:dyDescent="0.3">
      <c r="A44" t="s">
        <v>87</v>
      </c>
      <c r="B44">
        <v>3.7045993213160697E-2</v>
      </c>
      <c r="C44">
        <f t="shared" si="0"/>
        <v>3.7045993213160697E-2</v>
      </c>
    </row>
    <row r="45" spans="1:3" x14ac:dyDescent="0.3">
      <c r="A45" t="s">
        <v>88</v>
      </c>
      <c r="B45">
        <v>0.69603498782951001</v>
      </c>
      <c r="C45">
        <f t="shared" si="0"/>
        <v>0.69603498782951001</v>
      </c>
    </row>
    <row r="46" spans="1:3" x14ac:dyDescent="0.3">
      <c r="A46" t="s">
        <v>89</v>
      </c>
      <c r="B46">
        <v>0.15986681684968901</v>
      </c>
      <c r="C46">
        <f t="shared" si="0"/>
        <v>0.15986681684968901</v>
      </c>
    </row>
    <row r="47" spans="1:3" x14ac:dyDescent="0.3">
      <c r="A47" t="s">
        <v>90</v>
      </c>
      <c r="B47">
        <v>0.19691281006285</v>
      </c>
      <c r="C47">
        <f t="shared" si="0"/>
        <v>0.19691281006285</v>
      </c>
    </row>
    <row r="48" spans="1:3" x14ac:dyDescent="0.3">
      <c r="A48" t="s">
        <v>91</v>
      </c>
      <c r="B48">
        <v>7.4091986426321393E-2</v>
      </c>
      <c r="C48">
        <f t="shared" si="0"/>
        <v>7.4091986426321393E-2</v>
      </c>
    </row>
    <row r="49" spans="1:3" x14ac:dyDescent="0.3">
      <c r="A49" t="s">
        <v>92</v>
      </c>
      <c r="B49">
        <v>0.49912217776665901</v>
      </c>
      <c r="C49">
        <f t="shared" si="0"/>
        <v>0.49912217776665901</v>
      </c>
    </row>
    <row r="50" spans="1:3" x14ac:dyDescent="0.3">
      <c r="A50" t="s">
        <v>93</v>
      </c>
      <c r="B50">
        <v>0.50084631949886504</v>
      </c>
      <c r="C50">
        <f t="shared" si="0"/>
        <v>0.50084631949886504</v>
      </c>
    </row>
    <row r="51" spans="1:3" x14ac:dyDescent="0.3">
      <c r="A51" t="s">
        <v>94</v>
      </c>
      <c r="B51">
        <v>6.7584744020457999E-2</v>
      </c>
      <c r="C51">
        <f t="shared" si="0"/>
        <v>6.7584744020457999E-2</v>
      </c>
    </row>
    <row r="52" spans="1:3" x14ac:dyDescent="0.3">
      <c r="A52" t="s">
        <v>95</v>
      </c>
      <c r="B52">
        <v>0.53205089071350298</v>
      </c>
      <c r="C52">
        <f t="shared" si="0"/>
        <v>0.53205089071350298</v>
      </c>
    </row>
    <row r="53" spans="1:3" x14ac:dyDescent="0.3">
      <c r="A53" t="s">
        <v>96</v>
      </c>
      <c r="B53">
        <v>3.0538750807297298E-2</v>
      </c>
      <c r="C53">
        <f t="shared" si="0"/>
        <v>3.0538750807297298E-2</v>
      </c>
    </row>
    <row r="54" spans="1:3" x14ac:dyDescent="0.3">
      <c r="A54" t="s">
        <v>97</v>
      </c>
      <c r="B54">
        <v>3.7045993213160697E-2</v>
      </c>
      <c r="C54">
        <f t="shared" si="0"/>
        <v>3.7045993213160697E-2</v>
      </c>
    </row>
    <row r="55" spans="1:3" x14ac:dyDescent="0.3">
      <c r="A55" t="s">
        <v>98</v>
      </c>
      <c r="B55">
        <v>3.7045993213160697E-2</v>
      </c>
      <c r="C55">
        <f t="shared" si="0"/>
        <v>3.7045993213160697E-2</v>
      </c>
    </row>
    <row r="56" spans="1:3" x14ac:dyDescent="0.3">
      <c r="A56" t="s">
        <v>99</v>
      </c>
      <c r="B56">
        <v>4.2887415211684203E-2</v>
      </c>
      <c r="C56">
        <f t="shared" si="0"/>
        <v>4.2887415211684203E-2</v>
      </c>
    </row>
    <row r="57" spans="1:3" x14ac:dyDescent="0.3">
      <c r="A57" t="s">
        <v>100</v>
      </c>
      <c r="B57">
        <v>0.54200959297834295</v>
      </c>
      <c r="C57">
        <f t="shared" si="0"/>
        <v>0.54200959297834295</v>
      </c>
    </row>
    <row r="58" spans="1:3" x14ac:dyDescent="0.3">
      <c r="A58" t="s">
        <v>101</v>
      </c>
      <c r="B58">
        <v>2.4697328808773799E-2</v>
      </c>
      <c r="C58">
        <f t="shared" si="0"/>
        <v>2.4697328808773799E-2</v>
      </c>
    </row>
    <row r="59" spans="1:3" x14ac:dyDescent="0.3">
      <c r="A59" t="s">
        <v>102</v>
      </c>
      <c r="B59">
        <v>0.64491618847975396</v>
      </c>
      <c r="C59">
        <f t="shared" si="0"/>
        <v>0.64491618847975396</v>
      </c>
    </row>
    <row r="60" spans="1:3" x14ac:dyDescent="0.3">
      <c r="A60" t="s">
        <v>103</v>
      </c>
      <c r="B60">
        <v>4.2887415211684203E-2</v>
      </c>
      <c r="C60">
        <f t="shared" si="0"/>
        <v>4.2887415211684203E-2</v>
      </c>
    </row>
    <row r="61" spans="1:3" x14ac:dyDescent="0.3">
      <c r="A61" t="s">
        <v>104</v>
      </c>
      <c r="B61">
        <v>2.4697328808773799E-2</v>
      </c>
      <c r="C61">
        <f t="shared" si="0"/>
        <v>2.4697328808773799E-2</v>
      </c>
    </row>
    <row r="62" spans="1:3" x14ac:dyDescent="0.3">
      <c r="A62" t="s">
        <v>105</v>
      </c>
      <c r="B62">
        <v>3.0538750807297298E-2</v>
      </c>
      <c r="C62">
        <f t="shared" si="0"/>
        <v>3.0538750807297298E-2</v>
      </c>
    </row>
    <row r="63" spans="1:3" x14ac:dyDescent="0.3">
      <c r="A63" t="s">
        <v>106</v>
      </c>
      <c r="B63">
        <v>3.0538750807297298E-2</v>
      </c>
      <c r="C63">
        <f t="shared" si="0"/>
        <v>3.0538750807297298E-2</v>
      </c>
    </row>
    <row r="64" spans="1:3" x14ac:dyDescent="0.3">
      <c r="A64" t="s">
        <v>107</v>
      </c>
      <c r="B64">
        <v>3.7045993213160697E-2</v>
      </c>
      <c r="C64">
        <f t="shared" si="0"/>
        <v>3.7045993213160697E-2</v>
      </c>
    </row>
    <row r="65" spans="1:3" x14ac:dyDescent="0.3">
      <c r="A65" t="s">
        <v>108</v>
      </c>
      <c r="B65">
        <v>6.1743322021934499E-2</v>
      </c>
      <c r="C65">
        <f t="shared" si="0"/>
        <v>6.1743322021934499E-2</v>
      </c>
    </row>
    <row r="66" spans="1:3" x14ac:dyDescent="0.3">
      <c r="A66" t="s">
        <v>109</v>
      </c>
      <c r="B66">
        <v>0.49500489750034199</v>
      </c>
      <c r="C66">
        <f t="shared" si="0"/>
        <v>0.49500489750034199</v>
      </c>
    </row>
    <row r="67" spans="1:3" x14ac:dyDescent="0.3">
      <c r="A67" t="s">
        <v>110</v>
      </c>
      <c r="B67">
        <v>4.2887415211684203E-2</v>
      </c>
      <c r="C67">
        <f t="shared" ref="C67:C130" si="1">ABS(B67)</f>
        <v>4.2887415211684203E-2</v>
      </c>
    </row>
    <row r="68" spans="1:3" x14ac:dyDescent="0.3">
      <c r="A68" t="s">
        <v>111</v>
      </c>
      <c r="B68">
        <v>0.54851683538420704</v>
      </c>
      <c r="C68">
        <f t="shared" si="1"/>
        <v>0.54851683538420704</v>
      </c>
    </row>
    <row r="69" spans="1:3" x14ac:dyDescent="0.3">
      <c r="A69" t="s">
        <v>112</v>
      </c>
      <c r="B69">
        <v>0.95880842442789804</v>
      </c>
      <c r="C69">
        <f t="shared" si="1"/>
        <v>0.95880842442789804</v>
      </c>
    </row>
    <row r="70" spans="1:3" x14ac:dyDescent="0.3">
      <c r="A70" t="s">
        <v>113</v>
      </c>
      <c r="B70">
        <v>0.53789231271202598</v>
      </c>
      <c r="C70">
        <f t="shared" si="1"/>
        <v>0.53789231271202598</v>
      </c>
    </row>
    <row r="71" spans="1:3" x14ac:dyDescent="0.3">
      <c r="A71" t="s">
        <v>114</v>
      </c>
      <c r="B71">
        <v>4.9394657617547598E-2</v>
      </c>
      <c r="C71">
        <f t="shared" si="1"/>
        <v>4.9394657617547598E-2</v>
      </c>
    </row>
    <row r="72" spans="1:3" x14ac:dyDescent="0.3">
      <c r="A72" t="s">
        <v>115</v>
      </c>
      <c r="B72">
        <v>3.0538750807297298E-2</v>
      </c>
      <c r="C72">
        <f t="shared" si="1"/>
        <v>3.0538750807297298E-2</v>
      </c>
    </row>
    <row r="73" spans="1:3" x14ac:dyDescent="0.3">
      <c r="A73" t="s">
        <v>116</v>
      </c>
      <c r="B73">
        <v>3.0538750807297298E-2</v>
      </c>
      <c r="C73">
        <f t="shared" si="1"/>
        <v>3.0538750807297298E-2</v>
      </c>
    </row>
    <row r="74" spans="1:3" x14ac:dyDescent="0.3">
      <c r="A74" t="s">
        <v>117</v>
      </c>
      <c r="B74">
        <v>0.28747074115987498</v>
      </c>
      <c r="C74">
        <f t="shared" si="1"/>
        <v>0.28747074115987498</v>
      </c>
    </row>
    <row r="75" spans="1:3" x14ac:dyDescent="0.3">
      <c r="A75" t="s">
        <v>118</v>
      </c>
      <c r="B75">
        <v>0.50496359976518301</v>
      </c>
      <c r="C75">
        <f t="shared" si="1"/>
        <v>0.50496359976518301</v>
      </c>
    </row>
    <row r="76" spans="1:3" x14ac:dyDescent="0.3">
      <c r="A76" t="s">
        <v>119</v>
      </c>
      <c r="B76">
        <v>0.64252304994564302</v>
      </c>
      <c r="C76">
        <f t="shared" si="1"/>
        <v>0.64252304994564302</v>
      </c>
    </row>
    <row r="77" spans="1:3" x14ac:dyDescent="0.3">
      <c r="A77" t="s">
        <v>120</v>
      </c>
      <c r="B77">
        <v>0.43326157547840699</v>
      </c>
      <c r="C77">
        <f t="shared" si="1"/>
        <v>0.43326157547840699</v>
      </c>
    </row>
    <row r="78" spans="1:3" x14ac:dyDescent="0.3">
      <c r="A78" t="s">
        <v>121</v>
      </c>
      <c r="B78">
        <v>0.44322027774324801</v>
      </c>
      <c r="C78">
        <f t="shared" si="1"/>
        <v>0.44322027774324801</v>
      </c>
    </row>
    <row r="79" spans="1:3" x14ac:dyDescent="0.3">
      <c r="A79" t="s">
        <v>122</v>
      </c>
      <c r="B79">
        <v>0.24458332594819099</v>
      </c>
      <c r="C79">
        <f t="shared" si="1"/>
        <v>0.24458332594819099</v>
      </c>
    </row>
    <row r="80" spans="1:3" x14ac:dyDescent="0.3">
      <c r="A80" t="s">
        <v>123</v>
      </c>
      <c r="B80">
        <v>0.60547705673248398</v>
      </c>
      <c r="C80">
        <f t="shared" si="1"/>
        <v>0.60547705673248398</v>
      </c>
    </row>
    <row r="81" spans="1:3" x14ac:dyDescent="0.3">
      <c r="A81" t="s">
        <v>124</v>
      </c>
      <c r="B81">
        <v>0.94473239340216497</v>
      </c>
      <c r="C81">
        <f t="shared" si="1"/>
        <v>0.94473239340216497</v>
      </c>
    </row>
    <row r="82" spans="1:3" x14ac:dyDescent="0.3">
      <c r="A82" t="s">
        <v>125</v>
      </c>
      <c r="B82">
        <v>0.69431084609730198</v>
      </c>
      <c r="C82">
        <f t="shared" si="1"/>
        <v>0.69431084609730198</v>
      </c>
    </row>
    <row r="83" spans="1:3" x14ac:dyDescent="0.3">
      <c r="A83" t="s">
        <v>126</v>
      </c>
      <c r="B83">
        <v>1.66307477214819</v>
      </c>
      <c r="C83">
        <f t="shared" si="1"/>
        <v>1.66307477214819</v>
      </c>
    </row>
    <row r="84" spans="1:3" x14ac:dyDescent="0.3">
      <c r="A84" t="s">
        <v>127</v>
      </c>
      <c r="B84">
        <v>0.186954107798009</v>
      </c>
      <c r="C84">
        <f t="shared" si="1"/>
        <v>0.186954107798009</v>
      </c>
    </row>
    <row r="85" spans="1:3" x14ac:dyDescent="0.3">
      <c r="A85" t="s">
        <v>128</v>
      </c>
      <c r="B85">
        <v>0.84010165616854604</v>
      </c>
      <c r="C85">
        <f t="shared" si="1"/>
        <v>0.84010165616854604</v>
      </c>
    </row>
    <row r="86" spans="1:3" x14ac:dyDescent="0.3">
      <c r="A86" t="s">
        <v>129</v>
      </c>
      <c r="B86">
        <v>0.334472260243312</v>
      </c>
      <c r="C86">
        <f t="shared" si="1"/>
        <v>0.334472260243312</v>
      </c>
    </row>
    <row r="87" spans="1:3" x14ac:dyDescent="0.3">
      <c r="A87" t="s">
        <v>130</v>
      </c>
      <c r="B87">
        <v>3.0538750807297298E-2</v>
      </c>
      <c r="C87">
        <f t="shared" si="1"/>
        <v>3.0538750807297298E-2</v>
      </c>
    </row>
    <row r="88" spans="1:3" x14ac:dyDescent="0.3">
      <c r="A88" t="s">
        <v>131</v>
      </c>
      <c r="B88">
        <v>0.56086549978859401</v>
      </c>
      <c r="C88">
        <f t="shared" si="1"/>
        <v>0.56086549978859401</v>
      </c>
    </row>
    <row r="89" spans="1:3" x14ac:dyDescent="0.3">
      <c r="A89" t="s">
        <v>132</v>
      </c>
      <c r="B89">
        <v>6.7584744020457999E-2</v>
      </c>
      <c r="C89">
        <f t="shared" si="1"/>
        <v>6.7584744020457999E-2</v>
      </c>
    </row>
    <row r="90" spans="1:3" x14ac:dyDescent="0.3">
      <c r="A90" t="s">
        <v>133</v>
      </c>
      <c r="B90">
        <v>4.9394657617547598E-2</v>
      </c>
      <c r="C90">
        <f t="shared" si="1"/>
        <v>4.9394657617547598E-2</v>
      </c>
    </row>
    <row r="91" spans="1:3" x14ac:dyDescent="0.3">
      <c r="A91" t="s">
        <v>134</v>
      </c>
      <c r="B91">
        <v>4.2887415211684203E-2</v>
      </c>
      <c r="C91">
        <f t="shared" si="1"/>
        <v>4.2887415211684203E-2</v>
      </c>
    </row>
    <row r="92" spans="1:3" x14ac:dyDescent="0.3">
      <c r="A92" t="s">
        <v>135</v>
      </c>
      <c r="B92">
        <v>3.0538750807297298E-2</v>
      </c>
      <c r="C92">
        <f t="shared" si="1"/>
        <v>3.0538750807297298E-2</v>
      </c>
    </row>
    <row r="93" spans="1:3" x14ac:dyDescent="0.3">
      <c r="A93" t="s">
        <v>136</v>
      </c>
      <c r="B93">
        <v>4.2887415211684203E-2</v>
      </c>
      <c r="C93">
        <f t="shared" si="1"/>
        <v>4.2887415211684203E-2</v>
      </c>
    </row>
    <row r="94" spans="1:3" x14ac:dyDescent="0.3">
      <c r="A94" t="s">
        <v>137</v>
      </c>
      <c r="B94">
        <v>3.0538750807297298E-2</v>
      </c>
      <c r="C94">
        <f t="shared" si="1"/>
        <v>3.0538750807297298E-2</v>
      </c>
    </row>
    <row r="95" spans="1:3" x14ac:dyDescent="0.3">
      <c r="A95" t="s">
        <v>138</v>
      </c>
      <c r="B95">
        <v>3.0538750807297298E-2</v>
      </c>
      <c r="C95">
        <f t="shared" si="1"/>
        <v>3.0538750807297298E-2</v>
      </c>
    </row>
    <row r="96" spans="1:3" x14ac:dyDescent="0.3">
      <c r="A96" t="s">
        <v>139</v>
      </c>
      <c r="B96">
        <v>1.2348664404386899E-2</v>
      </c>
      <c r="C96">
        <f t="shared" si="1"/>
        <v>1.2348664404386899E-2</v>
      </c>
    </row>
    <row r="97" spans="1:3" x14ac:dyDescent="0.3">
      <c r="A97" t="s">
        <v>140</v>
      </c>
      <c r="B97">
        <v>5.5236079616071097E-2</v>
      </c>
      <c r="C97">
        <f t="shared" si="1"/>
        <v>5.5236079616071097E-2</v>
      </c>
    </row>
    <row r="98" spans="1:3" x14ac:dyDescent="0.3">
      <c r="A98" t="s">
        <v>141</v>
      </c>
      <c r="B98">
        <v>3.0538750807297298E-2</v>
      </c>
      <c r="C98">
        <f t="shared" si="1"/>
        <v>3.0538750807297298E-2</v>
      </c>
    </row>
    <row r="99" spans="1:3" x14ac:dyDescent="0.3">
      <c r="A99" t="s">
        <v>142</v>
      </c>
      <c r="B99">
        <v>3.0538750807297298E-2</v>
      </c>
      <c r="C99">
        <f t="shared" si="1"/>
        <v>3.0538750807297298E-2</v>
      </c>
    </row>
    <row r="100" spans="1:3" x14ac:dyDescent="0.3">
      <c r="A100" t="s">
        <v>143</v>
      </c>
      <c r="B100">
        <v>2.4697328808773799E-2</v>
      </c>
      <c r="C100">
        <f t="shared" si="1"/>
        <v>2.4697328808773799E-2</v>
      </c>
    </row>
    <row r="101" spans="1:3" x14ac:dyDescent="0.3">
      <c r="A101" t="s">
        <v>144</v>
      </c>
      <c r="B101">
        <v>3.7045993213160697E-2</v>
      </c>
      <c r="C101">
        <f t="shared" si="1"/>
        <v>3.7045993213160697E-2</v>
      </c>
    </row>
    <row r="102" spans="1:3" x14ac:dyDescent="0.3">
      <c r="A102" t="s">
        <v>145</v>
      </c>
      <c r="B102">
        <v>3.0538750807297298E-2</v>
      </c>
      <c r="C102">
        <f t="shared" si="1"/>
        <v>3.0538750807297298E-2</v>
      </c>
    </row>
    <row r="103" spans="1:3" x14ac:dyDescent="0.3">
      <c r="A103" t="s">
        <v>146</v>
      </c>
      <c r="B103">
        <v>3.0538750807297298E-2</v>
      </c>
      <c r="C103">
        <f t="shared" si="1"/>
        <v>3.0538750807297298E-2</v>
      </c>
    </row>
    <row r="104" spans="1:3" x14ac:dyDescent="0.3">
      <c r="A104" t="s">
        <v>147</v>
      </c>
      <c r="B104">
        <v>1.55260261291605</v>
      </c>
      <c r="C104">
        <f t="shared" si="1"/>
        <v>1.55260261291605</v>
      </c>
    </row>
    <row r="105" spans="1:3" x14ac:dyDescent="0.3">
      <c r="A105" t="s">
        <v>148</v>
      </c>
      <c r="B105">
        <v>1.02639316844835</v>
      </c>
      <c r="C105">
        <f t="shared" si="1"/>
        <v>1.02639316844835</v>
      </c>
    </row>
    <row r="106" spans="1:3" x14ac:dyDescent="0.3">
      <c r="A106" t="s">
        <v>149</v>
      </c>
      <c r="B106">
        <v>0.42330604960813101</v>
      </c>
      <c r="C106">
        <f t="shared" si="1"/>
        <v>0.42330604960813101</v>
      </c>
    </row>
    <row r="107" spans="1:3" x14ac:dyDescent="0.3">
      <c r="A107" t="s">
        <v>150</v>
      </c>
      <c r="B107">
        <v>0.191071388064327</v>
      </c>
      <c r="C107">
        <f t="shared" si="1"/>
        <v>0.191071388064327</v>
      </c>
    </row>
    <row r="108" spans="1:3" x14ac:dyDescent="0.3">
      <c r="A108" t="s">
        <v>151</v>
      </c>
      <c r="B108">
        <v>3.7045993213160697E-2</v>
      </c>
      <c r="C108">
        <f t="shared" si="1"/>
        <v>3.7045993213160697E-2</v>
      </c>
    </row>
    <row r="109" spans="1:3" x14ac:dyDescent="0.3">
      <c r="A109" t="s">
        <v>152</v>
      </c>
      <c r="B109">
        <v>0.41679880720226797</v>
      </c>
      <c r="C109">
        <f t="shared" si="1"/>
        <v>0.41679880720226797</v>
      </c>
    </row>
    <row r="110" spans="1:3" x14ac:dyDescent="0.3">
      <c r="A110" t="s">
        <v>153</v>
      </c>
      <c r="B110">
        <v>0.463800326285705</v>
      </c>
      <c r="C110">
        <f t="shared" si="1"/>
        <v>0.463800326285705</v>
      </c>
    </row>
    <row r="111" spans="1:3" x14ac:dyDescent="0.3">
      <c r="A111" t="s">
        <v>154</v>
      </c>
      <c r="B111">
        <v>0.48265623309595501</v>
      </c>
      <c r="C111">
        <f t="shared" si="1"/>
        <v>0.48265623309595501</v>
      </c>
    </row>
    <row r="112" spans="1:3" x14ac:dyDescent="0.3">
      <c r="A112" t="s">
        <v>155</v>
      </c>
      <c r="B112">
        <v>0.558475537649047</v>
      </c>
      <c r="C112">
        <f t="shared" si="1"/>
        <v>0.558475537649047</v>
      </c>
    </row>
    <row r="113" spans="1:3" x14ac:dyDescent="0.3">
      <c r="A113" t="s">
        <v>156</v>
      </c>
      <c r="B113">
        <v>0.35744544731987998</v>
      </c>
      <c r="C113">
        <f t="shared" si="1"/>
        <v>0.35744544731987998</v>
      </c>
    </row>
    <row r="114" spans="1:3" x14ac:dyDescent="0.3">
      <c r="A114" t="s">
        <v>157</v>
      </c>
      <c r="B114">
        <v>1.16222847689661</v>
      </c>
      <c r="C114">
        <f t="shared" si="1"/>
        <v>1.16222847689661</v>
      </c>
    </row>
    <row r="115" spans="1:3" x14ac:dyDescent="0.3">
      <c r="A115" t="s">
        <v>158</v>
      </c>
      <c r="B115">
        <v>0.34097950264917498</v>
      </c>
      <c r="C115">
        <f t="shared" si="1"/>
        <v>0.34097950264917498</v>
      </c>
    </row>
    <row r="116" spans="1:3" x14ac:dyDescent="0.3">
      <c r="A116" t="s">
        <v>159</v>
      </c>
      <c r="B116">
        <v>0.51319498390325202</v>
      </c>
      <c r="C116">
        <f t="shared" si="1"/>
        <v>0.51319498390325202</v>
      </c>
    </row>
    <row r="117" spans="1:3" x14ac:dyDescent="0.3">
      <c r="A117" t="s">
        <v>160</v>
      </c>
      <c r="B117">
        <v>2.5625298124464102</v>
      </c>
      <c r="C117">
        <f t="shared" si="1"/>
        <v>2.5625298124464102</v>
      </c>
    </row>
    <row r="118" spans="1:3" x14ac:dyDescent="0.3">
      <c r="A118" t="s">
        <v>161</v>
      </c>
      <c r="B118">
        <v>0.398608720799357</v>
      </c>
      <c r="C118">
        <f t="shared" si="1"/>
        <v>0.398608720799357</v>
      </c>
    </row>
    <row r="119" spans="1:3" x14ac:dyDescent="0.3">
      <c r="A119" t="s">
        <v>162</v>
      </c>
      <c r="B119">
        <v>0.65314757261782597</v>
      </c>
      <c r="C119">
        <f t="shared" si="1"/>
        <v>0.65314757261782597</v>
      </c>
    </row>
    <row r="120" spans="1:3" x14ac:dyDescent="0.3">
      <c r="A120" t="s">
        <v>163</v>
      </c>
      <c r="B120">
        <v>1.13341384357423</v>
      </c>
      <c r="C120">
        <f t="shared" si="1"/>
        <v>1.13341384357423</v>
      </c>
    </row>
    <row r="121" spans="1:3" x14ac:dyDescent="0.3">
      <c r="A121" t="s">
        <v>164</v>
      </c>
      <c r="B121">
        <v>0.42675433307254401</v>
      </c>
      <c r="C121">
        <f t="shared" si="1"/>
        <v>0.42675433307254401</v>
      </c>
    </row>
    <row r="122" spans="1:3" x14ac:dyDescent="0.3">
      <c r="A122" t="s">
        <v>165</v>
      </c>
      <c r="B122">
        <v>2.1762697802987301</v>
      </c>
      <c r="C122">
        <f t="shared" si="1"/>
        <v>2.1762697802987301</v>
      </c>
    </row>
    <row r="123" spans="1:3" x14ac:dyDescent="0.3">
      <c r="A123" t="s">
        <v>166</v>
      </c>
      <c r="B123">
        <v>6.7584744020457999E-2</v>
      </c>
      <c r="C123">
        <f t="shared" si="1"/>
        <v>6.7584744020457999E-2</v>
      </c>
    </row>
    <row r="124" spans="1:3" x14ac:dyDescent="0.3">
      <c r="A124" t="s">
        <v>167</v>
      </c>
      <c r="B124">
        <v>4.2887415211684203E-2</v>
      </c>
      <c r="C124">
        <f t="shared" si="1"/>
        <v>4.2887415211684203E-2</v>
      </c>
    </row>
    <row r="125" spans="1:3" x14ac:dyDescent="0.3">
      <c r="A125" t="s">
        <v>168</v>
      </c>
      <c r="B125">
        <v>4.9394657617547598E-2</v>
      </c>
      <c r="C125">
        <f t="shared" si="1"/>
        <v>4.9394657617547598E-2</v>
      </c>
    </row>
    <row r="126" spans="1:3" x14ac:dyDescent="0.3">
      <c r="A126" t="s">
        <v>169</v>
      </c>
      <c r="B126">
        <v>0.51558812243736296</v>
      </c>
      <c r="C126">
        <f t="shared" si="1"/>
        <v>0.51558812243736296</v>
      </c>
    </row>
    <row r="127" spans="1:3" x14ac:dyDescent="0.3">
      <c r="A127" t="s">
        <v>170</v>
      </c>
      <c r="B127">
        <v>0.49500489750034199</v>
      </c>
      <c r="C127">
        <f t="shared" si="1"/>
        <v>0.49500489750034199</v>
      </c>
    </row>
    <row r="128" spans="1:3" x14ac:dyDescent="0.3">
      <c r="A128" t="s">
        <v>171</v>
      </c>
      <c r="B128">
        <v>2.8129545361458401</v>
      </c>
      <c r="C128">
        <f t="shared" si="1"/>
        <v>2.8129545361458401</v>
      </c>
    </row>
    <row r="129" spans="1:3" x14ac:dyDescent="0.3">
      <c r="A129" t="s">
        <v>172</v>
      </c>
      <c r="B129">
        <v>0.66137895675589398</v>
      </c>
      <c r="C129">
        <f t="shared" si="1"/>
        <v>0.66137895675589398</v>
      </c>
    </row>
    <row r="130" spans="1:3" x14ac:dyDescent="0.3">
      <c r="A130" t="s">
        <v>173</v>
      </c>
      <c r="B130">
        <v>0.88298907138022997</v>
      </c>
      <c r="C130">
        <f t="shared" si="1"/>
        <v>0.88298907138022997</v>
      </c>
    </row>
    <row r="131" spans="1:3" x14ac:dyDescent="0.3">
      <c r="A131" t="s">
        <v>174</v>
      </c>
      <c r="B131">
        <v>0.16809820098775899</v>
      </c>
      <c r="C131">
        <f t="shared" ref="C131:C194" si="2">ABS(B131)</f>
        <v>0.16809820098775899</v>
      </c>
    </row>
    <row r="132" spans="1:3" x14ac:dyDescent="0.3">
      <c r="A132" t="s">
        <v>175</v>
      </c>
      <c r="B132">
        <v>0.71010779396610202</v>
      </c>
      <c r="C132">
        <f t="shared" si="2"/>
        <v>0.71010779396610202</v>
      </c>
    </row>
    <row r="133" spans="1:3" x14ac:dyDescent="0.3">
      <c r="A133" t="s">
        <v>176</v>
      </c>
      <c r="B133">
        <v>0.62194300140318803</v>
      </c>
      <c r="C133">
        <f t="shared" si="2"/>
        <v>0.62194300140318803</v>
      </c>
    </row>
    <row r="134" spans="1:3" x14ac:dyDescent="0.3">
      <c r="A134" t="s">
        <v>177</v>
      </c>
      <c r="B134">
        <v>0.82124574935829497</v>
      </c>
      <c r="C134">
        <f t="shared" si="2"/>
        <v>0.82124574935829497</v>
      </c>
    </row>
    <row r="135" spans="1:3" x14ac:dyDescent="0.3">
      <c r="A135" t="s">
        <v>178</v>
      </c>
      <c r="B135">
        <v>0.66549623702221194</v>
      </c>
      <c r="C135">
        <f t="shared" si="2"/>
        <v>0.66549623702221194</v>
      </c>
    </row>
    <row r="136" spans="1:3" x14ac:dyDescent="0.3">
      <c r="A136" t="s">
        <v>179</v>
      </c>
      <c r="B136">
        <v>0.59552153086220805</v>
      </c>
      <c r="C136">
        <f t="shared" si="2"/>
        <v>0.59552153086220805</v>
      </c>
    </row>
    <row r="137" spans="1:3" x14ac:dyDescent="0.3">
      <c r="A137" t="s">
        <v>180</v>
      </c>
      <c r="B137">
        <v>0.477345559957147</v>
      </c>
      <c r="C137">
        <f t="shared" si="2"/>
        <v>0.477345559957147</v>
      </c>
    </row>
    <row r="138" spans="1:3" x14ac:dyDescent="0.3">
      <c r="A138" t="s">
        <v>181</v>
      </c>
      <c r="B138">
        <v>0.59552153086220805</v>
      </c>
      <c r="C138">
        <f t="shared" si="2"/>
        <v>0.59552153086220805</v>
      </c>
    </row>
    <row r="139" spans="1:3" x14ac:dyDescent="0.3">
      <c r="A139" t="s">
        <v>182</v>
      </c>
      <c r="B139">
        <v>0.593128392328097</v>
      </c>
      <c r="C139">
        <f t="shared" si="2"/>
        <v>0.593128392328097</v>
      </c>
    </row>
    <row r="140" spans="1:3" x14ac:dyDescent="0.3">
      <c r="A140" t="s">
        <v>183</v>
      </c>
      <c r="B140">
        <v>0.45145166188131802</v>
      </c>
      <c r="C140">
        <f t="shared" si="2"/>
        <v>0.45145166188131802</v>
      </c>
    </row>
    <row r="141" spans="1:3" x14ac:dyDescent="0.3">
      <c r="A141" t="s">
        <v>184</v>
      </c>
      <c r="B141">
        <v>0.64664033021196199</v>
      </c>
      <c r="C141">
        <f t="shared" si="2"/>
        <v>0.64664033021196199</v>
      </c>
    </row>
    <row r="142" spans="1:3" x14ac:dyDescent="0.3">
      <c r="A142" t="s">
        <v>185</v>
      </c>
      <c r="B142">
        <v>6.7584744020457999E-2</v>
      </c>
      <c r="C142">
        <f t="shared" si="2"/>
        <v>6.7584744020457999E-2</v>
      </c>
    </row>
    <row r="143" spans="1:3" x14ac:dyDescent="0.3">
      <c r="A143" t="s">
        <v>186</v>
      </c>
      <c r="B143">
        <v>9.8789315235095196E-2</v>
      </c>
      <c r="C143">
        <f t="shared" si="2"/>
        <v>9.8789315235095196E-2</v>
      </c>
    </row>
    <row r="144" spans="1:3" x14ac:dyDescent="0.3">
      <c r="A144" t="s">
        <v>187</v>
      </c>
      <c r="B144">
        <v>2.47024773961718</v>
      </c>
      <c r="C144">
        <f t="shared" si="2"/>
        <v>2.47024773961718</v>
      </c>
    </row>
    <row r="145" spans="1:3" x14ac:dyDescent="0.3">
      <c r="A145" t="s">
        <v>188</v>
      </c>
      <c r="B145">
        <v>0.70254223023537299</v>
      </c>
      <c r="C145">
        <f t="shared" si="2"/>
        <v>0.70254223023537299</v>
      </c>
    </row>
    <row r="146" spans="1:3" x14ac:dyDescent="0.3">
      <c r="A146" t="s">
        <v>189</v>
      </c>
      <c r="B146">
        <v>1.45965471967947</v>
      </c>
      <c r="C146">
        <f t="shared" si="2"/>
        <v>1.45965471967947</v>
      </c>
    </row>
    <row r="147" spans="1:3" x14ac:dyDescent="0.3">
      <c r="A147" t="s">
        <v>190</v>
      </c>
      <c r="B147">
        <v>0.29742626703015101</v>
      </c>
      <c r="C147">
        <f t="shared" si="2"/>
        <v>0.29742626703015101</v>
      </c>
    </row>
    <row r="148" spans="1:3" x14ac:dyDescent="0.3">
      <c r="A148" t="s">
        <v>191</v>
      </c>
      <c r="B148">
        <v>1.2709732695074001</v>
      </c>
      <c r="C148">
        <f t="shared" si="2"/>
        <v>1.2709732695074001</v>
      </c>
    </row>
    <row r="149" spans="1:3" x14ac:dyDescent="0.3">
      <c r="A149" t="s">
        <v>192</v>
      </c>
      <c r="B149">
        <v>1.1392552655727499</v>
      </c>
      <c r="C149">
        <f t="shared" si="2"/>
        <v>1.1392552655727499</v>
      </c>
    </row>
    <row r="150" spans="1:3" x14ac:dyDescent="0.3">
      <c r="A150" t="s">
        <v>193</v>
      </c>
      <c r="B150">
        <v>2.15568970750898</v>
      </c>
      <c r="C150">
        <f t="shared" si="2"/>
        <v>2.15568970750898</v>
      </c>
    </row>
    <row r="151" spans="1:3" x14ac:dyDescent="0.3">
      <c r="A151" t="s">
        <v>194</v>
      </c>
      <c r="B151">
        <v>1.2239717989185399</v>
      </c>
      <c r="C151">
        <f t="shared" si="2"/>
        <v>1.2239717989185399</v>
      </c>
    </row>
    <row r="152" spans="1:3" x14ac:dyDescent="0.3">
      <c r="A152" t="s">
        <v>195</v>
      </c>
      <c r="B152">
        <v>0.457958904287181</v>
      </c>
      <c r="C152">
        <f t="shared" si="2"/>
        <v>0.457958904287181</v>
      </c>
    </row>
    <row r="153" spans="1:3" x14ac:dyDescent="0.3">
      <c r="A153" t="s">
        <v>196</v>
      </c>
      <c r="B153">
        <v>0.70426637196757802</v>
      </c>
      <c r="C153">
        <f t="shared" si="2"/>
        <v>0.70426637196757802</v>
      </c>
    </row>
    <row r="154" spans="1:3" x14ac:dyDescent="0.3">
      <c r="A154" t="s">
        <v>197</v>
      </c>
      <c r="B154">
        <v>0.48438355122272603</v>
      </c>
      <c r="C154">
        <f t="shared" si="2"/>
        <v>0.48438355122272603</v>
      </c>
    </row>
    <row r="155" spans="1:3" x14ac:dyDescent="0.3">
      <c r="A155" t="s">
        <v>198</v>
      </c>
      <c r="B155">
        <v>0.77185111598803602</v>
      </c>
      <c r="C155">
        <f t="shared" si="2"/>
        <v>0.77185111598803602</v>
      </c>
    </row>
    <row r="156" spans="1:3" x14ac:dyDescent="0.3">
      <c r="A156" t="s">
        <v>199</v>
      </c>
      <c r="B156">
        <v>0.92415236910699705</v>
      </c>
      <c r="C156">
        <f t="shared" si="2"/>
        <v>0.92415236910699705</v>
      </c>
    </row>
    <row r="157" spans="1:3" x14ac:dyDescent="0.3">
      <c r="A157" t="s">
        <v>200</v>
      </c>
      <c r="B157">
        <v>0.147518152445302</v>
      </c>
      <c r="C157">
        <f t="shared" si="2"/>
        <v>0.147518152445302</v>
      </c>
    </row>
    <row r="158" spans="1:3" x14ac:dyDescent="0.3">
      <c r="A158" t="s">
        <v>201</v>
      </c>
      <c r="B158">
        <v>0.57905558619150399</v>
      </c>
      <c r="C158">
        <f t="shared" si="2"/>
        <v>0.57905558619150399</v>
      </c>
    </row>
    <row r="159" spans="1:3" x14ac:dyDescent="0.3">
      <c r="A159" t="s">
        <v>202</v>
      </c>
      <c r="B159">
        <v>0.20753733273503</v>
      </c>
      <c r="C159">
        <f t="shared" si="2"/>
        <v>0.20753733273503</v>
      </c>
    </row>
    <row r="160" spans="1:3" x14ac:dyDescent="0.3">
      <c r="A160" t="s">
        <v>203</v>
      </c>
      <c r="B160">
        <v>0.54612687324466003</v>
      </c>
      <c r="C160">
        <f t="shared" si="2"/>
        <v>0.54612687324466003</v>
      </c>
    </row>
    <row r="161" spans="1:3" x14ac:dyDescent="0.3">
      <c r="A161" t="s">
        <v>204</v>
      </c>
      <c r="B161">
        <v>0.52793678684175005</v>
      </c>
      <c r="C161">
        <f t="shared" si="2"/>
        <v>0.52793678684175005</v>
      </c>
    </row>
    <row r="162" spans="1:3" x14ac:dyDescent="0.3">
      <c r="A162" t="s">
        <v>205</v>
      </c>
      <c r="B162">
        <v>0.334472260243312</v>
      </c>
      <c r="C162">
        <f t="shared" si="2"/>
        <v>0.334472260243312</v>
      </c>
    </row>
    <row r="163" spans="1:3" x14ac:dyDescent="0.3">
      <c r="A163" t="s">
        <v>206</v>
      </c>
      <c r="B163">
        <v>0.57082420205343398</v>
      </c>
      <c r="C163">
        <f t="shared" si="2"/>
        <v>0.57082420205343398</v>
      </c>
    </row>
    <row r="164" spans="1:3" x14ac:dyDescent="0.3">
      <c r="A164" t="s">
        <v>207</v>
      </c>
      <c r="B164">
        <v>0.108748017499935</v>
      </c>
      <c r="C164">
        <f t="shared" si="2"/>
        <v>0.108748017499935</v>
      </c>
    </row>
    <row r="165" spans="1:3" x14ac:dyDescent="0.3">
      <c r="A165" t="s">
        <v>208</v>
      </c>
      <c r="B165">
        <v>0.90357234481182702</v>
      </c>
      <c r="C165">
        <f t="shared" si="2"/>
        <v>0.90357234481182702</v>
      </c>
    </row>
    <row r="166" spans="1:3" x14ac:dyDescent="0.3">
      <c r="A166" t="s">
        <v>209</v>
      </c>
      <c r="B166">
        <v>1.10699239728054</v>
      </c>
      <c r="C166">
        <f t="shared" si="2"/>
        <v>1.10699239728054</v>
      </c>
    </row>
    <row r="167" spans="1:3" x14ac:dyDescent="0.3">
      <c r="A167" t="s">
        <v>210</v>
      </c>
      <c r="B167">
        <v>0.209261474467237</v>
      </c>
      <c r="C167">
        <f t="shared" si="2"/>
        <v>0.209261474467237</v>
      </c>
    </row>
    <row r="168" spans="1:3" x14ac:dyDescent="0.3">
      <c r="A168" t="s">
        <v>211</v>
      </c>
      <c r="B168">
        <v>0.63668162794712002</v>
      </c>
      <c r="C168">
        <f t="shared" si="2"/>
        <v>0.63668162794712002</v>
      </c>
    </row>
    <row r="169" spans="1:3" x14ac:dyDescent="0.3">
      <c r="A169" t="s">
        <v>212</v>
      </c>
      <c r="B169">
        <v>0.67784490142659903</v>
      </c>
      <c r="C169">
        <f t="shared" si="2"/>
        <v>0.67784490142659903</v>
      </c>
    </row>
    <row r="170" spans="1:3" x14ac:dyDescent="0.3">
      <c r="A170" t="s">
        <v>213</v>
      </c>
      <c r="B170">
        <v>8.6440650830708302E-2</v>
      </c>
      <c r="C170">
        <f t="shared" si="2"/>
        <v>8.6440650830708302E-2</v>
      </c>
    </row>
    <row r="171" spans="1:3" x14ac:dyDescent="0.3">
      <c r="A171" t="s">
        <v>214</v>
      </c>
      <c r="B171">
        <v>0.82124574935829497</v>
      </c>
      <c r="C171">
        <f t="shared" si="2"/>
        <v>0.82124574935829497</v>
      </c>
    </row>
    <row r="172" spans="1:3" x14ac:dyDescent="0.3">
      <c r="A172" t="s">
        <v>215</v>
      </c>
      <c r="B172">
        <v>0.45145166188131802</v>
      </c>
      <c r="C172">
        <f t="shared" si="2"/>
        <v>0.45145166188131802</v>
      </c>
    </row>
    <row r="173" spans="1:3" x14ac:dyDescent="0.3">
      <c r="A173" t="s">
        <v>216</v>
      </c>
      <c r="B173">
        <v>0.65487171435003</v>
      </c>
      <c r="C173">
        <f t="shared" si="2"/>
        <v>0.65487171435003</v>
      </c>
    </row>
    <row r="174" spans="1:3" x14ac:dyDescent="0.3">
      <c r="A174" t="s">
        <v>217</v>
      </c>
      <c r="B174">
        <v>1.01815855942114</v>
      </c>
      <c r="C174">
        <f t="shared" si="2"/>
        <v>1.01815855942114</v>
      </c>
    </row>
    <row r="175" spans="1:3" x14ac:dyDescent="0.3">
      <c r="A175" t="s">
        <v>218</v>
      </c>
      <c r="B175">
        <v>0.252814710086261</v>
      </c>
      <c r="C175">
        <f t="shared" si="2"/>
        <v>0.252814710086261</v>
      </c>
    </row>
    <row r="176" spans="1:3" x14ac:dyDescent="0.3">
      <c r="A176" t="s">
        <v>219</v>
      </c>
      <c r="B176">
        <v>0.66137895675589398</v>
      </c>
      <c r="C176">
        <f t="shared" si="2"/>
        <v>0.66137895675589398</v>
      </c>
    </row>
    <row r="177" spans="1:3" x14ac:dyDescent="0.3">
      <c r="A177" t="s">
        <v>220</v>
      </c>
      <c r="B177">
        <v>0.49500489750034199</v>
      </c>
      <c r="C177">
        <f t="shared" si="2"/>
        <v>0.49500489750034199</v>
      </c>
    </row>
    <row r="178" spans="1:3" x14ac:dyDescent="0.3">
      <c r="A178" t="s">
        <v>221</v>
      </c>
      <c r="B178">
        <v>1.3162538717477701</v>
      </c>
      <c r="C178">
        <f t="shared" si="2"/>
        <v>1.3162538717477701</v>
      </c>
    </row>
    <row r="179" spans="1:3" x14ac:dyDescent="0.3">
      <c r="A179" t="s">
        <v>222</v>
      </c>
      <c r="B179">
        <v>0.82124574935829497</v>
      </c>
      <c r="C179">
        <f t="shared" si="2"/>
        <v>0.82124574935829497</v>
      </c>
    </row>
    <row r="180" spans="1:3" x14ac:dyDescent="0.3">
      <c r="A180" t="s">
        <v>223</v>
      </c>
      <c r="B180">
        <v>0.70838365223389699</v>
      </c>
      <c r="C180">
        <f t="shared" si="2"/>
        <v>0.70838365223389699</v>
      </c>
    </row>
    <row r="181" spans="1:3" x14ac:dyDescent="0.3">
      <c r="A181" t="s">
        <v>224</v>
      </c>
      <c r="B181">
        <v>2.7412525361063498</v>
      </c>
      <c r="C181">
        <f t="shared" si="2"/>
        <v>2.7412525361063498</v>
      </c>
    </row>
    <row r="182" spans="1:3" x14ac:dyDescent="0.3">
      <c r="A182" t="s">
        <v>225</v>
      </c>
      <c r="B182">
        <v>1.06582909955377</v>
      </c>
      <c r="C182">
        <f t="shared" si="2"/>
        <v>1.06582909955377</v>
      </c>
    </row>
    <row r="183" spans="1:3" x14ac:dyDescent="0.3">
      <c r="A183" t="s">
        <v>226</v>
      </c>
      <c r="B183">
        <v>0.61610157940466503</v>
      </c>
      <c r="C183">
        <f t="shared" si="2"/>
        <v>0.61610157940466503</v>
      </c>
    </row>
    <row r="184" spans="1:3" x14ac:dyDescent="0.3">
      <c r="A184" t="s">
        <v>227</v>
      </c>
      <c r="B184">
        <v>0.44972752014911199</v>
      </c>
      <c r="C184">
        <f t="shared" si="2"/>
        <v>0.44972752014911199</v>
      </c>
    </row>
    <row r="185" spans="1:3" x14ac:dyDescent="0.3">
      <c r="A185" t="s">
        <v>228</v>
      </c>
      <c r="B185">
        <v>0.81952163187337901</v>
      </c>
      <c r="C185">
        <f t="shared" si="2"/>
        <v>0.81952163187337901</v>
      </c>
    </row>
    <row r="186" spans="1:3" x14ac:dyDescent="0.3">
      <c r="A186" t="s">
        <v>229</v>
      </c>
      <c r="B186">
        <v>0.73308098104267005</v>
      </c>
      <c r="C186">
        <f t="shared" si="2"/>
        <v>0.73308098104267005</v>
      </c>
    </row>
    <row r="187" spans="1:3" x14ac:dyDescent="0.3">
      <c r="A187" t="s">
        <v>230</v>
      </c>
      <c r="B187">
        <v>0.66961351728852803</v>
      </c>
      <c r="C187">
        <f t="shared" si="2"/>
        <v>0.66961351728852803</v>
      </c>
    </row>
    <row r="188" spans="1:3" x14ac:dyDescent="0.3">
      <c r="A188" t="s">
        <v>231</v>
      </c>
      <c r="B188">
        <v>0.35916958905208601</v>
      </c>
      <c r="C188">
        <f t="shared" si="2"/>
        <v>0.35916958905208601</v>
      </c>
    </row>
    <row r="189" spans="1:3" x14ac:dyDescent="0.3">
      <c r="A189" t="s">
        <v>232</v>
      </c>
      <c r="B189">
        <v>6.7584744020457999E-2</v>
      </c>
      <c r="C189">
        <f t="shared" si="2"/>
        <v>6.7584744020457999E-2</v>
      </c>
    </row>
    <row r="190" spans="1:3" x14ac:dyDescent="0.3">
      <c r="A190" t="s">
        <v>233</v>
      </c>
      <c r="B190">
        <v>3.7045993213160697E-2</v>
      </c>
      <c r="C190">
        <f t="shared" si="2"/>
        <v>3.7045993213160697E-2</v>
      </c>
    </row>
    <row r="191" spans="1:3" x14ac:dyDescent="0.3">
      <c r="A191" t="s">
        <v>234</v>
      </c>
      <c r="B191">
        <v>6.1743322021934499E-2</v>
      </c>
      <c r="C191">
        <f t="shared" si="2"/>
        <v>6.1743322021934499E-2</v>
      </c>
    </row>
    <row r="192" spans="1:3" x14ac:dyDescent="0.3">
      <c r="A192" t="s">
        <v>235</v>
      </c>
      <c r="B192">
        <v>0.44561023988279402</v>
      </c>
      <c r="C192">
        <f t="shared" si="2"/>
        <v>0.44561023988279402</v>
      </c>
    </row>
    <row r="193" spans="1:3" x14ac:dyDescent="0.3">
      <c r="A193" t="s">
        <v>236</v>
      </c>
      <c r="B193">
        <v>0.75366102958512604</v>
      </c>
      <c r="C193">
        <f t="shared" si="2"/>
        <v>0.75366102958512604</v>
      </c>
    </row>
    <row r="194" spans="1:3" x14ac:dyDescent="0.3">
      <c r="A194" t="s">
        <v>237</v>
      </c>
      <c r="B194">
        <v>3.7045993213160697E-2</v>
      </c>
      <c r="C194">
        <f t="shared" si="2"/>
        <v>3.7045993213160697E-2</v>
      </c>
    </row>
    <row r="195" spans="1:3" x14ac:dyDescent="0.3">
      <c r="A195" t="s">
        <v>238</v>
      </c>
      <c r="B195">
        <v>9.2282072829231801E-2</v>
      </c>
      <c r="C195">
        <f t="shared" ref="C195:C258" si="3">ABS(B195)</f>
        <v>9.2282072829231801E-2</v>
      </c>
    </row>
    <row r="196" spans="1:3" x14ac:dyDescent="0.3">
      <c r="A196" t="s">
        <v>239</v>
      </c>
      <c r="B196">
        <v>0.59552153086220805</v>
      </c>
      <c r="C196">
        <f t="shared" si="3"/>
        <v>0.59552153086220805</v>
      </c>
    </row>
    <row r="197" spans="1:3" x14ac:dyDescent="0.3">
      <c r="A197" t="s">
        <v>240</v>
      </c>
      <c r="B197">
        <v>6.7584744020457999E-2</v>
      </c>
      <c r="C197">
        <f t="shared" si="3"/>
        <v>6.7584744020457999E-2</v>
      </c>
    </row>
    <row r="198" spans="1:3" x14ac:dyDescent="0.3">
      <c r="A198" t="s">
        <v>241</v>
      </c>
      <c r="B198">
        <v>6.1743322021934499E-2</v>
      </c>
      <c r="C198">
        <f t="shared" si="3"/>
        <v>6.1743322021934499E-2</v>
      </c>
    </row>
    <row r="199" spans="1:3" x14ac:dyDescent="0.3">
      <c r="A199" t="s">
        <v>242</v>
      </c>
      <c r="B199">
        <v>0.28335346089355801</v>
      </c>
      <c r="C199">
        <f t="shared" si="3"/>
        <v>0.28335346089355801</v>
      </c>
    </row>
    <row r="200" spans="1:3" x14ac:dyDescent="0.3">
      <c r="A200" t="s">
        <v>243</v>
      </c>
      <c r="B200">
        <v>0.31389221170085602</v>
      </c>
      <c r="C200">
        <f t="shared" si="3"/>
        <v>0.31389221170085602</v>
      </c>
    </row>
    <row r="201" spans="1:3" x14ac:dyDescent="0.3">
      <c r="A201" t="s">
        <v>244</v>
      </c>
      <c r="B201">
        <v>0.11113797963948201</v>
      </c>
      <c r="C201">
        <f t="shared" si="3"/>
        <v>0.11113797963948201</v>
      </c>
    </row>
    <row r="202" spans="1:3" x14ac:dyDescent="0.3">
      <c r="A202" t="s">
        <v>245</v>
      </c>
      <c r="B202">
        <v>7.9933408424844907E-2</v>
      </c>
      <c r="C202">
        <f t="shared" si="3"/>
        <v>7.9933408424844907E-2</v>
      </c>
    </row>
    <row r="203" spans="1:3" x14ac:dyDescent="0.3">
      <c r="A203" t="s">
        <v>246</v>
      </c>
      <c r="B203">
        <v>9.2282072829231801E-2</v>
      </c>
      <c r="C203">
        <f t="shared" si="3"/>
        <v>9.2282072829231801E-2</v>
      </c>
    </row>
    <row r="204" spans="1:3" x14ac:dyDescent="0.3">
      <c r="A204" t="s">
        <v>247</v>
      </c>
      <c r="B204">
        <v>7.9933408424844907E-2</v>
      </c>
      <c r="C204">
        <f t="shared" si="3"/>
        <v>7.9933408424844907E-2</v>
      </c>
    </row>
    <row r="205" spans="1:3" x14ac:dyDescent="0.3">
      <c r="A205" t="s">
        <v>248</v>
      </c>
      <c r="B205">
        <v>5.5236079616071097E-2</v>
      </c>
      <c r="C205">
        <f t="shared" si="3"/>
        <v>5.5236079616071097E-2</v>
      </c>
    </row>
    <row r="206" spans="1:3" x14ac:dyDescent="0.3">
      <c r="A206" t="s">
        <v>249</v>
      </c>
      <c r="B206">
        <v>3.0538750807297298E-2</v>
      </c>
      <c r="C206">
        <f t="shared" si="3"/>
        <v>3.0538750807297298E-2</v>
      </c>
    </row>
    <row r="207" spans="1:3" x14ac:dyDescent="0.3">
      <c r="A207" t="s">
        <v>250</v>
      </c>
      <c r="B207">
        <v>6.1743322021934499E-2</v>
      </c>
      <c r="C207">
        <f t="shared" si="3"/>
        <v>6.1743322021934499E-2</v>
      </c>
    </row>
    <row r="208" spans="1:3" x14ac:dyDescent="0.3">
      <c r="A208" t="s">
        <v>251</v>
      </c>
      <c r="B208">
        <v>0.58901428845634496</v>
      </c>
      <c r="C208">
        <f t="shared" si="3"/>
        <v>0.58901428845634496</v>
      </c>
    </row>
    <row r="209" spans="1:3" x14ac:dyDescent="0.3">
      <c r="A209" t="s">
        <v>252</v>
      </c>
      <c r="B209">
        <v>7.4091986426321393E-2</v>
      </c>
      <c r="C209">
        <f t="shared" si="3"/>
        <v>7.4091986426321393E-2</v>
      </c>
    </row>
    <row r="210" spans="1:3" x14ac:dyDescent="0.3">
      <c r="A210" t="s">
        <v>253</v>
      </c>
      <c r="B210">
        <v>4.2887415211684203E-2</v>
      </c>
      <c r="C210">
        <f t="shared" si="3"/>
        <v>4.2887415211684203E-2</v>
      </c>
    </row>
    <row r="211" spans="1:3" x14ac:dyDescent="0.3">
      <c r="A211" t="s">
        <v>254</v>
      </c>
      <c r="B211">
        <v>6.7584744020457999E-2</v>
      </c>
      <c r="C211">
        <f t="shared" si="3"/>
        <v>6.7584744020457999E-2</v>
      </c>
    </row>
    <row r="212" spans="1:3" x14ac:dyDescent="0.3">
      <c r="A212" t="s">
        <v>255</v>
      </c>
      <c r="B212">
        <v>7.4091986426321393E-2</v>
      </c>
      <c r="C212">
        <f t="shared" si="3"/>
        <v>7.4091986426321393E-2</v>
      </c>
    </row>
    <row r="213" spans="1:3" x14ac:dyDescent="0.3">
      <c r="A213" t="s">
        <v>256</v>
      </c>
      <c r="B213">
        <v>1.12929653906062</v>
      </c>
      <c r="C213">
        <f t="shared" si="3"/>
        <v>1.12929653906062</v>
      </c>
    </row>
    <row r="214" spans="1:3" x14ac:dyDescent="0.3">
      <c r="A214" t="s">
        <v>257</v>
      </c>
      <c r="B214">
        <v>4.2887415211684203E-2</v>
      </c>
      <c r="C214">
        <f t="shared" si="3"/>
        <v>4.2887415211684203E-2</v>
      </c>
    </row>
    <row r="215" spans="1:3" x14ac:dyDescent="0.3">
      <c r="A215" t="s">
        <v>258</v>
      </c>
      <c r="B215">
        <v>3.7045993213160697E-2</v>
      </c>
      <c r="C215">
        <f t="shared" si="3"/>
        <v>3.7045993213160697E-2</v>
      </c>
    </row>
    <row r="216" spans="1:3" x14ac:dyDescent="0.3">
      <c r="A216" t="s">
        <v>259</v>
      </c>
      <c r="B216">
        <v>5.5236079616071097E-2</v>
      </c>
      <c r="C216">
        <f t="shared" si="3"/>
        <v>5.5236079616071097E-2</v>
      </c>
    </row>
    <row r="217" spans="1:3" x14ac:dyDescent="0.3">
      <c r="A217" t="s">
        <v>260</v>
      </c>
      <c r="B217">
        <v>16.837223580744801</v>
      </c>
      <c r="C217">
        <f t="shared" si="3"/>
        <v>16.837223580744801</v>
      </c>
    </row>
    <row r="218" spans="1:3" x14ac:dyDescent="0.3">
      <c r="A218" t="s">
        <v>261</v>
      </c>
      <c r="B218">
        <v>4.9394657617547598E-2</v>
      </c>
      <c r="C218">
        <f t="shared" si="3"/>
        <v>4.9394657617547598E-2</v>
      </c>
    </row>
    <row r="219" spans="1:3" x14ac:dyDescent="0.3">
      <c r="A219" t="s">
        <v>262</v>
      </c>
      <c r="B219">
        <v>0.784199780392423</v>
      </c>
      <c r="C219">
        <f t="shared" si="3"/>
        <v>0.784199780392423</v>
      </c>
    </row>
    <row r="220" spans="1:3" x14ac:dyDescent="0.3">
      <c r="A220" t="s">
        <v>263</v>
      </c>
      <c r="B220">
        <v>1.78656141619206</v>
      </c>
      <c r="C220">
        <f t="shared" si="3"/>
        <v>1.78656141619206</v>
      </c>
    </row>
    <row r="221" spans="1:3" x14ac:dyDescent="0.3">
      <c r="A221" t="s">
        <v>264</v>
      </c>
      <c r="B221">
        <v>6.7584744020457999E-2</v>
      </c>
      <c r="C221">
        <f t="shared" si="3"/>
        <v>6.7584744020457999E-2</v>
      </c>
    </row>
    <row r="222" spans="1:3" x14ac:dyDescent="0.3">
      <c r="A222" t="s">
        <v>265</v>
      </c>
      <c r="B222">
        <v>0.45968622241395202</v>
      </c>
      <c r="C222">
        <f t="shared" si="3"/>
        <v>0.45968622241395202</v>
      </c>
    </row>
    <row r="223" spans="1:3" x14ac:dyDescent="0.3">
      <c r="A223" t="s">
        <v>266</v>
      </c>
      <c r="B223">
        <v>7.4091986426321393E-2</v>
      </c>
      <c r="C223">
        <f t="shared" si="3"/>
        <v>7.4091986426321393E-2</v>
      </c>
    </row>
    <row r="224" spans="1:3" x14ac:dyDescent="0.3">
      <c r="A224" t="s">
        <v>267</v>
      </c>
      <c r="B224">
        <v>6.1743322021934499E-2</v>
      </c>
      <c r="C224">
        <f t="shared" si="3"/>
        <v>6.1743322021934499E-2</v>
      </c>
    </row>
    <row r="225" spans="1:3" x14ac:dyDescent="0.3">
      <c r="A225" t="s">
        <v>268</v>
      </c>
      <c r="B225">
        <v>4.9394657617547598E-2</v>
      </c>
      <c r="C225">
        <f t="shared" si="3"/>
        <v>4.9394657617547598E-2</v>
      </c>
    </row>
    <row r="226" spans="1:3" x14ac:dyDescent="0.3">
      <c r="A226" t="s">
        <v>269</v>
      </c>
      <c r="B226">
        <v>0.86240904708506305</v>
      </c>
      <c r="C226">
        <f t="shared" si="3"/>
        <v>0.86240904708506305</v>
      </c>
    </row>
    <row r="227" spans="1:3" x14ac:dyDescent="0.3">
      <c r="A227" t="s">
        <v>270</v>
      </c>
      <c r="B227">
        <v>6.1743322021934499E-2</v>
      </c>
      <c r="C227">
        <f t="shared" si="3"/>
        <v>6.1743322021934499E-2</v>
      </c>
    </row>
    <row r="228" spans="1:3" x14ac:dyDescent="0.3">
      <c r="A228" t="s">
        <v>271</v>
      </c>
      <c r="B228">
        <v>5.3721695099734901E-2</v>
      </c>
      <c r="C228">
        <f t="shared" si="3"/>
        <v>5.3721695099734901E-2</v>
      </c>
    </row>
    <row r="229" spans="1:3" x14ac:dyDescent="0.3">
      <c r="A229" t="s">
        <v>272</v>
      </c>
      <c r="B229">
        <v>6.9974706160003994E-2</v>
      </c>
      <c r="C229">
        <f t="shared" si="3"/>
        <v>6.9974706160003994E-2</v>
      </c>
    </row>
    <row r="230" spans="1:3" x14ac:dyDescent="0.3">
      <c r="A230" t="s">
        <v>273</v>
      </c>
      <c r="B230">
        <v>6.7584744020457999E-2</v>
      </c>
      <c r="C230">
        <f t="shared" si="3"/>
        <v>6.7584744020457999E-2</v>
      </c>
    </row>
    <row r="231" spans="1:3" x14ac:dyDescent="0.3">
      <c r="A231" t="s">
        <v>274</v>
      </c>
      <c r="B231">
        <v>0.42503019134033798</v>
      </c>
      <c r="C231">
        <f t="shared" si="3"/>
        <v>0.42503019134033798</v>
      </c>
    </row>
    <row r="232" spans="1:3" x14ac:dyDescent="0.3">
      <c r="A232" t="s">
        <v>275</v>
      </c>
      <c r="B232">
        <v>0.44561023988279402</v>
      </c>
      <c r="C232">
        <f t="shared" si="3"/>
        <v>0.44561023988279402</v>
      </c>
    </row>
    <row r="233" spans="1:3" x14ac:dyDescent="0.3">
      <c r="A233" t="s">
        <v>276</v>
      </c>
      <c r="B233">
        <v>0.60375291500027795</v>
      </c>
      <c r="C233">
        <f t="shared" si="3"/>
        <v>0.60375291500027795</v>
      </c>
    </row>
    <row r="234" spans="1:3" x14ac:dyDescent="0.3">
      <c r="A234" t="s">
        <v>277</v>
      </c>
      <c r="B234">
        <v>0.61198429913834795</v>
      </c>
      <c r="C234">
        <f t="shared" si="3"/>
        <v>0.61198429913834795</v>
      </c>
    </row>
    <row r="235" spans="1:3" x14ac:dyDescent="0.3">
      <c r="A235" t="s">
        <v>278</v>
      </c>
      <c r="B235">
        <v>0.59724567259441497</v>
      </c>
      <c r="C235">
        <f t="shared" si="3"/>
        <v>0.59724567259441497</v>
      </c>
    </row>
    <row r="236" spans="1:3" x14ac:dyDescent="0.3">
      <c r="A236" t="s">
        <v>279</v>
      </c>
      <c r="B236">
        <v>0.51558812243736296</v>
      </c>
      <c r="C236">
        <f t="shared" si="3"/>
        <v>0.51558812243736296</v>
      </c>
    </row>
    <row r="237" spans="1:3" x14ac:dyDescent="0.3">
      <c r="A237" t="s">
        <v>280</v>
      </c>
      <c r="B237">
        <v>7.4091986426321393E-2</v>
      </c>
      <c r="C237">
        <f t="shared" si="3"/>
        <v>7.4091986426321393E-2</v>
      </c>
    </row>
    <row r="238" spans="1:3" x14ac:dyDescent="0.3">
      <c r="A238" t="s">
        <v>281</v>
      </c>
      <c r="B238">
        <v>5.5236079616071097E-2</v>
      </c>
      <c r="C238">
        <f t="shared" si="3"/>
        <v>5.5236079616071097E-2</v>
      </c>
    </row>
    <row r="239" spans="1:3" x14ac:dyDescent="0.3">
      <c r="A239" t="s">
        <v>282</v>
      </c>
      <c r="B239">
        <v>0.342706820775947</v>
      </c>
      <c r="C239">
        <f t="shared" si="3"/>
        <v>0.342706820775947</v>
      </c>
    </row>
    <row r="240" spans="1:3" x14ac:dyDescent="0.3">
      <c r="A240" t="s">
        <v>283</v>
      </c>
      <c r="B240">
        <v>3.7045993213160697E-2</v>
      </c>
      <c r="C240">
        <f t="shared" si="3"/>
        <v>3.7045993213160697E-2</v>
      </c>
    </row>
    <row r="241" spans="1:3" x14ac:dyDescent="0.3">
      <c r="A241" t="s">
        <v>284</v>
      </c>
      <c r="B241">
        <v>4.2887415211684203E-2</v>
      </c>
      <c r="C241">
        <f t="shared" si="3"/>
        <v>4.2887415211684203E-2</v>
      </c>
    </row>
    <row r="242" spans="1:3" x14ac:dyDescent="0.3">
      <c r="A242" t="s">
        <v>285</v>
      </c>
      <c r="B242">
        <v>0.104630737233618</v>
      </c>
      <c r="C242">
        <f t="shared" si="3"/>
        <v>0.104630737233618</v>
      </c>
    </row>
    <row r="243" spans="1:3" x14ac:dyDescent="0.3">
      <c r="A243" t="s">
        <v>286</v>
      </c>
      <c r="B243">
        <v>4.9394657617547598E-2</v>
      </c>
      <c r="C243">
        <f t="shared" si="3"/>
        <v>4.9394657617547598E-2</v>
      </c>
    </row>
    <row r="244" spans="1:3" x14ac:dyDescent="0.3">
      <c r="A244" t="s">
        <v>287</v>
      </c>
      <c r="B244">
        <v>0.32039945410671899</v>
      </c>
      <c r="C244">
        <f t="shared" si="3"/>
        <v>0.32039945410671899</v>
      </c>
    </row>
    <row r="245" spans="1:3" x14ac:dyDescent="0.3">
      <c r="A245" t="s">
        <v>288</v>
      </c>
      <c r="B245">
        <v>0.121096681904322</v>
      </c>
      <c r="C245">
        <f t="shared" si="3"/>
        <v>0.121096681904322</v>
      </c>
    </row>
    <row r="246" spans="1:3" x14ac:dyDescent="0.3">
      <c r="A246" t="s">
        <v>289</v>
      </c>
      <c r="B246">
        <v>0.49673221562711301</v>
      </c>
      <c r="C246">
        <f t="shared" si="3"/>
        <v>0.49673221562711301</v>
      </c>
    </row>
    <row r="247" spans="1:3" x14ac:dyDescent="0.3">
      <c r="A247" t="s">
        <v>290</v>
      </c>
      <c r="B247">
        <v>0.77424425452214696</v>
      </c>
      <c r="C247">
        <f t="shared" si="3"/>
        <v>0.77424425452214696</v>
      </c>
    </row>
    <row r="248" spans="1:3" x14ac:dyDescent="0.3">
      <c r="A248" t="s">
        <v>291</v>
      </c>
      <c r="B248">
        <v>4.9394657617547598E-2</v>
      </c>
      <c r="C248">
        <f t="shared" si="3"/>
        <v>4.9394657617547598E-2</v>
      </c>
    </row>
    <row r="249" spans="1:3" x14ac:dyDescent="0.3">
      <c r="A249" t="s">
        <v>292</v>
      </c>
      <c r="B249">
        <v>0.55674821952227604</v>
      </c>
      <c r="C249">
        <f t="shared" si="3"/>
        <v>0.55674821952227604</v>
      </c>
    </row>
    <row r="250" spans="1:3" x14ac:dyDescent="0.3">
      <c r="A250" t="s">
        <v>293</v>
      </c>
      <c r="B250">
        <v>6.1743322021934499E-2</v>
      </c>
      <c r="C250">
        <f t="shared" si="3"/>
        <v>6.1743322021934499E-2</v>
      </c>
    </row>
    <row r="251" spans="1:3" x14ac:dyDescent="0.3">
      <c r="A251" t="s">
        <v>294</v>
      </c>
      <c r="B251">
        <v>4.9394657617547598E-2</v>
      </c>
      <c r="C251">
        <f t="shared" si="3"/>
        <v>4.9394657617547598E-2</v>
      </c>
    </row>
    <row r="252" spans="1:3" x14ac:dyDescent="0.3">
      <c r="A252" t="s">
        <v>295</v>
      </c>
      <c r="B252">
        <v>4.9394657617547598E-2</v>
      </c>
      <c r="C252">
        <f t="shared" si="3"/>
        <v>4.9394657617547598E-2</v>
      </c>
    </row>
    <row r="253" spans="1:3" x14ac:dyDescent="0.3">
      <c r="A253" t="s">
        <v>296</v>
      </c>
      <c r="B253">
        <v>7.4091986426321393E-2</v>
      </c>
      <c r="C253">
        <f t="shared" si="3"/>
        <v>7.4091986426321393E-2</v>
      </c>
    </row>
    <row r="254" spans="1:3" x14ac:dyDescent="0.3">
      <c r="A254" t="s">
        <v>297</v>
      </c>
      <c r="B254">
        <v>3.7045993213160697E-2</v>
      </c>
      <c r="C254">
        <f t="shared" si="3"/>
        <v>3.7045993213160697E-2</v>
      </c>
    </row>
    <row r="255" spans="1:3" x14ac:dyDescent="0.3">
      <c r="A255" t="s">
        <v>298</v>
      </c>
      <c r="B255">
        <v>0.848336265195756</v>
      </c>
      <c r="C255">
        <f t="shared" si="3"/>
        <v>0.848336265195756</v>
      </c>
    </row>
    <row r="256" spans="1:3" x14ac:dyDescent="0.3">
      <c r="A256" t="s">
        <v>299</v>
      </c>
      <c r="B256">
        <v>0.34682092464769898</v>
      </c>
      <c r="C256">
        <f t="shared" si="3"/>
        <v>0.34682092464769898</v>
      </c>
    </row>
    <row r="257" spans="1:3" x14ac:dyDescent="0.3">
      <c r="A257" t="s">
        <v>300</v>
      </c>
      <c r="B257">
        <v>4.2887415211684203E-2</v>
      </c>
      <c r="C257">
        <f t="shared" si="3"/>
        <v>4.2887415211684203E-2</v>
      </c>
    </row>
    <row r="258" spans="1:3" x14ac:dyDescent="0.3">
      <c r="A258" t="s">
        <v>301</v>
      </c>
      <c r="B258">
        <v>5.5236079616071097E-2</v>
      </c>
      <c r="C258">
        <f t="shared" si="3"/>
        <v>5.5236079616071097E-2</v>
      </c>
    </row>
    <row r="259" spans="1:3" x14ac:dyDescent="0.3">
      <c r="A259" t="s">
        <v>302</v>
      </c>
      <c r="B259">
        <v>0.28335346089355801</v>
      </c>
      <c r="C259">
        <f t="shared" ref="C259:C322" si="4">ABS(B259)</f>
        <v>0.28335346089355801</v>
      </c>
    </row>
    <row r="260" spans="1:3" x14ac:dyDescent="0.3">
      <c r="A260" t="s">
        <v>303</v>
      </c>
      <c r="B260">
        <v>6.7584744020457999E-2</v>
      </c>
      <c r="C260">
        <f t="shared" si="4"/>
        <v>6.7584744020457999E-2</v>
      </c>
    </row>
    <row r="261" spans="1:3" x14ac:dyDescent="0.3">
      <c r="A261" t="s">
        <v>304</v>
      </c>
      <c r="B261">
        <v>0.50323945803297598</v>
      </c>
      <c r="C261">
        <f t="shared" si="4"/>
        <v>0.50323945803297598</v>
      </c>
    </row>
    <row r="262" spans="1:3" x14ac:dyDescent="0.3">
      <c r="A262" t="s">
        <v>305</v>
      </c>
      <c r="B262">
        <v>3.7045993213160697E-2</v>
      </c>
      <c r="C262">
        <f t="shared" si="4"/>
        <v>3.7045993213160697E-2</v>
      </c>
    </row>
    <row r="263" spans="1:3" x14ac:dyDescent="0.3">
      <c r="A263" t="s">
        <v>306</v>
      </c>
      <c r="B263">
        <v>6.1743322021934499E-2</v>
      </c>
      <c r="C263">
        <f t="shared" si="4"/>
        <v>6.1743322021934499E-2</v>
      </c>
    </row>
    <row r="264" spans="1:3" x14ac:dyDescent="0.3">
      <c r="A264" t="s">
        <v>307</v>
      </c>
      <c r="B264">
        <v>9.8789315235095196E-2</v>
      </c>
      <c r="C264">
        <f t="shared" si="4"/>
        <v>9.8789315235095196E-2</v>
      </c>
    </row>
    <row r="265" spans="1:3" x14ac:dyDescent="0.3">
      <c r="A265" t="s">
        <v>308</v>
      </c>
      <c r="B265">
        <v>4.9394657617547598E-2</v>
      </c>
      <c r="C265">
        <f t="shared" si="4"/>
        <v>4.9394657617547598E-2</v>
      </c>
    </row>
    <row r="266" spans="1:3" x14ac:dyDescent="0.3">
      <c r="A266" t="s">
        <v>309</v>
      </c>
      <c r="B266">
        <v>3.7045993213160697E-2</v>
      </c>
      <c r="C266">
        <f t="shared" si="4"/>
        <v>3.7045993213160697E-2</v>
      </c>
    </row>
    <row r="267" spans="1:3" x14ac:dyDescent="0.3">
      <c r="A267" t="s">
        <v>310</v>
      </c>
      <c r="B267">
        <v>0.70958022150095001</v>
      </c>
      <c r="C267">
        <f t="shared" si="4"/>
        <v>0.70958022150095001</v>
      </c>
    </row>
    <row r="268" spans="1:3" x14ac:dyDescent="0.3">
      <c r="A268" t="s">
        <v>311</v>
      </c>
      <c r="B268">
        <v>0.83187029627776599</v>
      </c>
      <c r="C268">
        <f t="shared" si="4"/>
        <v>0.83187029627776599</v>
      </c>
    </row>
    <row r="269" spans="1:3" x14ac:dyDescent="0.3">
      <c r="A269" t="s">
        <v>312</v>
      </c>
      <c r="B269">
        <v>3.7045993213160697E-2</v>
      </c>
      <c r="C269">
        <f t="shared" si="4"/>
        <v>3.7045993213160697E-2</v>
      </c>
    </row>
    <row r="270" spans="1:3" x14ac:dyDescent="0.3">
      <c r="A270" t="s">
        <v>313</v>
      </c>
      <c r="B270">
        <v>0.649030292351507</v>
      </c>
      <c r="C270">
        <f t="shared" si="4"/>
        <v>0.649030292351507</v>
      </c>
    </row>
    <row r="271" spans="1:3" x14ac:dyDescent="0.3">
      <c r="A271" t="s">
        <v>314</v>
      </c>
      <c r="B271">
        <v>7.4091986426321393E-2</v>
      </c>
      <c r="C271">
        <f t="shared" si="4"/>
        <v>7.4091986426321393E-2</v>
      </c>
    </row>
    <row r="272" spans="1:3" x14ac:dyDescent="0.3">
      <c r="A272" t="s">
        <v>315</v>
      </c>
      <c r="B272">
        <v>4.9394657617547598E-2</v>
      </c>
      <c r="C272">
        <f t="shared" si="4"/>
        <v>4.9394657617547598E-2</v>
      </c>
    </row>
    <row r="273" spans="1:3" x14ac:dyDescent="0.3">
      <c r="A273" t="s">
        <v>316</v>
      </c>
      <c r="B273">
        <v>7.9933408424844907E-2</v>
      </c>
      <c r="C273">
        <f t="shared" si="4"/>
        <v>7.9933408424844907E-2</v>
      </c>
    </row>
    <row r="274" spans="1:3" x14ac:dyDescent="0.3">
      <c r="A274" t="s">
        <v>317</v>
      </c>
      <c r="B274">
        <v>0.81540432735977197</v>
      </c>
      <c r="C274">
        <f t="shared" si="4"/>
        <v>0.81540432735977197</v>
      </c>
    </row>
    <row r="275" spans="1:3" x14ac:dyDescent="0.3">
      <c r="A275" t="s">
        <v>318</v>
      </c>
      <c r="B275">
        <v>0.34682092464769898</v>
      </c>
      <c r="C275">
        <f t="shared" si="4"/>
        <v>0.34682092464769898</v>
      </c>
    </row>
    <row r="276" spans="1:3" x14ac:dyDescent="0.3">
      <c r="A276" t="s">
        <v>319</v>
      </c>
      <c r="B276">
        <v>7.4091986426321393E-2</v>
      </c>
      <c r="C276">
        <f t="shared" si="4"/>
        <v>7.4091986426321393E-2</v>
      </c>
    </row>
    <row r="277" spans="1:3" x14ac:dyDescent="0.3">
      <c r="A277" t="s">
        <v>320</v>
      </c>
      <c r="B277">
        <v>0.97527114420946204</v>
      </c>
      <c r="C277">
        <f t="shared" si="4"/>
        <v>0.97527114420946204</v>
      </c>
    </row>
    <row r="278" spans="1:3" x14ac:dyDescent="0.3">
      <c r="A278" t="s">
        <v>321</v>
      </c>
      <c r="B278">
        <v>4.2297218406136299</v>
      </c>
      <c r="C278">
        <f t="shared" si="4"/>
        <v>4.2297218406136299</v>
      </c>
    </row>
    <row r="279" spans="1:3" x14ac:dyDescent="0.3">
      <c r="A279" t="s">
        <v>322</v>
      </c>
      <c r="B279">
        <v>6.7584744020457999E-2</v>
      </c>
      <c r="C279">
        <f t="shared" si="4"/>
        <v>6.7584744020457999E-2</v>
      </c>
    </row>
    <row r="280" spans="1:3" x14ac:dyDescent="0.3">
      <c r="A280" t="s">
        <v>323</v>
      </c>
      <c r="B280">
        <v>6.7584744020457999E-2</v>
      </c>
      <c r="C280">
        <f t="shared" si="4"/>
        <v>6.7584744020457999E-2</v>
      </c>
    </row>
    <row r="281" spans="1:3" x14ac:dyDescent="0.3">
      <c r="A281" t="s">
        <v>324</v>
      </c>
      <c r="B281">
        <v>0.30393350943601499</v>
      </c>
      <c r="C281">
        <f t="shared" si="4"/>
        <v>0.30393350943601499</v>
      </c>
    </row>
    <row r="282" spans="1:3" x14ac:dyDescent="0.3">
      <c r="A282" t="s">
        <v>325</v>
      </c>
      <c r="B282">
        <v>0.56086549978859401</v>
      </c>
      <c r="C282">
        <f t="shared" si="4"/>
        <v>0.56086549978859401</v>
      </c>
    </row>
    <row r="283" spans="1:3" x14ac:dyDescent="0.3">
      <c r="A283" t="s">
        <v>326</v>
      </c>
      <c r="B283">
        <v>0.56086549978859401</v>
      </c>
      <c r="C283">
        <f t="shared" si="4"/>
        <v>0.56086549978859401</v>
      </c>
    </row>
    <row r="284" spans="1:3" x14ac:dyDescent="0.3">
      <c r="A284" t="s">
        <v>327</v>
      </c>
      <c r="B284">
        <v>5.5236079616071097E-2</v>
      </c>
      <c r="C284">
        <f t="shared" si="4"/>
        <v>5.5236079616071097E-2</v>
      </c>
    </row>
    <row r="285" spans="1:3" x14ac:dyDescent="0.3">
      <c r="A285" t="s">
        <v>328</v>
      </c>
      <c r="B285">
        <v>0.38214277612865399</v>
      </c>
      <c r="C285">
        <f t="shared" si="4"/>
        <v>0.38214277612865399</v>
      </c>
    </row>
    <row r="286" spans="1:3" x14ac:dyDescent="0.3">
      <c r="A286" t="s">
        <v>329</v>
      </c>
      <c r="B286">
        <v>0.50496359976518301</v>
      </c>
      <c r="C286">
        <f t="shared" si="4"/>
        <v>0.50496359976518301</v>
      </c>
    </row>
    <row r="287" spans="1:3" x14ac:dyDescent="0.3">
      <c r="A287" t="s">
        <v>330</v>
      </c>
      <c r="B287">
        <v>0.69191770756319104</v>
      </c>
      <c r="C287">
        <f t="shared" si="4"/>
        <v>0.69191770756319104</v>
      </c>
    </row>
    <row r="288" spans="1:3" x14ac:dyDescent="0.3">
      <c r="A288" t="s">
        <v>331</v>
      </c>
      <c r="B288">
        <v>0.51981027221888298</v>
      </c>
      <c r="C288">
        <f t="shared" si="4"/>
        <v>0.51981027221888298</v>
      </c>
    </row>
    <row r="289" spans="1:3" x14ac:dyDescent="0.3">
      <c r="A289" t="s">
        <v>332</v>
      </c>
      <c r="B289">
        <v>0.32624087610524299</v>
      </c>
      <c r="C289">
        <f t="shared" si="4"/>
        <v>0.32624087610524299</v>
      </c>
    </row>
    <row r="290" spans="1:3" x14ac:dyDescent="0.3">
      <c r="A290" t="s">
        <v>333</v>
      </c>
      <c r="B290">
        <v>1.1004851548746699</v>
      </c>
      <c r="C290">
        <f t="shared" si="4"/>
        <v>1.1004851548746699</v>
      </c>
    </row>
    <row r="291" spans="1:3" x14ac:dyDescent="0.3">
      <c r="A291" t="s">
        <v>334</v>
      </c>
      <c r="B291">
        <v>6.1743322021934499E-2</v>
      </c>
      <c r="C291">
        <f t="shared" si="4"/>
        <v>6.1743322021934499E-2</v>
      </c>
    </row>
    <row r="292" spans="1:3" x14ac:dyDescent="0.3">
      <c r="A292" t="s">
        <v>335</v>
      </c>
      <c r="B292">
        <v>6.7584744020457999E-2</v>
      </c>
      <c r="C292">
        <f t="shared" si="4"/>
        <v>6.7584744020457999E-2</v>
      </c>
    </row>
    <row r="293" spans="1:3" x14ac:dyDescent="0.3">
      <c r="A293" t="s">
        <v>336</v>
      </c>
      <c r="B293">
        <v>0.465241623417949</v>
      </c>
      <c r="C293">
        <f t="shared" si="4"/>
        <v>0.465241623417949</v>
      </c>
    </row>
    <row r="294" spans="1:3" x14ac:dyDescent="0.3">
      <c r="A294" t="s">
        <v>337</v>
      </c>
      <c r="B294">
        <v>3.24449196989204</v>
      </c>
      <c r="C294">
        <f t="shared" si="4"/>
        <v>3.24449196989204</v>
      </c>
    </row>
    <row r="295" spans="1:3" x14ac:dyDescent="0.3">
      <c r="A295" t="s">
        <v>338</v>
      </c>
      <c r="B295">
        <v>0.34097950264917498</v>
      </c>
      <c r="C295">
        <f t="shared" si="4"/>
        <v>0.34097950264917498</v>
      </c>
    </row>
    <row r="296" spans="1:3" x14ac:dyDescent="0.3">
      <c r="A296" t="s">
        <v>339</v>
      </c>
      <c r="B296">
        <v>0.88883049337875297</v>
      </c>
      <c r="C296">
        <f t="shared" si="4"/>
        <v>0.88883049337875297</v>
      </c>
    </row>
    <row r="297" spans="1:3" x14ac:dyDescent="0.3">
      <c r="A297" t="s">
        <v>340</v>
      </c>
      <c r="B297">
        <v>5.5236079616071097E-2</v>
      </c>
      <c r="C297">
        <f t="shared" si="4"/>
        <v>5.5236079616071097E-2</v>
      </c>
    </row>
    <row r="298" spans="1:3" x14ac:dyDescent="0.3">
      <c r="A298" t="s">
        <v>341</v>
      </c>
      <c r="B298">
        <v>0.16225677898923499</v>
      </c>
      <c r="C298">
        <f t="shared" si="4"/>
        <v>0.16225677898923499</v>
      </c>
    </row>
    <row r="299" spans="1:3" x14ac:dyDescent="0.3">
      <c r="A299" t="s">
        <v>342</v>
      </c>
      <c r="B299">
        <v>4.9394657617547598E-2</v>
      </c>
      <c r="C299">
        <f t="shared" si="4"/>
        <v>4.9394657617547598E-2</v>
      </c>
    </row>
    <row r="300" spans="1:3" x14ac:dyDescent="0.3">
      <c r="A300" t="s">
        <v>343</v>
      </c>
      <c r="B300">
        <v>1.35329986496093</v>
      </c>
      <c r="C300">
        <f t="shared" si="4"/>
        <v>1.35329986496093</v>
      </c>
    </row>
    <row r="301" spans="1:3" x14ac:dyDescent="0.3">
      <c r="A301" t="s">
        <v>344</v>
      </c>
      <c r="B301">
        <v>0.59552153086220805</v>
      </c>
      <c r="C301">
        <f t="shared" si="4"/>
        <v>0.59552153086220805</v>
      </c>
    </row>
    <row r="302" spans="1:3" x14ac:dyDescent="0.3">
      <c r="A302" t="s">
        <v>345</v>
      </c>
      <c r="B302">
        <v>0.26277341235110202</v>
      </c>
      <c r="C302">
        <f t="shared" si="4"/>
        <v>0.26277341235110202</v>
      </c>
    </row>
    <row r="303" spans="1:3" x14ac:dyDescent="0.3">
      <c r="A303" t="s">
        <v>346</v>
      </c>
      <c r="B303">
        <v>4.9394657617547598E-2</v>
      </c>
      <c r="C303">
        <f t="shared" si="4"/>
        <v>4.9394657617547598E-2</v>
      </c>
    </row>
    <row r="304" spans="1:3" x14ac:dyDescent="0.3">
      <c r="A304" t="s">
        <v>347</v>
      </c>
      <c r="B304">
        <v>4.9394657617547598E-2</v>
      </c>
      <c r="C304">
        <f t="shared" si="4"/>
        <v>4.9394657617547598E-2</v>
      </c>
    </row>
    <row r="305" spans="1:3" x14ac:dyDescent="0.3">
      <c r="A305" t="s">
        <v>348</v>
      </c>
      <c r="B305">
        <v>0.54028545124613703</v>
      </c>
      <c r="C305">
        <f t="shared" si="4"/>
        <v>0.54028545124613703</v>
      </c>
    </row>
    <row r="306" spans="1:3" x14ac:dyDescent="0.3">
      <c r="A306" t="s">
        <v>349</v>
      </c>
      <c r="B306">
        <v>0.50323945803297598</v>
      </c>
      <c r="C306">
        <f t="shared" si="4"/>
        <v>0.50323945803297598</v>
      </c>
    </row>
    <row r="307" spans="1:3" x14ac:dyDescent="0.3">
      <c r="A307" t="s">
        <v>350</v>
      </c>
      <c r="B307">
        <v>0.34097950264917498</v>
      </c>
      <c r="C307">
        <f t="shared" si="4"/>
        <v>0.34097950264917498</v>
      </c>
    </row>
    <row r="308" spans="1:3" x14ac:dyDescent="0.3">
      <c r="A308" t="s">
        <v>351</v>
      </c>
      <c r="B308">
        <v>7.9933408424844907E-2</v>
      </c>
      <c r="C308">
        <f t="shared" si="4"/>
        <v>7.9933408424844907E-2</v>
      </c>
    </row>
    <row r="309" spans="1:3" x14ac:dyDescent="0.3">
      <c r="A309" t="s">
        <v>352</v>
      </c>
      <c r="B309">
        <v>0.86413316456998002</v>
      </c>
      <c r="C309">
        <f t="shared" si="4"/>
        <v>0.86413316456998002</v>
      </c>
    </row>
    <row r="310" spans="1:3" x14ac:dyDescent="0.3">
      <c r="A310" t="s">
        <v>353</v>
      </c>
      <c r="B310">
        <v>9.2282072829231801E-2</v>
      </c>
      <c r="C310">
        <f t="shared" si="4"/>
        <v>9.2282072829231801E-2</v>
      </c>
    </row>
    <row r="311" spans="1:3" x14ac:dyDescent="0.3">
      <c r="A311" t="s">
        <v>354</v>
      </c>
      <c r="B311">
        <v>4.9394657617547598E-2</v>
      </c>
      <c r="C311">
        <f t="shared" si="4"/>
        <v>4.9394657617547598E-2</v>
      </c>
    </row>
    <row r="312" spans="1:3" x14ac:dyDescent="0.3">
      <c r="A312" t="s">
        <v>355</v>
      </c>
      <c r="B312">
        <v>0.22400010101116999</v>
      </c>
      <c r="C312">
        <f t="shared" si="4"/>
        <v>0.22400010101116999</v>
      </c>
    </row>
    <row r="313" spans="1:3" x14ac:dyDescent="0.3">
      <c r="A313" t="s">
        <v>356</v>
      </c>
      <c r="B313">
        <v>4.9394657617547598E-2</v>
      </c>
      <c r="C313">
        <f t="shared" si="4"/>
        <v>4.9394657617547598E-2</v>
      </c>
    </row>
    <row r="314" spans="1:3" x14ac:dyDescent="0.3">
      <c r="A314" t="s">
        <v>357</v>
      </c>
      <c r="B314">
        <v>5.5236079616071097E-2</v>
      </c>
      <c r="C314">
        <f t="shared" si="4"/>
        <v>5.5236079616071097E-2</v>
      </c>
    </row>
    <row r="315" spans="1:3" x14ac:dyDescent="0.3">
      <c r="A315" t="s">
        <v>358</v>
      </c>
      <c r="B315">
        <v>0.52381950657543297</v>
      </c>
      <c r="C315">
        <f t="shared" si="4"/>
        <v>0.52381950657543297</v>
      </c>
    </row>
    <row r="316" spans="1:3" x14ac:dyDescent="0.3">
      <c r="A316" t="s">
        <v>359</v>
      </c>
      <c r="B316">
        <v>5.5236079616071097E-2</v>
      </c>
      <c r="C316">
        <f t="shared" si="4"/>
        <v>5.5236079616071097E-2</v>
      </c>
    </row>
    <row r="317" spans="1:3" x14ac:dyDescent="0.3">
      <c r="A317" t="s">
        <v>360</v>
      </c>
      <c r="B317">
        <v>0.342706820775947</v>
      </c>
      <c r="C317">
        <f t="shared" si="4"/>
        <v>0.342706820775947</v>
      </c>
    </row>
    <row r="318" spans="1:3" x14ac:dyDescent="0.3">
      <c r="A318" t="s">
        <v>361</v>
      </c>
      <c r="B318">
        <v>0.203737861656172</v>
      </c>
      <c r="C318">
        <f t="shared" si="4"/>
        <v>0.203737861656172</v>
      </c>
    </row>
    <row r="319" spans="1:3" x14ac:dyDescent="0.3">
      <c r="A319" t="s">
        <v>362</v>
      </c>
      <c r="B319">
        <v>3.12100532584817</v>
      </c>
      <c r="C319">
        <f t="shared" si="4"/>
        <v>3.12100532584817</v>
      </c>
    </row>
    <row r="320" spans="1:3" x14ac:dyDescent="0.3">
      <c r="A320" t="s">
        <v>363</v>
      </c>
      <c r="B320">
        <v>0.64491618847975396</v>
      </c>
      <c r="C320">
        <f t="shared" si="4"/>
        <v>0.64491618847975396</v>
      </c>
    </row>
    <row r="321" spans="1:3" x14ac:dyDescent="0.3">
      <c r="A321" t="s">
        <v>364</v>
      </c>
      <c r="B321">
        <v>0.79482430306460505</v>
      </c>
      <c r="C321">
        <f t="shared" si="4"/>
        <v>0.79482430306460505</v>
      </c>
    </row>
    <row r="322" spans="1:3" x14ac:dyDescent="0.3">
      <c r="A322" t="s">
        <v>365</v>
      </c>
      <c r="B322">
        <v>1.0881364904702899</v>
      </c>
      <c r="C322">
        <f t="shared" si="4"/>
        <v>1.0881364904702899</v>
      </c>
    </row>
    <row r="323" spans="1:3" x14ac:dyDescent="0.3">
      <c r="A323" t="s">
        <v>366</v>
      </c>
      <c r="B323">
        <v>0.70015226809582498</v>
      </c>
      <c r="C323">
        <f t="shared" ref="C323:C386" si="5">ABS(B323)</f>
        <v>0.70015226809582498</v>
      </c>
    </row>
    <row r="324" spans="1:3" x14ac:dyDescent="0.3">
      <c r="A324" t="s">
        <v>367</v>
      </c>
      <c r="B324">
        <v>0.17872272365993999</v>
      </c>
      <c r="C324">
        <f t="shared" si="5"/>
        <v>0.17872272365993999</v>
      </c>
    </row>
    <row r="325" spans="1:3" x14ac:dyDescent="0.3">
      <c r="A325" t="s">
        <v>368</v>
      </c>
      <c r="B325">
        <v>0.70838365223389699</v>
      </c>
      <c r="C325">
        <f t="shared" si="5"/>
        <v>0.70838365223389699</v>
      </c>
    </row>
    <row r="326" spans="1:3" x14ac:dyDescent="0.3">
      <c r="A326" t="s">
        <v>369</v>
      </c>
      <c r="B326">
        <v>3.7045993213160697E-2</v>
      </c>
      <c r="C326">
        <f t="shared" si="5"/>
        <v>3.7045993213160697E-2</v>
      </c>
    </row>
    <row r="327" spans="1:3" x14ac:dyDescent="0.3">
      <c r="A327" t="s">
        <v>370</v>
      </c>
      <c r="B327">
        <v>0.42914747160665501</v>
      </c>
      <c r="C327">
        <f t="shared" si="5"/>
        <v>0.42914747160665501</v>
      </c>
    </row>
    <row r="328" spans="1:3" x14ac:dyDescent="0.3">
      <c r="A328" t="s">
        <v>371</v>
      </c>
      <c r="B328">
        <v>0.52381950657543297</v>
      </c>
      <c r="C328">
        <f t="shared" si="5"/>
        <v>0.52381950657543297</v>
      </c>
    </row>
    <row r="329" spans="1:3" x14ac:dyDescent="0.3">
      <c r="A329" t="s">
        <v>372</v>
      </c>
      <c r="B329">
        <v>0.38214277612865399</v>
      </c>
      <c r="C329">
        <f t="shared" si="5"/>
        <v>0.38214277612865399</v>
      </c>
    </row>
    <row r="330" spans="1:3" x14ac:dyDescent="0.3">
      <c r="A330" t="s">
        <v>373</v>
      </c>
      <c r="B330">
        <v>0.47203488681833899</v>
      </c>
      <c r="C330">
        <f t="shared" si="5"/>
        <v>0.47203488681833899</v>
      </c>
    </row>
    <row r="331" spans="1:3" x14ac:dyDescent="0.3">
      <c r="A331" t="s">
        <v>374</v>
      </c>
      <c r="B331">
        <v>0.42914747160665501</v>
      </c>
      <c r="C331">
        <f t="shared" si="5"/>
        <v>0.42914747160665501</v>
      </c>
    </row>
    <row r="332" spans="1:3" x14ac:dyDescent="0.3">
      <c r="A332" t="s">
        <v>375</v>
      </c>
      <c r="B332">
        <v>0.30502519706422399</v>
      </c>
      <c r="C332">
        <f t="shared" si="5"/>
        <v>0.30502519706422399</v>
      </c>
    </row>
    <row r="333" spans="1:3" x14ac:dyDescent="0.3">
      <c r="A333" t="s">
        <v>376</v>
      </c>
      <c r="B333">
        <v>5.5236079616071097E-2</v>
      </c>
      <c r="C333">
        <f t="shared" si="5"/>
        <v>5.5236079616071097E-2</v>
      </c>
    </row>
    <row r="334" spans="1:3" x14ac:dyDescent="0.3">
      <c r="A334" t="s">
        <v>377</v>
      </c>
      <c r="B334">
        <v>4.2914651626355704</v>
      </c>
      <c r="C334">
        <f t="shared" si="5"/>
        <v>4.2914651626355704</v>
      </c>
    </row>
    <row r="335" spans="1:3" x14ac:dyDescent="0.3">
      <c r="A335" t="s">
        <v>378</v>
      </c>
      <c r="B335">
        <v>9.0557931097025299E-2</v>
      </c>
      <c r="C335">
        <f t="shared" si="5"/>
        <v>9.0557931097025299E-2</v>
      </c>
    </row>
    <row r="336" spans="1:3" x14ac:dyDescent="0.3">
      <c r="A336" t="s">
        <v>379</v>
      </c>
      <c r="B336">
        <v>0.34682092464769898</v>
      </c>
      <c r="C336">
        <f t="shared" si="5"/>
        <v>0.34682092464769898</v>
      </c>
    </row>
    <row r="337" spans="1:3" x14ac:dyDescent="0.3">
      <c r="A337" t="s">
        <v>380</v>
      </c>
      <c r="B337">
        <v>0.51147084217104599</v>
      </c>
      <c r="C337">
        <f t="shared" si="5"/>
        <v>0.51147084217104599</v>
      </c>
    </row>
    <row r="338" spans="1:3" x14ac:dyDescent="0.3">
      <c r="A338" t="s">
        <v>381</v>
      </c>
      <c r="B338">
        <v>0.92587648659191402</v>
      </c>
      <c r="C338">
        <f t="shared" si="5"/>
        <v>0.92587648659191402</v>
      </c>
    </row>
    <row r="339" spans="1:3" x14ac:dyDescent="0.3">
      <c r="A339" t="s">
        <v>382</v>
      </c>
      <c r="B339">
        <v>0.54851683538420704</v>
      </c>
      <c r="C339">
        <f t="shared" si="5"/>
        <v>0.54851683538420704</v>
      </c>
    </row>
    <row r="340" spans="1:3" x14ac:dyDescent="0.3">
      <c r="A340" t="s">
        <v>383</v>
      </c>
      <c r="B340">
        <v>0.41918876934181398</v>
      </c>
      <c r="C340">
        <f t="shared" si="5"/>
        <v>0.41918876934181398</v>
      </c>
    </row>
    <row r="341" spans="1:3" x14ac:dyDescent="0.3">
      <c r="A341" t="s">
        <v>384</v>
      </c>
      <c r="B341">
        <v>0.86240904708506305</v>
      </c>
      <c r="C341">
        <f t="shared" si="5"/>
        <v>0.86240904708506305</v>
      </c>
    </row>
    <row r="342" spans="1:3" x14ac:dyDescent="0.3">
      <c r="A342" t="s">
        <v>385</v>
      </c>
      <c r="B342">
        <v>0.35744544731987998</v>
      </c>
      <c r="C342">
        <f t="shared" si="5"/>
        <v>0.35744544731987998</v>
      </c>
    </row>
    <row r="343" spans="1:3" x14ac:dyDescent="0.3">
      <c r="A343" t="s">
        <v>386</v>
      </c>
      <c r="B343">
        <v>0.50735356190472902</v>
      </c>
      <c r="C343">
        <f t="shared" si="5"/>
        <v>0.50735356190472902</v>
      </c>
    </row>
    <row r="344" spans="1:3" x14ac:dyDescent="0.3">
      <c r="A344" t="s">
        <v>387</v>
      </c>
      <c r="B344">
        <v>0.129328066042392</v>
      </c>
      <c r="C344">
        <f t="shared" si="5"/>
        <v>0.129328066042392</v>
      </c>
    </row>
    <row r="345" spans="1:3" x14ac:dyDescent="0.3">
      <c r="A345" t="s">
        <v>388</v>
      </c>
      <c r="B345">
        <v>1.22981322091707</v>
      </c>
      <c r="C345">
        <f t="shared" si="5"/>
        <v>1.22981322091707</v>
      </c>
    </row>
    <row r="346" spans="1:3" x14ac:dyDescent="0.3">
      <c r="A346" t="s">
        <v>389</v>
      </c>
      <c r="B346">
        <v>0.88710637589383701</v>
      </c>
      <c r="C346">
        <f t="shared" si="5"/>
        <v>0.88710637589383701</v>
      </c>
    </row>
    <row r="347" spans="1:3" x14ac:dyDescent="0.3">
      <c r="A347" t="s">
        <v>390</v>
      </c>
      <c r="B347">
        <v>0.59552153086220805</v>
      </c>
      <c r="C347">
        <f t="shared" si="5"/>
        <v>0.59552153086220805</v>
      </c>
    </row>
    <row r="348" spans="1:3" x14ac:dyDescent="0.3">
      <c r="A348" t="s">
        <v>391</v>
      </c>
      <c r="B348">
        <v>0.34682092464769898</v>
      </c>
      <c r="C348">
        <f t="shared" si="5"/>
        <v>0.34682092464769898</v>
      </c>
    </row>
    <row r="349" spans="1:3" x14ac:dyDescent="0.3">
      <c r="A349" t="s">
        <v>392</v>
      </c>
      <c r="B349">
        <v>0.30393350943601499</v>
      </c>
      <c r="C349">
        <f t="shared" si="5"/>
        <v>0.30393350943601499</v>
      </c>
    </row>
    <row r="350" spans="1:3" x14ac:dyDescent="0.3">
      <c r="A350" t="s">
        <v>393</v>
      </c>
      <c r="B350">
        <v>0.68368632342512303</v>
      </c>
      <c r="C350">
        <f t="shared" si="5"/>
        <v>0.68368632342512303</v>
      </c>
    </row>
    <row r="351" spans="1:3" x14ac:dyDescent="0.3">
      <c r="A351" t="s">
        <v>394</v>
      </c>
      <c r="B351">
        <v>0.75950245158364904</v>
      </c>
      <c r="C351">
        <f t="shared" si="5"/>
        <v>0.75950245158364904</v>
      </c>
    </row>
    <row r="352" spans="1:3" x14ac:dyDescent="0.3">
      <c r="A352" t="s">
        <v>395</v>
      </c>
      <c r="B352">
        <v>0.56843106351932304</v>
      </c>
      <c r="C352">
        <f t="shared" si="5"/>
        <v>0.56843106351932304</v>
      </c>
    </row>
    <row r="353" spans="1:3" x14ac:dyDescent="0.3">
      <c r="A353" t="s">
        <v>396</v>
      </c>
      <c r="B353">
        <v>0.649030292351507</v>
      </c>
      <c r="C353">
        <f t="shared" si="5"/>
        <v>0.649030292351507</v>
      </c>
    </row>
    <row r="354" spans="1:3" x14ac:dyDescent="0.3">
      <c r="A354" t="s">
        <v>397</v>
      </c>
      <c r="B354">
        <v>0.84182902278989302</v>
      </c>
      <c r="C354">
        <f t="shared" si="5"/>
        <v>0.84182902278989302</v>
      </c>
    </row>
    <row r="355" spans="1:3" x14ac:dyDescent="0.3">
      <c r="A355" t="s">
        <v>398</v>
      </c>
      <c r="B355">
        <v>6.9974706160003994E-2</v>
      </c>
      <c r="C355">
        <f t="shared" si="5"/>
        <v>6.9974706160003994E-2</v>
      </c>
    </row>
    <row r="356" spans="1:3" x14ac:dyDescent="0.3">
      <c r="A356" t="s">
        <v>399</v>
      </c>
      <c r="B356">
        <v>0.67133765902073606</v>
      </c>
      <c r="C356">
        <f t="shared" si="5"/>
        <v>0.67133765902073606</v>
      </c>
    </row>
    <row r="357" spans="1:3" x14ac:dyDescent="0.3">
      <c r="A357" t="s">
        <v>400</v>
      </c>
      <c r="B357">
        <v>0.36328686931840298</v>
      </c>
      <c r="C357">
        <f t="shared" si="5"/>
        <v>0.36328686931840298</v>
      </c>
    </row>
    <row r="358" spans="1:3" x14ac:dyDescent="0.3">
      <c r="A358" t="s">
        <v>401</v>
      </c>
      <c r="B358">
        <v>0.552634115650524</v>
      </c>
      <c r="C358">
        <f t="shared" si="5"/>
        <v>0.552634115650524</v>
      </c>
    </row>
    <row r="359" spans="1:3" x14ac:dyDescent="0.3">
      <c r="A359" t="s">
        <v>402</v>
      </c>
      <c r="B359">
        <v>0.27339475862871698</v>
      </c>
      <c r="C359">
        <f t="shared" si="5"/>
        <v>0.27339475862871698</v>
      </c>
    </row>
    <row r="360" spans="1:3" x14ac:dyDescent="0.3">
      <c r="A360" t="s">
        <v>403</v>
      </c>
      <c r="B360">
        <v>1.58486552970284</v>
      </c>
      <c r="C360">
        <f t="shared" si="5"/>
        <v>1.58486552970284</v>
      </c>
    </row>
    <row r="361" spans="1:3" x14ac:dyDescent="0.3">
      <c r="A361" t="s">
        <v>404</v>
      </c>
      <c r="B361">
        <v>1.5725168168038699</v>
      </c>
      <c r="C361">
        <f t="shared" si="5"/>
        <v>1.5725168168038699</v>
      </c>
    </row>
    <row r="362" spans="1:3" x14ac:dyDescent="0.3">
      <c r="A362" t="s">
        <v>405</v>
      </c>
      <c r="B362">
        <v>0.79482430306460505</v>
      </c>
      <c r="C362">
        <f t="shared" si="5"/>
        <v>0.79482430306460505</v>
      </c>
    </row>
    <row r="363" spans="1:3" x14ac:dyDescent="0.3">
      <c r="A363" t="s">
        <v>406</v>
      </c>
      <c r="B363">
        <v>0.37802549586233603</v>
      </c>
      <c r="C363">
        <f t="shared" si="5"/>
        <v>0.37802549586233603</v>
      </c>
    </row>
    <row r="364" spans="1:3" x14ac:dyDescent="0.3">
      <c r="A364" t="s">
        <v>407</v>
      </c>
      <c r="B364">
        <v>0.52142954443588696</v>
      </c>
      <c r="C364">
        <f t="shared" si="5"/>
        <v>0.52142954443588696</v>
      </c>
    </row>
    <row r="365" spans="1:3" x14ac:dyDescent="0.3">
      <c r="A365" t="s">
        <v>408</v>
      </c>
      <c r="B365">
        <v>0.69842494996905402</v>
      </c>
      <c r="C365">
        <f t="shared" si="5"/>
        <v>0.69842494996905402</v>
      </c>
    </row>
    <row r="366" spans="1:3" x14ac:dyDescent="0.3">
      <c r="A366" t="s">
        <v>409</v>
      </c>
      <c r="B366">
        <v>0.35916958905208601</v>
      </c>
      <c r="C366">
        <f t="shared" si="5"/>
        <v>0.35916958905208601</v>
      </c>
    </row>
    <row r="367" spans="1:3" x14ac:dyDescent="0.3">
      <c r="A367" t="s">
        <v>410</v>
      </c>
      <c r="B367">
        <v>0.67545493928705103</v>
      </c>
      <c r="C367">
        <f t="shared" si="5"/>
        <v>0.67545493928705103</v>
      </c>
    </row>
    <row r="368" spans="1:3" x14ac:dyDescent="0.3">
      <c r="A368" t="s">
        <v>411</v>
      </c>
      <c r="B368">
        <v>2.04521754827684</v>
      </c>
      <c r="C368">
        <f t="shared" si="5"/>
        <v>2.04521754827684</v>
      </c>
    </row>
    <row r="369" spans="1:3" x14ac:dyDescent="0.3">
      <c r="A369" t="s">
        <v>412</v>
      </c>
      <c r="B369">
        <v>0.36328686931840298</v>
      </c>
      <c r="C369">
        <f t="shared" si="5"/>
        <v>0.36328686931840298</v>
      </c>
    </row>
    <row r="370" spans="1:3" x14ac:dyDescent="0.3">
      <c r="A370" t="s">
        <v>413</v>
      </c>
      <c r="B370">
        <v>1.18453261867669</v>
      </c>
      <c r="C370">
        <f t="shared" si="5"/>
        <v>1.18453261867669</v>
      </c>
    </row>
    <row r="371" spans="1:3" x14ac:dyDescent="0.3">
      <c r="A371" t="s">
        <v>414</v>
      </c>
      <c r="B371">
        <v>3.7045993213160697E-2</v>
      </c>
      <c r="C371">
        <f t="shared" si="5"/>
        <v>3.7045993213160697E-2</v>
      </c>
    </row>
    <row r="372" spans="1:3" x14ac:dyDescent="0.3">
      <c r="A372" t="s">
        <v>415</v>
      </c>
      <c r="B372">
        <v>0.328630838244789</v>
      </c>
      <c r="C372">
        <f t="shared" si="5"/>
        <v>0.328630838244789</v>
      </c>
    </row>
    <row r="373" spans="1:3" x14ac:dyDescent="0.3">
      <c r="A373" t="s">
        <v>416</v>
      </c>
      <c r="B373">
        <v>3.2215188070627598</v>
      </c>
      <c r="C373">
        <f t="shared" si="5"/>
        <v>3.2215188070627598</v>
      </c>
    </row>
    <row r="374" spans="1:3" x14ac:dyDescent="0.3">
      <c r="A374" t="s">
        <v>417</v>
      </c>
      <c r="B374">
        <v>1.36564852936532</v>
      </c>
      <c r="C374">
        <f t="shared" si="5"/>
        <v>1.36564852936532</v>
      </c>
    </row>
    <row r="375" spans="1:3" x14ac:dyDescent="0.3">
      <c r="A375" t="s">
        <v>418</v>
      </c>
      <c r="B375">
        <v>0.18284000392625699</v>
      </c>
      <c r="C375">
        <f t="shared" si="5"/>
        <v>0.18284000392625699</v>
      </c>
    </row>
    <row r="376" spans="1:3" x14ac:dyDescent="0.3">
      <c r="A376" t="s">
        <v>419</v>
      </c>
      <c r="B376">
        <v>0.47030756869156798</v>
      </c>
      <c r="C376">
        <f t="shared" si="5"/>
        <v>0.47030756869156798</v>
      </c>
    </row>
    <row r="377" spans="1:3" x14ac:dyDescent="0.3">
      <c r="A377" t="s">
        <v>420</v>
      </c>
      <c r="B377">
        <v>0.252814710086261</v>
      </c>
      <c r="C377">
        <f t="shared" si="5"/>
        <v>0.252814710086261</v>
      </c>
    </row>
    <row r="378" spans="1:3" x14ac:dyDescent="0.3">
      <c r="A378" t="s">
        <v>421</v>
      </c>
      <c r="B378">
        <v>0.558475537649047</v>
      </c>
      <c r="C378">
        <f t="shared" si="5"/>
        <v>0.558475537649047</v>
      </c>
    </row>
    <row r="379" spans="1:3" x14ac:dyDescent="0.3">
      <c r="A379" t="s">
        <v>422</v>
      </c>
      <c r="B379">
        <v>0.42503019134033798</v>
      </c>
      <c r="C379">
        <f t="shared" si="5"/>
        <v>0.42503019134033798</v>
      </c>
    </row>
    <row r="380" spans="1:3" x14ac:dyDescent="0.3">
      <c r="A380" t="s">
        <v>423</v>
      </c>
      <c r="B380">
        <v>0.64079890821343899</v>
      </c>
      <c r="C380">
        <f t="shared" si="5"/>
        <v>0.64079890821343899</v>
      </c>
    </row>
    <row r="381" spans="1:3" x14ac:dyDescent="0.3">
      <c r="A381" t="s">
        <v>424</v>
      </c>
      <c r="B381">
        <v>0.69431084609730198</v>
      </c>
      <c r="C381">
        <f t="shared" si="5"/>
        <v>0.69431084609730198</v>
      </c>
    </row>
    <row r="382" spans="1:3" x14ac:dyDescent="0.3">
      <c r="A382" t="s">
        <v>425</v>
      </c>
      <c r="B382">
        <v>1.45793060219455</v>
      </c>
      <c r="C382">
        <f t="shared" si="5"/>
        <v>1.45793060219455</v>
      </c>
    </row>
    <row r="383" spans="1:3" x14ac:dyDescent="0.3">
      <c r="A383" t="s">
        <v>426</v>
      </c>
      <c r="B383">
        <v>0.18456414565846299</v>
      </c>
      <c r="C383">
        <f t="shared" si="5"/>
        <v>0.18456414565846299</v>
      </c>
    </row>
    <row r="384" spans="1:3" x14ac:dyDescent="0.3">
      <c r="A384" t="s">
        <v>427</v>
      </c>
      <c r="B384">
        <v>0.82775299176415895</v>
      </c>
      <c r="C384">
        <f t="shared" si="5"/>
        <v>0.82775299176415895</v>
      </c>
    </row>
    <row r="385" spans="1:3" x14ac:dyDescent="0.3">
      <c r="A385" t="s">
        <v>428</v>
      </c>
      <c r="B385">
        <v>0.30805078970233202</v>
      </c>
      <c r="C385">
        <f t="shared" si="5"/>
        <v>0.30805078970233202</v>
      </c>
    </row>
    <row r="386" spans="1:3" x14ac:dyDescent="0.3">
      <c r="A386" t="s">
        <v>429</v>
      </c>
      <c r="B386">
        <v>0.88298907138022997</v>
      </c>
      <c r="C386">
        <f t="shared" si="5"/>
        <v>0.88298907138022997</v>
      </c>
    </row>
    <row r="387" spans="1:3" x14ac:dyDescent="0.3">
      <c r="A387" t="s">
        <v>430</v>
      </c>
      <c r="B387">
        <v>0.59552153086220805</v>
      </c>
      <c r="C387">
        <f t="shared" ref="C387:C450" si="6">ABS(B387)</f>
        <v>0.59552153086220805</v>
      </c>
    </row>
    <row r="388" spans="1:3" x14ac:dyDescent="0.3">
      <c r="A388" t="s">
        <v>431</v>
      </c>
      <c r="B388">
        <v>4.2887415211684203E-2</v>
      </c>
      <c r="C388">
        <f t="shared" si="6"/>
        <v>4.2887415211684203E-2</v>
      </c>
    </row>
    <row r="389" spans="1:3" x14ac:dyDescent="0.3">
      <c r="A389" t="s">
        <v>432</v>
      </c>
      <c r="B389">
        <v>2.4697328808773799E-2</v>
      </c>
      <c r="C389">
        <f t="shared" si="6"/>
        <v>2.4697328808773799E-2</v>
      </c>
    </row>
    <row r="390" spans="1:3" x14ac:dyDescent="0.3">
      <c r="A390" t="s">
        <v>433</v>
      </c>
      <c r="B390">
        <v>4.2887415211684203E-2</v>
      </c>
      <c r="C390">
        <f t="shared" si="6"/>
        <v>4.2887415211684203E-2</v>
      </c>
    </row>
    <row r="391" spans="1:3" x14ac:dyDescent="0.3">
      <c r="A391" t="s">
        <v>434</v>
      </c>
      <c r="B391">
        <v>0.33858954050962897</v>
      </c>
      <c r="C391">
        <f t="shared" si="6"/>
        <v>0.33858954050962897</v>
      </c>
    </row>
    <row r="392" spans="1:3" x14ac:dyDescent="0.3">
      <c r="A392" t="s">
        <v>435</v>
      </c>
      <c r="B392">
        <v>1.0305072238255299</v>
      </c>
      <c r="C392">
        <f t="shared" si="6"/>
        <v>1.0305072238255299</v>
      </c>
    </row>
    <row r="393" spans="1:3" x14ac:dyDescent="0.3">
      <c r="A393" t="s">
        <v>436</v>
      </c>
      <c r="B393">
        <v>0.49261493536079598</v>
      </c>
      <c r="C393">
        <f t="shared" si="6"/>
        <v>0.49261493536079598</v>
      </c>
    </row>
    <row r="394" spans="1:3" x14ac:dyDescent="0.3">
      <c r="A394" t="s">
        <v>437</v>
      </c>
      <c r="B394">
        <v>0.43326157547840699</v>
      </c>
      <c r="C394">
        <f t="shared" si="6"/>
        <v>0.43326157547840699</v>
      </c>
    </row>
    <row r="395" spans="1:3" x14ac:dyDescent="0.3">
      <c r="A395" t="s">
        <v>438</v>
      </c>
      <c r="B395">
        <v>0.42784603282439698</v>
      </c>
      <c r="C395">
        <f t="shared" si="6"/>
        <v>0.42784603282439698</v>
      </c>
    </row>
    <row r="396" spans="1:3" x14ac:dyDescent="0.3">
      <c r="A396" t="s">
        <v>439</v>
      </c>
      <c r="B396">
        <v>0.54309811633563099</v>
      </c>
      <c r="C396">
        <f t="shared" si="6"/>
        <v>0.54309811633563099</v>
      </c>
    </row>
    <row r="397" spans="1:3" x14ac:dyDescent="0.3">
      <c r="A397" t="s">
        <v>440</v>
      </c>
      <c r="B397">
        <v>0.13171802818193801</v>
      </c>
      <c r="C397">
        <f t="shared" si="6"/>
        <v>0.13171802818193801</v>
      </c>
    </row>
    <row r="398" spans="1:3" x14ac:dyDescent="0.3">
      <c r="A398" t="s">
        <v>441</v>
      </c>
      <c r="B398">
        <v>0.66549623702221194</v>
      </c>
      <c r="C398">
        <f t="shared" si="6"/>
        <v>0.66549623702221194</v>
      </c>
    </row>
    <row r="399" spans="1:3" x14ac:dyDescent="0.3">
      <c r="A399" t="s">
        <v>442</v>
      </c>
      <c r="B399">
        <v>0.26277341235110202</v>
      </c>
      <c r="C399">
        <f t="shared" si="6"/>
        <v>0.26277341235110202</v>
      </c>
    </row>
    <row r="400" spans="1:3" x14ac:dyDescent="0.3">
      <c r="A400" t="s">
        <v>443</v>
      </c>
      <c r="B400">
        <v>0.98589569112893205</v>
      </c>
      <c r="C400">
        <f t="shared" si="6"/>
        <v>0.98589569112893205</v>
      </c>
    </row>
    <row r="401" spans="1:3" x14ac:dyDescent="0.3">
      <c r="A401" t="s">
        <v>444</v>
      </c>
      <c r="B401">
        <v>0.412681526935951</v>
      </c>
      <c r="C401">
        <f t="shared" si="6"/>
        <v>0.412681526935951</v>
      </c>
    </row>
    <row r="402" spans="1:3" x14ac:dyDescent="0.3">
      <c r="A402" t="s">
        <v>445</v>
      </c>
      <c r="B402">
        <v>0.50496359976518301</v>
      </c>
      <c r="C402">
        <f t="shared" si="6"/>
        <v>0.50496359976518301</v>
      </c>
    </row>
    <row r="403" spans="1:3" x14ac:dyDescent="0.3">
      <c r="A403" t="s">
        <v>446</v>
      </c>
      <c r="B403">
        <v>0.35332816705356201</v>
      </c>
      <c r="C403">
        <f t="shared" si="6"/>
        <v>0.35332816705356201</v>
      </c>
    </row>
    <row r="404" spans="1:3" x14ac:dyDescent="0.3">
      <c r="A404" t="s">
        <v>447</v>
      </c>
      <c r="B404">
        <v>0.69842494996905402</v>
      </c>
      <c r="C404">
        <f t="shared" si="6"/>
        <v>0.69842494996905402</v>
      </c>
    </row>
    <row r="405" spans="1:3" x14ac:dyDescent="0.3">
      <c r="A405" t="s">
        <v>448</v>
      </c>
      <c r="B405">
        <v>0.74131236518073895</v>
      </c>
      <c r="C405">
        <f t="shared" si="6"/>
        <v>0.74131236518073895</v>
      </c>
    </row>
    <row r="406" spans="1:3" x14ac:dyDescent="0.3">
      <c r="A406" t="s">
        <v>449</v>
      </c>
      <c r="B406">
        <v>3.8376203864674299</v>
      </c>
      <c r="C406">
        <f t="shared" si="6"/>
        <v>3.8376203864674299</v>
      </c>
    </row>
    <row r="407" spans="1:3" x14ac:dyDescent="0.3">
      <c r="A407" t="s">
        <v>450</v>
      </c>
      <c r="B407">
        <v>0.53205089071350298</v>
      </c>
      <c r="C407">
        <f t="shared" si="6"/>
        <v>0.53205089071350298</v>
      </c>
    </row>
    <row r="408" spans="1:3" x14ac:dyDescent="0.3">
      <c r="A408" t="s">
        <v>451</v>
      </c>
      <c r="B408">
        <v>0.93108229021552003</v>
      </c>
      <c r="C408">
        <f t="shared" si="6"/>
        <v>0.93108229021552003</v>
      </c>
    </row>
    <row r="409" spans="1:3" x14ac:dyDescent="0.3">
      <c r="A409" t="s">
        <v>452</v>
      </c>
      <c r="B409">
        <v>0.55674821952227604</v>
      </c>
      <c r="C409">
        <f t="shared" si="6"/>
        <v>0.55674821952227604</v>
      </c>
    </row>
    <row r="410" spans="1:3" x14ac:dyDescent="0.3">
      <c r="A410" t="s">
        <v>453</v>
      </c>
      <c r="B410">
        <v>0.61610157940466503</v>
      </c>
      <c r="C410">
        <f t="shared" si="6"/>
        <v>0.61610157940466503</v>
      </c>
    </row>
    <row r="411" spans="1:3" x14ac:dyDescent="0.3">
      <c r="A411" t="s">
        <v>454</v>
      </c>
      <c r="B411">
        <v>0.42330604960813101</v>
      </c>
      <c r="C411">
        <f t="shared" si="6"/>
        <v>0.42330604960813101</v>
      </c>
    </row>
    <row r="412" spans="1:3" x14ac:dyDescent="0.3">
      <c r="A412" t="s">
        <v>455</v>
      </c>
      <c r="B412">
        <v>2.36149974636453</v>
      </c>
      <c r="C412">
        <f t="shared" si="6"/>
        <v>2.36149974636453</v>
      </c>
    </row>
    <row r="413" spans="1:3" x14ac:dyDescent="0.3">
      <c r="A413" t="s">
        <v>456</v>
      </c>
      <c r="B413">
        <v>0</v>
      </c>
      <c r="C413">
        <f t="shared" si="6"/>
        <v>0</v>
      </c>
    </row>
    <row r="414" spans="1:3" x14ac:dyDescent="0.3">
      <c r="A414" t="s">
        <v>457</v>
      </c>
      <c r="B414">
        <v>0.39449144053304003</v>
      </c>
      <c r="C414">
        <f t="shared" si="6"/>
        <v>0.39449144053304003</v>
      </c>
    </row>
    <row r="415" spans="1:3" x14ac:dyDescent="0.3">
      <c r="A415" t="s">
        <v>458</v>
      </c>
      <c r="B415">
        <v>0.58489700819002799</v>
      </c>
      <c r="C415">
        <f t="shared" si="6"/>
        <v>0.58489700819002799</v>
      </c>
    </row>
    <row r="416" spans="1:3" x14ac:dyDescent="0.3">
      <c r="A416" t="s">
        <v>459</v>
      </c>
      <c r="B416">
        <v>0.58077972792371002</v>
      </c>
      <c r="C416">
        <f t="shared" si="6"/>
        <v>0.58077972792371002</v>
      </c>
    </row>
    <row r="417" spans="1:3" x14ac:dyDescent="0.3">
      <c r="A417" t="s">
        <v>460</v>
      </c>
      <c r="B417">
        <v>0.275122076755488</v>
      </c>
      <c r="C417">
        <f t="shared" si="6"/>
        <v>0.275122076755488</v>
      </c>
    </row>
    <row r="418" spans="1:3" x14ac:dyDescent="0.3">
      <c r="A418" t="s">
        <v>461</v>
      </c>
      <c r="B418">
        <v>3.7045993213160697E-2</v>
      </c>
      <c r="C418">
        <f t="shared" si="6"/>
        <v>3.7045993213160697E-2</v>
      </c>
    </row>
    <row r="419" spans="1:3" x14ac:dyDescent="0.3">
      <c r="A419" t="s">
        <v>462</v>
      </c>
      <c r="B419">
        <v>0.39210147839349402</v>
      </c>
      <c r="C419">
        <f t="shared" si="6"/>
        <v>0.39210147839349402</v>
      </c>
    </row>
    <row r="420" spans="1:3" x14ac:dyDescent="0.3">
      <c r="A420" t="s">
        <v>463</v>
      </c>
      <c r="B420">
        <v>0.66961351728852803</v>
      </c>
      <c r="C420">
        <f t="shared" si="6"/>
        <v>0.66961351728852803</v>
      </c>
    </row>
    <row r="421" spans="1:3" x14ac:dyDescent="0.3">
      <c r="A421" t="s">
        <v>464</v>
      </c>
      <c r="B421">
        <v>0.225727419137941</v>
      </c>
      <c r="C421">
        <f t="shared" si="6"/>
        <v>0.225727419137941</v>
      </c>
    </row>
    <row r="422" spans="1:3" x14ac:dyDescent="0.3">
      <c r="A422" t="s">
        <v>465</v>
      </c>
      <c r="B422">
        <v>0.20753733273503</v>
      </c>
      <c r="C422">
        <f t="shared" si="6"/>
        <v>0.20753733273503</v>
      </c>
    </row>
    <row r="423" spans="1:3" x14ac:dyDescent="0.3">
      <c r="A423" t="s">
        <v>466</v>
      </c>
      <c r="B423">
        <v>4.9394657617547598E-2</v>
      </c>
      <c r="C423">
        <f t="shared" si="6"/>
        <v>4.9394657617547598E-2</v>
      </c>
    </row>
    <row r="424" spans="1:3" x14ac:dyDescent="0.3">
      <c r="A424" t="s">
        <v>467</v>
      </c>
      <c r="B424">
        <v>0.47030756869156798</v>
      </c>
      <c r="C424">
        <f t="shared" si="6"/>
        <v>0.47030756869156798</v>
      </c>
    </row>
    <row r="425" spans="1:3" x14ac:dyDescent="0.3">
      <c r="A425" t="s">
        <v>468</v>
      </c>
      <c r="B425">
        <v>0.35332816705356201</v>
      </c>
      <c r="C425">
        <f t="shared" si="6"/>
        <v>0.35332816705356201</v>
      </c>
    </row>
    <row r="426" spans="1:3" x14ac:dyDescent="0.3">
      <c r="A426" t="s">
        <v>469</v>
      </c>
      <c r="B426">
        <v>0.90357234481182702</v>
      </c>
      <c r="C426">
        <f t="shared" si="6"/>
        <v>0.90357234481182702</v>
      </c>
    </row>
    <row r="427" spans="1:3" x14ac:dyDescent="0.3">
      <c r="A427" t="s">
        <v>470</v>
      </c>
      <c r="B427">
        <v>3.0538750807297298E-2</v>
      </c>
      <c r="C427">
        <f t="shared" si="6"/>
        <v>3.0538750807297298E-2</v>
      </c>
    </row>
    <row r="428" spans="1:3" x14ac:dyDescent="0.3">
      <c r="A428" t="s">
        <v>471</v>
      </c>
      <c r="B428">
        <v>4.2887415211684203E-2</v>
      </c>
      <c r="C428">
        <f t="shared" si="6"/>
        <v>4.2887415211684203E-2</v>
      </c>
    </row>
    <row r="429" spans="1:3" x14ac:dyDescent="0.3">
      <c r="A429" t="s">
        <v>472</v>
      </c>
      <c r="B429">
        <v>3.0538750807297298E-2</v>
      </c>
      <c r="C429">
        <f t="shared" si="6"/>
        <v>3.0538750807297298E-2</v>
      </c>
    </row>
    <row r="430" spans="1:3" x14ac:dyDescent="0.3">
      <c r="A430" t="s">
        <v>473</v>
      </c>
      <c r="B430">
        <v>5.5236079616071097E-2</v>
      </c>
      <c r="C430">
        <f t="shared" si="6"/>
        <v>5.5236079616071097E-2</v>
      </c>
    </row>
    <row r="431" spans="1:3" x14ac:dyDescent="0.3">
      <c r="A431" t="s">
        <v>474</v>
      </c>
      <c r="B431">
        <v>5.5236079616071097E-2</v>
      </c>
      <c r="C431">
        <f t="shared" si="6"/>
        <v>5.5236079616071097E-2</v>
      </c>
    </row>
    <row r="432" spans="1:3" x14ac:dyDescent="0.3">
      <c r="A432" t="s">
        <v>475</v>
      </c>
      <c r="B432">
        <v>4.9394657617547598E-2</v>
      </c>
      <c r="C432">
        <f t="shared" si="6"/>
        <v>4.9394657617547598E-2</v>
      </c>
    </row>
    <row r="433" spans="1:3" x14ac:dyDescent="0.3">
      <c r="A433" t="s">
        <v>476</v>
      </c>
      <c r="B433">
        <v>3.0538750807297298E-2</v>
      </c>
      <c r="C433">
        <f t="shared" si="6"/>
        <v>3.0538750807297298E-2</v>
      </c>
    </row>
    <row r="434" spans="1:3" x14ac:dyDescent="0.3">
      <c r="A434" t="s">
        <v>477</v>
      </c>
      <c r="B434">
        <v>2.4697328808773799E-2</v>
      </c>
      <c r="C434">
        <f t="shared" si="6"/>
        <v>2.4697328808773799E-2</v>
      </c>
    </row>
    <row r="435" spans="1:3" x14ac:dyDescent="0.3">
      <c r="A435" t="s">
        <v>478</v>
      </c>
      <c r="B435">
        <v>3.0538750807297298E-2</v>
      </c>
      <c r="C435">
        <f t="shared" si="6"/>
        <v>3.0538750807297298E-2</v>
      </c>
    </row>
    <row r="436" spans="1:3" x14ac:dyDescent="0.3">
      <c r="A436" t="s">
        <v>479</v>
      </c>
      <c r="B436">
        <v>6.1743322021934499E-2</v>
      </c>
      <c r="C436">
        <f t="shared" si="6"/>
        <v>6.1743322021934499E-2</v>
      </c>
    </row>
    <row r="437" spans="1:3" x14ac:dyDescent="0.3">
      <c r="A437" t="s">
        <v>480</v>
      </c>
      <c r="B437">
        <v>4.2887415211684203E-2</v>
      </c>
      <c r="C437">
        <f t="shared" si="6"/>
        <v>4.2887415211684203E-2</v>
      </c>
    </row>
    <row r="438" spans="1:3" x14ac:dyDescent="0.3">
      <c r="A438" t="s">
        <v>481</v>
      </c>
      <c r="B438">
        <v>0.26516337449064797</v>
      </c>
      <c r="C438">
        <f t="shared" si="6"/>
        <v>0.26516337449064797</v>
      </c>
    </row>
    <row r="439" spans="1:3" x14ac:dyDescent="0.3">
      <c r="A439" t="s">
        <v>482</v>
      </c>
      <c r="B439">
        <v>2.15396554152949</v>
      </c>
      <c r="C439">
        <f t="shared" si="6"/>
        <v>2.15396554152949</v>
      </c>
    </row>
    <row r="440" spans="1:3" x14ac:dyDescent="0.3">
      <c r="A440" t="s">
        <v>483</v>
      </c>
      <c r="B440">
        <v>0.51558812243736296</v>
      </c>
      <c r="C440">
        <f t="shared" si="6"/>
        <v>0.51558812243736296</v>
      </c>
    </row>
    <row r="441" spans="1:3" x14ac:dyDescent="0.3">
      <c r="A441" t="s">
        <v>484</v>
      </c>
      <c r="B441">
        <v>5.5236079616071097E-2</v>
      </c>
      <c r="C441">
        <f t="shared" si="6"/>
        <v>5.5236079616071097E-2</v>
      </c>
    </row>
    <row r="442" spans="1:3" x14ac:dyDescent="0.3">
      <c r="A442" t="s">
        <v>485</v>
      </c>
      <c r="B442">
        <v>5.5236079616071097E-2</v>
      </c>
      <c r="C442">
        <f t="shared" si="6"/>
        <v>5.5236079616071097E-2</v>
      </c>
    </row>
    <row r="443" spans="1:3" x14ac:dyDescent="0.3">
      <c r="A443" t="s">
        <v>486</v>
      </c>
      <c r="B443">
        <v>4.9394657617547598E-2</v>
      </c>
      <c r="C443">
        <f t="shared" si="6"/>
        <v>4.9394657617547598E-2</v>
      </c>
    </row>
    <row r="444" spans="1:3" x14ac:dyDescent="0.3">
      <c r="A444" t="s">
        <v>487</v>
      </c>
      <c r="B444">
        <v>2.4697328808773799E-2</v>
      </c>
      <c r="C444">
        <f t="shared" si="6"/>
        <v>2.4697328808773799E-2</v>
      </c>
    </row>
    <row r="445" spans="1:3" x14ac:dyDescent="0.3">
      <c r="A445" t="s">
        <v>488</v>
      </c>
      <c r="B445">
        <v>3.7045993213160697E-2</v>
      </c>
      <c r="C445">
        <f t="shared" si="6"/>
        <v>3.7045993213160697E-2</v>
      </c>
    </row>
    <row r="446" spans="1:3" x14ac:dyDescent="0.3">
      <c r="A446" t="s">
        <v>489</v>
      </c>
      <c r="B446">
        <v>2.4697328808773799E-2</v>
      </c>
      <c r="C446">
        <f t="shared" si="6"/>
        <v>2.4697328808773799E-2</v>
      </c>
    </row>
    <row r="447" spans="1:3" x14ac:dyDescent="0.3">
      <c r="A447" t="s">
        <v>490</v>
      </c>
      <c r="B447">
        <v>2.4697328808773799E-2</v>
      </c>
      <c r="C447">
        <f t="shared" si="6"/>
        <v>2.4697328808773799E-2</v>
      </c>
    </row>
    <row r="448" spans="1:3" x14ac:dyDescent="0.3">
      <c r="A448" t="s">
        <v>491</v>
      </c>
      <c r="B448">
        <v>3.0538750807297298E-2</v>
      </c>
      <c r="C448">
        <f t="shared" si="6"/>
        <v>3.0538750807297298E-2</v>
      </c>
    </row>
    <row r="449" spans="1:3" x14ac:dyDescent="0.3">
      <c r="A449" t="s">
        <v>492</v>
      </c>
      <c r="B449">
        <v>3.7045993213160697E-2</v>
      </c>
      <c r="C449">
        <f t="shared" si="6"/>
        <v>3.7045993213160697E-2</v>
      </c>
    </row>
    <row r="450" spans="1:3" x14ac:dyDescent="0.3">
      <c r="A450" t="s">
        <v>493</v>
      </c>
      <c r="B450">
        <v>3.0538750807297298E-2</v>
      </c>
      <c r="C450">
        <f t="shared" si="6"/>
        <v>3.0538750807297298E-2</v>
      </c>
    </row>
    <row r="451" spans="1:3" x14ac:dyDescent="0.3">
      <c r="A451" t="s">
        <v>494</v>
      </c>
      <c r="B451">
        <v>3.7045993213160697E-2</v>
      </c>
      <c r="C451">
        <f t="shared" ref="C451:C496" si="7">ABS(B451)</f>
        <v>3.7045993213160697E-2</v>
      </c>
    </row>
    <row r="452" spans="1:3" x14ac:dyDescent="0.3">
      <c r="A452" t="s">
        <v>495</v>
      </c>
      <c r="B452">
        <v>4.2887415211684203E-2</v>
      </c>
      <c r="C452">
        <f t="shared" si="7"/>
        <v>4.2887415211684203E-2</v>
      </c>
    </row>
    <row r="453" spans="1:3" x14ac:dyDescent="0.3">
      <c r="A453" t="s">
        <v>496</v>
      </c>
      <c r="B453">
        <v>3.0538750807297298E-2</v>
      </c>
      <c r="C453">
        <f t="shared" si="7"/>
        <v>3.0538750807297298E-2</v>
      </c>
    </row>
    <row r="454" spans="1:3" x14ac:dyDescent="0.3">
      <c r="A454" t="s">
        <v>497</v>
      </c>
      <c r="B454">
        <v>3.0538750807297298E-2</v>
      </c>
      <c r="C454">
        <f t="shared" si="7"/>
        <v>3.0538750807297298E-2</v>
      </c>
    </row>
    <row r="455" spans="1:3" x14ac:dyDescent="0.3">
      <c r="A455" t="s">
        <v>498</v>
      </c>
      <c r="B455">
        <v>3.7045993213160697E-2</v>
      </c>
      <c r="C455">
        <f t="shared" si="7"/>
        <v>3.7045993213160697E-2</v>
      </c>
    </row>
    <row r="456" spans="1:3" x14ac:dyDescent="0.3">
      <c r="A456" t="s">
        <v>499</v>
      </c>
      <c r="B456">
        <v>3.7045993213160697E-2</v>
      </c>
      <c r="C456">
        <f t="shared" si="7"/>
        <v>3.7045993213160697E-2</v>
      </c>
    </row>
    <row r="457" spans="1:3" x14ac:dyDescent="0.3">
      <c r="A457" t="s">
        <v>500</v>
      </c>
      <c r="B457">
        <v>3.7045993213160697E-2</v>
      </c>
      <c r="C457">
        <f t="shared" si="7"/>
        <v>3.7045993213160697E-2</v>
      </c>
    </row>
    <row r="458" spans="1:3" x14ac:dyDescent="0.3">
      <c r="A458" t="s">
        <v>501</v>
      </c>
      <c r="B458">
        <v>1.2348664404386899E-2</v>
      </c>
      <c r="C458">
        <f t="shared" si="7"/>
        <v>1.2348664404386899E-2</v>
      </c>
    </row>
    <row r="459" spans="1:3" x14ac:dyDescent="0.3">
      <c r="A459" t="s">
        <v>502</v>
      </c>
      <c r="B459">
        <v>6.1743322021934499E-2</v>
      </c>
      <c r="C459">
        <f t="shared" si="7"/>
        <v>6.1743322021934499E-2</v>
      </c>
    </row>
    <row r="460" spans="1:3" x14ac:dyDescent="0.3">
      <c r="A460" t="s">
        <v>503</v>
      </c>
      <c r="B460">
        <v>6.1743322021934499E-2</v>
      </c>
      <c r="C460">
        <f t="shared" si="7"/>
        <v>6.1743322021934499E-2</v>
      </c>
    </row>
    <row r="461" spans="1:3" x14ac:dyDescent="0.3">
      <c r="A461" t="s">
        <v>504</v>
      </c>
      <c r="B461">
        <v>1.8190086402910401E-2</v>
      </c>
      <c r="C461">
        <f t="shared" si="7"/>
        <v>1.8190086402910401E-2</v>
      </c>
    </row>
    <row r="462" spans="1:3" x14ac:dyDescent="0.3">
      <c r="A462" t="s">
        <v>505</v>
      </c>
      <c r="B462">
        <v>2.4697328808773799E-2</v>
      </c>
      <c r="C462">
        <f t="shared" si="7"/>
        <v>2.4697328808773799E-2</v>
      </c>
    </row>
    <row r="463" spans="1:3" x14ac:dyDescent="0.3">
      <c r="A463" t="s">
        <v>506</v>
      </c>
      <c r="B463">
        <v>0.51319498390325202</v>
      </c>
      <c r="C463">
        <f t="shared" si="7"/>
        <v>0.51319498390325202</v>
      </c>
    </row>
    <row r="464" spans="1:3" x14ac:dyDescent="0.3">
      <c r="A464" t="s">
        <v>507</v>
      </c>
      <c r="B464">
        <v>0.40684010493742701</v>
      </c>
      <c r="C464">
        <f t="shared" si="7"/>
        <v>0.40684010493742701</v>
      </c>
    </row>
    <row r="465" spans="1:3" x14ac:dyDescent="0.3">
      <c r="A465" t="s">
        <v>508</v>
      </c>
      <c r="B465">
        <v>0.32624087610524299</v>
      </c>
      <c r="C465">
        <f t="shared" si="7"/>
        <v>0.32624087610524299</v>
      </c>
    </row>
    <row r="466" spans="1:3" x14ac:dyDescent="0.3">
      <c r="A466" t="s">
        <v>509</v>
      </c>
      <c r="B466">
        <v>0.51319498390325202</v>
      </c>
      <c r="C466">
        <f t="shared" si="7"/>
        <v>0.51319498390325202</v>
      </c>
    </row>
    <row r="467" spans="1:3" x14ac:dyDescent="0.3">
      <c r="A467" t="s">
        <v>510</v>
      </c>
      <c r="B467">
        <v>2.4697328808773799E-2</v>
      </c>
      <c r="C467">
        <f t="shared" si="7"/>
        <v>2.4697328808773799E-2</v>
      </c>
    </row>
    <row r="468" spans="1:3" x14ac:dyDescent="0.3">
      <c r="A468" t="s">
        <v>511</v>
      </c>
      <c r="B468">
        <v>3.0538750807297298E-2</v>
      </c>
      <c r="C468">
        <f t="shared" si="7"/>
        <v>3.0538750807297298E-2</v>
      </c>
    </row>
    <row r="469" spans="1:3" x14ac:dyDescent="0.3">
      <c r="A469" t="s">
        <v>512</v>
      </c>
      <c r="B469">
        <v>3.7045993213160697E-2</v>
      </c>
      <c r="C469">
        <f t="shared" si="7"/>
        <v>3.7045993213160697E-2</v>
      </c>
    </row>
    <row r="470" spans="1:3" x14ac:dyDescent="0.3">
      <c r="A470" t="s">
        <v>513</v>
      </c>
      <c r="B470">
        <v>3.7045993213160697E-2</v>
      </c>
      <c r="C470">
        <f t="shared" si="7"/>
        <v>3.7045993213160697E-2</v>
      </c>
    </row>
    <row r="471" spans="1:3" x14ac:dyDescent="0.3">
      <c r="A471" t="s">
        <v>514</v>
      </c>
      <c r="B471">
        <v>0.52142954443588696</v>
      </c>
      <c r="C471">
        <f t="shared" si="7"/>
        <v>0.52142954443588696</v>
      </c>
    </row>
    <row r="472" spans="1:3" x14ac:dyDescent="0.3">
      <c r="A472" t="s">
        <v>515</v>
      </c>
      <c r="B472">
        <v>0.46207618455349803</v>
      </c>
      <c r="C472">
        <f t="shared" si="7"/>
        <v>0.46207618455349803</v>
      </c>
    </row>
    <row r="473" spans="1:3" x14ac:dyDescent="0.3">
      <c r="A473" t="s">
        <v>516</v>
      </c>
      <c r="B473">
        <v>0.30154354729646898</v>
      </c>
      <c r="C473">
        <f t="shared" si="7"/>
        <v>0.30154354729646898</v>
      </c>
    </row>
    <row r="474" spans="1:3" x14ac:dyDescent="0.3">
      <c r="A474" t="s">
        <v>517</v>
      </c>
      <c r="B474">
        <v>0.32212359583892503</v>
      </c>
      <c r="C474">
        <f t="shared" si="7"/>
        <v>0.32212359583892503</v>
      </c>
    </row>
    <row r="475" spans="1:3" x14ac:dyDescent="0.3">
      <c r="A475" t="s">
        <v>518</v>
      </c>
      <c r="B475">
        <v>8.6440650830708302E-2</v>
      </c>
      <c r="C475">
        <f t="shared" si="7"/>
        <v>8.6440650830708302E-2</v>
      </c>
    </row>
    <row r="476" spans="1:3" x14ac:dyDescent="0.3">
      <c r="A476" t="s">
        <v>519</v>
      </c>
      <c r="B476">
        <v>0.336865398777423</v>
      </c>
      <c r="C476">
        <f t="shared" si="7"/>
        <v>0.336865398777423</v>
      </c>
    </row>
    <row r="477" spans="1:3" x14ac:dyDescent="0.3">
      <c r="A477" t="s">
        <v>520</v>
      </c>
      <c r="B477">
        <v>0.39210147839349402</v>
      </c>
      <c r="C477">
        <f t="shared" si="7"/>
        <v>0.39210147839349402</v>
      </c>
    </row>
    <row r="478" spans="1:3" x14ac:dyDescent="0.3">
      <c r="A478" t="s">
        <v>521</v>
      </c>
      <c r="B478">
        <v>4.1069010169771101</v>
      </c>
      <c r="C478">
        <f t="shared" si="7"/>
        <v>4.1069010169771101</v>
      </c>
    </row>
    <row r="479" spans="1:3" x14ac:dyDescent="0.3">
      <c r="A479" t="s">
        <v>522</v>
      </c>
      <c r="B479">
        <v>1.06343916166151</v>
      </c>
      <c r="C479">
        <f t="shared" si="7"/>
        <v>1.06343916166151</v>
      </c>
    </row>
    <row r="480" spans="1:3" x14ac:dyDescent="0.3">
      <c r="A480" t="s">
        <v>523</v>
      </c>
      <c r="B480">
        <v>0.35332816705356201</v>
      </c>
      <c r="C480">
        <f t="shared" si="7"/>
        <v>0.35332816705356201</v>
      </c>
    </row>
    <row r="481" spans="1:3" x14ac:dyDescent="0.3">
      <c r="A481" t="s">
        <v>524</v>
      </c>
      <c r="B481">
        <v>0.63429166580757501</v>
      </c>
      <c r="C481">
        <f t="shared" si="7"/>
        <v>0.63429166580757501</v>
      </c>
    </row>
    <row r="482" spans="1:3" x14ac:dyDescent="0.3">
      <c r="A482" t="s">
        <v>525</v>
      </c>
      <c r="B482">
        <v>5.5236079616071097E-2</v>
      </c>
      <c r="C482">
        <f t="shared" si="7"/>
        <v>5.5236079616071097E-2</v>
      </c>
    </row>
    <row r="483" spans="1:3" x14ac:dyDescent="0.3">
      <c r="A483" t="s">
        <v>526</v>
      </c>
      <c r="B483">
        <v>2.4697328808773799E-2</v>
      </c>
      <c r="C483">
        <f t="shared" si="7"/>
        <v>2.4697328808773799E-2</v>
      </c>
    </row>
    <row r="484" spans="1:3" x14ac:dyDescent="0.3">
      <c r="A484" t="s">
        <v>527</v>
      </c>
      <c r="B484">
        <v>4.9394657617547598E-2</v>
      </c>
      <c r="C484">
        <f t="shared" si="7"/>
        <v>4.9394657617547598E-2</v>
      </c>
    </row>
    <row r="485" spans="1:3" x14ac:dyDescent="0.3">
      <c r="A485" t="s">
        <v>528</v>
      </c>
      <c r="B485">
        <v>5.5236079616071097E-2</v>
      </c>
      <c r="C485">
        <f t="shared" si="7"/>
        <v>5.5236079616071097E-2</v>
      </c>
    </row>
    <row r="486" spans="1:3" x14ac:dyDescent="0.3">
      <c r="A486" t="s">
        <v>529</v>
      </c>
      <c r="B486">
        <v>1.0675532170386901</v>
      </c>
      <c r="C486">
        <f t="shared" si="7"/>
        <v>1.0675532170386901</v>
      </c>
    </row>
    <row r="487" spans="1:3" x14ac:dyDescent="0.3">
      <c r="A487" t="s">
        <v>530</v>
      </c>
      <c r="B487">
        <v>0.23223466154380401</v>
      </c>
      <c r="C487">
        <f t="shared" si="7"/>
        <v>0.23223466154380401</v>
      </c>
    </row>
    <row r="488" spans="1:3" x14ac:dyDescent="0.3">
      <c r="A488" t="s">
        <v>531</v>
      </c>
      <c r="B488">
        <v>0.269280654756965</v>
      </c>
      <c r="C488">
        <f t="shared" si="7"/>
        <v>0.269280654756965</v>
      </c>
    </row>
    <row r="489" spans="1:3" x14ac:dyDescent="0.3">
      <c r="A489" t="s">
        <v>532</v>
      </c>
      <c r="B489">
        <v>1.3673726468502401</v>
      </c>
      <c r="C489">
        <f t="shared" si="7"/>
        <v>1.3673726468502401</v>
      </c>
    </row>
    <row r="490" spans="1:3" x14ac:dyDescent="0.3">
      <c r="A490" t="s">
        <v>533</v>
      </c>
      <c r="B490">
        <v>0.52381950657543297</v>
      </c>
      <c r="C490">
        <f t="shared" si="7"/>
        <v>0.52381950657543297</v>
      </c>
    </row>
    <row r="491" spans="1:3" x14ac:dyDescent="0.3">
      <c r="A491" t="s">
        <v>534</v>
      </c>
      <c r="B491">
        <v>0.266887516222854</v>
      </c>
      <c r="C491">
        <f t="shared" si="7"/>
        <v>0.266887516222854</v>
      </c>
    </row>
    <row r="492" spans="1:3" x14ac:dyDescent="0.3">
      <c r="A492" t="s">
        <v>535</v>
      </c>
      <c r="B492">
        <v>0.49244648945972902</v>
      </c>
      <c r="C492">
        <f t="shared" si="7"/>
        <v>0.49244648945972902</v>
      </c>
    </row>
    <row r="493" spans="1:3" x14ac:dyDescent="0.3">
      <c r="A493" t="s">
        <v>536</v>
      </c>
      <c r="B493">
        <v>0.983505753236672</v>
      </c>
      <c r="C493">
        <f t="shared" si="7"/>
        <v>0.983505753236672</v>
      </c>
    </row>
    <row r="494" spans="1:3" x14ac:dyDescent="0.3">
      <c r="A494" t="s">
        <v>537</v>
      </c>
      <c r="B494">
        <v>4.2887415211684203E-2</v>
      </c>
      <c r="C494">
        <f t="shared" si="7"/>
        <v>4.2887415211684203E-2</v>
      </c>
    </row>
    <row r="495" spans="1:3" x14ac:dyDescent="0.3">
      <c r="A495" t="s">
        <v>538</v>
      </c>
      <c r="B495">
        <v>6.1743322021934499E-2</v>
      </c>
      <c r="C495">
        <f t="shared" si="7"/>
        <v>6.1743322021934499E-2</v>
      </c>
    </row>
    <row r="496" spans="1:3" x14ac:dyDescent="0.3">
      <c r="A496" t="s">
        <v>539</v>
      </c>
      <c r="B496">
        <v>0.53377820884027405</v>
      </c>
      <c r="C496">
        <f t="shared" si="7"/>
        <v>0.53377820884027405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Mukherjee</cp:lastModifiedBy>
  <dcterms:created xsi:type="dcterms:W3CDTF">2025-03-04T10:05:09Z</dcterms:created>
  <dcterms:modified xsi:type="dcterms:W3CDTF">2025-03-19T07:37:40Z</dcterms:modified>
</cp:coreProperties>
</file>