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dity\Downloads\"/>
    </mc:Choice>
  </mc:AlternateContent>
  <xr:revisionPtr revIDLastSave="0" documentId="13_ncr:1_{03C33654-F82A-4482-91EE-D679EDDBB3BB}" xr6:coauthVersionLast="47" xr6:coauthVersionMax="47" xr10:uidLastSave="{00000000-0000-0000-0000-000000000000}"/>
  <bookViews>
    <workbookView xWindow="-108" yWindow="-108" windowWidth="23256" windowHeight="12456" firstSheet="3" activeTab="6" xr2:uid="{3963FCCD-7BF2-486B-BCA3-42475E3621A0}"/>
  </bookViews>
  <sheets>
    <sheet name="PUT CALL PARITY" sheetId="1" r:id="rId1"/>
    <sheet name="IMPLIED VOLATILITY" sheetId="4" r:id="rId2"/>
    <sheet name="DELTA HEDGING -1 " sheetId="5" r:id="rId3"/>
    <sheet name="DELTA HEDGING - 2" sheetId="7" r:id="rId4"/>
    <sheet name="Volatility Trade" sheetId="8" r:id="rId5"/>
    <sheet name="PUT_CALL SHEET" sheetId="2" r:id="rId6"/>
    <sheet name="HP and Risk Free rate" sheetId="3" r:id="rId7"/>
    <sheet name="HP Yahoo Finance" sheetId="6" r:id="rId8"/>
  </sheets>
  <definedNames>
    <definedName name="_xlnm._FilterDatabase" localSheetId="1" hidden="1">'IMPLIED VOLATILITY'!$A$15:$L$22</definedName>
    <definedName name="_xlnm._FilterDatabase" localSheetId="0" hidden="1">'PUT CALL PARITY'!$A$5:$S$12</definedName>
    <definedName name="_xlnm._FilterDatabase" localSheetId="5" hidden="1">'PUT_CALL SHEET'!$A$1:$O$18</definedName>
    <definedName name="solver_adj" localSheetId="2" hidden="1">'DELTA HEDGING -1 '!$K$10</definedName>
    <definedName name="solver_adj" localSheetId="1" hidden="1">'IMPLIED VOLATILITY'!$K$5</definedName>
    <definedName name="solver_cvg" localSheetId="2" hidden="1">0.0001</definedName>
    <definedName name="solver_cvg" localSheetId="1" hidden="1">0.0001</definedName>
    <definedName name="solver_drv" localSheetId="2" hidden="1">1</definedName>
    <definedName name="solver_drv" localSheetId="1" hidden="1">1</definedName>
    <definedName name="solver_eng" localSheetId="2" hidden="1">1</definedName>
    <definedName name="solver_eng" localSheetId="1" hidden="1">1</definedName>
    <definedName name="solver_est" localSheetId="2" hidden="1">1</definedName>
    <definedName name="solver_est" localSheetId="1" hidden="1">1</definedName>
    <definedName name="solver_itr" localSheetId="2" hidden="1">2147483647</definedName>
    <definedName name="solver_itr" localSheetId="1" hidden="1">2147483647</definedName>
    <definedName name="solver_mip" localSheetId="2" hidden="1">2147483647</definedName>
    <definedName name="solver_mip" localSheetId="1" hidden="1">2147483647</definedName>
    <definedName name="solver_mni" localSheetId="2" hidden="1">30</definedName>
    <definedName name="solver_mni" localSheetId="1" hidden="1">30</definedName>
    <definedName name="solver_mrt" localSheetId="2" hidden="1">0.075</definedName>
    <definedName name="solver_mrt" localSheetId="1" hidden="1">0.075</definedName>
    <definedName name="solver_msl" localSheetId="2" hidden="1">2</definedName>
    <definedName name="solver_msl" localSheetId="1" hidden="1">2</definedName>
    <definedName name="solver_neg" localSheetId="2" hidden="1">1</definedName>
    <definedName name="solver_neg" localSheetId="1" hidden="1">1</definedName>
    <definedName name="solver_nod" localSheetId="2" hidden="1">2147483647</definedName>
    <definedName name="solver_nod" localSheetId="1" hidden="1">2147483647</definedName>
    <definedName name="solver_num" localSheetId="2" hidden="1">0</definedName>
    <definedName name="solver_num" localSheetId="1" hidden="1">0</definedName>
    <definedName name="solver_nwt" localSheetId="2" hidden="1">1</definedName>
    <definedName name="solver_nwt" localSheetId="1" hidden="1">1</definedName>
    <definedName name="solver_opt" localSheetId="2" hidden="1">'DELTA HEDGING -1 '!$L$10</definedName>
    <definedName name="solver_opt" localSheetId="1" hidden="1">'IMPLIED VOLATILITY'!$L$5</definedName>
    <definedName name="solver_pre" localSheetId="2" hidden="1">0.000001</definedName>
    <definedName name="solver_pre" localSheetId="1" hidden="1">0.000001</definedName>
    <definedName name="solver_rbv" localSheetId="2" hidden="1">1</definedName>
    <definedName name="solver_rbv" localSheetId="1" hidden="1">1</definedName>
    <definedName name="solver_rlx" localSheetId="2" hidden="1">2</definedName>
    <definedName name="solver_rlx" localSheetId="1" hidden="1">2</definedName>
    <definedName name="solver_rsd" localSheetId="2" hidden="1">0</definedName>
    <definedName name="solver_rsd" localSheetId="1" hidden="1">0</definedName>
    <definedName name="solver_scl" localSheetId="2" hidden="1">1</definedName>
    <definedName name="solver_scl" localSheetId="1" hidden="1">1</definedName>
    <definedName name="solver_sho" localSheetId="2" hidden="1">2</definedName>
    <definedName name="solver_sho" localSheetId="1" hidden="1">2</definedName>
    <definedName name="solver_ssz" localSheetId="2" hidden="1">100</definedName>
    <definedName name="solver_ssz" localSheetId="1" hidden="1">100</definedName>
    <definedName name="solver_tim" localSheetId="2" hidden="1">2147483647</definedName>
    <definedName name="solver_tim" localSheetId="1" hidden="1">2147483647</definedName>
    <definedName name="solver_tol" localSheetId="2" hidden="1">0.01</definedName>
    <definedName name="solver_tol" localSheetId="1" hidden="1">0.01</definedName>
    <definedName name="solver_typ" localSheetId="2" hidden="1">3</definedName>
    <definedName name="solver_typ" localSheetId="1" hidden="1">3</definedName>
    <definedName name="solver_val" localSheetId="2" hidden="1">0</definedName>
    <definedName name="solver_val" localSheetId="1" hidden="1">0</definedName>
    <definedName name="solver_ver" localSheetId="2" hidden="1">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 i="8" l="1"/>
  <c r="L28" i="8"/>
  <c r="L27" i="8"/>
  <c r="L26" i="8"/>
  <c r="L25" i="8"/>
  <c r="L24" i="8"/>
  <c r="L23" i="8"/>
  <c r="L22" i="8"/>
  <c r="L21" i="8"/>
  <c r="L20" i="8"/>
  <c r="H21" i="8" l="1"/>
  <c r="H22" i="8" s="1"/>
  <c r="K20" i="8"/>
  <c r="H15" i="8"/>
  <c r="K11" i="8"/>
  <c r="K6" i="8"/>
  <c r="A15" i="8"/>
  <c r="D20" i="8"/>
  <c r="C20" i="8"/>
  <c r="A21" i="8"/>
  <c r="C21" i="8" s="1"/>
  <c r="D11" i="8"/>
  <c r="D6" i="8"/>
  <c r="K37" i="5"/>
  <c r="L37" i="7"/>
  <c r="L36" i="7"/>
  <c r="L38" i="7"/>
  <c r="L35" i="7"/>
  <c r="H26" i="7"/>
  <c r="I26" i="7" s="1"/>
  <c r="H31" i="7"/>
  <c r="I31" i="7" s="1"/>
  <c r="H24" i="7"/>
  <c r="I24" i="7" s="1"/>
  <c r="J24" i="7" s="1"/>
  <c r="K24" i="7" s="1"/>
  <c r="L24" i="7" s="1"/>
  <c r="G25" i="7"/>
  <c r="H25" i="7" s="1"/>
  <c r="I25" i="7" s="1"/>
  <c r="J25" i="7" s="1"/>
  <c r="K25" i="7" s="1"/>
  <c r="G26" i="7"/>
  <c r="G27" i="7"/>
  <c r="H27" i="7" s="1"/>
  <c r="I27" i="7" s="1"/>
  <c r="J27" i="7" s="1"/>
  <c r="K27" i="7" s="1"/>
  <c r="G28" i="7"/>
  <c r="H28" i="7" s="1"/>
  <c r="I28" i="7" s="1"/>
  <c r="J28" i="7" s="1"/>
  <c r="K28" i="7" s="1"/>
  <c r="G29" i="7"/>
  <c r="H29" i="7" s="1"/>
  <c r="I29" i="7" s="1"/>
  <c r="J29" i="7" s="1"/>
  <c r="K29" i="7" s="1"/>
  <c r="G30" i="7"/>
  <c r="H30" i="7" s="1"/>
  <c r="I30" i="7" s="1"/>
  <c r="J30" i="7" s="1"/>
  <c r="K30" i="7" s="1"/>
  <c r="G31" i="7"/>
  <c r="G24" i="7"/>
  <c r="E32" i="7"/>
  <c r="E31" i="7"/>
  <c r="E30" i="7"/>
  <c r="E29" i="7"/>
  <c r="E28" i="7"/>
  <c r="E27" i="7"/>
  <c r="E26" i="7"/>
  <c r="E25" i="7"/>
  <c r="E24" i="7"/>
  <c r="B17" i="7"/>
  <c r="K36" i="5"/>
  <c r="E32" i="5"/>
  <c r="E31" i="5"/>
  <c r="E30" i="5"/>
  <c r="E29" i="5"/>
  <c r="E28" i="5"/>
  <c r="E27" i="5"/>
  <c r="E26" i="5"/>
  <c r="E25" i="5"/>
  <c r="E24" i="5"/>
  <c r="B20" i="5"/>
  <c r="F24" i="5" s="1"/>
  <c r="B17" i="5"/>
  <c r="C8" i="4"/>
  <c r="K10" i="7"/>
  <c r="K9" i="7"/>
  <c r="K8" i="7"/>
  <c r="K7" i="7"/>
  <c r="K6" i="7"/>
  <c r="K5" i="7"/>
  <c r="K4" i="7"/>
  <c r="K3" i="7"/>
  <c r="M20" i="8" l="1"/>
  <c r="K22" i="8"/>
  <c r="H23" i="8"/>
  <c r="K21" i="8"/>
  <c r="E20" i="8"/>
  <c r="A22" i="8"/>
  <c r="D21" i="8"/>
  <c r="E21" i="8" s="1"/>
  <c r="F31" i="5"/>
  <c r="G31" i="5" s="1"/>
  <c r="H31" i="5" s="1"/>
  <c r="L39" i="7"/>
  <c r="J31" i="7"/>
  <c r="K31" i="7" s="1"/>
  <c r="M24" i="7"/>
  <c r="L25" i="7" s="1"/>
  <c r="J26" i="7"/>
  <c r="K26" i="7" s="1"/>
  <c r="F25" i="5"/>
  <c r="G25" i="5" s="1"/>
  <c r="H25" i="5" s="1"/>
  <c r="F28" i="5"/>
  <c r="G28" i="5" s="1"/>
  <c r="H28" i="5" s="1"/>
  <c r="F26" i="5"/>
  <c r="F27" i="5"/>
  <c r="G27" i="5" s="1"/>
  <c r="G26" i="5"/>
  <c r="H26" i="5" s="1"/>
  <c r="F29" i="5"/>
  <c r="G29" i="5" s="1"/>
  <c r="H29" i="5" s="1"/>
  <c r="F30" i="5"/>
  <c r="G30" i="5" s="1"/>
  <c r="H30" i="5" s="1"/>
  <c r="G24" i="5"/>
  <c r="H24" i="5" s="1"/>
  <c r="M21" i="8" l="1"/>
  <c r="K23" i="8"/>
  <c r="H24" i="8"/>
  <c r="M22" i="8"/>
  <c r="C22" i="8"/>
  <c r="A23" i="8"/>
  <c r="D22" i="8"/>
  <c r="I30" i="5"/>
  <c r="J30" i="5" s="1"/>
  <c r="I31" i="5"/>
  <c r="L26" i="7"/>
  <c r="M25" i="7"/>
  <c r="I29" i="5"/>
  <c r="I26" i="5"/>
  <c r="H27" i="5"/>
  <c r="I27" i="5" s="1"/>
  <c r="J29" i="5"/>
  <c r="J26" i="5"/>
  <c r="H32" i="5"/>
  <c r="I24" i="5"/>
  <c r="H25" i="8" l="1"/>
  <c r="K24" i="8"/>
  <c r="M23" i="8"/>
  <c r="E22" i="8"/>
  <c r="A24" i="8"/>
  <c r="C23" i="8"/>
  <c r="D23" i="8"/>
  <c r="I32" i="5"/>
  <c r="J32" i="5" s="1"/>
  <c r="K38" i="5"/>
  <c r="L27" i="7"/>
  <c r="M26" i="7"/>
  <c r="I28" i="5"/>
  <c r="J28" i="5" s="1"/>
  <c r="I25" i="5"/>
  <c r="J25" i="5" s="1"/>
  <c r="J24" i="5"/>
  <c r="J31" i="5"/>
  <c r="J27" i="5"/>
  <c r="M24" i="8" l="1"/>
  <c r="H26" i="8"/>
  <c r="K25" i="8"/>
  <c r="E23" i="8"/>
  <c r="C24" i="8"/>
  <c r="D24" i="8"/>
  <c r="A25" i="8"/>
  <c r="M27" i="7"/>
  <c r="L28" i="7" s="1"/>
  <c r="K24" i="5"/>
  <c r="M25" i="8" l="1"/>
  <c r="K26" i="8"/>
  <c r="H27" i="8"/>
  <c r="E24" i="8"/>
  <c r="C25" i="8"/>
  <c r="D25" i="8"/>
  <c r="A26" i="8"/>
  <c r="L24" i="5"/>
  <c r="K25" i="5"/>
  <c r="L25" i="5" s="1"/>
  <c r="M28" i="7"/>
  <c r="L29" i="7" s="1"/>
  <c r="M26" i="8" l="1"/>
  <c r="K27" i="8"/>
  <c r="H28" i="8"/>
  <c r="E25" i="8"/>
  <c r="C26" i="8"/>
  <c r="A27" i="8"/>
  <c r="D26" i="8"/>
  <c r="M29" i="7"/>
  <c r="L30" i="7" s="1"/>
  <c r="K26" i="5"/>
  <c r="L26" i="5" s="1"/>
  <c r="M27" i="8" l="1"/>
  <c r="H29" i="8"/>
  <c r="K28" i="8"/>
  <c r="M28" i="8" s="1"/>
  <c r="E26" i="8"/>
  <c r="D27" i="8"/>
  <c r="A28" i="8"/>
  <c r="C27" i="8"/>
  <c r="E27" i="8" s="1"/>
  <c r="M30" i="7"/>
  <c r="L31" i="7" s="1"/>
  <c r="K27" i="5"/>
  <c r="L27" i="5" s="1"/>
  <c r="K29" i="8" l="1"/>
  <c r="M29" i="8" s="1"/>
  <c r="C28" i="8"/>
  <c r="D28" i="8"/>
  <c r="A29" i="8"/>
  <c r="L32" i="7"/>
  <c r="M31" i="7"/>
  <c r="K28" i="5"/>
  <c r="L28" i="5" s="1"/>
  <c r="E28" i="8" l="1"/>
  <c r="C29" i="8"/>
  <c r="D29" i="8"/>
  <c r="K29" i="5"/>
  <c r="L29" i="5" s="1"/>
  <c r="E29" i="8" l="1"/>
  <c r="K30" i="5"/>
  <c r="L30" i="5" s="1"/>
  <c r="K31" i="5" l="1"/>
  <c r="L31" i="5" s="1"/>
  <c r="K32" i="5" l="1"/>
  <c r="K35" i="5" s="1"/>
  <c r="K39" i="5" s="1"/>
  <c r="G3" i="5" l="1"/>
  <c r="G4" i="5"/>
  <c r="G5" i="5"/>
  <c r="G6" i="5"/>
  <c r="G7" i="5"/>
  <c r="G8" i="5"/>
  <c r="G9" i="5"/>
  <c r="G10" i="5"/>
  <c r="J12" i="1" l="1"/>
  <c r="J11" i="1"/>
  <c r="J10" i="1"/>
  <c r="J9" i="1"/>
  <c r="J8" i="1"/>
  <c r="J7" i="1"/>
  <c r="J6" i="1"/>
  <c r="C17" i="4"/>
  <c r="C18" i="4"/>
  <c r="C19" i="4"/>
  <c r="C20" i="4"/>
  <c r="C21" i="4"/>
  <c r="C22" i="4"/>
  <c r="C16" i="4"/>
  <c r="C6" i="4" l="1"/>
  <c r="C7" i="4"/>
  <c r="C9" i="4"/>
  <c r="C10" i="4"/>
  <c r="C11" i="4"/>
  <c r="C5" i="4"/>
  <c r="T10" i="7" l="1"/>
  <c r="Q10" i="7"/>
  <c r="G10" i="7"/>
  <c r="F10" i="7"/>
  <c r="H10" i="7" s="1"/>
  <c r="Q9" i="7"/>
  <c r="G9" i="7"/>
  <c r="F9" i="7"/>
  <c r="Q8" i="7"/>
  <c r="G8" i="7"/>
  <c r="F8" i="7"/>
  <c r="H8" i="7" s="1"/>
  <c r="Q7" i="7"/>
  <c r="G7" i="7"/>
  <c r="F7" i="7"/>
  <c r="Q6" i="7"/>
  <c r="G6" i="7"/>
  <c r="F6" i="7"/>
  <c r="H6" i="7" s="1"/>
  <c r="Q5" i="7"/>
  <c r="G5" i="7"/>
  <c r="F5" i="7"/>
  <c r="H5" i="7" s="1"/>
  <c r="Q4" i="7"/>
  <c r="G4" i="7"/>
  <c r="F4" i="7"/>
  <c r="G3" i="7"/>
  <c r="F3" i="7"/>
  <c r="H3" i="7" s="1"/>
  <c r="D25" i="6"/>
  <c r="E25" i="6" s="1"/>
  <c r="D26" i="6"/>
  <c r="E26" i="6"/>
  <c r="D27" i="6"/>
  <c r="E27" i="6" s="1"/>
  <c r="D28" i="6"/>
  <c r="E28" i="6" s="1"/>
  <c r="D29" i="6"/>
  <c r="E29" i="6"/>
  <c r="D30" i="6"/>
  <c r="E30" i="6"/>
  <c r="D31" i="6"/>
  <c r="E31" i="6" s="1"/>
  <c r="D32" i="6"/>
  <c r="E32" i="6"/>
  <c r="E24" i="6"/>
  <c r="D24"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 i="6"/>
  <c r="T10" i="5"/>
  <c r="Q10" i="5"/>
  <c r="Q9" i="5"/>
  <c r="Q8" i="5"/>
  <c r="Q7" i="5"/>
  <c r="Q6" i="5"/>
  <c r="Q5" i="5"/>
  <c r="Q4" i="5"/>
  <c r="H7" i="7" l="1"/>
  <c r="H4" i="7"/>
  <c r="H9" i="7"/>
  <c r="M9" i="7" s="1"/>
  <c r="M8" i="7"/>
  <c r="I8" i="7"/>
  <c r="J8" i="7" s="1"/>
  <c r="L8" i="7" s="1"/>
  <c r="M5" i="7"/>
  <c r="I5" i="7"/>
  <c r="J5" i="7" s="1"/>
  <c r="L5" i="7" s="1"/>
  <c r="M6" i="7"/>
  <c r="I6" i="7"/>
  <c r="J6" i="7" s="1"/>
  <c r="L6" i="7" s="1"/>
  <c r="M4" i="7"/>
  <c r="I4" i="7"/>
  <c r="J4" i="7" s="1"/>
  <c r="L4" i="7" s="1"/>
  <c r="M10" i="7"/>
  <c r="I10" i="7"/>
  <c r="J10" i="7" s="1"/>
  <c r="L10" i="7" s="1"/>
  <c r="M3" i="7"/>
  <c r="O3" i="7" s="1"/>
  <c r="I3" i="7"/>
  <c r="J3" i="7" s="1"/>
  <c r="L3" i="7" s="1"/>
  <c r="I7" i="7"/>
  <c r="M7" i="7"/>
  <c r="J7" i="7"/>
  <c r="L7" i="7" s="1"/>
  <c r="F10" i="5"/>
  <c r="F9" i="5"/>
  <c r="F8" i="5"/>
  <c r="F7" i="5"/>
  <c r="F6" i="5"/>
  <c r="F5" i="5"/>
  <c r="F4" i="5"/>
  <c r="F3" i="5"/>
  <c r="I9" i="7" l="1"/>
  <c r="J9" i="7" s="1"/>
  <c r="L9" i="7" s="1"/>
  <c r="P7" i="7"/>
  <c r="O7" i="7"/>
  <c r="R7" i="7" s="1"/>
  <c r="P5" i="7"/>
  <c r="O5" i="7"/>
  <c r="R5" i="7" s="1"/>
  <c r="O4" i="7"/>
  <c r="R4" i="7" s="1"/>
  <c r="P4" i="7"/>
  <c r="P6" i="7"/>
  <c r="O6" i="7"/>
  <c r="R6" i="7" s="1"/>
  <c r="P10" i="7"/>
  <c r="O10" i="7"/>
  <c r="R10" i="7" s="1"/>
  <c r="O9" i="7"/>
  <c r="R9" i="7" s="1"/>
  <c r="P9" i="7"/>
  <c r="P8" i="7"/>
  <c r="O8" i="7"/>
  <c r="R8" i="7" s="1"/>
  <c r="H8" i="5"/>
  <c r="M8" i="5" s="1"/>
  <c r="H4" i="5"/>
  <c r="M4" i="5" s="1"/>
  <c r="H6" i="5"/>
  <c r="H3" i="5"/>
  <c r="H7" i="5"/>
  <c r="H10" i="5"/>
  <c r="H9" i="5"/>
  <c r="H5" i="5"/>
  <c r="I4" i="5"/>
  <c r="J4" i="5" s="1"/>
  <c r="L4" i="5" s="1"/>
  <c r="F22" i="4"/>
  <c r="G22" i="4" s="1"/>
  <c r="H22" i="4" s="1"/>
  <c r="I22" i="4" s="1"/>
  <c r="L22" i="4" s="1"/>
  <c r="F21" i="4"/>
  <c r="G21" i="4" s="1"/>
  <c r="H21" i="4" s="1"/>
  <c r="I21" i="4" s="1"/>
  <c r="L21" i="4" s="1"/>
  <c r="F20" i="4"/>
  <c r="G20" i="4" s="1"/>
  <c r="H20" i="4" s="1"/>
  <c r="I20" i="4" s="1"/>
  <c r="L20" i="4" s="1"/>
  <c r="F19" i="4"/>
  <c r="G19" i="4" s="1"/>
  <c r="H19" i="4" s="1"/>
  <c r="I19" i="4" s="1"/>
  <c r="L19" i="4" s="1"/>
  <c r="F18" i="4"/>
  <c r="G18" i="4" s="1"/>
  <c r="H18" i="4" s="1"/>
  <c r="I18" i="4" s="1"/>
  <c r="L18" i="4" s="1"/>
  <c r="F17" i="4"/>
  <c r="G17" i="4" s="1"/>
  <c r="H17" i="4" s="1"/>
  <c r="I17" i="4" s="1"/>
  <c r="L17" i="4" s="1"/>
  <c r="F16" i="4"/>
  <c r="G16" i="4" s="1"/>
  <c r="H16" i="4" s="1"/>
  <c r="I16" i="4" s="1"/>
  <c r="L16" i="4" s="1"/>
  <c r="F11" i="4"/>
  <c r="G11" i="4" s="1"/>
  <c r="H11" i="4" s="1"/>
  <c r="I11" i="4" s="1"/>
  <c r="L11" i="4" s="1"/>
  <c r="F10" i="4"/>
  <c r="G10" i="4" s="1"/>
  <c r="H10" i="4" s="1"/>
  <c r="I10" i="4" s="1"/>
  <c r="L10" i="4" s="1"/>
  <c r="F9" i="4"/>
  <c r="G9" i="4" s="1"/>
  <c r="F8" i="4"/>
  <c r="G8" i="4" s="1"/>
  <c r="F7" i="4"/>
  <c r="G7" i="4" s="1"/>
  <c r="H7" i="4" s="1"/>
  <c r="I7" i="4" s="1"/>
  <c r="L7" i="4" s="1"/>
  <c r="F6" i="4"/>
  <c r="G6" i="4" s="1"/>
  <c r="F5" i="4"/>
  <c r="G5" i="4" s="1"/>
  <c r="I8" i="5" l="1"/>
  <c r="J8" i="5" s="1"/>
  <c r="L8" i="5" s="1"/>
  <c r="H8" i="4"/>
  <c r="I8" i="4" s="1"/>
  <c r="L8" i="4" s="1"/>
  <c r="H9" i="4"/>
  <c r="I9" i="4" s="1"/>
  <c r="L9" i="4" s="1"/>
  <c r="H5" i="4"/>
  <c r="I5" i="4"/>
  <c r="L5" i="4" s="1"/>
  <c r="H6" i="4"/>
  <c r="I6" i="4"/>
  <c r="L6" i="4" s="1"/>
  <c r="S10" i="7"/>
  <c r="S9" i="7"/>
  <c r="S8" i="7"/>
  <c r="S7" i="7"/>
  <c r="S6" i="7"/>
  <c r="S5" i="7"/>
  <c r="S4" i="7"/>
  <c r="O4" i="5"/>
  <c r="R4" i="5" s="1"/>
  <c r="O8" i="5"/>
  <c r="R8" i="5" s="1"/>
  <c r="I7" i="5"/>
  <c r="J7" i="5" s="1"/>
  <c r="L7" i="5" s="1"/>
  <c r="M7" i="5"/>
  <c r="I6" i="5"/>
  <c r="J6" i="5" s="1"/>
  <c r="L6" i="5" s="1"/>
  <c r="M6" i="5"/>
  <c r="I5" i="5"/>
  <c r="J5" i="5" s="1"/>
  <c r="L5" i="5" s="1"/>
  <c r="M5" i="5"/>
  <c r="I9" i="5"/>
  <c r="J9" i="5" s="1"/>
  <c r="L9" i="5" s="1"/>
  <c r="M9" i="5"/>
  <c r="I3" i="5"/>
  <c r="J3" i="5" s="1"/>
  <c r="L3" i="5" s="1"/>
  <c r="M3" i="5"/>
  <c r="O3" i="5" s="1"/>
  <c r="I10" i="5"/>
  <c r="M10" i="5"/>
  <c r="J10" i="5"/>
  <c r="L10" i="5" s="1"/>
  <c r="I12" i="1"/>
  <c r="L12" i="1" s="1"/>
  <c r="I11" i="1"/>
  <c r="L11" i="1" s="1"/>
  <c r="I10" i="1"/>
  <c r="L10" i="1" s="1"/>
  <c r="I9" i="1"/>
  <c r="L9" i="1" s="1"/>
  <c r="M9" i="1" s="1"/>
  <c r="I8" i="1"/>
  <c r="L8" i="1" s="1"/>
  <c r="I7" i="1"/>
  <c r="L7" i="1" s="1"/>
  <c r="I6" i="1"/>
  <c r="L6" i="1" s="1"/>
  <c r="P5" i="5" l="1"/>
  <c r="O5" i="5"/>
  <c r="R5" i="5" s="1"/>
  <c r="S5" i="5" s="1"/>
  <c r="O6" i="5"/>
  <c r="R6" i="5" s="1"/>
  <c r="P6" i="5"/>
  <c r="O9" i="5"/>
  <c r="R9" i="5" s="1"/>
  <c r="P9" i="5"/>
  <c r="P7" i="5"/>
  <c r="O7" i="5"/>
  <c r="R7" i="5" s="1"/>
  <c r="P10" i="5"/>
  <c r="O10" i="5"/>
  <c r="R10" i="5" s="1"/>
  <c r="P8" i="5"/>
  <c r="S4" i="5"/>
  <c r="P4" i="5"/>
  <c r="B27" i="3"/>
  <c r="S10" i="5" l="1"/>
  <c r="S6" i="5"/>
  <c r="S7" i="5"/>
  <c r="S8" i="5"/>
  <c r="S9" i="5"/>
  <c r="K11" i="1"/>
  <c r="K10" i="1"/>
  <c r="K8" i="1"/>
  <c r="K7" i="1"/>
  <c r="K12" i="1"/>
  <c r="K9" i="1"/>
  <c r="K6" i="1"/>
  <c r="M6" i="1"/>
  <c r="N6" i="1" l="1"/>
  <c r="O6" i="1" s="1"/>
  <c r="Q6" i="1" l="1"/>
  <c r="P6" i="1"/>
  <c r="R6" i="1"/>
  <c r="S6" i="1" s="1"/>
  <c r="M7" i="1"/>
  <c r="N7" i="1" s="1"/>
  <c r="R7" i="1" l="1"/>
  <c r="S7" i="1" s="1"/>
  <c r="P7" i="1"/>
  <c r="Q7" i="1"/>
  <c r="M8" i="1"/>
  <c r="N8" i="1" s="1"/>
  <c r="O7" i="1"/>
  <c r="R8" i="1" l="1"/>
  <c r="S8" i="1" s="1"/>
  <c r="P8" i="1"/>
  <c r="Q8" i="1"/>
  <c r="O8" i="1"/>
  <c r="N9" i="1"/>
  <c r="R9" i="1" l="1"/>
  <c r="Q9" i="1"/>
  <c r="S9" i="1"/>
  <c r="P9" i="1"/>
  <c r="O9" i="1"/>
  <c r="M10" i="1"/>
  <c r="N10" i="1" s="1"/>
  <c r="R10" i="1" l="1"/>
  <c r="S10" i="1" s="1"/>
  <c r="P10" i="1"/>
  <c r="Q10" i="1"/>
  <c r="O10" i="1"/>
  <c r="M11" i="1"/>
  <c r="N11" i="1" s="1"/>
  <c r="R11" i="1" l="1"/>
  <c r="S11" i="1" s="1"/>
  <c r="Q11" i="1"/>
  <c r="P11" i="1"/>
  <c r="O11" i="1"/>
  <c r="M12" i="1"/>
  <c r="N12" i="1" s="1"/>
  <c r="R12" i="1" l="1"/>
  <c r="S12" i="1" s="1"/>
  <c r="Q12" i="1"/>
  <c r="P12" i="1"/>
  <c r="O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Vipul Monteiro</author>
  </authors>
  <commentList>
    <comment ref="A2" authorId="0" shapeId="0" xr:uid="{B09AA0A3-14E9-4990-9A43-755F7A299B2E}">
      <text>
        <r>
          <rPr>
            <b/>
            <sz val="9"/>
            <color indexed="81"/>
            <rFont val="Tahoma"/>
            <family val="2"/>
          </rPr>
          <t>Vipul Monteiro:</t>
        </r>
        <r>
          <rPr>
            <sz val="9"/>
            <color indexed="81"/>
            <rFont val="Tahoma"/>
            <family val="2"/>
          </rPr>
          <t xml:space="preserve">
e=2.718281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Vipul Monteiro</author>
  </authors>
  <commentList>
    <comment ref="G4" authorId="0" shapeId="0" xr:uid="{870DF565-C2A5-48A6-BA38-C92C984CB231}">
      <text>
        <r>
          <rPr>
            <b/>
            <sz val="9"/>
            <color rgb="FF000000"/>
            <rFont val="Tahoma"/>
            <family val="2"/>
          </rPr>
          <t>Vipul Monteiro:</t>
        </r>
        <r>
          <rPr>
            <sz val="9"/>
            <color rgb="FF000000"/>
            <rFont val="Tahoma"/>
            <family val="2"/>
          </rPr>
          <t xml:space="preserve">
</t>
        </r>
        <r>
          <rPr>
            <sz val="9"/>
            <color rgb="FF000000"/>
            <rFont val="Tahoma"/>
            <family val="2"/>
          </rPr>
          <t xml:space="preserve">The number of S.D the where the Current Price is above the strike price factoring in time and Volatility </t>
        </r>
      </text>
    </comment>
    <comment ref="H4" authorId="0" shapeId="0" xr:uid="{3BC88EBA-6089-4B13-8C48-745580806AE6}">
      <text>
        <r>
          <rPr>
            <b/>
            <sz val="9"/>
            <color rgb="FF000000"/>
            <rFont val="Tahoma"/>
            <family val="2"/>
          </rPr>
          <t>Vipul Monteiro:</t>
        </r>
        <r>
          <rPr>
            <sz val="9"/>
            <color rgb="FF000000"/>
            <rFont val="Tahoma"/>
            <family val="2"/>
          </rPr>
          <t xml:space="preserve">
</t>
        </r>
        <r>
          <rPr>
            <sz val="9"/>
            <color rgb="FF000000"/>
            <rFont val="Tahoma"/>
            <family val="2"/>
          </rPr>
          <t>Expected Price Deviation at expiration which is derived from D1.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Vipul Monteiro</author>
  </authors>
  <commentList>
    <comment ref="M2" authorId="0" shapeId="0" xr:uid="{A94D29DB-5CEF-4762-BCB2-85B286AD8EE5}">
      <text>
        <r>
          <rPr>
            <b/>
            <sz val="9"/>
            <color rgb="FF000000"/>
            <rFont val="Tahoma"/>
            <family val="2"/>
          </rPr>
          <t>Vipul Monteiro:</t>
        </r>
        <r>
          <rPr>
            <sz val="9"/>
            <color rgb="FF000000"/>
            <rFont val="Tahoma"/>
            <family val="2"/>
          </rPr>
          <t xml:space="preserve">
</t>
        </r>
        <r>
          <rPr>
            <sz val="9"/>
            <color rgb="FF000000"/>
            <rFont val="Tahoma"/>
            <family val="2"/>
          </rPr>
          <t xml:space="preserve">If Positive Purchase, Negative Do not Purchase.
</t>
        </r>
        <r>
          <rPr>
            <sz val="9"/>
            <color rgb="FF000000"/>
            <rFont val="Tahoma"/>
            <family val="2"/>
          </rPr>
          <t xml:space="preserve">
</t>
        </r>
        <r>
          <rPr>
            <sz val="9"/>
            <color rgb="FF000000"/>
            <rFont val="Tahoma"/>
            <family val="2"/>
          </rPr>
          <t>The sensitivity of the option's price to changes in the underlying stock price</t>
        </r>
      </text>
    </comment>
    <comment ref="O2" authorId="0" shapeId="0" xr:uid="{3249748B-8BCA-478F-9FE7-C727FC5C2E3D}">
      <text>
        <r>
          <rPr>
            <b/>
            <sz val="9"/>
            <color indexed="81"/>
            <rFont val="Tahoma"/>
            <family val="2"/>
          </rPr>
          <t>Vipul Monteiro:</t>
        </r>
        <r>
          <rPr>
            <sz val="9"/>
            <color indexed="81"/>
            <rFont val="Tahoma"/>
            <family val="2"/>
          </rPr>
          <t xml:space="preserve">
For my understanding , it reprsents number of shares held to Hedge the option position based on the data</t>
        </r>
      </text>
    </comment>
    <comment ref="T10" authorId="0" shapeId="0" xr:uid="{241D614D-EED1-489E-9890-738F87EE4BFE}">
      <text>
        <r>
          <rPr>
            <b/>
            <sz val="9"/>
            <color rgb="FF000000"/>
            <rFont val="Tahoma"/>
            <family val="2"/>
          </rPr>
          <t>Vipul Monteiro:</t>
        </r>
        <r>
          <rPr>
            <sz val="9"/>
            <color rgb="FF000000"/>
            <rFont val="Tahoma"/>
            <family val="2"/>
          </rPr>
          <t xml:space="preserve">
</t>
        </r>
        <r>
          <rPr>
            <sz val="9"/>
            <color rgb="FF000000"/>
            <rFont val="Tahoma"/>
            <family val="2"/>
          </rPr>
          <t xml:space="preserve">The Value of my option at Expiry is 0 here, Because my Market price is lesser than the Strike Price here, so you can directly buy it from market insead of going ahead with call option.
</t>
        </r>
        <r>
          <rPr>
            <sz val="9"/>
            <color rgb="FF000000"/>
            <rFont val="Tahoma"/>
            <family val="2"/>
          </rPr>
          <t xml:space="preserve">
</t>
        </r>
        <r>
          <rPr>
            <sz val="9"/>
            <color rgb="FF000000"/>
            <rFont val="Tahoma"/>
            <family val="2"/>
          </rPr>
          <t>So my Profit here is 203.17 which is my Cumulative P&amp;L.</t>
        </r>
      </text>
    </comment>
    <comment ref="C23" authorId="0" shapeId="0" xr:uid="{8A92933B-B42E-459F-8615-EAC36B70AEB0}">
      <text>
        <r>
          <rPr>
            <b/>
            <sz val="9"/>
            <color indexed="81"/>
            <rFont val="Tahoma"/>
            <family val="2"/>
          </rPr>
          <t>Vipul Monteiro:</t>
        </r>
        <r>
          <rPr>
            <sz val="9"/>
            <color indexed="81"/>
            <rFont val="Tahoma"/>
            <family val="2"/>
          </rPr>
          <t xml:space="preserve">
Not required 
</t>
        </r>
      </text>
    </comment>
    <comment ref="G24" authorId="0" shapeId="0" xr:uid="{E095702B-9961-44A6-98E1-910C3DC49D19}">
      <text>
        <r>
          <rPr>
            <b/>
            <sz val="9"/>
            <color indexed="81"/>
            <rFont val="Tahoma"/>
            <family val="2"/>
          </rPr>
          <t>Vipul Monteiro:</t>
        </r>
        <r>
          <rPr>
            <sz val="9"/>
            <color indexed="81"/>
            <rFont val="Tahoma"/>
            <family val="2"/>
          </rPr>
          <t xml:space="preserve">
Taking 2 Round decimals</t>
        </r>
      </text>
    </comment>
    <comment ref="H24" authorId="0" shapeId="0" xr:uid="{D374B2C7-54D4-4596-9194-54AA93B2E170}">
      <text>
        <r>
          <rPr>
            <b/>
            <sz val="9"/>
            <color indexed="81"/>
            <rFont val="Tahoma"/>
            <family val="2"/>
          </rPr>
          <t>Vipul Monteiro:</t>
        </r>
        <r>
          <rPr>
            <sz val="9"/>
            <color indexed="81"/>
            <rFont val="Tahoma"/>
            <family val="2"/>
          </rPr>
          <t xml:space="preserve">
This is where the number of shares hedged is based on the delta, meaning we/trader requires to hold these many shares to manage the Hedge.</t>
        </r>
      </text>
    </comment>
    <comment ref="I24" authorId="0" shapeId="0" xr:uid="{37781E3D-AF6B-4393-B986-B92CE9CC44A1}">
      <text>
        <r>
          <rPr>
            <b/>
            <sz val="9"/>
            <color indexed="81"/>
            <rFont val="Tahoma"/>
            <family val="2"/>
          </rPr>
          <t>Vipul Monteiro:</t>
        </r>
        <r>
          <rPr>
            <sz val="9"/>
            <color indexed="81"/>
            <rFont val="Tahoma"/>
            <family val="2"/>
          </rPr>
          <t xml:space="preserve">
Based on the shares required to be owned for that day, we buy or sell the remaining shares.
</t>
        </r>
      </text>
    </comment>
    <comment ref="J24" authorId="0" shapeId="0" xr:uid="{4CB2DC20-85D0-49C9-A185-4A350AE6AF0A}">
      <text>
        <r>
          <rPr>
            <b/>
            <sz val="9"/>
            <color indexed="81"/>
            <rFont val="Tahoma"/>
            <family val="2"/>
          </rPr>
          <t>Vipul Monteiro:</t>
        </r>
        <r>
          <rPr>
            <sz val="9"/>
            <color indexed="81"/>
            <rFont val="Tahoma"/>
            <family val="2"/>
          </rPr>
          <t xml:space="preserve">
Shares bought/(sold)*Stock price of that day</t>
        </r>
      </text>
    </comment>
    <comment ref="K24" authorId="0" shapeId="0" xr:uid="{B8996536-BC41-4A4E-AD4C-6BE8DD007A34}">
      <text>
        <r>
          <rPr>
            <b/>
            <sz val="9"/>
            <color indexed="81"/>
            <rFont val="Tahoma"/>
            <family val="2"/>
          </rPr>
          <t>Vipul Monteiro:</t>
        </r>
        <r>
          <rPr>
            <sz val="9"/>
            <color indexed="81"/>
            <rFont val="Tahoma"/>
            <family val="2"/>
          </rPr>
          <t xml:space="preserve">
Cost of shares of that day + Cumulative cost of prev day + INterest</t>
        </r>
      </text>
    </comment>
    <comment ref="L24" authorId="0" shapeId="0" xr:uid="{7B0F1A8C-6183-413B-B27E-4B44B5155CA8}">
      <text>
        <r>
          <rPr>
            <b/>
            <sz val="9"/>
            <color indexed="81"/>
            <rFont val="Tahoma"/>
            <family val="2"/>
          </rPr>
          <t>Vipul Monteiro:</t>
        </r>
        <r>
          <rPr>
            <sz val="9"/>
            <color indexed="81"/>
            <rFont val="Tahoma"/>
            <family val="2"/>
          </rPr>
          <t xml:space="preserve">
(Cumulative cost*Int rate*(1/52)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Vipul Monteiro</author>
  </authors>
  <commentList>
    <comment ref="M2" authorId="0" shapeId="0" xr:uid="{00125621-835A-47CA-A75A-89FA16EF24E0}">
      <text>
        <r>
          <rPr>
            <b/>
            <sz val="9"/>
            <color indexed="81"/>
            <rFont val="Tahoma"/>
            <family val="2"/>
          </rPr>
          <t>Vipul Monteiro:</t>
        </r>
        <r>
          <rPr>
            <sz val="9"/>
            <color indexed="81"/>
            <rFont val="Tahoma"/>
            <family val="2"/>
          </rPr>
          <t xml:space="preserve">
If Positive Purchase, Negative Do not Purchase.
The sensitivity of the option's price to changes in the underlying stock price</t>
        </r>
      </text>
    </comment>
    <comment ref="O2" authorId="0" shapeId="0" xr:uid="{E7987842-3B83-4042-B362-E94F4BC8C96D}">
      <text>
        <r>
          <rPr>
            <b/>
            <sz val="9"/>
            <color indexed="81"/>
            <rFont val="Tahoma"/>
            <family val="2"/>
          </rPr>
          <t>Vipul Monteiro:</t>
        </r>
        <r>
          <rPr>
            <sz val="9"/>
            <color indexed="81"/>
            <rFont val="Tahoma"/>
            <family val="2"/>
          </rPr>
          <t xml:space="preserve">
For my understanding , it reprsents number of shares held to Hedge the option position based on the data</t>
        </r>
      </text>
    </comment>
    <comment ref="T10" authorId="0" shapeId="0" xr:uid="{55BD17AD-DAC2-40BB-AF04-6BD29D983C3B}">
      <text>
        <r>
          <rPr>
            <b/>
            <sz val="9"/>
            <color indexed="81"/>
            <rFont val="Tahoma"/>
            <family val="2"/>
          </rPr>
          <t>Vipul Monteiro:</t>
        </r>
        <r>
          <rPr>
            <sz val="9"/>
            <color indexed="81"/>
            <rFont val="Tahoma"/>
            <family val="2"/>
          </rPr>
          <t xml:space="preserve">
The Value of my option at Expiry is 0 here, Because my Market price is lesser than the Strike Price here, so you can directly buy it from market insead of going ahead with call option.
So my Profit here is 84.1716 which is my Cumulative P&amp;L.</t>
        </r>
      </text>
    </comment>
    <comment ref="C23" authorId="0" shapeId="0" xr:uid="{2A315B6B-A448-4735-BBBC-DAD3D23571D9}">
      <text>
        <r>
          <rPr>
            <b/>
            <sz val="9"/>
            <color indexed="81"/>
            <rFont val="Tahoma"/>
            <family val="2"/>
          </rPr>
          <t>Vipul Monteiro:</t>
        </r>
        <r>
          <rPr>
            <sz val="9"/>
            <color indexed="81"/>
            <rFont val="Tahoma"/>
            <family val="2"/>
          </rPr>
          <t xml:space="preserve">
Not required 
</t>
        </r>
      </text>
    </comment>
  </commentList>
</comments>
</file>

<file path=xl/sharedStrings.xml><?xml version="1.0" encoding="utf-8"?>
<sst xmlns="http://schemas.openxmlformats.org/spreadsheetml/2006/main" count="349" uniqueCount="144">
  <si>
    <t xml:space="preserve">Formula </t>
  </si>
  <si>
    <t>C=Call Price</t>
  </si>
  <si>
    <t>P=Put Price</t>
  </si>
  <si>
    <t>S=Stock Price</t>
  </si>
  <si>
    <t>K=Strike Price</t>
  </si>
  <si>
    <t>r=Risk-Free Rate</t>
  </si>
  <si>
    <t>Calls</t>
  </si>
  <si>
    <t>Put</t>
  </si>
  <si>
    <t>Ticker</t>
  </si>
  <si>
    <t>Strike</t>
  </si>
  <si>
    <t>Bid</t>
  </si>
  <si>
    <t>Ask</t>
  </si>
  <si>
    <t>Last</t>
  </si>
  <si>
    <t>IVM</t>
  </si>
  <si>
    <t>Volm</t>
  </si>
  <si>
    <t>15-Nov-24 (10d); CSize 100</t>
  </si>
  <si>
    <t>WBA 11/15/24 C6</t>
  </si>
  <si>
    <t>WBA 11/15/24 P6</t>
  </si>
  <si>
    <t>WBA 11/15/24 C6.5</t>
  </si>
  <si>
    <t>WBA 11/15/24 P6.5</t>
  </si>
  <si>
    <t>WBA 11/15/24 C7</t>
  </si>
  <si>
    <t>WBA 11/15/24 P7</t>
  </si>
  <si>
    <t>WBA 11/15/24 C7.5</t>
  </si>
  <si>
    <t>WBA 11/15/24 P7.5</t>
  </si>
  <si>
    <t>WBA 11/15/24 C8</t>
  </si>
  <si>
    <t>WBA 11/15/24 P8</t>
  </si>
  <si>
    <t>WBA 11/15/24 C8.5</t>
  </si>
  <si>
    <t>WBA 11/15/24 P8.5</t>
  </si>
  <si>
    <t>WBA 11/15/24 C9</t>
  </si>
  <si>
    <t>WBA 11/15/24 P9</t>
  </si>
  <si>
    <t>WBA 11/15/24 C9.5</t>
  </si>
  <si>
    <t>WBA 11/15/24 P9.5</t>
  </si>
  <si>
    <t>WBA 11/15/24 C10</t>
  </si>
  <si>
    <t>WBA 11/15/24 P10</t>
  </si>
  <si>
    <t>WBA 11/15/24 C10.5</t>
  </si>
  <si>
    <t>WBA 11/15/24 P10.5</t>
  </si>
  <si>
    <t>WBA 11/15/24 C11</t>
  </si>
  <si>
    <t>WBA 11/15/24 P11</t>
  </si>
  <si>
    <t>WBA 11/15/24 C11.5</t>
  </si>
  <si>
    <t>WBA 11/15/24 P11.5</t>
  </si>
  <si>
    <t>WBA 11/15/24 C12</t>
  </si>
  <si>
    <t>WBA 11/15/24 P12</t>
  </si>
  <si>
    <t>WBA 11/15/24 C12.5</t>
  </si>
  <si>
    <t>WBA 11/15/24 P12.5</t>
  </si>
  <si>
    <t>WBA 11/15/24 C13</t>
  </si>
  <si>
    <t>WBA 11/15/24 P13</t>
  </si>
  <si>
    <t>11-13-2024</t>
  </si>
  <si>
    <t>11-14-2024</t>
  </si>
  <si>
    <t>11-15-2024</t>
  </si>
  <si>
    <t>DATE</t>
  </si>
  <si>
    <t>DGS1MO</t>
  </si>
  <si>
    <t>.</t>
  </si>
  <si>
    <t>S+P = C+ K*e^-rt</t>
  </si>
  <si>
    <t>e^(-r*t)</t>
  </si>
  <si>
    <t>S+P</t>
  </si>
  <si>
    <t xml:space="preserve">K*e^(-rt) </t>
  </si>
  <si>
    <t>C+K*e^-rt</t>
  </si>
  <si>
    <t>Violation of Put-Call parity</t>
  </si>
  <si>
    <t>Difference</t>
  </si>
  <si>
    <t>e</t>
  </si>
  <si>
    <t>Proving Put Call Parity is true</t>
  </si>
  <si>
    <t>Risk Free Rate</t>
  </si>
  <si>
    <t>S+P&gt;C+K⋅e ^−r(T−t)</t>
  </si>
  <si>
    <t>S+P&lt;C+K⋅e ^−r(T−t)</t>
  </si>
  <si>
    <t>Arbirtage Startegy</t>
  </si>
  <si>
    <t>Equation1</t>
  </si>
  <si>
    <t>Equation2</t>
  </si>
  <si>
    <t>Fair Price of Put option P=C+K*e^-rt-S</t>
  </si>
  <si>
    <t>D1</t>
  </si>
  <si>
    <t>K/Strike</t>
  </si>
  <si>
    <t>D2</t>
  </si>
  <si>
    <t xml:space="preserve">Theoretical Call </t>
  </si>
  <si>
    <t>Theoretical Put</t>
  </si>
  <si>
    <t>Difference Between Theoritical and traded price</t>
  </si>
  <si>
    <t xml:space="preserve">Date </t>
  </si>
  <si>
    <t>5th November</t>
  </si>
  <si>
    <t>6th November</t>
  </si>
  <si>
    <t>7th November</t>
  </si>
  <si>
    <t>8th November</t>
  </si>
  <si>
    <t>11th November</t>
  </si>
  <si>
    <t>12th November</t>
  </si>
  <si>
    <t>13th November</t>
  </si>
  <si>
    <t>14th November</t>
  </si>
  <si>
    <t>WBA241115C00009500.</t>
  </si>
  <si>
    <t>Contract Symbol</t>
  </si>
  <si>
    <t>Stock Historical Prices</t>
  </si>
  <si>
    <t>Last Traded Call Price</t>
  </si>
  <si>
    <t>Time to Expiry</t>
  </si>
  <si>
    <t>Implied Volatility</t>
  </si>
  <si>
    <t>Theoritical Price</t>
  </si>
  <si>
    <t>Delta</t>
  </si>
  <si>
    <t>Date</t>
  </si>
  <si>
    <t>Stock Price</t>
  </si>
  <si>
    <t>Delta Change</t>
  </si>
  <si>
    <t xml:space="preserve">Stock Price Change </t>
  </si>
  <si>
    <t>Daily P&amp;L</t>
  </si>
  <si>
    <t>Cummultive P&amp;L</t>
  </si>
  <si>
    <t>Option Payoff</t>
  </si>
  <si>
    <t>Shares to Hold / Hedged Position</t>
  </si>
  <si>
    <t>Log returns</t>
  </si>
  <si>
    <t>Standard Deviation</t>
  </si>
  <si>
    <t>Annualised Standard Deviation</t>
  </si>
  <si>
    <t>22 day historical volatility</t>
  </si>
  <si>
    <t>z</t>
  </si>
  <si>
    <t>Mid Price</t>
  </si>
  <si>
    <t>Implied volatility (Bloomberg)</t>
  </si>
  <si>
    <t>Implied Volatility (Calculated)</t>
  </si>
  <si>
    <t>Implied Volatility  (Calculated)</t>
  </si>
  <si>
    <t>(t)=Time to Maturity (9 Trading days/252 Trading days )</t>
  </si>
  <si>
    <t>Strike Price</t>
  </si>
  <si>
    <t>Inputs</t>
  </si>
  <si>
    <t>Contract symbol</t>
  </si>
  <si>
    <t>WBA241115C00009500</t>
  </si>
  <si>
    <t>Short call options</t>
  </si>
  <si>
    <t>Interest rate</t>
  </si>
  <si>
    <t>Option Contracts (Assumed)</t>
  </si>
  <si>
    <t>Shares (Assumed)</t>
  </si>
  <si>
    <t>lastTradeDate</t>
  </si>
  <si>
    <t>lastPrice</t>
  </si>
  <si>
    <t>Days to expiry</t>
  </si>
  <si>
    <t>Time to expiry ( in years)</t>
  </si>
  <si>
    <t>Shares owned</t>
  </si>
  <si>
    <t>Shares bought/(Sold)</t>
  </si>
  <si>
    <t>Cost of shares ( '000s)</t>
  </si>
  <si>
    <t>Cumulative cost including interest</t>
  </si>
  <si>
    <t>Interest cost</t>
  </si>
  <si>
    <t>15th November</t>
  </si>
  <si>
    <t>(in 000's)</t>
  </si>
  <si>
    <t>Total option payoff</t>
  </si>
  <si>
    <t>Final Hedge Portfolio Value</t>
  </si>
  <si>
    <t>Profit/(Loss)</t>
  </si>
  <si>
    <t>The below has been done using Karls Textbook</t>
  </si>
  <si>
    <t xml:space="preserve">22 day Implied Volatility </t>
  </si>
  <si>
    <t>STRADDLE - ATM</t>
  </si>
  <si>
    <t>Last Price</t>
  </si>
  <si>
    <t>Payoff</t>
  </si>
  <si>
    <t>Estimated Stock Price</t>
  </si>
  <si>
    <t>Call Pay off</t>
  </si>
  <si>
    <t>Put Pay Off</t>
  </si>
  <si>
    <t>Total Pay Off</t>
  </si>
  <si>
    <t>Cost of Straddle=Call Premium+Put Premium</t>
  </si>
  <si>
    <t>STRANGLE - OTM</t>
  </si>
  <si>
    <t>Call Strike Price</t>
  </si>
  <si>
    <t>Put Strike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</si>
</sst>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yyyy\-mm\-dd\ hh:mm:ss"/>
    <numFmt numFmtId="166" formatCode="0.0000"/>
    <numFmt numFmtId="167" formatCode="0.00000000"/>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rgb="FFFF0000"/>
      <name val="Calibri"/>
      <family val="2"/>
      <scheme val="minor"/>
    </font>
    <font>
      <b/>
      <sz val="9"/>
      <color rgb="FF000000"/>
      <name val="Tahoma"/>
      <family val="2"/>
    </font>
    <font>
      <sz val="9"/>
      <color rgb="FF000000"/>
      <name val="Tahoma"/>
      <family val="2"/>
    </font>
    <font>
      <sz val="12"/>
      <color rgb="FF000000"/>
      <name val="Aptos Narrow"/>
      <family val="2"/>
    </font>
    <font>
      <sz val="11"/>
      <color rgb="FFFF0000"/>
      <name val="Calibri"/>
      <family val="2"/>
      <scheme val="minor"/>
    </font>
    <font>
      <b/>
      <sz val="11"/>
      <name val="Calibri"/>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style="thin">
        <color indexed="64"/>
      </top>
      <bottom/>
      <diagonal/>
    </border>
    <border>
      <left style="medium">
        <color indexed="64"/>
      </left>
      <right/>
      <top/>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79">
    <xf numFmtId="0" fontId="0" fillId="0" borderId="0" xfId="0"/>
    <xf numFmtId="0" fontId="0" fillId="2" borderId="0" xfId="0" applyFill="1"/>
    <xf numFmtId="14" fontId="0" fillId="0" borderId="0" xfId="0" applyNumberFormat="1"/>
    <xf numFmtId="14" fontId="0" fillId="2" borderId="0" xfId="0" applyNumberFormat="1" applyFill="1"/>
    <xf numFmtId="0" fontId="0" fillId="3" borderId="0" xfId="0" applyFill="1" applyAlignment="1">
      <alignment horizontal="center"/>
    </xf>
    <xf numFmtId="0" fontId="0" fillId="3" borderId="1" xfId="0"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164" fontId="0" fillId="3" borderId="1" xfId="2" applyNumberFormat="1" applyFont="1" applyFill="1" applyBorder="1" applyAlignment="1">
      <alignment horizontal="center"/>
    </xf>
    <xf numFmtId="43" fontId="0" fillId="3" borderId="0" xfId="1" applyFont="1" applyFill="1" applyAlignment="1">
      <alignment horizontal="center"/>
    </xf>
    <xf numFmtId="0" fontId="1" fillId="4" borderId="1" xfId="0" applyFont="1" applyFill="1" applyBorder="1" applyAlignment="1">
      <alignment horizontal="center"/>
    </xf>
    <xf numFmtId="0" fontId="0" fillId="0" borderId="1" xfId="0" applyBorder="1" applyAlignment="1">
      <alignment horizontal="center"/>
    </xf>
    <xf numFmtId="164" fontId="0" fillId="0" borderId="1" xfId="2" applyNumberFormat="1" applyFont="1" applyFill="1" applyBorder="1" applyAlignment="1">
      <alignment horizontal="center"/>
    </xf>
    <xf numFmtId="0" fontId="0" fillId="0" borderId="0" xfId="0" applyAlignment="1">
      <alignment horizontal="center"/>
    </xf>
    <xf numFmtId="0" fontId="1" fillId="2" borderId="2" xfId="0" applyFont="1" applyFill="1" applyBorder="1" applyAlignment="1">
      <alignment horizontal="center"/>
    </xf>
    <xf numFmtId="0" fontId="1" fillId="3" borderId="6" xfId="0" applyFont="1" applyFill="1" applyBorder="1" applyAlignment="1">
      <alignment horizontal="center"/>
    </xf>
    <xf numFmtId="0" fontId="0" fillId="3" borderId="7" xfId="0" applyFill="1" applyBorder="1" applyAlignment="1">
      <alignment horizontal="center"/>
    </xf>
    <xf numFmtId="0" fontId="1" fillId="6" borderId="6" xfId="0" applyFont="1" applyFill="1" applyBorder="1" applyAlignment="1">
      <alignment horizontal="center"/>
    </xf>
    <xf numFmtId="14" fontId="0" fillId="3" borderId="0" xfId="0" applyNumberFormat="1" applyFill="1" applyAlignment="1">
      <alignment horizontal="center"/>
    </xf>
    <xf numFmtId="0" fontId="0" fillId="7" borderId="1" xfId="0" applyFill="1" applyBorder="1" applyAlignment="1">
      <alignment horizontal="center"/>
    </xf>
    <xf numFmtId="164" fontId="0" fillId="7" borderId="1" xfId="2" applyNumberFormat="1" applyFont="1" applyFill="1" applyBorder="1" applyAlignment="1">
      <alignment horizontal="center"/>
    </xf>
    <xf numFmtId="0" fontId="8" fillId="0" borderId="0" xfId="0" applyFont="1"/>
    <xf numFmtId="2" fontId="0" fillId="3" borderId="1" xfId="0" applyNumberFormat="1" applyFill="1" applyBorder="1" applyAlignment="1">
      <alignment horizontal="center"/>
    </xf>
    <xf numFmtId="10" fontId="8" fillId="0" borderId="1" xfId="0" applyNumberFormat="1" applyFont="1" applyBorder="1"/>
    <xf numFmtId="10" fontId="0" fillId="3" borderId="1" xfId="2" applyNumberFormat="1" applyFont="1" applyFill="1" applyBorder="1" applyAlignment="1">
      <alignment horizontal="center"/>
    </xf>
    <xf numFmtId="10" fontId="0" fillId="3" borderId="1" xfId="0" applyNumberFormat="1" applyFill="1" applyBorder="1" applyAlignment="1">
      <alignment horizontal="center"/>
    </xf>
    <xf numFmtId="0" fontId="8" fillId="3" borderId="0" xfId="0" applyFont="1" applyFill="1"/>
    <xf numFmtId="10" fontId="8" fillId="7" borderId="1" xfId="0" applyNumberFormat="1" applyFont="1" applyFill="1" applyBorder="1"/>
    <xf numFmtId="10" fontId="0" fillId="7" borderId="1" xfId="0" applyNumberFormat="1" applyFill="1" applyBorder="1" applyAlignment="1">
      <alignment horizontal="center"/>
    </xf>
    <xf numFmtId="2" fontId="0" fillId="7" borderId="1" xfId="0" applyNumberFormat="1" applyFill="1" applyBorder="1" applyAlignment="1">
      <alignment horizontal="center"/>
    </xf>
    <xf numFmtId="10" fontId="0" fillId="7" borderId="1" xfId="2" applyNumberFormat="1" applyFont="1" applyFill="1" applyBorder="1" applyAlignment="1">
      <alignment horizontal="center"/>
    </xf>
    <xf numFmtId="2" fontId="0" fillId="3" borderId="7" xfId="0" applyNumberFormat="1" applyFill="1" applyBorder="1" applyAlignment="1">
      <alignment horizontal="center"/>
    </xf>
    <xf numFmtId="0" fontId="1" fillId="0" borderId="1" xfId="0" applyFont="1" applyBorder="1" applyAlignment="1">
      <alignment horizontal="center"/>
    </xf>
    <xf numFmtId="0" fontId="0" fillId="3" borderId="8" xfId="0" applyFill="1" applyBorder="1" applyAlignment="1">
      <alignment horizontal="center"/>
    </xf>
    <xf numFmtId="0" fontId="0" fillId="0" borderId="1" xfId="0" applyBorder="1"/>
    <xf numFmtId="2" fontId="0" fillId="0" borderId="1" xfId="0" applyNumberFormat="1" applyBorder="1" applyAlignment="1">
      <alignment horizontal="center"/>
    </xf>
    <xf numFmtId="2" fontId="0" fillId="0" borderId="1" xfId="0" applyNumberFormat="1" applyBorder="1"/>
    <xf numFmtId="2" fontId="0" fillId="3" borderId="0" xfId="0" applyNumberFormat="1" applyFill="1" applyAlignment="1">
      <alignment horizontal="center"/>
    </xf>
    <xf numFmtId="10" fontId="0" fillId="0" borderId="1" xfId="0" applyNumberFormat="1" applyBorder="1" applyAlignment="1">
      <alignment horizontal="center"/>
    </xf>
    <xf numFmtId="10" fontId="0" fillId="3" borderId="0" xfId="0" applyNumberFormat="1" applyFill="1" applyAlignment="1">
      <alignment horizontal="center"/>
    </xf>
    <xf numFmtId="10" fontId="0" fillId="0" borderId="1" xfId="2" applyNumberFormat="1" applyFont="1" applyFill="1" applyBorder="1" applyAlignment="1">
      <alignment horizontal="center"/>
    </xf>
    <xf numFmtId="0" fontId="10" fillId="0" borderId="1" xfId="0" applyFont="1" applyBorder="1" applyAlignment="1">
      <alignment horizontal="center" vertical="top"/>
    </xf>
    <xf numFmtId="2" fontId="10" fillId="0" borderId="1" xfId="0" applyNumberFormat="1" applyFont="1" applyBorder="1" applyAlignment="1">
      <alignment horizontal="center" vertical="top"/>
    </xf>
    <xf numFmtId="0" fontId="10" fillId="0" borderId="1" xfId="0" applyFont="1" applyBorder="1" applyAlignment="1">
      <alignment horizontal="center" vertical="top" wrapText="1"/>
    </xf>
    <xf numFmtId="165" fontId="0" fillId="0" borderId="1" xfId="0" applyNumberFormat="1" applyBorder="1"/>
    <xf numFmtId="166" fontId="0" fillId="0" borderId="1" xfId="0" applyNumberFormat="1" applyBorder="1"/>
    <xf numFmtId="22" fontId="0" fillId="0" borderId="1" xfId="0" applyNumberFormat="1" applyBorder="1"/>
    <xf numFmtId="0" fontId="0" fillId="2" borderId="1" xfId="0" applyFill="1" applyBorder="1"/>
    <xf numFmtId="0" fontId="1" fillId="0" borderId="1" xfId="0" applyFont="1" applyBorder="1"/>
    <xf numFmtId="2" fontId="1" fillId="0" borderId="1" xfId="0" applyNumberFormat="1" applyFont="1" applyBorder="1"/>
    <xf numFmtId="0" fontId="9" fillId="2" borderId="0" xfId="0" applyFont="1" applyFill="1" applyAlignment="1">
      <alignment horizontal="center"/>
    </xf>
    <xf numFmtId="0" fontId="5" fillId="3" borderId="1" xfId="0" applyFont="1" applyFill="1" applyBorder="1" applyAlignment="1">
      <alignment horizontal="center"/>
    </xf>
    <xf numFmtId="0" fontId="10" fillId="5" borderId="1" xfId="0" applyFont="1" applyFill="1" applyBorder="1" applyAlignment="1">
      <alignment horizontal="center" vertical="top" wrapText="1"/>
    </xf>
    <xf numFmtId="166" fontId="0" fillId="0" borderId="4" xfId="0" applyNumberFormat="1" applyBorder="1"/>
    <xf numFmtId="0" fontId="10" fillId="0" borderId="6" xfId="0" applyFont="1" applyBorder="1" applyAlignment="1">
      <alignment horizontal="center" vertical="top" wrapText="1"/>
    </xf>
    <xf numFmtId="0" fontId="0" fillId="3" borderId="1" xfId="0" applyFill="1" applyBorder="1"/>
    <xf numFmtId="0" fontId="1" fillId="3" borderId="9" xfId="0" applyFont="1" applyFill="1" applyBorder="1" applyAlignment="1">
      <alignment horizontal="center"/>
    </xf>
    <xf numFmtId="0" fontId="1" fillId="3" borderId="10" xfId="0" applyFont="1" applyFill="1" applyBorder="1" applyAlignment="1">
      <alignment horizontal="center"/>
    </xf>
    <xf numFmtId="0" fontId="0" fillId="3" borderId="11" xfId="0" applyFill="1" applyBorder="1" applyAlignment="1">
      <alignment horizontal="center"/>
    </xf>
    <xf numFmtId="0" fontId="0" fillId="3" borderId="11" xfId="0" applyFill="1" applyBorder="1"/>
    <xf numFmtId="0" fontId="1" fillId="3" borderId="12" xfId="0" applyFont="1" applyFill="1" applyBorder="1" applyAlignment="1">
      <alignment horizontal="center"/>
    </xf>
    <xf numFmtId="0" fontId="0" fillId="3" borderId="0" xfId="0" applyFill="1"/>
    <xf numFmtId="2" fontId="0" fillId="3" borderId="8" xfId="0" applyNumberFormat="1" applyFill="1" applyBorder="1" applyAlignment="1">
      <alignment horizontal="center"/>
    </xf>
    <xf numFmtId="2" fontId="0" fillId="3" borderId="13" xfId="0" applyNumberFormat="1" applyFill="1" applyBorder="1" applyAlignment="1">
      <alignment horizontal="center"/>
    </xf>
    <xf numFmtId="0" fontId="10" fillId="0" borderId="8" xfId="0" applyFont="1" applyBorder="1" applyAlignment="1">
      <alignment horizontal="center" vertical="top"/>
    </xf>
    <xf numFmtId="165" fontId="0" fillId="0" borderId="8" xfId="0" applyNumberFormat="1" applyBorder="1"/>
    <xf numFmtId="22" fontId="0" fillId="0" borderId="8" xfId="0" applyNumberFormat="1" applyBorder="1"/>
    <xf numFmtId="0" fontId="0" fillId="3" borderId="13" xfId="0" applyFill="1" applyBorder="1"/>
    <xf numFmtId="0" fontId="9" fillId="2" borderId="13" xfId="0" applyFont="1" applyFill="1" applyBorder="1" applyAlignment="1">
      <alignment horizontal="center"/>
    </xf>
    <xf numFmtId="0" fontId="0" fillId="3" borderId="6" xfId="0" applyFill="1" applyBorder="1" applyAlignment="1">
      <alignment horizontal="center"/>
    </xf>
    <xf numFmtId="0" fontId="1" fillId="2" borderId="1" xfId="0" applyFont="1" applyFill="1" applyBorder="1" applyAlignment="1">
      <alignment horizontal="center"/>
    </xf>
    <xf numFmtId="0" fontId="0" fillId="3" borderId="13" xfId="0" applyFill="1" applyBorder="1" applyAlignment="1">
      <alignment horizontal="center"/>
    </xf>
    <xf numFmtId="167" fontId="0" fillId="3" borderId="1" xfId="0" applyNumberForma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2" fontId="0" fillId="0" borderId="1" xfId="0" applyNumberFormat="1" applyBorder="1" applyAlignment="1">
      <alignment horizontal="center"/>
    </xf>
    <xf numFmtId="2" fontId="0" fillId="3" borderId="8" xfId="0" applyNumberFormat="1" applyFill="1" applyBorder="1" applyAlignment="1">
      <alignment horizontal="center"/>
    </xf>
    <xf numFmtId="2" fontId="0" fillId="3" borderId="1" xfId="0" applyNumberForma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IMPLIED VOLATILITY (COMBINED)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v>IV - Call Options</c:v>
          </c:tx>
          <c:spPr>
            <a:ln w="38100" cap="rnd">
              <a:solidFill>
                <a:schemeClr val="accent1"/>
              </a:solidFill>
              <a:round/>
            </a:ln>
            <a:effectLst/>
          </c:spPr>
          <c:marker>
            <c:symbol val="none"/>
          </c:marker>
          <c:cat>
            <c:numRef>
              <c:f>'IMPLIED VOLATILITY'!$B$5:$B$11</c:f>
              <c:numCache>
                <c:formatCode>General</c:formatCode>
                <c:ptCount val="7"/>
                <c:pt idx="0">
                  <c:v>7.5</c:v>
                </c:pt>
                <c:pt idx="1">
                  <c:v>8.5</c:v>
                </c:pt>
                <c:pt idx="2">
                  <c:v>9</c:v>
                </c:pt>
                <c:pt idx="3">
                  <c:v>9.5</c:v>
                </c:pt>
                <c:pt idx="4">
                  <c:v>10</c:v>
                </c:pt>
                <c:pt idx="5">
                  <c:v>10.5</c:v>
                </c:pt>
                <c:pt idx="6">
                  <c:v>11</c:v>
                </c:pt>
              </c:numCache>
            </c:numRef>
          </c:cat>
          <c:val>
            <c:numRef>
              <c:f>'IMPLIED VOLATILITY'!$K$5:$K$11</c:f>
              <c:numCache>
                <c:formatCode>0.00%</c:formatCode>
                <c:ptCount val="7"/>
                <c:pt idx="0">
                  <c:v>0.56472264931992633</c:v>
                </c:pt>
                <c:pt idx="1">
                  <c:v>0.72016772137592033</c:v>
                </c:pt>
                <c:pt idx="2">
                  <c:v>0.50991507049831664</c:v>
                </c:pt>
                <c:pt idx="3">
                  <c:v>0.42418411633951442</c:v>
                </c:pt>
                <c:pt idx="4">
                  <c:v>0.4654307345131376</c:v>
                </c:pt>
                <c:pt idx="5">
                  <c:v>0.62362039945942316</c:v>
                </c:pt>
                <c:pt idx="6">
                  <c:v>0.82363957629516493</c:v>
                </c:pt>
              </c:numCache>
            </c:numRef>
          </c:val>
          <c:smooth val="0"/>
          <c:extLst>
            <c:ext xmlns:c16="http://schemas.microsoft.com/office/drawing/2014/chart" uri="{C3380CC4-5D6E-409C-BE32-E72D297353CC}">
              <c16:uniqueId val="{00000000-A020-4636-BB04-F051DC84C648}"/>
            </c:ext>
          </c:extLst>
        </c:ser>
        <c:ser>
          <c:idx val="1"/>
          <c:order val="1"/>
          <c:tx>
            <c:v>IV - Put Options</c:v>
          </c:tx>
          <c:spPr>
            <a:ln w="38100" cap="rnd">
              <a:solidFill>
                <a:schemeClr val="accent2"/>
              </a:solidFill>
              <a:round/>
            </a:ln>
            <a:effectLst/>
          </c:spPr>
          <c:marker>
            <c:symbol val="none"/>
          </c:marker>
          <c:cat>
            <c:numRef>
              <c:f>'IMPLIED VOLATILITY'!$B$5:$B$11</c:f>
              <c:numCache>
                <c:formatCode>General</c:formatCode>
                <c:ptCount val="7"/>
                <c:pt idx="0">
                  <c:v>7.5</c:v>
                </c:pt>
                <c:pt idx="1">
                  <c:v>8.5</c:v>
                </c:pt>
                <c:pt idx="2">
                  <c:v>9</c:v>
                </c:pt>
                <c:pt idx="3">
                  <c:v>9.5</c:v>
                </c:pt>
                <c:pt idx="4">
                  <c:v>10</c:v>
                </c:pt>
                <c:pt idx="5">
                  <c:v>10.5</c:v>
                </c:pt>
                <c:pt idx="6">
                  <c:v>11</c:v>
                </c:pt>
              </c:numCache>
            </c:numRef>
          </c:cat>
          <c:val>
            <c:numRef>
              <c:f>'IMPLIED VOLATILITY'!$K$16:$K$22</c:f>
              <c:numCache>
                <c:formatCode>0.00%</c:formatCode>
                <c:ptCount val="7"/>
                <c:pt idx="0">
                  <c:v>1.3946823020937877</c:v>
                </c:pt>
                <c:pt idx="1">
                  <c:v>0.83122383382686393</c:v>
                </c:pt>
                <c:pt idx="2">
                  <c:v>0.64011513194129821</c:v>
                </c:pt>
                <c:pt idx="3">
                  <c:v>0.55092555812638688</c:v>
                </c:pt>
                <c:pt idx="4">
                  <c:v>0.58231009716480131</c:v>
                </c:pt>
                <c:pt idx="5">
                  <c:v>0.62703976118047056</c:v>
                </c:pt>
                <c:pt idx="6">
                  <c:v>0.9316133070005912</c:v>
                </c:pt>
              </c:numCache>
            </c:numRef>
          </c:val>
          <c:smooth val="0"/>
          <c:extLst>
            <c:ext xmlns:c16="http://schemas.microsoft.com/office/drawing/2014/chart" uri="{C3380CC4-5D6E-409C-BE32-E72D297353CC}">
              <c16:uniqueId val="{00000001-A020-4636-BB04-F051DC84C648}"/>
            </c:ext>
          </c:extLst>
        </c:ser>
        <c:dLbls>
          <c:showLegendKey val="0"/>
          <c:showVal val="0"/>
          <c:showCatName val="0"/>
          <c:showSerName val="0"/>
          <c:showPercent val="0"/>
          <c:showBubbleSize val="0"/>
        </c:dLbls>
        <c:smooth val="0"/>
        <c:axId val="284749408"/>
        <c:axId val="284746048"/>
      </c:lineChart>
      <c:catAx>
        <c:axId val="28474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4746048"/>
        <c:crosses val="autoZero"/>
        <c:auto val="1"/>
        <c:lblAlgn val="ctr"/>
        <c:lblOffset val="100"/>
        <c:noMultiLvlLbl val="0"/>
      </c:catAx>
      <c:valAx>
        <c:axId val="284746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49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IMPLIED VOLATILITY (PUT OPTIONS)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'IMPLIED VOLATILITY'!$J$15</c:f>
              <c:strCache>
                <c:ptCount val="1"/>
                <c:pt idx="0">
                  <c:v>Implied volatility (Bloomberg)</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'IMPLIED VOLATILITY'!$B$16:$B$22</c:f>
              <c:numCache>
                <c:formatCode>General</c:formatCode>
                <c:ptCount val="7"/>
                <c:pt idx="0">
                  <c:v>7.5</c:v>
                </c:pt>
                <c:pt idx="1">
                  <c:v>8.5</c:v>
                </c:pt>
                <c:pt idx="2">
                  <c:v>9</c:v>
                </c:pt>
                <c:pt idx="3">
                  <c:v>9.5</c:v>
                </c:pt>
                <c:pt idx="4">
                  <c:v>10</c:v>
                </c:pt>
                <c:pt idx="5">
                  <c:v>10.5</c:v>
                </c:pt>
                <c:pt idx="6">
                  <c:v>11</c:v>
                </c:pt>
              </c:numCache>
            </c:numRef>
          </c:xVal>
          <c:yVal>
            <c:numRef>
              <c:f>'IMPLIED VOLATILITY'!$J$16:$J$22</c:f>
              <c:numCache>
                <c:formatCode>0.00%</c:formatCode>
                <c:ptCount val="7"/>
                <c:pt idx="0">
                  <c:v>0.74619999999999997</c:v>
                </c:pt>
                <c:pt idx="1">
                  <c:v>0.56779999999999997</c:v>
                </c:pt>
                <c:pt idx="2">
                  <c:v>0.55259999999999998</c:v>
                </c:pt>
                <c:pt idx="3">
                  <c:v>0.5323</c:v>
                </c:pt>
                <c:pt idx="4">
                  <c:v>0.50839999999999996</c:v>
                </c:pt>
                <c:pt idx="5">
                  <c:v>0</c:v>
                </c:pt>
                <c:pt idx="6">
                  <c:v>0.50509999999999999</c:v>
                </c:pt>
              </c:numCache>
            </c:numRef>
          </c:yVal>
          <c:smooth val="0"/>
          <c:extLst>
            <c:ext xmlns:c16="http://schemas.microsoft.com/office/drawing/2014/chart" uri="{C3380CC4-5D6E-409C-BE32-E72D297353CC}">
              <c16:uniqueId val="{00000000-D90B-F94D-9140-6E96BA46FB2B}"/>
            </c:ext>
          </c:extLst>
        </c:ser>
        <c:ser>
          <c:idx val="1"/>
          <c:order val="1"/>
          <c:tx>
            <c:strRef>
              <c:f>'IMPLIED VOLATILITY'!$K$15</c:f>
              <c:strCache>
                <c:ptCount val="1"/>
                <c:pt idx="0">
                  <c:v>Implied Volatility  (Calculated)</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'IMPLIED VOLATILITY'!$B$16:$B$22</c:f>
              <c:numCache>
                <c:formatCode>General</c:formatCode>
                <c:ptCount val="7"/>
                <c:pt idx="0">
                  <c:v>7.5</c:v>
                </c:pt>
                <c:pt idx="1">
                  <c:v>8.5</c:v>
                </c:pt>
                <c:pt idx="2">
                  <c:v>9</c:v>
                </c:pt>
                <c:pt idx="3">
                  <c:v>9.5</c:v>
                </c:pt>
                <c:pt idx="4">
                  <c:v>10</c:v>
                </c:pt>
                <c:pt idx="5">
                  <c:v>10.5</c:v>
                </c:pt>
                <c:pt idx="6">
                  <c:v>11</c:v>
                </c:pt>
              </c:numCache>
            </c:numRef>
          </c:xVal>
          <c:yVal>
            <c:numRef>
              <c:f>'IMPLIED VOLATILITY'!$K$16:$K$22</c:f>
              <c:numCache>
                <c:formatCode>0.00%</c:formatCode>
                <c:ptCount val="7"/>
                <c:pt idx="0">
                  <c:v>1.3946823020937877</c:v>
                </c:pt>
                <c:pt idx="1">
                  <c:v>0.83122383382686393</c:v>
                </c:pt>
                <c:pt idx="2">
                  <c:v>0.64011513194129821</c:v>
                </c:pt>
                <c:pt idx="3">
                  <c:v>0.55092555812638688</c:v>
                </c:pt>
                <c:pt idx="4">
                  <c:v>0.58231009716480131</c:v>
                </c:pt>
                <c:pt idx="5">
                  <c:v>0.62703976118047056</c:v>
                </c:pt>
                <c:pt idx="6">
                  <c:v>0.9316133070005912</c:v>
                </c:pt>
              </c:numCache>
            </c:numRef>
          </c:yVal>
          <c:smooth val="0"/>
          <c:extLst>
            <c:ext xmlns:c16="http://schemas.microsoft.com/office/drawing/2014/chart" uri="{C3380CC4-5D6E-409C-BE32-E72D297353CC}">
              <c16:uniqueId val="{00000001-D90B-F94D-9140-6E96BA46FB2B}"/>
            </c:ext>
          </c:extLst>
        </c:ser>
        <c:dLbls>
          <c:showLegendKey val="0"/>
          <c:showVal val="0"/>
          <c:showCatName val="0"/>
          <c:showSerName val="0"/>
          <c:showPercent val="0"/>
          <c:showBubbleSize val="0"/>
        </c:dLbls>
        <c:axId val="967711120"/>
        <c:axId val="967712848"/>
      </c:scatterChart>
      <c:valAx>
        <c:axId val="967711120"/>
        <c:scaling>
          <c:orientation val="minMax"/>
          <c:min val="7.5"/>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7712848"/>
        <c:crosses val="autoZero"/>
        <c:crossBetween val="midCat"/>
      </c:valAx>
      <c:valAx>
        <c:axId val="96771284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771112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IMPLIED VOLATILITY (CALL OPTIONS)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'IMPLIED VOLATILITY'!$J$4</c:f>
              <c:strCache>
                <c:ptCount val="1"/>
                <c:pt idx="0">
                  <c:v>Implied volatility (Bloomberg)</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'IMPLIED VOLATILITY'!$B$5:$B$11</c:f>
              <c:numCache>
                <c:formatCode>General</c:formatCode>
                <c:ptCount val="7"/>
                <c:pt idx="0">
                  <c:v>7.5</c:v>
                </c:pt>
                <c:pt idx="1">
                  <c:v>8.5</c:v>
                </c:pt>
                <c:pt idx="2">
                  <c:v>9</c:v>
                </c:pt>
                <c:pt idx="3">
                  <c:v>9.5</c:v>
                </c:pt>
                <c:pt idx="4">
                  <c:v>10</c:v>
                </c:pt>
                <c:pt idx="5">
                  <c:v>10.5</c:v>
                </c:pt>
                <c:pt idx="6">
                  <c:v>11</c:v>
                </c:pt>
              </c:numCache>
            </c:numRef>
          </c:xVal>
          <c:yVal>
            <c:numRef>
              <c:f>'IMPLIED VOLATILITY'!$J$5:$J$11</c:f>
              <c:numCache>
                <c:formatCode>0.00%</c:formatCode>
                <c:ptCount val="7"/>
                <c:pt idx="0">
                  <c:v>0</c:v>
                </c:pt>
                <c:pt idx="1">
                  <c:v>0.56410000000000005</c:v>
                </c:pt>
                <c:pt idx="2">
                  <c:v>0.52129999999999999</c:v>
                </c:pt>
                <c:pt idx="3">
                  <c:v>0.50660000000000005</c:v>
                </c:pt>
                <c:pt idx="4">
                  <c:v>0.48920000000000002</c:v>
                </c:pt>
                <c:pt idx="5">
                  <c:v>0.49370000000000003</c:v>
                </c:pt>
                <c:pt idx="6">
                  <c:v>0.4869</c:v>
                </c:pt>
              </c:numCache>
            </c:numRef>
          </c:yVal>
          <c:smooth val="0"/>
          <c:extLst>
            <c:ext xmlns:c16="http://schemas.microsoft.com/office/drawing/2014/chart" uri="{C3380CC4-5D6E-409C-BE32-E72D297353CC}">
              <c16:uniqueId val="{00000000-B4C9-4042-9750-5FF5F2FDC892}"/>
            </c:ext>
          </c:extLst>
        </c:ser>
        <c:ser>
          <c:idx val="1"/>
          <c:order val="1"/>
          <c:tx>
            <c:strRef>
              <c:f>'IMPLIED VOLATILITY'!$K$4</c:f>
              <c:strCache>
                <c:ptCount val="1"/>
                <c:pt idx="0">
                  <c:v>Implied Volatility (Calculated)</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'IMPLIED VOLATILITY'!$B$5:$B$11</c:f>
              <c:numCache>
                <c:formatCode>General</c:formatCode>
                <c:ptCount val="7"/>
                <c:pt idx="0">
                  <c:v>7.5</c:v>
                </c:pt>
                <c:pt idx="1">
                  <c:v>8.5</c:v>
                </c:pt>
                <c:pt idx="2">
                  <c:v>9</c:v>
                </c:pt>
                <c:pt idx="3">
                  <c:v>9.5</c:v>
                </c:pt>
                <c:pt idx="4">
                  <c:v>10</c:v>
                </c:pt>
                <c:pt idx="5">
                  <c:v>10.5</c:v>
                </c:pt>
                <c:pt idx="6">
                  <c:v>11</c:v>
                </c:pt>
              </c:numCache>
            </c:numRef>
          </c:xVal>
          <c:yVal>
            <c:numRef>
              <c:f>'IMPLIED VOLATILITY'!$K$5:$K$11</c:f>
              <c:numCache>
                <c:formatCode>0.00%</c:formatCode>
                <c:ptCount val="7"/>
                <c:pt idx="0">
                  <c:v>0.56472264931992633</c:v>
                </c:pt>
                <c:pt idx="1">
                  <c:v>0.72016772137592033</c:v>
                </c:pt>
                <c:pt idx="2">
                  <c:v>0.50991507049831664</c:v>
                </c:pt>
                <c:pt idx="3">
                  <c:v>0.42418411633951442</c:v>
                </c:pt>
                <c:pt idx="4">
                  <c:v>0.4654307345131376</c:v>
                </c:pt>
                <c:pt idx="5">
                  <c:v>0.62362039945942316</c:v>
                </c:pt>
                <c:pt idx="6">
                  <c:v>0.82363957629516493</c:v>
                </c:pt>
              </c:numCache>
            </c:numRef>
          </c:yVal>
          <c:smooth val="0"/>
          <c:extLst>
            <c:ext xmlns:c16="http://schemas.microsoft.com/office/drawing/2014/chart" uri="{C3380CC4-5D6E-409C-BE32-E72D297353CC}">
              <c16:uniqueId val="{00000001-B4C9-4042-9750-5FF5F2FDC892}"/>
            </c:ext>
          </c:extLst>
        </c:ser>
        <c:dLbls>
          <c:showLegendKey val="0"/>
          <c:showVal val="0"/>
          <c:showCatName val="0"/>
          <c:showSerName val="0"/>
          <c:showPercent val="0"/>
          <c:showBubbleSize val="0"/>
        </c:dLbls>
        <c:axId val="966318272"/>
        <c:axId val="966404624"/>
      </c:scatterChart>
      <c:valAx>
        <c:axId val="966318272"/>
        <c:scaling>
          <c:orientation val="minMax"/>
          <c:min val="7.5"/>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404624"/>
        <c:crosses val="autoZero"/>
        <c:crossBetween val="midCat"/>
      </c:valAx>
      <c:valAx>
        <c:axId val="96640462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31827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25400</xdr:colOff>
      <xdr:row>15</xdr:row>
      <xdr:rowOff>0</xdr:rowOff>
    </xdr:from>
    <xdr:to>
      <xdr:col>4</xdr:col>
      <xdr:colOff>730250</xdr:colOff>
      <xdr:row>37</xdr:row>
      <xdr:rowOff>107950</xdr:rowOff>
    </xdr:to>
    <xdr:sp macro="" textlink="">
      <xdr:nvSpPr>
        <xdr:cNvPr id="2" name="TextBox 1">
          <a:extLst>
            <a:ext uri="{FF2B5EF4-FFF2-40B4-BE49-F238E27FC236}">
              <a16:creationId xmlns:a16="http://schemas.microsoft.com/office/drawing/2014/main" id="{83064A85-557F-43B0-8638-CEB8266EAEC3}"/>
            </a:ext>
          </a:extLst>
        </xdr:cNvPr>
        <xdr:cNvSpPr txBox="1"/>
      </xdr:nvSpPr>
      <xdr:spPr>
        <a:xfrm>
          <a:off x="25400" y="4248150"/>
          <a:ext cx="5854700" cy="415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kern="1200"/>
            <a:t>Steps to Calculate Arbitrage Profit:</a:t>
          </a:r>
          <a:br>
            <a:rPr lang="en-IN" sz="1100" kern="1200" baseline="0"/>
          </a:br>
          <a:r>
            <a:rPr lang="en-IN" b="1"/>
            <a:t>Arbitrage Strategy: When S+P&gt;C+K⋅e ^−r(T−t) (Put Price is Overvalued)</a:t>
          </a:r>
        </a:p>
        <a:p>
          <a:r>
            <a:rPr lang="en-IN" i="1"/>
            <a:t>Theoretical Put Price &lt; Last Traded Put Price</a:t>
          </a:r>
        </a:p>
        <a:p>
          <a:endParaRPr lang="en-IN"/>
        </a:p>
        <a:p>
          <a:pPr marL="171450" indent="-171450">
            <a:buFont typeface="Wingdings" panose="05000000000000000000" pitchFamily="2" charset="2"/>
            <a:buChar char="Ø"/>
          </a:pPr>
          <a:r>
            <a:rPr lang="en-IN" b="1"/>
            <a:t> Buy a Call Option.</a:t>
          </a:r>
          <a:endParaRPr lang="en-IN"/>
        </a:p>
        <a:p>
          <a:pPr marL="171450" indent="-171450">
            <a:buFont typeface="Wingdings" panose="05000000000000000000" pitchFamily="2" charset="2"/>
            <a:buChar char="Ø"/>
          </a:pPr>
          <a:r>
            <a:rPr lang="en-IN" b="1"/>
            <a:t>Invest the Strike Price (K)</a:t>
          </a:r>
          <a:r>
            <a:rPr lang="en-IN"/>
            <a:t> at the risk-free rate to accumulate K at expiration.</a:t>
          </a:r>
        </a:p>
        <a:p>
          <a:pPr marL="171450" indent="-171450">
            <a:buFont typeface="Wingdings" panose="05000000000000000000" pitchFamily="2" charset="2"/>
            <a:buChar char="Ø"/>
          </a:pPr>
          <a:r>
            <a:rPr lang="en-IN" b="1"/>
            <a:t> Sell a Put Option.</a:t>
          </a:r>
          <a:endParaRPr lang="en-IN"/>
        </a:p>
        <a:p>
          <a:pPr marL="171450" indent="-171450">
            <a:buFont typeface="Wingdings" panose="05000000000000000000" pitchFamily="2" charset="2"/>
            <a:buChar char="Ø"/>
          </a:pPr>
          <a:r>
            <a:rPr lang="en-IN" b="1"/>
            <a:t> Short the Stock</a:t>
          </a:r>
          <a:r>
            <a:rPr lang="en-IN"/>
            <a:t> at the current market price to protect</a:t>
          </a:r>
          <a:r>
            <a:rPr lang="en-IN" baseline="0"/>
            <a:t> yourself from losing money if the stock price drops.</a:t>
          </a:r>
        </a:p>
        <a:p>
          <a:endParaRPr lang="en-IN" sz="1100" kern="1200" baseline="0"/>
        </a:p>
        <a:p>
          <a:endParaRPr lang="en-IN" sz="1100" kern="1200" baseline="0"/>
        </a:p>
        <a:p>
          <a:endParaRPr lang="en-IN" sz="1100" kern="1200" baseline="0"/>
        </a:p>
        <a:p>
          <a:r>
            <a:rPr lang="en-IN" b="1"/>
            <a:t>Expiration Scenarios:</a:t>
          </a:r>
        </a:p>
        <a:p>
          <a:r>
            <a:rPr lang="en-IN" b="1"/>
            <a:t>If Stock Price &gt; Strike Price:</a:t>
          </a:r>
          <a:endParaRPr lang="en-IN"/>
        </a:p>
        <a:p>
          <a:pPr marL="628650" lvl="1" indent="-171450">
            <a:buFont typeface="Arial" panose="020B0604020202020204" pitchFamily="34" charset="0"/>
            <a:buChar char="•"/>
          </a:pPr>
          <a:r>
            <a:rPr lang="en-IN"/>
            <a:t>The put option expires worthless.</a:t>
          </a:r>
        </a:p>
        <a:p>
          <a:pPr marL="628650" lvl="1" indent="-171450">
            <a:buFont typeface="Arial" panose="020B0604020202020204" pitchFamily="34" charset="0"/>
            <a:buChar char="•"/>
          </a:pPr>
          <a:r>
            <a:rPr lang="en-IN"/>
            <a:t>The call option is exercised, and the stock is repurchased using the call.</a:t>
          </a:r>
        </a:p>
        <a:p>
          <a:pPr marL="628650" lvl="1" indent="-171450">
            <a:buFont typeface="Arial" panose="020B0604020202020204" pitchFamily="34" charset="0"/>
            <a:buChar char="•"/>
          </a:pPr>
          <a:r>
            <a:rPr lang="en-IN"/>
            <a:t>The invested amount matures to K, which is used to repay the borrowed stock.</a:t>
          </a:r>
        </a:p>
        <a:p>
          <a:r>
            <a:rPr lang="en-IN" b="1"/>
            <a:t>If Stock Price &lt; Strike Price:</a:t>
          </a:r>
          <a:endParaRPr lang="en-IN"/>
        </a:p>
        <a:p>
          <a:pPr marL="628650" lvl="1" indent="-171450">
            <a:buFont typeface="Arial" panose="020B0604020202020204" pitchFamily="34" charset="0"/>
            <a:buChar char="•"/>
          </a:pPr>
          <a:r>
            <a:rPr lang="en-IN"/>
            <a:t>The call option expires worthless.</a:t>
          </a:r>
        </a:p>
        <a:p>
          <a:pPr marL="628650" lvl="1" indent="-171450">
            <a:buFont typeface="Arial" panose="020B0604020202020204" pitchFamily="34" charset="0"/>
            <a:buChar char="•"/>
          </a:pPr>
          <a:r>
            <a:rPr lang="en-IN"/>
            <a:t>The put option is exercised by the buyer, and the stock is purchased from them at the strike price.</a:t>
          </a:r>
        </a:p>
        <a:p>
          <a:pPr marL="628650" lvl="1" indent="-171450">
            <a:buFont typeface="Arial" panose="020B0604020202020204" pitchFamily="34" charset="0"/>
            <a:buChar char="•"/>
          </a:pPr>
          <a:r>
            <a:rPr lang="en-IN"/>
            <a:t>The borrowed stock is returned, and the invested amount matures to K.</a:t>
          </a:r>
        </a:p>
        <a:p>
          <a:endParaRPr lang="en-IN" sz="1100" kern="1200" baseline="0"/>
        </a:p>
      </xdr:txBody>
    </xdr:sp>
    <xdr:clientData/>
  </xdr:twoCellAnchor>
  <xdr:twoCellAnchor>
    <xdr:from>
      <xdr:col>5</xdr:col>
      <xdr:colOff>88900</xdr:colOff>
      <xdr:row>15</xdr:row>
      <xdr:rowOff>6350</xdr:rowOff>
    </xdr:from>
    <xdr:to>
      <xdr:col>7</xdr:col>
      <xdr:colOff>2832100</xdr:colOff>
      <xdr:row>37</xdr:row>
      <xdr:rowOff>107950</xdr:rowOff>
    </xdr:to>
    <xdr:sp macro="" textlink="">
      <xdr:nvSpPr>
        <xdr:cNvPr id="3" name="TextBox 2">
          <a:extLst>
            <a:ext uri="{FF2B5EF4-FFF2-40B4-BE49-F238E27FC236}">
              <a16:creationId xmlns:a16="http://schemas.microsoft.com/office/drawing/2014/main" id="{0C5529CE-0CAD-4847-9B31-5BCA083C3BFC}"/>
            </a:ext>
          </a:extLst>
        </xdr:cNvPr>
        <xdr:cNvSpPr txBox="1"/>
      </xdr:nvSpPr>
      <xdr:spPr>
        <a:xfrm>
          <a:off x="6515100" y="4254500"/>
          <a:ext cx="5543550" cy="415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kern="1200"/>
            <a:t>Steps to Calculate Arbitrage Profit:</a:t>
          </a:r>
          <a:br>
            <a:rPr lang="en-IN" sz="1100" kern="1200" baseline="0"/>
          </a:br>
          <a:r>
            <a:rPr lang="en-IN" b="1"/>
            <a:t>Arbitrage Strategy: When S+P&lt;C+K⋅e ^−r(T−t) (Put Price is Undervalued)</a:t>
          </a:r>
        </a:p>
        <a:p>
          <a:r>
            <a:rPr lang="en-IN"/>
            <a:t>Theoretical Put Price &gt; Last Traded Put Price</a:t>
          </a:r>
          <a:endParaRPr lang="en-IN" sz="1100" b="1" kern="1200" baseline="0"/>
        </a:p>
        <a:p>
          <a:endParaRPr lang="en-IN" sz="1100" b="1" kern="1200" baseline="0"/>
        </a:p>
        <a:p>
          <a:pPr marL="171450" indent="-171450">
            <a:buFont typeface="Wingdings" panose="05000000000000000000" pitchFamily="2" charset="2"/>
            <a:buChar char="Ø"/>
          </a:pPr>
          <a:r>
            <a:rPr lang="en-IN" b="1"/>
            <a:t>Sell a Call Option.</a:t>
          </a: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en-IN" sz="1100" b="1">
              <a:solidFill>
                <a:schemeClr val="dk1"/>
              </a:solidFill>
              <a:effectLst/>
              <a:latin typeface="+mn-lt"/>
              <a:ea typeface="+mn-ea"/>
              <a:cs typeface="+mn-cs"/>
            </a:rPr>
            <a:t>Buy a Put Option.</a:t>
          </a:r>
          <a:endParaRPr lang="en-IN">
            <a:effectLst/>
          </a:endParaRPr>
        </a:p>
        <a:p>
          <a:pPr marL="171450" indent="-171450">
            <a:buFont typeface="Wingdings" panose="05000000000000000000" pitchFamily="2" charset="2"/>
            <a:buChar char="Ø"/>
          </a:pPr>
          <a:r>
            <a:rPr lang="en-IN" b="1"/>
            <a:t>Borrow Cash Equivalent to the Present Value of the Strike Price (K)</a:t>
          </a:r>
          <a:r>
            <a:rPr lang="en-IN"/>
            <a:t> and short-sell K.</a:t>
          </a:r>
        </a:p>
        <a:p>
          <a:pPr marL="171450" indent="-171450">
            <a:buFont typeface="Wingdings" panose="05000000000000000000" pitchFamily="2" charset="2"/>
            <a:buChar char="Ø"/>
          </a:pPr>
          <a:r>
            <a:rPr lang="en-IN" b="1"/>
            <a:t>Buy the Stock</a:t>
          </a:r>
          <a:r>
            <a:rPr lang="en-IN"/>
            <a:t> at the current spot price.</a:t>
          </a:r>
          <a:br>
            <a:rPr lang="en-IN" sz="1100" kern="1200" baseline="0"/>
          </a:br>
          <a:br>
            <a:rPr lang="en-IN" sz="1100" kern="1200" baseline="0"/>
          </a:br>
          <a:endParaRPr lang="en-IN" sz="1100" kern="1200" baseline="0"/>
        </a:p>
        <a:p>
          <a:r>
            <a:rPr lang="en-IN" b="1"/>
            <a:t>Expiration Scenarios:</a:t>
          </a:r>
        </a:p>
        <a:p>
          <a:r>
            <a:rPr lang="en-IN" b="1"/>
            <a:t>If Stock Price &gt; Strike Price:</a:t>
          </a:r>
          <a:endParaRPr lang="en-IN"/>
        </a:p>
        <a:p>
          <a:pPr marL="628650" lvl="1" indent="-171450">
            <a:buFont typeface="Arial" panose="020B0604020202020204" pitchFamily="34" charset="0"/>
            <a:buChar char="•"/>
          </a:pPr>
          <a:r>
            <a:rPr lang="en-IN"/>
            <a:t>The call option is exercised by the buyer, and the stock is sold for K.</a:t>
          </a:r>
        </a:p>
        <a:p>
          <a:pPr marL="628650" lvl="1" indent="-171450">
            <a:buFont typeface="Arial" panose="020B0604020202020204" pitchFamily="34" charset="0"/>
            <a:buChar char="•"/>
          </a:pPr>
          <a:r>
            <a:rPr lang="en-IN"/>
            <a:t>The proceeds of K are used to repay the borrowed amount.</a:t>
          </a:r>
        </a:p>
        <a:p>
          <a:r>
            <a:rPr lang="en-IN" b="1"/>
            <a:t>If Stock Price &lt; Strike Price:</a:t>
          </a:r>
          <a:endParaRPr lang="en-IN"/>
        </a:p>
        <a:p>
          <a:pPr marL="628650" lvl="1" indent="-171450">
            <a:buFont typeface="Arial" panose="020B0604020202020204" pitchFamily="34" charset="0"/>
            <a:buChar char="•"/>
          </a:pPr>
          <a:r>
            <a:rPr lang="en-IN"/>
            <a:t>The put option is exercised, and the stock is sold at the strike price K.</a:t>
          </a:r>
        </a:p>
        <a:p>
          <a:pPr marL="628650" lvl="1" indent="-171450">
            <a:buFont typeface="Arial" panose="020B0604020202020204" pitchFamily="34" charset="0"/>
            <a:buChar char="•"/>
          </a:pPr>
          <a:r>
            <a:rPr lang="en-IN"/>
            <a:t>The proceeds of K are used to repay the borrowed amount.</a:t>
          </a:r>
        </a:p>
        <a:p>
          <a:pPr marL="171450" indent="-171450">
            <a:buFont typeface="Wingdings" panose="05000000000000000000" pitchFamily="2" charset="2"/>
            <a:buChar char="Ø"/>
          </a:pPr>
          <a:endParaRPr lang="en-IN"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1683328</xdr:colOff>
      <xdr:row>36</xdr:row>
      <xdr:rowOff>161636</xdr:rowOff>
    </xdr:from>
    <xdr:to>
      <xdr:col>29</xdr:col>
      <xdr:colOff>166255</xdr:colOff>
      <xdr:row>70</xdr:row>
      <xdr:rowOff>129308</xdr:rowOff>
    </xdr:to>
    <xdr:graphicFrame macro="">
      <xdr:nvGraphicFramePr>
        <xdr:cNvPr id="2" name="Chart 1">
          <a:extLst>
            <a:ext uri="{FF2B5EF4-FFF2-40B4-BE49-F238E27FC236}">
              <a16:creationId xmlns:a16="http://schemas.microsoft.com/office/drawing/2014/main" id="{9B742086-C250-33CE-E104-B745D9EB9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228598</xdr:colOff>
      <xdr:row>2</xdr:row>
      <xdr:rowOff>109414</xdr:rowOff>
    </xdr:from>
    <xdr:to>
      <xdr:col>42</xdr:col>
      <xdr:colOff>304800</xdr:colOff>
      <xdr:row>33</xdr:row>
      <xdr:rowOff>101600</xdr:rowOff>
    </xdr:to>
    <xdr:graphicFrame macro="">
      <xdr:nvGraphicFramePr>
        <xdr:cNvPr id="9" name="Chart 8">
          <a:extLst>
            <a:ext uri="{FF2B5EF4-FFF2-40B4-BE49-F238E27FC236}">
              <a16:creationId xmlns:a16="http://schemas.microsoft.com/office/drawing/2014/main" id="{349802E1-D266-BE59-CC7D-FF2B8A451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457200</xdr:colOff>
      <xdr:row>2</xdr:row>
      <xdr:rowOff>127000</xdr:rowOff>
    </xdr:from>
    <xdr:to>
      <xdr:col>26</xdr:col>
      <xdr:colOff>584199</xdr:colOff>
      <xdr:row>33</xdr:row>
      <xdr:rowOff>101600</xdr:rowOff>
    </xdr:to>
    <xdr:graphicFrame macro="">
      <xdr:nvGraphicFramePr>
        <xdr:cNvPr id="10" name="Chart 9">
          <a:extLst>
            <a:ext uri="{FF2B5EF4-FFF2-40B4-BE49-F238E27FC236}">
              <a16:creationId xmlns:a16="http://schemas.microsoft.com/office/drawing/2014/main" id="{892308BA-0D4A-3EE7-36E3-465EFA109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31</xdr:row>
      <xdr:rowOff>0</xdr:rowOff>
    </xdr:from>
    <xdr:to>
      <xdr:col>5</xdr:col>
      <xdr:colOff>2419771</xdr:colOff>
      <xdr:row>61</xdr:row>
      <xdr:rowOff>63787</xdr:rowOff>
    </xdr:to>
    <xdr:pic>
      <xdr:nvPicPr>
        <xdr:cNvPr id="2" name="Picture 1">
          <a:extLst>
            <a:ext uri="{FF2B5EF4-FFF2-40B4-BE49-F238E27FC236}">
              <a16:creationId xmlns:a16="http://schemas.microsoft.com/office/drawing/2014/main" id="{FCFA58F8-ACBD-81C2-F51A-3A23DDB99BBE}"/>
            </a:ext>
          </a:extLst>
        </xdr:cNvPr>
        <xdr:cNvPicPr>
          <a:picLocks noChangeAspect="1"/>
        </xdr:cNvPicPr>
      </xdr:nvPicPr>
      <xdr:blipFill>
        <a:blip xmlns:r="http://schemas.openxmlformats.org/officeDocument/2006/relationships" r:embed="rId1"/>
        <a:stretch>
          <a:fillRect/>
        </a:stretch>
      </xdr:blipFill>
      <xdr:spPr>
        <a:xfrm>
          <a:off x="0" y="5715000"/>
          <a:ext cx="8191921" cy="5588287"/>
        </a:xfrm>
        <a:prstGeom prst="rect">
          <a:avLst/>
        </a:prstGeom>
      </xdr:spPr>
    </xdr:pic>
    <xdr:clientData/>
  </xdr:twoCellAnchor>
  <xdr:twoCellAnchor editAs="oneCell">
    <xdr:from>
      <xdr:col>7</xdr:col>
      <xdr:colOff>0</xdr:colOff>
      <xdr:row>31</xdr:row>
      <xdr:rowOff>0</xdr:rowOff>
    </xdr:from>
    <xdr:to>
      <xdr:col>15</xdr:col>
      <xdr:colOff>427709</xdr:colOff>
      <xdr:row>62</xdr:row>
      <xdr:rowOff>21154</xdr:rowOff>
    </xdr:to>
    <xdr:pic>
      <xdr:nvPicPr>
        <xdr:cNvPr id="4" name="Picture 3">
          <a:extLst>
            <a:ext uri="{FF2B5EF4-FFF2-40B4-BE49-F238E27FC236}">
              <a16:creationId xmlns:a16="http://schemas.microsoft.com/office/drawing/2014/main" id="{FC569638-D598-D5EC-4577-D6478148CE2D}"/>
            </a:ext>
          </a:extLst>
        </xdr:cNvPr>
        <xdr:cNvPicPr>
          <a:picLocks noChangeAspect="1"/>
        </xdr:cNvPicPr>
      </xdr:nvPicPr>
      <xdr:blipFill>
        <a:blip xmlns:r="http://schemas.openxmlformats.org/officeDocument/2006/relationships" r:embed="rId2"/>
        <a:stretch>
          <a:fillRect/>
        </a:stretch>
      </xdr:blipFill>
      <xdr:spPr>
        <a:xfrm>
          <a:off x="9062357" y="5633357"/>
          <a:ext cx="8655495" cy="5645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22</xdr:col>
      <xdr:colOff>77572</xdr:colOff>
      <xdr:row>31</xdr:row>
      <xdr:rowOff>124667</xdr:rowOff>
    </xdr:to>
    <xdr:pic>
      <xdr:nvPicPr>
        <xdr:cNvPr id="2" name="Picture 1">
          <a:extLst>
            <a:ext uri="{FF2B5EF4-FFF2-40B4-BE49-F238E27FC236}">
              <a16:creationId xmlns:a16="http://schemas.microsoft.com/office/drawing/2014/main" id="{34F85810-D99D-45ED-BDE7-6E538982534B}"/>
            </a:ext>
          </a:extLst>
        </xdr:cNvPr>
        <xdr:cNvPicPr>
          <a:picLocks noChangeAspect="1"/>
        </xdr:cNvPicPr>
      </xdr:nvPicPr>
      <xdr:blipFill>
        <a:blip xmlns:r="http://schemas.openxmlformats.org/officeDocument/2006/relationships" r:embed="rId1"/>
        <a:stretch>
          <a:fillRect/>
        </a:stretch>
      </xdr:blipFill>
      <xdr:spPr>
        <a:xfrm>
          <a:off x="3657600" y="0"/>
          <a:ext cx="9831172" cy="583331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13BA-7083-47C8-ACD7-C44A4E03AC69}">
  <dimension ref="A1:U12"/>
  <sheetViews>
    <sheetView zoomScale="75" zoomScaleNormal="100" workbookViewId="0">
      <selection activeCell="J6" sqref="J6"/>
    </sheetView>
  </sheetViews>
  <sheetFormatPr defaultColWidth="8.6640625" defaultRowHeight="14.4" x14ac:dyDescent="0.3"/>
  <cols>
    <col min="1" max="1" width="22.21875" style="4" bestFit="1" customWidth="1"/>
    <col min="2" max="2" width="16.33203125" style="4" bestFit="1" customWidth="1"/>
    <col min="3" max="3" width="19.44140625" style="4" bestFit="1" customWidth="1"/>
    <col min="4" max="4" width="18.21875" style="4" bestFit="1" customWidth="1"/>
    <col min="5" max="5" width="18.33203125" style="4" bestFit="1" customWidth="1"/>
    <col min="6" max="6" width="18.6640625" style="4" bestFit="1" customWidth="1"/>
    <col min="7" max="7" width="21.44140625" style="4" bestFit="1" customWidth="1"/>
    <col min="8" max="8" width="41.33203125" style="4" bestFit="1" customWidth="1"/>
    <col min="9" max="9" width="14.44140625" style="4" bestFit="1" customWidth="1"/>
    <col min="10" max="10" width="49.21875" style="4" bestFit="1" customWidth="1"/>
    <col min="11" max="12" width="13.6640625" style="4" bestFit="1" customWidth="1"/>
    <col min="13" max="13" width="33.33203125" style="4" bestFit="1" customWidth="1"/>
    <col min="14" max="14" width="37.33203125" style="4" bestFit="1" customWidth="1"/>
    <col min="15" max="15" width="23.21875" style="4" bestFit="1" customWidth="1"/>
    <col min="16" max="16" width="32.77734375" style="4" bestFit="1" customWidth="1"/>
    <col min="17" max="17" width="41.44140625" style="4" bestFit="1" customWidth="1"/>
    <col min="18" max="18" width="32.77734375" style="4" bestFit="1" customWidth="1"/>
    <col min="19" max="19" width="43.33203125" style="4" bestFit="1" customWidth="1"/>
    <col min="20" max="20" width="17" style="4" bestFit="1" customWidth="1"/>
    <col min="21" max="16384" width="8.6640625" style="4"/>
  </cols>
  <sheetData>
    <row r="1" spans="1:21" ht="15" thickBot="1" x14ac:dyDescent="0.35">
      <c r="A1" s="7" t="s">
        <v>0</v>
      </c>
      <c r="B1" s="7" t="s">
        <v>59</v>
      </c>
      <c r="Q1" s="74" t="s">
        <v>64</v>
      </c>
      <c r="R1" s="75"/>
    </row>
    <row r="2" spans="1:21" ht="15" thickBot="1" x14ac:dyDescent="0.35">
      <c r="A2" s="8" t="s">
        <v>52</v>
      </c>
      <c r="B2" s="8">
        <v>2.7182810000000002</v>
      </c>
      <c r="H2" s="10"/>
      <c r="Q2" s="6" t="s">
        <v>65</v>
      </c>
      <c r="R2" s="6" t="s">
        <v>62</v>
      </c>
    </row>
    <row r="3" spans="1:21" x14ac:dyDescent="0.3">
      <c r="Q3" s="6" t="s">
        <v>66</v>
      </c>
      <c r="R3" s="6" t="s">
        <v>63</v>
      </c>
    </row>
    <row r="5" spans="1:21" x14ac:dyDescent="0.3">
      <c r="A5" s="6" t="s">
        <v>8</v>
      </c>
      <c r="B5" s="6" t="s">
        <v>14</v>
      </c>
      <c r="C5" s="6" t="s">
        <v>1</v>
      </c>
      <c r="D5" s="6" t="s">
        <v>8</v>
      </c>
      <c r="E5" s="6" t="s">
        <v>14</v>
      </c>
      <c r="F5" s="6" t="s">
        <v>2</v>
      </c>
      <c r="G5" s="33" t="s">
        <v>3</v>
      </c>
      <c r="H5" s="6" t="s">
        <v>4</v>
      </c>
      <c r="I5" s="6" t="s">
        <v>5</v>
      </c>
      <c r="J5" s="6" t="s">
        <v>108</v>
      </c>
      <c r="K5" s="11" t="s">
        <v>54</v>
      </c>
      <c r="L5" s="6" t="s">
        <v>53</v>
      </c>
      <c r="M5" s="6" t="s">
        <v>55</v>
      </c>
      <c r="N5" s="11" t="s">
        <v>56</v>
      </c>
      <c r="O5" s="6" t="s">
        <v>57</v>
      </c>
      <c r="P5" s="6" t="s">
        <v>60</v>
      </c>
      <c r="Q5" s="6" t="s">
        <v>58</v>
      </c>
      <c r="R5" s="6" t="s">
        <v>67</v>
      </c>
      <c r="S5" s="6" t="s">
        <v>64</v>
      </c>
    </row>
    <row r="6" spans="1:21" x14ac:dyDescent="0.3">
      <c r="A6" s="5" t="s">
        <v>22</v>
      </c>
      <c r="B6" s="5">
        <v>5</v>
      </c>
      <c r="C6" s="5">
        <v>1.94999980926514</v>
      </c>
      <c r="D6" s="5" t="s">
        <v>23</v>
      </c>
      <c r="E6" s="5">
        <v>3</v>
      </c>
      <c r="F6" s="5">
        <v>1.9999999552965199E-2</v>
      </c>
      <c r="G6" s="5">
        <v>9.6199999999999992</v>
      </c>
      <c r="H6" s="5">
        <v>7.5</v>
      </c>
      <c r="I6" s="9">
        <f t="shared" ref="I6:I12" si="0">4.6975/100</f>
        <v>4.6974999999999996E-2</v>
      </c>
      <c r="J6" s="5">
        <f t="shared" ref="J6:J12" si="1">9/252</f>
        <v>3.5714285714285712E-2</v>
      </c>
      <c r="K6" s="5">
        <f t="shared" ref="K6:K12" si="2">G6+F6</f>
        <v>9.6399999995529644</v>
      </c>
      <c r="L6" s="5">
        <f t="shared" ref="L6:L12" si="3">$B$2^((-I6)*(J6))</f>
        <v>0.99832372845504969</v>
      </c>
      <c r="M6" s="5">
        <f t="shared" ref="M6:M12" si="4">H6*L6</f>
        <v>7.4874279634128724</v>
      </c>
      <c r="N6" s="5">
        <f t="shared" ref="N6:N12" si="5">C6+M6</f>
        <v>9.4374277726780118</v>
      </c>
      <c r="O6" s="5" t="str">
        <f t="shared" ref="O6:O12" si="6">IF(K6=N6,"NO","YES")</f>
        <v>YES</v>
      </c>
      <c r="P6" s="5" t="b">
        <f t="shared" ref="P6:P12" si="7">K6=N6</f>
        <v>0</v>
      </c>
      <c r="Q6" s="5">
        <f t="shared" ref="Q6:Q12" si="8">ABS(K6-N6)</f>
        <v>0.20257222687495258</v>
      </c>
      <c r="R6" s="5">
        <f t="shared" ref="R6:R12" si="9">N6-G6</f>
        <v>-0.18257222732198741</v>
      </c>
      <c r="S6" s="5" t="str">
        <f t="shared" ref="S6:S12" si="10">IF(ABS(F6-R6)&lt;=0.01,"NO VIOLATION",IF(F6&gt;R6,"Premium of Put is Overvalued Select Equation 1", "Premuim of Put is Undervalued Select Equation 2"))</f>
        <v>Premium of Put is Overvalued Select Equation 1</v>
      </c>
    </row>
    <row r="7" spans="1:21" x14ac:dyDescent="0.3">
      <c r="A7" s="5" t="s">
        <v>26</v>
      </c>
      <c r="B7" s="5">
        <v>4</v>
      </c>
      <c r="C7" s="5">
        <v>1.0600004196167001</v>
      </c>
      <c r="D7" s="5" t="s">
        <v>27</v>
      </c>
      <c r="E7" s="5">
        <v>33</v>
      </c>
      <c r="F7" s="5">
        <v>5.0000000745058101E-2</v>
      </c>
      <c r="G7" s="5">
        <v>9.6199999999999992</v>
      </c>
      <c r="H7" s="5">
        <v>8.5</v>
      </c>
      <c r="I7" s="9">
        <f t="shared" si="0"/>
        <v>4.6974999999999996E-2</v>
      </c>
      <c r="J7" s="5">
        <f t="shared" si="1"/>
        <v>3.5714285714285712E-2</v>
      </c>
      <c r="K7" s="5">
        <f t="shared" si="2"/>
        <v>9.6700000007450573</v>
      </c>
      <c r="L7" s="5">
        <f t="shared" si="3"/>
        <v>0.99832372845504969</v>
      </c>
      <c r="M7" s="5">
        <f t="shared" si="4"/>
        <v>8.4857516918679217</v>
      </c>
      <c r="N7" s="5">
        <f t="shared" si="5"/>
        <v>9.5457521114846209</v>
      </c>
      <c r="O7" s="5" t="str">
        <f t="shared" si="6"/>
        <v>YES</v>
      </c>
      <c r="P7" s="5" t="b">
        <f t="shared" si="7"/>
        <v>0</v>
      </c>
      <c r="Q7" s="5">
        <f t="shared" si="8"/>
        <v>0.12424788926043639</v>
      </c>
      <c r="R7" s="5">
        <f t="shared" si="9"/>
        <v>-7.4247888515378335E-2</v>
      </c>
      <c r="S7" s="5" t="str">
        <f t="shared" si="10"/>
        <v>Premium of Put is Overvalued Select Equation 1</v>
      </c>
    </row>
    <row r="8" spans="1:21" x14ac:dyDescent="0.3">
      <c r="A8" s="5" t="s">
        <v>28</v>
      </c>
      <c r="B8" s="5">
        <v>661</v>
      </c>
      <c r="C8" s="5">
        <v>0.64999997615814198</v>
      </c>
      <c r="D8" s="5" t="s">
        <v>29</v>
      </c>
      <c r="E8" s="5">
        <v>225</v>
      </c>
      <c r="F8" s="5">
        <v>0.120000004768372</v>
      </c>
      <c r="G8" s="5">
        <v>9.6199999999999992</v>
      </c>
      <c r="H8" s="5">
        <v>9</v>
      </c>
      <c r="I8" s="9">
        <f t="shared" si="0"/>
        <v>4.6974999999999996E-2</v>
      </c>
      <c r="J8" s="5">
        <f t="shared" si="1"/>
        <v>3.5714285714285712E-2</v>
      </c>
      <c r="K8" s="5">
        <f t="shared" si="2"/>
        <v>9.7400000047683708</v>
      </c>
      <c r="L8" s="5">
        <f t="shared" si="3"/>
        <v>0.99832372845504969</v>
      </c>
      <c r="M8" s="5">
        <f t="shared" si="4"/>
        <v>8.9849135560954476</v>
      </c>
      <c r="N8" s="5">
        <f t="shared" si="5"/>
        <v>9.6349135322535897</v>
      </c>
      <c r="O8" s="5" t="str">
        <f t="shared" si="6"/>
        <v>YES</v>
      </c>
      <c r="P8" s="5" t="b">
        <f t="shared" si="7"/>
        <v>0</v>
      </c>
      <c r="Q8" s="5">
        <f t="shared" si="8"/>
        <v>0.10508647251478109</v>
      </c>
      <c r="R8" s="5">
        <f t="shared" si="9"/>
        <v>1.4913532253590489E-2</v>
      </c>
      <c r="S8" s="5" t="str">
        <f t="shared" si="10"/>
        <v>Premium of Put is Overvalued Select Equation 1</v>
      </c>
    </row>
    <row r="9" spans="1:21" x14ac:dyDescent="0.3">
      <c r="A9" s="12" t="s">
        <v>30</v>
      </c>
      <c r="B9" s="12">
        <v>3153</v>
      </c>
      <c r="C9" s="12">
        <v>0.40000003576278698</v>
      </c>
      <c r="D9" s="12" t="s">
        <v>31</v>
      </c>
      <c r="E9" s="12">
        <v>205</v>
      </c>
      <c r="F9" s="12">
        <v>0.30000001192092901</v>
      </c>
      <c r="G9" s="12">
        <v>9.6199999999999992</v>
      </c>
      <c r="H9" s="12">
        <v>9.5</v>
      </c>
      <c r="I9" s="13">
        <f t="shared" si="0"/>
        <v>4.6974999999999996E-2</v>
      </c>
      <c r="J9" s="12">
        <f t="shared" si="1"/>
        <v>3.5714285714285712E-2</v>
      </c>
      <c r="K9" s="12">
        <f t="shared" si="2"/>
        <v>9.9200000119209282</v>
      </c>
      <c r="L9" s="12">
        <f t="shared" si="3"/>
        <v>0.99832372845504969</v>
      </c>
      <c r="M9" s="12">
        <f>H9*L9</f>
        <v>9.4840754203229718</v>
      </c>
      <c r="N9" s="12">
        <f t="shared" si="5"/>
        <v>9.8840754560857587</v>
      </c>
      <c r="O9" s="12" t="str">
        <f t="shared" si="6"/>
        <v>YES</v>
      </c>
      <c r="P9" s="12" t="b">
        <f t="shared" si="7"/>
        <v>0</v>
      </c>
      <c r="Q9" s="12">
        <f>ABS(K9-N9)</f>
        <v>3.5924555835169514E-2</v>
      </c>
      <c r="R9" s="12">
        <f>N9-G9</f>
        <v>0.26407545608575944</v>
      </c>
      <c r="S9" s="12" t="str">
        <f t="shared" si="10"/>
        <v>Premium of Put is Overvalued Select Equation 1</v>
      </c>
    </row>
    <row r="10" spans="1:21" x14ac:dyDescent="0.3">
      <c r="A10" s="12" t="s">
        <v>32</v>
      </c>
      <c r="B10" s="12">
        <v>5651</v>
      </c>
      <c r="C10" s="12">
        <v>0.20999997854232799</v>
      </c>
      <c r="D10" s="12" t="s">
        <v>33</v>
      </c>
      <c r="E10" s="12">
        <v>83</v>
      </c>
      <c r="F10" s="12">
        <v>0.56000000238418601</v>
      </c>
      <c r="G10" s="12">
        <v>9.6199999999999992</v>
      </c>
      <c r="H10" s="12">
        <v>10</v>
      </c>
      <c r="I10" s="13">
        <f t="shared" si="0"/>
        <v>4.6974999999999996E-2</v>
      </c>
      <c r="J10" s="5">
        <f t="shared" si="1"/>
        <v>3.5714285714285712E-2</v>
      </c>
      <c r="K10" s="12">
        <f t="shared" si="2"/>
        <v>10.180000002384185</v>
      </c>
      <c r="L10" s="5">
        <f t="shared" si="3"/>
        <v>0.99832372845504969</v>
      </c>
      <c r="M10" s="12">
        <f t="shared" si="4"/>
        <v>9.9832372845504977</v>
      </c>
      <c r="N10" s="5">
        <f t="shared" si="5"/>
        <v>10.193237263092826</v>
      </c>
      <c r="O10" s="12" t="str">
        <f t="shared" si="6"/>
        <v>YES</v>
      </c>
      <c r="P10" s="5" t="b">
        <f t="shared" si="7"/>
        <v>0</v>
      </c>
      <c r="Q10" s="5">
        <f t="shared" si="8"/>
        <v>1.3237260708640619E-2</v>
      </c>
      <c r="R10" s="5">
        <f t="shared" si="9"/>
        <v>0.57323726309282641</v>
      </c>
      <c r="S10" s="5" t="str">
        <f t="shared" si="10"/>
        <v>Premuim of Put is Undervalued Select Equation 2</v>
      </c>
      <c r="U10" s="14"/>
    </row>
    <row r="11" spans="1:21" x14ac:dyDescent="0.3">
      <c r="A11" s="5" t="s">
        <v>34</v>
      </c>
      <c r="B11" s="5">
        <v>2660</v>
      </c>
      <c r="C11" s="5">
        <v>6.9999992847442599E-2</v>
      </c>
      <c r="D11" s="5" t="s">
        <v>35</v>
      </c>
      <c r="E11" s="5">
        <v>16</v>
      </c>
      <c r="F11" s="5">
        <v>1.03999996185303</v>
      </c>
      <c r="G11" s="5">
        <v>9.6199999999999992</v>
      </c>
      <c r="H11" s="5">
        <v>10.5</v>
      </c>
      <c r="I11" s="9">
        <f t="shared" si="0"/>
        <v>4.6974999999999996E-2</v>
      </c>
      <c r="J11" s="5">
        <f t="shared" si="1"/>
        <v>3.5714285714285712E-2</v>
      </c>
      <c r="K11" s="5">
        <f t="shared" si="2"/>
        <v>10.659999961853028</v>
      </c>
      <c r="L11" s="5">
        <f t="shared" si="3"/>
        <v>0.99832372845504969</v>
      </c>
      <c r="M11" s="5">
        <f t="shared" si="4"/>
        <v>10.482399148778022</v>
      </c>
      <c r="N11" s="5">
        <f t="shared" si="5"/>
        <v>10.552399141625465</v>
      </c>
      <c r="O11" s="5" t="str">
        <f t="shared" si="6"/>
        <v>YES</v>
      </c>
      <c r="P11" s="5" t="b">
        <f t="shared" si="7"/>
        <v>0</v>
      </c>
      <c r="Q11" s="5">
        <f t="shared" si="8"/>
        <v>0.10760082022756379</v>
      </c>
      <c r="R11" s="5">
        <f t="shared" si="9"/>
        <v>0.93239914162546533</v>
      </c>
      <c r="S11" s="5" t="str">
        <f t="shared" si="10"/>
        <v>Premium of Put is Overvalued Select Equation 1</v>
      </c>
    </row>
    <row r="12" spans="1:21" x14ac:dyDescent="0.3">
      <c r="A12" s="5" t="s">
        <v>36</v>
      </c>
      <c r="B12" s="5">
        <v>13</v>
      </c>
      <c r="C12" s="5">
        <v>1.9999999552965199E-2</v>
      </c>
      <c r="D12" s="5" t="s">
        <v>37</v>
      </c>
      <c r="E12" s="5">
        <v>3</v>
      </c>
      <c r="F12" s="5">
        <v>1.7200002670288099</v>
      </c>
      <c r="G12" s="5">
        <v>9.6199999999999992</v>
      </c>
      <c r="H12" s="5">
        <v>11</v>
      </c>
      <c r="I12" s="9">
        <f t="shared" si="0"/>
        <v>4.6974999999999996E-2</v>
      </c>
      <c r="J12" s="5">
        <f t="shared" si="1"/>
        <v>3.5714285714285712E-2</v>
      </c>
      <c r="K12" s="5">
        <f t="shared" si="2"/>
        <v>11.34000026702881</v>
      </c>
      <c r="L12" s="5">
        <f t="shared" si="3"/>
        <v>0.99832372845504969</v>
      </c>
      <c r="M12" s="5">
        <f t="shared" si="4"/>
        <v>10.981561013005546</v>
      </c>
      <c r="N12" s="5">
        <f t="shared" si="5"/>
        <v>11.001561012558511</v>
      </c>
      <c r="O12" s="5" t="str">
        <f t="shared" si="6"/>
        <v>YES</v>
      </c>
      <c r="P12" s="5" t="b">
        <f t="shared" si="7"/>
        <v>0</v>
      </c>
      <c r="Q12" s="5">
        <f t="shared" si="8"/>
        <v>0.33843925447029832</v>
      </c>
      <c r="R12" s="5">
        <f t="shared" si="9"/>
        <v>1.381561012558512</v>
      </c>
      <c r="S12" s="5" t="str">
        <f t="shared" si="10"/>
        <v>Premium of Put is Overvalued Select Equation 1</v>
      </c>
    </row>
  </sheetData>
  <mergeCells count="1">
    <mergeCell ref="Q1:R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FCB73-AEAC-4F21-BAB9-D17893634336}">
  <dimension ref="A3:O22"/>
  <sheetViews>
    <sheetView zoomScale="55" zoomScaleNormal="55" workbookViewId="0">
      <selection activeCell="B17" sqref="B17"/>
    </sheetView>
  </sheetViews>
  <sheetFormatPr defaultColWidth="8.6640625" defaultRowHeight="14.4" x14ac:dyDescent="0.3"/>
  <cols>
    <col min="1" max="1" width="18.77734375" style="4" bestFit="1" customWidth="1"/>
    <col min="2" max="2" width="7.77734375" style="4" bestFit="1" customWidth="1"/>
    <col min="3" max="3" width="12.21875" style="4" bestFit="1" customWidth="1"/>
    <col min="4" max="4" width="5.33203125" style="4" bestFit="1" customWidth="1"/>
    <col min="5" max="5" width="12.21875" style="4" bestFit="1" customWidth="1"/>
    <col min="6" max="6" width="14.77734375" style="4" bestFit="1" customWidth="1"/>
    <col min="7" max="8" width="12.6640625" style="4" bestFit="1" customWidth="1"/>
    <col min="9" max="9" width="14.77734375" style="4" bestFit="1" customWidth="1"/>
    <col min="10" max="10" width="26.6640625" style="4" bestFit="1" customWidth="1"/>
    <col min="11" max="11" width="27.33203125" style="4" bestFit="1" customWidth="1"/>
    <col min="12" max="12" width="42.77734375" style="4" bestFit="1" customWidth="1"/>
    <col min="13" max="14" width="8.6640625" style="4"/>
    <col min="15" max="15" width="12.6640625" style="4" bestFit="1" customWidth="1"/>
    <col min="16" max="16384" width="8.6640625" style="4"/>
  </cols>
  <sheetData>
    <row r="3" spans="1:15" ht="15" thickBot="1" x14ac:dyDescent="0.35">
      <c r="A3" s="15" t="s">
        <v>6</v>
      </c>
    </row>
    <row r="4" spans="1:15" x14ac:dyDescent="0.3">
      <c r="A4" s="6" t="s">
        <v>8</v>
      </c>
      <c r="B4" s="6" t="s">
        <v>69</v>
      </c>
      <c r="C4" s="6" t="s">
        <v>104</v>
      </c>
      <c r="D4" s="6" t="s">
        <v>14</v>
      </c>
      <c r="E4" s="6" t="s">
        <v>3</v>
      </c>
      <c r="F4" s="6" t="s">
        <v>5</v>
      </c>
      <c r="G4" s="6" t="s">
        <v>68</v>
      </c>
      <c r="H4" s="6" t="s">
        <v>70</v>
      </c>
      <c r="I4" s="6" t="s">
        <v>71</v>
      </c>
      <c r="J4" s="6" t="s">
        <v>105</v>
      </c>
      <c r="K4" s="6" t="s">
        <v>106</v>
      </c>
      <c r="L4" s="6" t="s">
        <v>73</v>
      </c>
    </row>
    <row r="5" spans="1:15" ht="15.6" x14ac:dyDescent="0.3">
      <c r="A5" s="5" t="s">
        <v>22</v>
      </c>
      <c r="B5" s="5">
        <v>7.5</v>
      </c>
      <c r="C5" s="5">
        <f>('PUT_CALL SHEET'!C28+'PUT_CALL SHEET'!D28)/2</f>
        <v>1.6399998650000001</v>
      </c>
      <c r="D5" s="5">
        <v>5</v>
      </c>
      <c r="E5" s="5">
        <v>9.6199999999999992</v>
      </c>
      <c r="F5" s="9">
        <f t="shared" ref="F5:F11" si="0">4.6975/100</f>
        <v>4.6974999999999996E-2</v>
      </c>
      <c r="G5" s="5">
        <f>(LN(E5/B5)+((F5+(K5^2)/2)*'PUT CALL PARITY'!J6)/('IMPLIED VOLATILITY'!K5*SQRT('PUT CALL PARITY'!J6)))</f>
        <v>0.31802251967951173</v>
      </c>
      <c r="H5" s="5">
        <f>G5-K5*SQRT('PUT CALL PARITY'!J6)</f>
        <v>0.21129997040622145</v>
      </c>
      <c r="I5" s="5">
        <f>E5*_xlfn.NORM.S.DIST(G5,TRUE)-B5*EXP(-F5*'PUT CALL PARITY'!J6)*_xlfn.NORM.S.DIST(H5,TRUE)</f>
        <v>1.6400371065819375</v>
      </c>
      <c r="J5" s="24">
        <v>0</v>
      </c>
      <c r="K5" s="25">
        <v>0.56472264931992633</v>
      </c>
      <c r="L5" s="23">
        <f>C5-I5</f>
        <v>-3.7241581937408341E-5</v>
      </c>
    </row>
    <row r="6" spans="1:15" ht="15.6" x14ac:dyDescent="0.3">
      <c r="A6" s="5" t="s">
        <v>26</v>
      </c>
      <c r="B6" s="5">
        <v>8.5</v>
      </c>
      <c r="C6" s="5">
        <f>('PUT_CALL SHEET'!C29+'PUT_CALL SHEET'!D29)/2</f>
        <v>1.11500022</v>
      </c>
      <c r="D6" s="5">
        <v>4</v>
      </c>
      <c r="E6" s="5">
        <v>9.6199999999999992</v>
      </c>
      <c r="F6" s="9">
        <f t="shared" si="0"/>
        <v>4.6974999999999996E-2</v>
      </c>
      <c r="G6" s="5">
        <f>(LN(E6/B6)+((F6+(K6^2)/2)*'PUT CALL PARITY'!J7)/('IMPLIED VOLATILITY'!K6*SQRT('PUT CALL PARITY'!J7)))</f>
        <v>0.20415446155058373</v>
      </c>
      <c r="H6" s="5">
        <f>G6-K6*SQRT('PUT CALL PARITY'!J7)</f>
        <v>6.8055554906530868E-2</v>
      </c>
      <c r="I6" s="5">
        <f>E6*_xlfn.NORM.S.DIST(G6,TRUE)-B6*EXP(-F6*'PUT CALL PARITY'!J7)*_xlfn.NORM.S.DIST(H6,TRUE)</f>
        <v>1.1150119468070718</v>
      </c>
      <c r="J6" s="24">
        <v>0.56410000000000005</v>
      </c>
      <c r="K6" s="25">
        <v>0.72016772137592033</v>
      </c>
      <c r="L6" s="23">
        <f t="shared" ref="L6:L11" si="1">C6-I6</f>
        <v>-1.1726807071843481E-5</v>
      </c>
    </row>
    <row r="7" spans="1:15" ht="15.6" x14ac:dyDescent="0.3">
      <c r="A7" s="5" t="s">
        <v>28</v>
      </c>
      <c r="B7" s="5">
        <v>9</v>
      </c>
      <c r="C7" s="5">
        <f>('PUT_CALL SHEET'!C30+'PUT_CALL SHEET'!D30)/2</f>
        <v>0.69499999499999998</v>
      </c>
      <c r="D7" s="5">
        <v>661</v>
      </c>
      <c r="E7" s="5">
        <v>9.6199999999999992</v>
      </c>
      <c r="F7" s="9">
        <f t="shared" si="0"/>
        <v>4.6974999999999996E-2</v>
      </c>
      <c r="G7" s="5">
        <f>(LN(E7/B7)+((F7+(K7^2)/2)*'PUT CALL PARITY'!J8)/('IMPLIED VOLATILITY'!K7*SQRT('PUT CALL PARITY'!J8)))</f>
        <v>0.13221177796317612</v>
      </c>
      <c r="H7" s="5">
        <f>G7-K7*SQRT('PUT CALL PARITY'!J8)</f>
        <v>3.5846887512996528E-2</v>
      </c>
      <c r="I7" s="5">
        <f>E7*_xlfn.NORM.S.DIST(G7,TRUE)-B7*EXP(-F7*'PUT CALL PARITY'!J8)*_xlfn.NORM.S.DIST(H7,TRUE)</f>
        <v>0.69501019707479728</v>
      </c>
      <c r="J7" s="24">
        <v>0.52129999999999999</v>
      </c>
      <c r="K7" s="25">
        <v>0.50991507049831664</v>
      </c>
      <c r="L7" s="23">
        <f t="shared" si="1"/>
        <v>-1.0202074797294181E-5</v>
      </c>
    </row>
    <row r="8" spans="1:15" ht="15.6" x14ac:dyDescent="0.3">
      <c r="A8" s="20" t="s">
        <v>30</v>
      </c>
      <c r="B8" s="20">
        <v>9.5</v>
      </c>
      <c r="C8" s="20">
        <f>('PUT_CALL SHEET'!C31+'PUT_CALL SHEET'!D31)/2</f>
        <v>0.375</v>
      </c>
      <c r="D8" s="20">
        <v>3153</v>
      </c>
      <c r="E8" s="20">
        <v>9.6199999999999992</v>
      </c>
      <c r="F8" s="21">
        <f t="shared" si="0"/>
        <v>4.6974999999999996E-2</v>
      </c>
      <c r="G8" s="20">
        <f>(LN(E8/B8)+((F8+(K8^2)/2)*'PUT CALL PARITY'!J9)/('IMPLIED VOLATILITY'!K8*SQRT('PUT CALL PARITY'!J9)))</f>
        <v>7.3562369557052032E-2</v>
      </c>
      <c r="H8" s="20">
        <f>G8-K8*SQRT('PUT CALL PARITY'!J9)</f>
        <v>-6.6008934385226176E-3</v>
      </c>
      <c r="I8" s="20">
        <f>E8*_xlfn.NORM.S.DIST(G8,TRUE)-B8*EXP(-F8*'PUT CALL PARITY'!J9)*_xlfn.NORM.S.DIST(H8,TRUE)</f>
        <v>0.37500230575136673</v>
      </c>
      <c r="J8" s="28">
        <v>0.50660000000000005</v>
      </c>
      <c r="K8" s="31">
        <v>0.42418411633951442</v>
      </c>
      <c r="L8" s="30">
        <f t="shared" si="1"/>
        <v>-2.3057513667268381E-6</v>
      </c>
    </row>
    <row r="9" spans="1:15" ht="15.6" x14ac:dyDescent="0.3">
      <c r="A9" s="12" t="s">
        <v>32</v>
      </c>
      <c r="B9" s="12">
        <v>10</v>
      </c>
      <c r="C9" s="5">
        <f>('PUT_CALL SHEET'!C32+'PUT_CALL SHEET'!D32)/2</f>
        <v>0.16500002499999999</v>
      </c>
      <c r="D9" s="12">
        <v>5651</v>
      </c>
      <c r="E9" s="12">
        <v>9.6199999999999992</v>
      </c>
      <c r="F9" s="13">
        <f t="shared" si="0"/>
        <v>4.6974999999999996E-2</v>
      </c>
      <c r="G9" s="5">
        <f>(LN(E9/B9)+((F9+(K9^2)/2)*'PUT CALL PARITY'!J10)/('IMPLIED VOLATILITY'!K9*SQRT('PUT CALL PARITY'!J10)))</f>
        <v>2.4311844194686127E-2</v>
      </c>
      <c r="H9" s="5">
        <f>G9-K9*SQRT('PUT CALL PARITY'!J10)</f>
        <v>-6.3646296951591672E-2</v>
      </c>
      <c r="I9" s="5">
        <f>E9*_xlfn.NORM.S.DIST(G9,TRUE)-B9*EXP(-F9*'PUT CALL PARITY'!J10)*_xlfn.NORM.S.DIST(H9,TRUE)</f>
        <v>0.16499209419516081</v>
      </c>
      <c r="J9" s="24">
        <v>0.48920000000000002</v>
      </c>
      <c r="K9" s="25">
        <v>0.4654307345131376</v>
      </c>
      <c r="L9" s="23">
        <f t="shared" si="1"/>
        <v>7.9308048391846242E-6</v>
      </c>
    </row>
    <row r="10" spans="1:15" ht="15.6" x14ac:dyDescent="0.3">
      <c r="A10" s="5" t="s">
        <v>34</v>
      </c>
      <c r="B10" s="5">
        <v>10.5</v>
      </c>
      <c r="C10" s="5">
        <f>('PUT_CALL SHEET'!C33+'PUT_CALL SHEET'!D33)/2</f>
        <v>6.4999995000000005E-2</v>
      </c>
      <c r="D10" s="5">
        <v>2660</v>
      </c>
      <c r="E10" s="5">
        <v>9.6199999999999992</v>
      </c>
      <c r="F10" s="9">
        <f t="shared" si="0"/>
        <v>4.6974999999999996E-2</v>
      </c>
      <c r="G10" s="5">
        <f>(LN(E10/B10)+((F10+(K10^2)/2)*'PUT CALL PARITY'!J11)/('IMPLIED VOLATILITY'!K10*SQRT('PUT CALL PARITY'!J11)))</f>
        <v>-1.4369076175701975E-2</v>
      </c>
      <c r="H10" s="5">
        <f>G10-K10*SQRT('PUT CALL PARITY'!J11)</f>
        <v>-0.13222225399544429</v>
      </c>
      <c r="I10" s="5">
        <f>E10*_xlfn.NORM.S.DIST(G10,TRUE)-B10*EXP(-F10*'PUT CALL PARITY'!J11)*_xlfn.NORM.S.DIST(H10,TRUE)</f>
        <v>6.4985977201600598E-2</v>
      </c>
      <c r="J10" s="24">
        <v>0.49370000000000003</v>
      </c>
      <c r="K10" s="25">
        <v>0.62362039945942316</v>
      </c>
      <c r="L10" s="23">
        <f t="shared" si="1"/>
        <v>1.40177983994072E-5</v>
      </c>
    </row>
    <row r="11" spans="1:15" ht="15.6" x14ac:dyDescent="0.3">
      <c r="A11" s="5" t="s">
        <v>36</v>
      </c>
      <c r="B11" s="5">
        <v>11</v>
      </c>
      <c r="C11" s="5">
        <f>('PUT_CALL SHEET'!C34+'PUT_CALL SHEET'!D34)/2</f>
        <v>0.02</v>
      </c>
      <c r="D11" s="5">
        <v>13</v>
      </c>
      <c r="E11" s="5">
        <v>9.6199999999999992</v>
      </c>
      <c r="F11" s="9">
        <f t="shared" si="0"/>
        <v>4.6974999999999996E-2</v>
      </c>
      <c r="G11" s="5">
        <f>(LN(E11/B11)+((F11+(K11^2)/2)*'PUT CALL PARITY'!J12)/('IMPLIED VOLATILITY'!K11*SQRT('PUT CALL PARITY'!J12)))</f>
        <v>-4.5446076095864055E-2</v>
      </c>
      <c r="H11" s="5">
        <f>G11-K11*SQRT('PUT CALL PARITY'!J12)</f>
        <v>-0.20109932529783664</v>
      </c>
      <c r="I11" s="5">
        <f>E11*_xlfn.NORM.S.DIST(G11,TRUE)-B11*EXP(-F11*'PUT CALL PARITY'!J12)*_xlfn.NORM.S.DIST(H11,TRUE)</f>
        <v>1.9981042739312116E-2</v>
      </c>
      <c r="J11" s="24">
        <v>0.4869</v>
      </c>
      <c r="K11" s="25">
        <v>0.82363957629516493</v>
      </c>
      <c r="L11" s="23">
        <f t="shared" si="1"/>
        <v>1.8957260687884475E-5</v>
      </c>
    </row>
    <row r="14" spans="1:15" ht="15" thickBot="1" x14ac:dyDescent="0.35">
      <c r="A14" s="15" t="s">
        <v>7</v>
      </c>
    </row>
    <row r="15" spans="1:15" x14ac:dyDescent="0.3">
      <c r="A15" s="6" t="s">
        <v>8</v>
      </c>
      <c r="B15" s="6" t="s">
        <v>69</v>
      </c>
      <c r="C15" s="6" t="s">
        <v>104</v>
      </c>
      <c r="D15" s="6" t="s">
        <v>14</v>
      </c>
      <c r="E15" s="6" t="s">
        <v>3</v>
      </c>
      <c r="F15" s="6" t="s">
        <v>5</v>
      </c>
      <c r="G15" s="6" t="s">
        <v>68</v>
      </c>
      <c r="H15" s="6" t="s">
        <v>70</v>
      </c>
      <c r="I15" s="6" t="s">
        <v>72</v>
      </c>
      <c r="J15" s="6" t="s">
        <v>105</v>
      </c>
      <c r="K15" s="6" t="s">
        <v>107</v>
      </c>
      <c r="L15" s="6" t="s">
        <v>73</v>
      </c>
    </row>
    <row r="16" spans="1:15" ht="15.6" x14ac:dyDescent="0.3">
      <c r="A16" s="5" t="s">
        <v>23</v>
      </c>
      <c r="B16" s="5">
        <v>7.5</v>
      </c>
      <c r="C16" s="5">
        <f>('PUT_CALL SHEET'!J28+'PUT_CALL SHEET'!K28)/2</f>
        <v>1.4999999999999999E-2</v>
      </c>
      <c r="D16" s="5">
        <v>3</v>
      </c>
      <c r="E16" s="5">
        <v>9.6199999999999992</v>
      </c>
      <c r="F16" s="9">
        <f t="shared" ref="F16:F22" si="2">4.6975/100</f>
        <v>4.6974999999999996E-2</v>
      </c>
      <c r="G16" s="5">
        <f>(LN(E16/B16)+((F16+K16^2/2)*'PUT CALL PARITY'!J6)/('IMPLIED VOLATILITY'!K16*SQRT('PUT CALL PARITY'!J6)))</f>
        <v>0.38709154075543495</v>
      </c>
      <c r="H16" s="5">
        <f>G16-K16*SQRT('PUT CALL PARITY'!J6)</f>
        <v>0.12352136009234782</v>
      </c>
      <c r="I16" s="5">
        <f>B16*EXP(-F16*'PUT CALL PARITY'!J6)*_xlfn.NORM.S.DIST(-H16,TRUE)-'IMPLIED VOLATILITY'!E16*_xlfn.NORM.S.DIST(-G16,TRUE)</f>
        <v>1.4994014067849282E-2</v>
      </c>
      <c r="J16" s="24">
        <v>0.74619999999999997</v>
      </c>
      <c r="K16" s="26">
        <v>1.3946823020937877</v>
      </c>
      <c r="L16" s="23">
        <f>C16-I16</f>
        <v>5.9859321507177432E-6</v>
      </c>
      <c r="O16" s="22"/>
    </row>
    <row r="17" spans="1:15" ht="15.6" x14ac:dyDescent="0.3">
      <c r="A17" s="5" t="s">
        <v>27</v>
      </c>
      <c r="B17" s="5">
        <v>8.5</v>
      </c>
      <c r="C17" s="5">
        <f>('PUT_CALL SHEET'!J29+'PUT_CALL SHEET'!K29)/2</f>
        <v>5.5E-2</v>
      </c>
      <c r="D17" s="5">
        <v>33</v>
      </c>
      <c r="E17" s="5">
        <v>9.6199999999999992</v>
      </c>
      <c r="F17" s="9">
        <f t="shared" si="2"/>
        <v>4.6974999999999996E-2</v>
      </c>
      <c r="G17" s="5">
        <f>(LN(E17/B17)+((F17+K17^2/2)*'PUT CALL PARITY'!J7)/('IMPLIED VOLATILITY'!K17*SQRT('PUT CALL PARITY'!J7)))</f>
        <v>0.21300133468373683</v>
      </c>
      <c r="H17" s="5">
        <f>G17-K17*SQRT('PUT CALL PARITY'!J7)</f>
        <v>5.5914795531196798E-2</v>
      </c>
      <c r="I17" s="5">
        <f>B17*EXP(-F17*'PUT CALL PARITY'!J7)*_xlfn.NORM.S.DIST(-H17,TRUE)-'IMPLIED VOLATILITY'!E17*_xlfn.NORM.S.DIST(-G17,TRUE)</f>
        <v>5.500698662875525E-2</v>
      </c>
      <c r="J17" s="24">
        <v>0.56779999999999997</v>
      </c>
      <c r="K17" s="26">
        <v>0.83122383382686393</v>
      </c>
      <c r="L17" s="23">
        <f t="shared" ref="L17:L22" si="3">C17-I17</f>
        <v>-6.9866287552497464E-6</v>
      </c>
      <c r="O17" s="27"/>
    </row>
    <row r="18" spans="1:15" ht="15.6" x14ac:dyDescent="0.3">
      <c r="A18" s="5" t="s">
        <v>29</v>
      </c>
      <c r="B18" s="5">
        <v>9</v>
      </c>
      <c r="C18" s="5">
        <f>('PUT_CALL SHEET'!J30+'PUT_CALL SHEET'!K30)/2</f>
        <v>0.15000000999999999</v>
      </c>
      <c r="D18" s="5">
        <v>225</v>
      </c>
      <c r="E18" s="5">
        <v>9.6199999999999992</v>
      </c>
      <c r="F18" s="9">
        <f t="shared" si="2"/>
        <v>4.6974999999999996E-2</v>
      </c>
      <c r="G18" s="5">
        <f>(LN(E18/B18)+((F18+K18^2/2)*'PUT CALL PARITY'!J8)/('IMPLIED VOLATILITY'!K18*SQRT('PUT CALL PARITY'!J8)))</f>
        <v>0.14097338798716341</v>
      </c>
      <c r="H18" s="5">
        <f>G18-K18*SQRT('PUT CALL PARITY'!J8)</f>
        <v>2.0002998732451052E-2</v>
      </c>
      <c r="I18" s="5">
        <f>B18*EXP(-F18*'PUT CALL PARITY'!J8)*_xlfn.NORM.S.DIST(-H18,TRUE)-'IMPLIED VOLATILITY'!E18*_xlfn.NORM.S.DIST(-G18,TRUE)</f>
        <v>0.15000602514140926</v>
      </c>
      <c r="J18" s="24">
        <v>0.55259999999999998</v>
      </c>
      <c r="K18" s="26">
        <v>0.64011513194129821</v>
      </c>
      <c r="L18" s="23">
        <f t="shared" si="3"/>
        <v>-6.0151414092712852E-6</v>
      </c>
      <c r="O18" s="27"/>
    </row>
    <row r="19" spans="1:15" ht="15.6" x14ac:dyDescent="0.3">
      <c r="A19" s="20" t="s">
        <v>31</v>
      </c>
      <c r="B19" s="20">
        <v>9.5</v>
      </c>
      <c r="C19" s="20">
        <f>('PUT_CALL SHEET'!J31+'PUT_CALL SHEET'!K31)/2</f>
        <v>0.33000001000000001</v>
      </c>
      <c r="D19" s="20">
        <v>205</v>
      </c>
      <c r="E19" s="20">
        <v>9.6199999999999992</v>
      </c>
      <c r="F19" s="21">
        <f t="shared" si="2"/>
        <v>4.6974999999999996E-2</v>
      </c>
      <c r="G19" s="20">
        <f>(LN(E19/B19)+((F19+K19^2/2)*'PUT CALL PARITY'!J9)/('IMPLIED VOLATILITY'!K19*SQRT('PUT CALL PARITY'!J9)))</f>
        <v>8.0723722510952028E-2</v>
      </c>
      <c r="H19" s="20">
        <f>G19-K19*SQRT('PUT CALL PARITY'!J9)</f>
        <v>-2.3391421611325069E-2</v>
      </c>
      <c r="I19" s="20">
        <f>B19*EXP(-F19*'PUT CALL PARITY'!J9)*_xlfn.NORM.S.DIST(-H19,TRUE)-'IMPLIED VOLATILITY'!E19*_xlfn.NORM.S.DIST(-G19,TRUE)</f>
        <v>0.33000075393532846</v>
      </c>
      <c r="J19" s="28">
        <v>0.5323</v>
      </c>
      <c r="K19" s="29">
        <v>0.55092555812638688</v>
      </c>
      <c r="L19" s="30">
        <f t="shared" si="3"/>
        <v>-7.4393532845107302E-7</v>
      </c>
      <c r="O19" s="27"/>
    </row>
    <row r="20" spans="1:15" ht="15.6" x14ac:dyDescent="0.3">
      <c r="A20" s="12" t="s">
        <v>33</v>
      </c>
      <c r="B20" s="12">
        <v>10</v>
      </c>
      <c r="C20" s="5">
        <f>('PUT_CALL SHEET'!J32+'PUT_CALL SHEET'!K32)/2</f>
        <v>0.61500000999999993</v>
      </c>
      <c r="D20" s="12">
        <v>83</v>
      </c>
      <c r="E20" s="12">
        <v>9.6199999999999992</v>
      </c>
      <c r="F20" s="13">
        <f t="shared" si="2"/>
        <v>4.6974999999999996E-2</v>
      </c>
      <c r="G20" s="5">
        <f>(LN(E20/B20)+((F20+K20^2/2)*'PUT CALL PARITY'!J10)/('IMPLIED VOLATILITY'!K20*SQRT('PUT CALL PARITY'!J10)))</f>
        <v>3.1527515382661117E-2</v>
      </c>
      <c r="H20" s="5">
        <f>G20-K20*SQRT('PUT CALL PARITY'!J10)</f>
        <v>-7.8518749118761888E-2</v>
      </c>
      <c r="I20" s="5">
        <f>B20*EXP(-F20*'PUT CALL PARITY'!J10)*_xlfn.NORM.S.DIST(-H20,TRUE)-'IMPLIED VOLATILITY'!E20*_xlfn.NORM.S.DIST(-G20,TRUE)</f>
        <v>0.61499404923020951</v>
      </c>
      <c r="J20" s="24">
        <v>0.50839999999999996</v>
      </c>
      <c r="K20" s="26">
        <v>0.58231009716480131</v>
      </c>
      <c r="L20" s="23">
        <f>C20-I20</f>
        <v>5.9607697904251467E-6</v>
      </c>
      <c r="O20" s="27"/>
    </row>
    <row r="21" spans="1:15" ht="15.6" x14ac:dyDescent="0.3">
      <c r="A21" s="5" t="s">
        <v>35</v>
      </c>
      <c r="B21" s="5">
        <v>10.5</v>
      </c>
      <c r="C21" s="5">
        <f>('PUT_CALL SHEET'!J33+'PUT_CALL SHEET'!K33)/2</f>
        <v>0.92999985499999993</v>
      </c>
      <c r="D21" s="5">
        <v>16</v>
      </c>
      <c r="E21" s="5">
        <v>9.6199999999999992</v>
      </c>
      <c r="F21" s="9">
        <f t="shared" si="2"/>
        <v>4.6974999999999996E-2</v>
      </c>
      <c r="G21" s="5">
        <f>(LN(E21/B21)+((F21+K21^2/2)*'PUT CALL PARITY'!J11)/('IMPLIED VOLATILITY'!K21*SQRT('PUT CALL PARITY'!J11)))</f>
        <v>-1.4123604689167429E-2</v>
      </c>
      <c r="H21" s="5">
        <f>G21-K21*SQRT('PUT CALL PARITY'!J11)</f>
        <v>-0.13262298113437154</v>
      </c>
      <c r="I21" s="5">
        <f>B21*EXP(-F21*'PUT CALL PARITY'!J11)*_xlfn.NORM.S.DIST(-H21,TRUE)-'IMPLIED VOLATILITY'!E21*_xlfn.NORM.S.DIST(-G21,TRUE)</f>
        <v>0.92998826235473953</v>
      </c>
      <c r="J21" s="24">
        <v>0</v>
      </c>
      <c r="K21" s="26">
        <v>0.62703976118047056</v>
      </c>
      <c r="L21" s="23">
        <f t="shared" si="3"/>
        <v>1.1592645260405376E-5</v>
      </c>
      <c r="O21" s="27"/>
    </row>
    <row r="22" spans="1:15" ht="15.6" x14ac:dyDescent="0.3">
      <c r="A22" s="5" t="s">
        <v>37</v>
      </c>
      <c r="B22" s="5">
        <v>11</v>
      </c>
      <c r="C22" s="5">
        <f>('PUT_CALL SHEET'!J34+'PUT_CALL SHEET'!K34)/2</f>
        <v>1.4649996750000001</v>
      </c>
      <c r="D22" s="5">
        <v>3</v>
      </c>
      <c r="E22" s="5">
        <v>9.6199999999999992</v>
      </c>
      <c r="F22" s="9">
        <f t="shared" si="2"/>
        <v>4.6974999999999996E-2</v>
      </c>
      <c r="G22" s="5">
        <f>(LN(E22/B22)+((F22+K22^2/2)*'PUT CALL PARITY'!J12)/('IMPLIED VOLATILITY'!K22*SQRT('PUT CALL PARITY'!J12)))</f>
        <v>-3.649272045945566E-2</v>
      </c>
      <c r="H22" s="5">
        <f>G22-K22*SQRT('PUT CALL PARITY'!J12)</f>
        <v>-0.21255108677388657</v>
      </c>
      <c r="I22" s="5">
        <f>B22*EXP(-F22*'PUT CALL PARITY'!J12)*_xlfn.NORM.S.DIST(-H22,TRUE)-'IMPLIED VOLATILITY'!E22*_xlfn.NORM.S.DIST(-G22,TRUE)</f>
        <v>1.4649828685937809</v>
      </c>
      <c r="J22" s="24">
        <v>0.50509999999999999</v>
      </c>
      <c r="K22" s="26">
        <v>0.9316133070005912</v>
      </c>
      <c r="L22" s="23">
        <f t="shared" si="3"/>
        <v>1.680640621914975E-5</v>
      </c>
      <c r="O22" s="2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05E3-0F65-4EA3-BBF1-56E46B573C78}">
  <dimension ref="A1:T39"/>
  <sheetViews>
    <sheetView topLeftCell="E20" workbookViewId="0">
      <selection activeCell="J24" sqref="J24"/>
    </sheetView>
  </sheetViews>
  <sheetFormatPr defaultColWidth="8.6640625" defaultRowHeight="14.4" x14ac:dyDescent="0.3"/>
  <cols>
    <col min="1" max="1" width="40.21875" style="4" bestFit="1" customWidth="1"/>
    <col min="2" max="2" width="20.6640625" style="4" bestFit="1" customWidth="1"/>
    <col min="3" max="3" width="24.5546875" style="4" bestFit="1" customWidth="1"/>
    <col min="4" max="4" width="12.6640625" style="4" bestFit="1" customWidth="1"/>
    <col min="5" max="5" width="19.21875" style="4" bestFit="1" customWidth="1"/>
    <col min="6" max="6" width="14.44140625" style="4" bestFit="1" customWidth="1"/>
    <col min="7" max="7" width="12.6640625" style="4" bestFit="1" customWidth="1"/>
    <col min="8" max="8" width="21.21875" style="4" bestFit="1" customWidth="1"/>
    <col min="9" max="9" width="12.6640625" style="4" bestFit="1" customWidth="1"/>
    <col min="10" max="10" width="29.109375" style="4" bestFit="1" customWidth="1"/>
    <col min="11" max="11" width="15.21875" style="4" bestFit="1" customWidth="1"/>
    <col min="12" max="12" width="41.44140625" style="4" bestFit="1" customWidth="1"/>
    <col min="13" max="13" width="11.77734375" style="4" bestFit="1" customWidth="1"/>
    <col min="14" max="14" width="10.21875" style="4" bestFit="1" customWidth="1"/>
    <col min="15" max="15" width="28.6640625" style="4" bestFit="1" customWidth="1"/>
    <col min="16" max="16" width="11.77734375" style="4" bestFit="1" customWidth="1"/>
    <col min="17" max="17" width="16.77734375" style="4" bestFit="1" customWidth="1"/>
    <col min="18" max="18" width="8.44140625" style="4" bestFit="1" customWidth="1"/>
    <col min="19" max="19" width="14.44140625" style="4" bestFit="1" customWidth="1"/>
    <col min="20" max="20" width="12.33203125" style="4" bestFit="1" customWidth="1"/>
    <col min="21" max="16384" width="8.6640625" style="4"/>
  </cols>
  <sheetData>
    <row r="1" spans="1:20" hidden="1" x14ac:dyDescent="0.3">
      <c r="A1" s="18" t="s">
        <v>84</v>
      </c>
      <c r="B1" s="18" t="s">
        <v>83</v>
      </c>
    </row>
    <row r="2" spans="1:20" hidden="1" x14ac:dyDescent="0.3">
      <c r="A2" s="16" t="s">
        <v>74</v>
      </c>
      <c r="B2" s="16" t="s">
        <v>9</v>
      </c>
      <c r="C2" s="16" t="s">
        <v>86</v>
      </c>
      <c r="D2" s="16" t="s">
        <v>14</v>
      </c>
      <c r="E2" s="16" t="s">
        <v>85</v>
      </c>
      <c r="F2" s="6" t="s">
        <v>5</v>
      </c>
      <c r="G2" s="6" t="s">
        <v>87</v>
      </c>
      <c r="H2" s="6" t="s">
        <v>68</v>
      </c>
      <c r="I2" s="6" t="s">
        <v>70</v>
      </c>
      <c r="J2" s="6" t="s">
        <v>89</v>
      </c>
      <c r="K2" s="6" t="s">
        <v>88</v>
      </c>
      <c r="L2" s="6" t="s">
        <v>73</v>
      </c>
      <c r="M2" s="6" t="s">
        <v>90</v>
      </c>
      <c r="N2" s="16" t="s">
        <v>14</v>
      </c>
      <c r="O2" s="6" t="s">
        <v>98</v>
      </c>
      <c r="P2" s="6" t="s">
        <v>93</v>
      </c>
      <c r="Q2" s="6" t="s">
        <v>94</v>
      </c>
      <c r="R2" s="6" t="s">
        <v>95</v>
      </c>
      <c r="S2" s="6" t="s">
        <v>96</v>
      </c>
      <c r="T2" s="6" t="s">
        <v>97</v>
      </c>
    </row>
    <row r="3" spans="1:20" hidden="1" x14ac:dyDescent="0.3">
      <c r="A3" s="5" t="s">
        <v>75</v>
      </c>
      <c r="B3" s="5">
        <v>9.5</v>
      </c>
      <c r="C3" s="5">
        <v>0.40000003576278698</v>
      </c>
      <c r="D3" s="5">
        <v>3153</v>
      </c>
      <c r="E3" s="5">
        <v>9.6199999999999992</v>
      </c>
      <c r="F3" s="9">
        <f t="shared" ref="F3:F10" si="0">4.6975/100</f>
        <v>4.6974999999999996E-2</v>
      </c>
      <c r="G3" s="17">
        <f>(15-5)/252</f>
        <v>3.968253968253968E-2</v>
      </c>
      <c r="H3" s="5">
        <f t="shared" ref="H3:H10" si="1">LN((E3/B3)+(F3+(K3^2)/2)*G3) / (K3*SQRT(G3))</f>
        <v>0.21005201663283493</v>
      </c>
      <c r="I3" s="17">
        <f t="shared" ref="I3:I10" si="2">H3-K3*SQRT(G3)</f>
        <v>0.12432509170696202</v>
      </c>
      <c r="J3" s="17">
        <f t="shared" ref="J3:J10" si="3">E3 * _xlfn.NORM.DIST(H3,0,1,TRUE)- B3*EXP(-F3*G3) * _xlfn.NORM.DIST(I3,0,1,TRUE)</f>
        <v>0.40000012958517583</v>
      </c>
      <c r="K3" s="17">
        <v>0.4303457476989932</v>
      </c>
      <c r="L3" s="32">
        <f>ABS(J3-C3)</f>
        <v>9.3822388858022521E-8</v>
      </c>
      <c r="M3" s="17">
        <f>_xlfn.NORM.DIST(H3,0,1,TRUE)</f>
        <v>0.58318646244002759</v>
      </c>
      <c r="N3" s="5">
        <v>3153</v>
      </c>
      <c r="O3" s="5">
        <f>M3*N3</f>
        <v>1838.7869160734069</v>
      </c>
      <c r="P3" s="5"/>
      <c r="Q3" s="5"/>
      <c r="R3" s="5"/>
      <c r="S3" s="5"/>
      <c r="T3" s="5"/>
    </row>
    <row r="4" spans="1:20" hidden="1" x14ac:dyDescent="0.3">
      <c r="A4" s="5" t="s">
        <v>76</v>
      </c>
      <c r="B4" s="17">
        <v>9.5</v>
      </c>
      <c r="C4" s="17">
        <v>0.19999998807907099</v>
      </c>
      <c r="D4" s="17">
        <v>1522</v>
      </c>
      <c r="E4" s="17">
        <v>9.23</v>
      </c>
      <c r="F4" s="9">
        <f t="shared" si="0"/>
        <v>4.6974999999999996E-2</v>
      </c>
      <c r="G4" s="17">
        <f>(15-6)/252</f>
        <v>3.5714285714285712E-2</v>
      </c>
      <c r="H4" s="5">
        <f t="shared" si="1"/>
        <v>-0.28293468776056924</v>
      </c>
      <c r="I4" s="17">
        <f t="shared" si="2"/>
        <v>-0.36618195590504726</v>
      </c>
      <c r="J4" s="17">
        <f t="shared" si="3"/>
        <v>0.19999986048312746</v>
      </c>
      <c r="K4" s="17">
        <v>0.44050313767159655</v>
      </c>
      <c r="L4" s="32">
        <f t="shared" ref="L4:L10" si="4">ABS(J4-C4)</f>
        <v>1.2759594353317638E-7</v>
      </c>
      <c r="M4" s="17">
        <f t="shared" ref="M4:M10" si="5">_xlfn.NORM.DIST(H4,0,1,TRUE)</f>
        <v>0.38861345176950413</v>
      </c>
      <c r="N4" s="17">
        <v>1522</v>
      </c>
      <c r="O4" s="5">
        <f t="shared" ref="O4:O10" si="6">M4*N4</f>
        <v>591.46967359318523</v>
      </c>
      <c r="P4" s="17">
        <f t="shared" ref="P4:P10" si="7">M4-M3</f>
        <v>-0.19457301067052346</v>
      </c>
      <c r="Q4" s="17">
        <f t="shared" ref="Q4:Q10" si="8">E4-E3</f>
        <v>-0.38999999999999879</v>
      </c>
      <c r="R4" s="17">
        <f t="shared" ref="R4:R10" si="9">O4*Q4</f>
        <v>-230.67317270134151</v>
      </c>
      <c r="S4" s="17">
        <f>R4</f>
        <v>-230.67317270134151</v>
      </c>
      <c r="T4" s="17"/>
    </row>
    <row r="5" spans="1:20" hidden="1" x14ac:dyDescent="0.3">
      <c r="A5" s="5" t="s">
        <v>77</v>
      </c>
      <c r="B5" s="5">
        <v>9.5</v>
      </c>
      <c r="C5" s="5">
        <v>0.18000000715255701</v>
      </c>
      <c r="D5" s="5">
        <v>4346</v>
      </c>
      <c r="E5" s="5">
        <v>9.27</v>
      </c>
      <c r="F5" s="9">
        <f t="shared" si="0"/>
        <v>4.6974999999999996E-2</v>
      </c>
      <c r="G5" s="17">
        <f>(15-7)/252</f>
        <v>3.1746031746031744E-2</v>
      </c>
      <c r="H5" s="5">
        <f t="shared" si="1"/>
        <v>-0.27560447990092934</v>
      </c>
      <c r="I5" s="17">
        <f t="shared" si="2"/>
        <v>-0.34900258329541828</v>
      </c>
      <c r="J5" s="17">
        <f t="shared" si="3"/>
        <v>0.1799999099145988</v>
      </c>
      <c r="K5" s="17">
        <v>0.4119458336117805</v>
      </c>
      <c r="L5" s="32">
        <f t="shared" si="4"/>
        <v>9.7237958213147735E-8</v>
      </c>
      <c r="M5" s="17">
        <f t="shared" si="5"/>
        <v>0.39142593421309357</v>
      </c>
      <c r="N5" s="5">
        <v>4346</v>
      </c>
      <c r="O5" s="5">
        <f t="shared" si="6"/>
        <v>1701.1371100901047</v>
      </c>
      <c r="P5" s="17">
        <f t="shared" si="7"/>
        <v>2.812482443589448E-3</v>
      </c>
      <c r="Q5" s="17">
        <f t="shared" si="8"/>
        <v>3.9999999999999147E-2</v>
      </c>
      <c r="R5" s="17">
        <f t="shared" si="9"/>
        <v>68.045484403602742</v>
      </c>
      <c r="S5" s="5">
        <f>SUM($R$4:R5)</f>
        <v>-162.62768829773876</v>
      </c>
      <c r="T5" s="5"/>
    </row>
    <row r="6" spans="1:20" hidden="1" x14ac:dyDescent="0.3">
      <c r="A6" s="5" t="s">
        <v>78</v>
      </c>
      <c r="B6" s="5">
        <v>9.5</v>
      </c>
      <c r="C6" s="5">
        <v>7.9999983310699505E-2</v>
      </c>
      <c r="D6" s="5">
        <v>1847</v>
      </c>
      <c r="E6" s="5">
        <v>9.07</v>
      </c>
      <c r="F6" s="9">
        <f t="shared" si="0"/>
        <v>4.6974999999999996E-2</v>
      </c>
      <c r="G6" s="17">
        <f>(15-8)/252</f>
        <v>2.7777777777777776E-2</v>
      </c>
      <c r="H6" s="5">
        <f t="shared" si="1"/>
        <v>-0.68666535161902775</v>
      </c>
      <c r="I6" s="17">
        <f t="shared" si="2"/>
        <v>-0.7491604508171491</v>
      </c>
      <c r="J6" s="17">
        <f t="shared" si="3"/>
        <v>7.9999862546655365E-2</v>
      </c>
      <c r="K6" s="17">
        <v>0.37497059518872811</v>
      </c>
      <c r="L6" s="32">
        <f t="shared" si="4"/>
        <v>1.2076404413974284E-7</v>
      </c>
      <c r="M6" s="17">
        <f t="shared" si="5"/>
        <v>0.24614681794203425</v>
      </c>
      <c r="N6" s="5">
        <v>1847</v>
      </c>
      <c r="O6" s="5">
        <f t="shared" si="6"/>
        <v>454.63317273893728</v>
      </c>
      <c r="P6" s="17">
        <f t="shared" si="7"/>
        <v>-0.14527911627105933</v>
      </c>
      <c r="Q6" s="17">
        <f t="shared" si="8"/>
        <v>-0.19999999999999929</v>
      </c>
      <c r="R6" s="17">
        <f t="shared" si="9"/>
        <v>-90.926634547787131</v>
      </c>
      <c r="S6" s="5">
        <f>SUM($R$4:R6)</f>
        <v>-253.55432284552589</v>
      </c>
      <c r="T6" s="5"/>
    </row>
    <row r="7" spans="1:20" hidden="1" x14ac:dyDescent="0.3">
      <c r="A7" s="5" t="s">
        <v>79</v>
      </c>
      <c r="B7" s="5">
        <v>9.5</v>
      </c>
      <c r="C7" s="5">
        <v>0.139999985694885</v>
      </c>
      <c r="D7" s="5">
        <v>5457</v>
      </c>
      <c r="E7" s="5">
        <v>9.39</v>
      </c>
      <c r="F7" s="9">
        <f t="shared" si="0"/>
        <v>4.6974999999999996E-2</v>
      </c>
      <c r="G7" s="17">
        <f>(15-11)/252</f>
        <v>1.5873015873015872E-2</v>
      </c>
      <c r="H7" s="5">
        <f t="shared" si="1"/>
        <v>-0.19433064764253499</v>
      </c>
      <c r="I7" s="17">
        <f t="shared" si="2"/>
        <v>-0.24397499792784211</v>
      </c>
      <c r="J7" s="17">
        <f t="shared" si="3"/>
        <v>0.13999991966278946</v>
      </c>
      <c r="K7" s="17">
        <v>0.39403981456290316</v>
      </c>
      <c r="L7" s="32">
        <f t="shared" si="4"/>
        <v>6.6032095541457281E-8</v>
      </c>
      <c r="M7" s="17">
        <f t="shared" si="5"/>
        <v>0.42295849484097381</v>
      </c>
      <c r="N7" s="5">
        <v>5457</v>
      </c>
      <c r="O7" s="5">
        <f t="shared" si="6"/>
        <v>2308.0845063471943</v>
      </c>
      <c r="P7" s="17">
        <f t="shared" si="7"/>
        <v>0.17681167689893956</v>
      </c>
      <c r="Q7" s="17">
        <f t="shared" si="8"/>
        <v>0.32000000000000028</v>
      </c>
      <c r="R7" s="17">
        <f t="shared" si="9"/>
        <v>738.58704203110278</v>
      </c>
      <c r="S7" s="5">
        <f>SUM($R$4:R7)</f>
        <v>485.03271918557687</v>
      </c>
      <c r="T7" s="5"/>
    </row>
    <row r="8" spans="1:20" hidden="1" x14ac:dyDescent="0.3">
      <c r="A8" s="12" t="s">
        <v>80</v>
      </c>
      <c r="B8" s="12">
        <v>9.5</v>
      </c>
      <c r="C8" s="12">
        <v>3.9999999105930301E-2</v>
      </c>
      <c r="D8" s="5">
        <v>4309</v>
      </c>
      <c r="E8" s="5">
        <v>9.01</v>
      </c>
      <c r="F8" s="9">
        <f t="shared" si="0"/>
        <v>4.6974999999999996E-2</v>
      </c>
      <c r="G8" s="17">
        <f>(15-12)/252</f>
        <v>1.1904761904761904E-2</v>
      </c>
      <c r="H8" s="5">
        <f t="shared" si="1"/>
        <v>-0.97507879395510022</v>
      </c>
      <c r="I8" s="17">
        <f t="shared" si="2"/>
        <v>-1.0273113279634118</v>
      </c>
      <c r="J8" s="17">
        <f t="shared" si="3"/>
        <v>3.9999947912125577E-2</v>
      </c>
      <c r="K8" s="17">
        <v>0.4787190816648858</v>
      </c>
      <c r="L8" s="32">
        <f t="shared" si="4"/>
        <v>5.1193804723181913E-8</v>
      </c>
      <c r="M8" s="17">
        <f t="shared" si="5"/>
        <v>0.16476058835472315</v>
      </c>
      <c r="N8" s="5">
        <v>4309</v>
      </c>
      <c r="O8" s="5">
        <f t="shared" si="6"/>
        <v>709.95337522050204</v>
      </c>
      <c r="P8" s="17">
        <f t="shared" si="7"/>
        <v>-0.25819790648625063</v>
      </c>
      <c r="Q8" s="17">
        <f t="shared" si="8"/>
        <v>-0.38000000000000078</v>
      </c>
      <c r="R8" s="17">
        <f t="shared" si="9"/>
        <v>-269.78228258379136</v>
      </c>
      <c r="S8" s="5">
        <f>SUM($R$4:R8)</f>
        <v>215.25043660178551</v>
      </c>
      <c r="T8" s="5"/>
    </row>
    <row r="9" spans="1:20" hidden="1" x14ac:dyDescent="0.3">
      <c r="A9" s="5" t="s">
        <v>81</v>
      </c>
      <c r="B9" s="5">
        <v>9.5</v>
      </c>
      <c r="C9" s="5">
        <v>3.0000001192092899E-2</v>
      </c>
      <c r="D9" s="5">
        <v>3204</v>
      </c>
      <c r="E9" s="5">
        <v>9.0299999999999994</v>
      </c>
      <c r="F9" s="9">
        <f t="shared" si="0"/>
        <v>4.6974999999999996E-2</v>
      </c>
      <c r="G9" s="17">
        <f>(15-13)/252</f>
        <v>7.9365079365079361E-3</v>
      </c>
      <c r="H9" s="5">
        <f t="shared" si="1"/>
        <v>-1.0646136737578433</v>
      </c>
      <c r="I9" s="17">
        <f t="shared" si="2"/>
        <v>-1.1108499993295196</v>
      </c>
      <c r="J9" s="17">
        <f t="shared" si="3"/>
        <v>3.0000028917442911E-2</v>
      </c>
      <c r="K9" s="17">
        <v>0.51900146733764208</v>
      </c>
      <c r="L9" s="32">
        <f t="shared" si="4"/>
        <v>2.7725350012358652E-8</v>
      </c>
      <c r="M9" s="17">
        <f t="shared" si="5"/>
        <v>0.14352539473633263</v>
      </c>
      <c r="N9" s="5">
        <v>3204</v>
      </c>
      <c r="O9" s="5">
        <f t="shared" si="6"/>
        <v>459.85536473520978</v>
      </c>
      <c r="P9" s="17">
        <f t="shared" si="7"/>
        <v>-2.1235193618390519E-2</v>
      </c>
      <c r="Q9" s="17">
        <f t="shared" si="8"/>
        <v>1.9999999999999574E-2</v>
      </c>
      <c r="R9" s="17">
        <f t="shared" si="9"/>
        <v>9.1971072947039989</v>
      </c>
      <c r="S9" s="5">
        <f>SUM($R$4:R9)</f>
        <v>224.44754389648952</v>
      </c>
      <c r="T9" s="5"/>
    </row>
    <row r="10" spans="1:20" hidden="1" x14ac:dyDescent="0.3">
      <c r="A10" s="5" t="s">
        <v>82</v>
      </c>
      <c r="B10" s="5">
        <v>9.5</v>
      </c>
      <c r="C10" s="5">
        <v>1.00000016391277E-2</v>
      </c>
      <c r="D10" s="5">
        <v>1675</v>
      </c>
      <c r="E10" s="5">
        <v>8.81</v>
      </c>
      <c r="F10" s="9">
        <f t="shared" si="0"/>
        <v>4.6974999999999996E-2</v>
      </c>
      <c r="G10" s="17">
        <f>(15-14)/252</f>
        <v>3.968253968253968E-3</v>
      </c>
      <c r="H10" s="5">
        <f t="shared" si="1"/>
        <v>-1.5741205772832663</v>
      </c>
      <c r="I10" s="17">
        <f t="shared" si="2"/>
        <v>-1.6211388242895024</v>
      </c>
      <c r="J10" s="17">
        <f t="shared" si="3"/>
        <v>1.0000006506437564E-2</v>
      </c>
      <c r="K10" s="17">
        <v>0.74639153196424934</v>
      </c>
      <c r="L10" s="32">
        <f t="shared" si="4"/>
        <v>4.8673098641816015E-9</v>
      </c>
      <c r="M10" s="17">
        <f t="shared" si="5"/>
        <v>5.7729788105340227E-2</v>
      </c>
      <c r="N10" s="5">
        <v>1675</v>
      </c>
      <c r="O10" s="5">
        <f t="shared" si="6"/>
        <v>96.697395076444877</v>
      </c>
      <c r="P10" s="17">
        <f t="shared" si="7"/>
        <v>-8.5795606630992408E-2</v>
      </c>
      <c r="Q10" s="17">
        <f t="shared" si="8"/>
        <v>-0.21999999999999886</v>
      </c>
      <c r="R10" s="17">
        <f t="shared" si="9"/>
        <v>-21.273426916817762</v>
      </c>
      <c r="S10" s="5">
        <f>SUM($R$4:R10)</f>
        <v>203.17411697967177</v>
      </c>
      <c r="T10" s="5">
        <f>MAX(E10-B10,0)</f>
        <v>0</v>
      </c>
    </row>
    <row r="11" spans="1:20" x14ac:dyDescent="0.3">
      <c r="N11" s="19"/>
    </row>
    <row r="12" spans="1:20" x14ac:dyDescent="0.3">
      <c r="N12" s="19"/>
    </row>
    <row r="13" spans="1:20" x14ac:dyDescent="0.3">
      <c r="A13" s="51" t="s">
        <v>131</v>
      </c>
      <c r="N13" s="19"/>
    </row>
    <row r="14" spans="1:20" x14ac:dyDescent="0.3">
      <c r="A14" s="76" t="s">
        <v>110</v>
      </c>
      <c r="B14" s="76"/>
      <c r="C14" s="38"/>
      <c r="L14" s="19"/>
    </row>
    <row r="15" spans="1:20" x14ac:dyDescent="0.3">
      <c r="A15" s="36" t="s">
        <v>111</v>
      </c>
      <c r="B15" s="12" t="s">
        <v>112</v>
      </c>
      <c r="C15" s="38"/>
      <c r="L15" s="19"/>
    </row>
    <row r="16" spans="1:20" x14ac:dyDescent="0.3">
      <c r="A16" s="76" t="s">
        <v>113</v>
      </c>
      <c r="B16" s="12">
        <v>80</v>
      </c>
      <c r="C16" s="4" t="s">
        <v>115</v>
      </c>
      <c r="L16" s="19"/>
    </row>
    <row r="17" spans="1:14" x14ac:dyDescent="0.3">
      <c r="A17" s="76"/>
      <c r="B17" s="12">
        <f>B16*100</f>
        <v>8000</v>
      </c>
      <c r="C17" s="4" t="s">
        <v>116</v>
      </c>
      <c r="L17" s="19"/>
    </row>
    <row r="18" spans="1:14" x14ac:dyDescent="0.3">
      <c r="A18" s="36" t="s">
        <v>114</v>
      </c>
      <c r="B18" s="39">
        <v>4.7E-2</v>
      </c>
      <c r="C18" s="40"/>
      <c r="L18" s="19"/>
    </row>
    <row r="19" spans="1:14" x14ac:dyDescent="0.3">
      <c r="A19" s="36" t="s">
        <v>109</v>
      </c>
      <c r="B19" s="12">
        <v>9.5</v>
      </c>
      <c r="N19" s="19"/>
    </row>
    <row r="20" spans="1:14" x14ac:dyDescent="0.3">
      <c r="A20" s="36" t="s">
        <v>88</v>
      </c>
      <c r="B20" s="41">
        <f>'IMPLIED VOLATILITY'!K8</f>
        <v>0.42418411633951442</v>
      </c>
      <c r="C20" s="40"/>
      <c r="N20" s="19"/>
    </row>
    <row r="21" spans="1:14" x14ac:dyDescent="0.3">
      <c r="N21" s="19"/>
    </row>
    <row r="22" spans="1:14" x14ac:dyDescent="0.3">
      <c r="N22" s="19"/>
    </row>
    <row r="23" spans="1:14" ht="43.2" x14ac:dyDescent="0.3">
      <c r="A23" s="42" t="s">
        <v>117</v>
      </c>
      <c r="B23" s="43" t="s">
        <v>92</v>
      </c>
      <c r="C23" s="42" t="s">
        <v>118</v>
      </c>
      <c r="D23" s="42" t="s">
        <v>119</v>
      </c>
      <c r="E23" s="44" t="s">
        <v>120</v>
      </c>
      <c r="F23" s="44" t="s">
        <v>68</v>
      </c>
      <c r="G23" s="44" t="s">
        <v>90</v>
      </c>
      <c r="H23" s="44" t="s">
        <v>121</v>
      </c>
      <c r="I23" s="44" t="s">
        <v>122</v>
      </c>
      <c r="J23" s="44" t="s">
        <v>123</v>
      </c>
      <c r="K23" s="44" t="s">
        <v>124</v>
      </c>
      <c r="L23" s="44" t="s">
        <v>125</v>
      </c>
    </row>
    <row r="24" spans="1:14" x14ac:dyDescent="0.3">
      <c r="A24" s="45" t="s">
        <v>75</v>
      </c>
      <c r="B24" s="5">
        <v>9.6199999999999992</v>
      </c>
      <c r="C24" s="35">
        <v>0.40000003576278698</v>
      </c>
      <c r="D24" s="35">
        <v>8</v>
      </c>
      <c r="E24" s="46">
        <f>D24/252</f>
        <v>3.1746031746031744E-2</v>
      </c>
      <c r="F24" s="35">
        <f t="shared" ref="F24:F31" si="10" xml:space="preserve"> (LN(B24 / $B$19) + ($B$18 + ($B$20^2) / 2) * E24) / ($B$20 * SQRT(E24))</f>
        <v>0.22361600605718404</v>
      </c>
      <c r="G24" s="37">
        <f>ROUND(_xlfn.NORM.DIST(F24,0,1,TRUE),2)</f>
        <v>0.59</v>
      </c>
      <c r="H24" s="35">
        <f>G24*$B$17</f>
        <v>4720</v>
      </c>
      <c r="I24" s="35">
        <f>H24</f>
        <v>4720</v>
      </c>
      <c r="J24" s="35">
        <f>(I24*B24)/1000</f>
        <v>45.406399999999991</v>
      </c>
      <c r="K24" s="35">
        <f>J24</f>
        <v>45.406399999999991</v>
      </c>
      <c r="L24" s="35">
        <f t="shared" ref="L24:L31" si="11">K24*$B$18*(1/252)</f>
        <v>8.4686539682539662E-3</v>
      </c>
      <c r="M24" s="38"/>
    </row>
    <row r="25" spans="1:14" x14ac:dyDescent="0.3">
      <c r="A25" s="45" t="s">
        <v>76</v>
      </c>
      <c r="B25" s="17">
        <v>9.23</v>
      </c>
      <c r="C25" s="35">
        <v>0.19999998807907099</v>
      </c>
      <c r="D25" s="35">
        <v>7</v>
      </c>
      <c r="E25" s="46">
        <f t="shared" ref="E25:E32" si="12">D25/252</f>
        <v>2.7777777777777776E-2</v>
      </c>
      <c r="F25" s="35">
        <f t="shared" si="10"/>
        <v>-0.3540180180878118</v>
      </c>
      <c r="G25" s="37">
        <f t="shared" ref="G25:G31" si="13">ROUND(_xlfn.NORM.DIST(F25,0,1,TRUE),2)</f>
        <v>0.36</v>
      </c>
      <c r="H25" s="35">
        <f t="shared" ref="H25:H31" si="14">G25*$B$17</f>
        <v>2880</v>
      </c>
      <c r="I25" s="35">
        <f t="shared" ref="I25:I32" si="15">H25-H24</f>
        <v>-1840</v>
      </c>
      <c r="J25" s="35">
        <f t="shared" ref="J25:J32" si="16">(I25*B25)/1000</f>
        <v>-16.9832</v>
      </c>
      <c r="K25" s="35">
        <f>K24+L24+J25</f>
        <v>28.431668653968242</v>
      </c>
      <c r="L25" s="35">
        <f t="shared" si="11"/>
        <v>5.3027318521289973E-3</v>
      </c>
      <c r="M25" s="38"/>
    </row>
    <row r="26" spans="1:14" x14ac:dyDescent="0.3">
      <c r="A26" s="45" t="s">
        <v>77</v>
      </c>
      <c r="B26" s="5">
        <v>9.27</v>
      </c>
      <c r="C26" s="35">
        <v>0.18000000715255701</v>
      </c>
      <c r="D26" s="35">
        <v>6</v>
      </c>
      <c r="E26" s="46">
        <f t="shared" si="12"/>
        <v>2.3809523809523808E-2</v>
      </c>
      <c r="F26" s="35">
        <f t="shared" si="10"/>
        <v>-0.32461937640385236</v>
      </c>
      <c r="G26" s="37">
        <f t="shared" si="13"/>
        <v>0.37</v>
      </c>
      <c r="H26" s="35">
        <f t="shared" si="14"/>
        <v>2960</v>
      </c>
      <c r="I26" s="35">
        <f t="shared" si="15"/>
        <v>80</v>
      </c>
      <c r="J26" s="35">
        <f t="shared" si="16"/>
        <v>0.74159999999999993</v>
      </c>
      <c r="K26" s="35">
        <f t="shared" ref="K26:K32" si="17">K25+L25+J26</f>
        <v>29.178571385820369</v>
      </c>
      <c r="L26" s="35">
        <f t="shared" si="11"/>
        <v>5.4420351394188788E-3</v>
      </c>
      <c r="M26" s="38"/>
    </row>
    <row r="27" spans="1:14" x14ac:dyDescent="0.3">
      <c r="A27" s="45" t="s">
        <v>78</v>
      </c>
      <c r="B27" s="5">
        <v>9.07</v>
      </c>
      <c r="C27" s="35">
        <v>7.9999983310699505E-2</v>
      </c>
      <c r="D27" s="35">
        <v>5</v>
      </c>
      <c r="E27" s="46">
        <f t="shared" si="12"/>
        <v>1.984126984126984E-2</v>
      </c>
      <c r="F27" s="35">
        <f t="shared" si="10"/>
        <v>-0.72973774989166573</v>
      </c>
      <c r="G27" s="37">
        <f t="shared" si="13"/>
        <v>0.23</v>
      </c>
      <c r="H27" s="35">
        <f t="shared" si="14"/>
        <v>1840</v>
      </c>
      <c r="I27" s="35">
        <f t="shared" si="15"/>
        <v>-1120</v>
      </c>
      <c r="J27" s="35">
        <f t="shared" si="16"/>
        <v>-10.1584</v>
      </c>
      <c r="K27" s="35">
        <f t="shared" si="17"/>
        <v>19.02561342095979</v>
      </c>
      <c r="L27" s="35">
        <f t="shared" si="11"/>
        <v>3.5484278999409129E-3</v>
      </c>
      <c r="M27" s="38"/>
    </row>
    <row r="28" spans="1:14" x14ac:dyDescent="0.3">
      <c r="A28" s="45" t="s">
        <v>79</v>
      </c>
      <c r="B28" s="5">
        <v>9.39</v>
      </c>
      <c r="C28" s="35">
        <v>0.139999985694885</v>
      </c>
      <c r="D28" s="35">
        <v>4</v>
      </c>
      <c r="E28" s="46">
        <f t="shared" si="12"/>
        <v>1.5873015873015872E-2</v>
      </c>
      <c r="F28" s="35">
        <f t="shared" si="10"/>
        <v>-0.17724653851964048</v>
      </c>
      <c r="G28" s="37">
        <f t="shared" si="13"/>
        <v>0.43</v>
      </c>
      <c r="H28" s="35">
        <f t="shared" si="14"/>
        <v>3440</v>
      </c>
      <c r="I28" s="35">
        <f t="shared" si="15"/>
        <v>1600</v>
      </c>
      <c r="J28" s="35">
        <f t="shared" si="16"/>
        <v>15.023999999999999</v>
      </c>
      <c r="K28" s="35">
        <f t="shared" si="17"/>
        <v>34.05316184885973</v>
      </c>
      <c r="L28" s="35">
        <f t="shared" si="11"/>
        <v>6.3511849480016157E-3</v>
      </c>
      <c r="M28" s="38"/>
    </row>
    <row r="29" spans="1:14" x14ac:dyDescent="0.3">
      <c r="A29" s="45" t="s">
        <v>80</v>
      </c>
      <c r="B29" s="5">
        <v>9.01</v>
      </c>
      <c r="C29" s="35">
        <v>3.9999999105930301E-2</v>
      </c>
      <c r="D29" s="35">
        <v>3</v>
      </c>
      <c r="E29" s="46">
        <f t="shared" si="12"/>
        <v>1.1904761904761904E-2</v>
      </c>
      <c r="F29" s="35">
        <f t="shared" si="10"/>
        <v>-1.1089811642368204</v>
      </c>
      <c r="G29" s="37">
        <f t="shared" si="13"/>
        <v>0.13</v>
      </c>
      <c r="H29" s="35">
        <f t="shared" si="14"/>
        <v>1040</v>
      </c>
      <c r="I29" s="35">
        <f t="shared" si="15"/>
        <v>-2400</v>
      </c>
      <c r="J29" s="35">
        <f t="shared" si="16"/>
        <v>-21.623999999999999</v>
      </c>
      <c r="K29" s="35">
        <f t="shared" si="17"/>
        <v>12.435513033807734</v>
      </c>
      <c r="L29" s="35">
        <f t="shared" si="11"/>
        <v>2.3193218753530297E-3</v>
      </c>
      <c r="M29" s="38"/>
    </row>
    <row r="30" spans="1:14" x14ac:dyDescent="0.3">
      <c r="A30" s="45" t="s">
        <v>81</v>
      </c>
      <c r="B30" s="5">
        <v>9.0299999999999994</v>
      </c>
      <c r="C30" s="35">
        <v>3.0000001192092899E-2</v>
      </c>
      <c r="D30" s="35">
        <v>2</v>
      </c>
      <c r="E30" s="46">
        <f t="shared" si="12"/>
        <v>7.9365079365079361E-3</v>
      </c>
      <c r="F30" s="35">
        <f t="shared" si="10"/>
        <v>-1.313926600534467</v>
      </c>
      <c r="G30" s="37">
        <f t="shared" si="13"/>
        <v>0.09</v>
      </c>
      <c r="H30" s="35">
        <f t="shared" si="14"/>
        <v>720</v>
      </c>
      <c r="I30" s="35">
        <f t="shared" si="15"/>
        <v>-320</v>
      </c>
      <c r="J30" s="35">
        <f t="shared" si="16"/>
        <v>-2.8895999999999997</v>
      </c>
      <c r="K30" s="35">
        <f t="shared" si="17"/>
        <v>9.548232355683087</v>
      </c>
      <c r="L30" s="35">
        <f t="shared" si="11"/>
        <v>1.7808211139567663E-3</v>
      </c>
      <c r="M30" s="38"/>
    </row>
    <row r="31" spans="1:14" x14ac:dyDescent="0.3">
      <c r="A31" s="47" t="s">
        <v>82</v>
      </c>
      <c r="B31" s="5">
        <v>8.81</v>
      </c>
      <c r="C31" s="35">
        <v>1.00000016391277E-2</v>
      </c>
      <c r="D31" s="35">
        <v>1</v>
      </c>
      <c r="E31" s="46">
        <f t="shared" si="12"/>
        <v>3.968253968253968E-3</v>
      </c>
      <c r="F31" s="35">
        <f t="shared" si="10"/>
        <v>-2.8015641951735266</v>
      </c>
      <c r="G31" s="37">
        <f t="shared" si="13"/>
        <v>0</v>
      </c>
      <c r="H31" s="35">
        <f t="shared" si="14"/>
        <v>0</v>
      </c>
      <c r="I31" s="35">
        <f t="shared" si="15"/>
        <v>-720</v>
      </c>
      <c r="J31" s="35">
        <f t="shared" si="16"/>
        <v>-6.3432000000000004</v>
      </c>
      <c r="K31" s="35">
        <f t="shared" si="17"/>
        <v>3.206813176797044</v>
      </c>
      <c r="L31" s="35">
        <f t="shared" si="11"/>
        <v>5.9809610837087716E-4</v>
      </c>
      <c r="M31" s="38"/>
    </row>
    <row r="32" spans="1:14" x14ac:dyDescent="0.3">
      <c r="A32" s="45" t="s">
        <v>126</v>
      </c>
      <c r="B32" s="5">
        <v>8.48</v>
      </c>
      <c r="C32" s="35">
        <v>1.00000016391277E-2</v>
      </c>
      <c r="D32" s="35">
        <v>0</v>
      </c>
      <c r="E32" s="46">
        <f t="shared" si="12"/>
        <v>0</v>
      </c>
      <c r="F32" s="35"/>
      <c r="G32" s="37"/>
      <c r="H32" s="48">
        <f>H31</f>
        <v>0</v>
      </c>
      <c r="I32" s="35">
        <f t="shared" si="15"/>
        <v>0</v>
      </c>
      <c r="J32" s="35">
        <f t="shared" si="16"/>
        <v>0</v>
      </c>
      <c r="K32" s="35">
        <f t="shared" si="17"/>
        <v>3.2074112729054147</v>
      </c>
      <c r="L32" s="35"/>
      <c r="M32" s="38"/>
    </row>
    <row r="34" spans="10:11" x14ac:dyDescent="0.3">
      <c r="J34" s="35"/>
      <c r="K34" s="49" t="s">
        <v>127</v>
      </c>
    </row>
    <row r="35" spans="10:11" x14ac:dyDescent="0.3">
      <c r="J35" s="35" t="s">
        <v>124</v>
      </c>
      <c r="K35" s="35">
        <f>K32</f>
        <v>3.2074112729054147</v>
      </c>
    </row>
    <row r="36" spans="10:11" x14ac:dyDescent="0.3">
      <c r="J36" s="35" t="s">
        <v>97</v>
      </c>
      <c r="K36" s="37">
        <f>MAX(B32-B19,0)</f>
        <v>0</v>
      </c>
    </row>
    <row r="37" spans="10:11" x14ac:dyDescent="0.3">
      <c r="J37" s="35" t="s">
        <v>128</v>
      </c>
      <c r="K37" s="37">
        <f>(K36*B18)/1000</f>
        <v>0</v>
      </c>
    </row>
    <row r="38" spans="10:11" x14ac:dyDescent="0.3">
      <c r="J38" s="35" t="s">
        <v>129</v>
      </c>
      <c r="K38" s="35">
        <f>(H32*B32)/1000</f>
        <v>0</v>
      </c>
    </row>
    <row r="39" spans="10:11" x14ac:dyDescent="0.3">
      <c r="J39" s="49" t="s">
        <v>130</v>
      </c>
      <c r="K39" s="50">
        <f>K38+K37-K35</f>
        <v>-3.2074112729054147</v>
      </c>
    </row>
  </sheetData>
  <mergeCells count="2">
    <mergeCell ref="A16:A17"/>
    <mergeCell ref="A14:B14"/>
  </mergeCells>
  <pageMargins left="0.7" right="0.7" top="0.75" bottom="0.75" header="0.3" footer="0.3"/>
  <ignoredErrors>
    <ignoredError sqref="J24" formula="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C031-37F0-486C-BF55-E5C3883EAE71}">
  <dimension ref="A1:T39"/>
  <sheetViews>
    <sheetView topLeftCell="A17" workbookViewId="0">
      <selection activeCell="E24" sqref="E24"/>
    </sheetView>
  </sheetViews>
  <sheetFormatPr defaultColWidth="8.77734375" defaultRowHeight="14.4" x14ac:dyDescent="0.3"/>
  <cols>
    <col min="1" max="1" width="40.21875" style="68" bestFit="1" customWidth="1"/>
    <col min="2" max="2" width="20.6640625" style="62" bestFit="1" customWidth="1"/>
    <col min="3" max="3" width="24.5546875" style="62" bestFit="1" customWidth="1"/>
    <col min="4" max="4" width="12.6640625" style="62" bestFit="1" customWidth="1"/>
    <col min="5" max="5" width="19.21875" style="62" bestFit="1" customWidth="1"/>
    <col min="6" max="6" width="14.44140625" style="62" bestFit="1" customWidth="1"/>
    <col min="7" max="7" width="12.6640625" style="62" bestFit="1" customWidth="1"/>
    <col min="8" max="9" width="12.44140625" style="62" bestFit="1" customWidth="1"/>
    <col min="10" max="10" width="14.33203125" style="62" bestFit="1" customWidth="1"/>
    <col min="11" max="11" width="22.33203125" style="62" bestFit="1" customWidth="1"/>
    <col min="12" max="12" width="41.44140625" style="62" bestFit="1" customWidth="1"/>
    <col min="13" max="13" width="11.77734375" style="62" bestFit="1" customWidth="1"/>
    <col min="14" max="14" width="5.21875" style="62" bestFit="1" customWidth="1"/>
    <col min="15" max="15" width="28.6640625" style="62" bestFit="1" customWidth="1"/>
    <col min="16" max="16" width="12.44140625" style="62" bestFit="1" customWidth="1"/>
    <col min="17" max="17" width="17.21875" style="62" bestFit="1" customWidth="1"/>
    <col min="18" max="18" width="12.44140625" style="62" bestFit="1" customWidth="1"/>
    <col min="19" max="19" width="14.77734375" style="62" bestFit="1" customWidth="1"/>
    <col min="20" max="20" width="12.44140625" style="62" bestFit="1" customWidth="1"/>
    <col min="21" max="16384" width="8.77734375" style="62"/>
  </cols>
  <sheetData>
    <row r="1" spans="1:20" s="60" customFormat="1" hidden="1" x14ac:dyDescent="0.3">
      <c r="A1" s="57" t="s">
        <v>84</v>
      </c>
      <c r="B1" s="58" t="s">
        <v>83</v>
      </c>
      <c r="C1" s="59"/>
      <c r="D1" s="59"/>
      <c r="E1" s="59"/>
      <c r="F1" s="59"/>
      <c r="G1" s="59"/>
      <c r="H1" s="59"/>
      <c r="I1" s="59"/>
      <c r="J1" s="59"/>
      <c r="K1" s="59"/>
      <c r="L1" s="59"/>
      <c r="M1" s="59"/>
      <c r="N1" s="59"/>
      <c r="O1" s="59"/>
      <c r="P1" s="59"/>
      <c r="Q1" s="59"/>
      <c r="R1" s="59"/>
      <c r="S1" s="59"/>
      <c r="T1" s="59"/>
    </row>
    <row r="2" spans="1:20" hidden="1" x14ac:dyDescent="0.3">
      <c r="A2" s="61" t="s">
        <v>74</v>
      </c>
      <c r="B2" s="16" t="s">
        <v>9</v>
      </c>
      <c r="C2" s="16" t="s">
        <v>86</v>
      </c>
      <c r="D2" s="16" t="s">
        <v>14</v>
      </c>
      <c r="E2" s="16" t="s">
        <v>85</v>
      </c>
      <c r="F2" s="6" t="s">
        <v>5</v>
      </c>
      <c r="G2" s="6" t="s">
        <v>87</v>
      </c>
      <c r="H2" s="6" t="s">
        <v>68</v>
      </c>
      <c r="I2" s="6" t="s">
        <v>70</v>
      </c>
      <c r="J2" s="6" t="s">
        <v>89</v>
      </c>
      <c r="K2" s="52" t="s">
        <v>102</v>
      </c>
      <c r="L2" s="6" t="s">
        <v>73</v>
      </c>
      <c r="M2" s="6" t="s">
        <v>90</v>
      </c>
      <c r="N2" s="16" t="s">
        <v>14</v>
      </c>
      <c r="O2" s="6" t="s">
        <v>98</v>
      </c>
      <c r="P2" s="6" t="s">
        <v>93</v>
      </c>
      <c r="Q2" s="6" t="s">
        <v>94</v>
      </c>
      <c r="R2" s="6" t="s">
        <v>95</v>
      </c>
      <c r="S2" s="6" t="s">
        <v>96</v>
      </c>
      <c r="T2" s="6" t="s">
        <v>97</v>
      </c>
    </row>
    <row r="3" spans="1:20" hidden="1" x14ac:dyDescent="0.3">
      <c r="A3" s="34" t="s">
        <v>75</v>
      </c>
      <c r="B3" s="5">
        <v>9.5</v>
      </c>
      <c r="C3" s="5">
        <v>0.40000003576278698</v>
      </c>
      <c r="D3" s="5">
        <v>3153</v>
      </c>
      <c r="E3" s="5">
        <v>9.6199999999999992</v>
      </c>
      <c r="F3" s="9">
        <f t="shared" ref="F3:F10" si="0">4.6975/100</f>
        <v>4.6974999999999996E-2</v>
      </c>
      <c r="G3" s="17">
        <f>(15-5)/252</f>
        <v>3.968253968253968E-2</v>
      </c>
      <c r="H3" s="5">
        <f t="shared" ref="H3:H10" si="1">LN((E3/B3)+(F3+(K3^2)/2)*G3) / (K3*SQRT(G3))</f>
        <v>0.1730422507457442</v>
      </c>
      <c r="I3" s="17">
        <f t="shared" ref="I3:I10" si="2">H3-K3*SQRT(G3)</f>
        <v>3.8690972325470641E-2</v>
      </c>
      <c r="J3" s="17">
        <f t="shared" ref="J3:J10" si="3">E3 * _xlfn.NORM.DIST(H3,0,1,TRUE)- B3*EXP(-F3*G3) * _xlfn.NORM.DIST(I3,0,1,TRUE)</f>
        <v>0.58332522599928982</v>
      </c>
      <c r="K3" s="17">
        <f>'HP Yahoo Finance'!E24</f>
        <v>0.67443806500795833</v>
      </c>
      <c r="L3" s="17">
        <f>ABS(J3-C3)</f>
        <v>0.18332519023650284</v>
      </c>
      <c r="M3" s="17">
        <f>_xlfn.NORM.DIST(H3,0,1,TRUE)</f>
        <v>0.56869089137902618</v>
      </c>
      <c r="N3" s="5">
        <v>3153</v>
      </c>
      <c r="O3" s="5">
        <f>M3*N3</f>
        <v>1793.0823805180696</v>
      </c>
      <c r="P3" s="5"/>
      <c r="Q3" s="5"/>
      <c r="R3" s="5"/>
      <c r="S3" s="5"/>
      <c r="T3" s="5"/>
    </row>
    <row r="4" spans="1:20" hidden="1" x14ac:dyDescent="0.3">
      <c r="A4" s="34" t="s">
        <v>76</v>
      </c>
      <c r="B4" s="17">
        <v>9.5</v>
      </c>
      <c r="C4" s="17">
        <v>0.19999998807907099</v>
      </c>
      <c r="D4" s="17">
        <v>1522</v>
      </c>
      <c r="E4" s="17">
        <v>9.23</v>
      </c>
      <c r="F4" s="9">
        <f t="shared" si="0"/>
        <v>4.6974999999999996E-2</v>
      </c>
      <c r="G4" s="17">
        <f>(15-6)/252</f>
        <v>3.5714285714285712E-2</v>
      </c>
      <c r="H4" s="5">
        <f t="shared" si="1"/>
        <v>-0.1513423370854606</v>
      </c>
      <c r="I4" s="17">
        <f t="shared" si="2"/>
        <v>-0.27703944293143323</v>
      </c>
      <c r="J4" s="17">
        <f t="shared" si="3"/>
        <v>0.35275456021682627</v>
      </c>
      <c r="K4" s="17">
        <f>'HP Yahoo Finance'!E25</f>
        <v>0.66512656517801327</v>
      </c>
      <c r="L4" s="17">
        <f t="shared" ref="L4:L10" si="4">ABS(J4-C4)</f>
        <v>0.15275457213775528</v>
      </c>
      <c r="M4" s="17">
        <f t="shared" ref="M4:M10" si="5">_xlfn.NORM.DIST(H4,0,1,TRUE)</f>
        <v>0.43985283685985388</v>
      </c>
      <c r="N4" s="17">
        <v>1522</v>
      </c>
      <c r="O4" s="5">
        <f t="shared" ref="O4:O10" si="6">M4*N4</f>
        <v>669.45601770069766</v>
      </c>
      <c r="P4" s="17">
        <f t="shared" ref="P4:P10" si="7">M4-M3</f>
        <v>-0.1288380545191723</v>
      </c>
      <c r="Q4" s="17">
        <f t="shared" ref="Q4:Q10" si="8">E4-E3</f>
        <v>-0.38999999999999879</v>
      </c>
      <c r="R4" s="17">
        <f t="shared" ref="R4:R10" si="9">O4*Q4</f>
        <v>-261.08784690327127</v>
      </c>
      <c r="S4" s="17">
        <f>R4</f>
        <v>-261.08784690327127</v>
      </c>
      <c r="T4" s="17"/>
    </row>
    <row r="5" spans="1:20" hidden="1" x14ac:dyDescent="0.3">
      <c r="A5" s="34" t="s">
        <v>77</v>
      </c>
      <c r="B5" s="5">
        <v>9.5</v>
      </c>
      <c r="C5" s="5">
        <v>0.18000000715255701</v>
      </c>
      <c r="D5" s="5">
        <v>4346</v>
      </c>
      <c r="E5" s="5">
        <v>9.27</v>
      </c>
      <c r="F5" s="9">
        <f t="shared" si="0"/>
        <v>4.6974999999999996E-2</v>
      </c>
      <c r="G5" s="17">
        <f>(15-7)/252</f>
        <v>3.1746031746031744E-2</v>
      </c>
      <c r="H5" s="5">
        <f t="shared" si="1"/>
        <v>-0.12779398647391593</v>
      </c>
      <c r="I5" s="17">
        <f t="shared" si="2"/>
        <v>-0.24901518653978919</v>
      </c>
      <c r="J5" s="17">
        <f t="shared" si="3"/>
        <v>0.35345455732740927</v>
      </c>
      <c r="K5" s="17">
        <f>'HP Yahoo Finance'!E26</f>
        <v>0.68035229799011465</v>
      </c>
      <c r="L5" s="17">
        <f t="shared" si="4"/>
        <v>0.17345455017485226</v>
      </c>
      <c r="M5" s="17">
        <f t="shared" si="5"/>
        <v>0.44915600457099275</v>
      </c>
      <c r="N5" s="5">
        <v>4346</v>
      </c>
      <c r="O5" s="5">
        <f t="shared" si="6"/>
        <v>1952.0319958655346</v>
      </c>
      <c r="P5" s="17">
        <f t="shared" si="7"/>
        <v>9.3031677111388711E-3</v>
      </c>
      <c r="Q5" s="17">
        <f t="shared" si="8"/>
        <v>3.9999999999999147E-2</v>
      </c>
      <c r="R5" s="17">
        <f t="shared" si="9"/>
        <v>78.081279834619721</v>
      </c>
      <c r="S5" s="5">
        <f>SUM($R$4:R5)</f>
        <v>-183.00656706865155</v>
      </c>
      <c r="T5" s="5"/>
    </row>
    <row r="6" spans="1:20" hidden="1" x14ac:dyDescent="0.3">
      <c r="A6" s="34" t="s">
        <v>78</v>
      </c>
      <c r="B6" s="5">
        <v>9.5</v>
      </c>
      <c r="C6" s="5">
        <v>7.9999983310699505E-2</v>
      </c>
      <c r="D6" s="5">
        <v>1847</v>
      </c>
      <c r="E6" s="5">
        <v>9.07</v>
      </c>
      <c r="F6" s="9">
        <f t="shared" si="0"/>
        <v>4.6974999999999996E-2</v>
      </c>
      <c r="G6" s="17">
        <f>(15-8)/252</f>
        <v>2.7777777777777776E-2</v>
      </c>
      <c r="H6" s="5">
        <f t="shared" si="1"/>
        <v>-0.34004565935662506</v>
      </c>
      <c r="I6" s="17">
        <f t="shared" si="2"/>
        <v>-0.45276735691931302</v>
      </c>
      <c r="J6" s="17">
        <f t="shared" si="3"/>
        <v>0.24101169826627311</v>
      </c>
      <c r="K6" s="17">
        <f>'HP Yahoo Finance'!E27</f>
        <v>0.67633018537612766</v>
      </c>
      <c r="L6" s="17">
        <f t="shared" si="4"/>
        <v>0.16101171495557359</v>
      </c>
      <c r="M6" s="17">
        <f t="shared" si="5"/>
        <v>0.36691107165287179</v>
      </c>
      <c r="N6" s="5">
        <v>1847</v>
      </c>
      <c r="O6" s="5">
        <f t="shared" si="6"/>
        <v>677.68474934285416</v>
      </c>
      <c r="P6" s="17">
        <f t="shared" si="7"/>
        <v>-8.2244932918120961E-2</v>
      </c>
      <c r="Q6" s="17">
        <f t="shared" si="8"/>
        <v>-0.19999999999999929</v>
      </c>
      <c r="R6" s="17">
        <f t="shared" si="9"/>
        <v>-135.53694986857036</v>
      </c>
      <c r="S6" s="5">
        <f>SUM($R$4:R6)</f>
        <v>-318.54351693722191</v>
      </c>
      <c r="T6" s="5"/>
    </row>
    <row r="7" spans="1:20" hidden="1" x14ac:dyDescent="0.3">
      <c r="A7" s="34" t="s">
        <v>79</v>
      </c>
      <c r="B7" s="5">
        <v>9.5</v>
      </c>
      <c r="C7" s="5">
        <v>0.139999985694885</v>
      </c>
      <c r="D7" s="5">
        <v>5457</v>
      </c>
      <c r="E7" s="5">
        <v>9.39</v>
      </c>
      <c r="F7" s="9">
        <f t="shared" si="0"/>
        <v>4.6974999999999996E-2</v>
      </c>
      <c r="G7" s="17">
        <f>(15-11)/252</f>
        <v>1.5873015873015872E-2</v>
      </c>
      <c r="H7" s="5">
        <f t="shared" si="1"/>
        <v>-8.4574720675821669E-2</v>
      </c>
      <c r="I7" s="17">
        <f t="shared" si="2"/>
        <v>-0.16991609306722205</v>
      </c>
      <c r="J7" s="17">
        <f t="shared" si="3"/>
        <v>0.27250580119072065</v>
      </c>
      <c r="K7" s="17">
        <f>'HP Yahoo Finance'!E28</f>
        <v>0.67737614367779686</v>
      </c>
      <c r="L7" s="17">
        <f t="shared" si="4"/>
        <v>0.13250581549583565</v>
      </c>
      <c r="M7" s="17">
        <f t="shared" si="5"/>
        <v>0.46629974851128064</v>
      </c>
      <c r="N7" s="5">
        <v>5457</v>
      </c>
      <c r="O7" s="5">
        <f t="shared" si="6"/>
        <v>2544.5977276260583</v>
      </c>
      <c r="P7" s="17">
        <f t="shared" si="7"/>
        <v>9.9388676858408853E-2</v>
      </c>
      <c r="Q7" s="17">
        <f t="shared" si="8"/>
        <v>0.32000000000000028</v>
      </c>
      <c r="R7" s="17">
        <f t="shared" si="9"/>
        <v>814.27127284033941</v>
      </c>
      <c r="S7" s="5">
        <f>SUM($R$4:R7)</f>
        <v>495.7277559031175</v>
      </c>
      <c r="T7" s="5"/>
    </row>
    <row r="8" spans="1:20" hidden="1" x14ac:dyDescent="0.3">
      <c r="A8" s="34" t="s">
        <v>80</v>
      </c>
      <c r="B8" s="5">
        <v>9.5</v>
      </c>
      <c r="C8" s="5">
        <v>3.9999999105930301E-2</v>
      </c>
      <c r="D8" s="5">
        <v>4309</v>
      </c>
      <c r="E8" s="5">
        <v>9.01</v>
      </c>
      <c r="F8" s="9">
        <f t="shared" si="0"/>
        <v>4.6974999999999996E-2</v>
      </c>
      <c r="G8" s="17">
        <f>(15-12)/252</f>
        <v>1.1904761904761904E-2</v>
      </c>
      <c r="H8" s="5">
        <f t="shared" si="1"/>
        <v>-0.66078751071972419</v>
      </c>
      <c r="I8" s="17">
        <f t="shared" si="2"/>
        <v>-0.73558314247724343</v>
      </c>
      <c r="J8" s="17">
        <f t="shared" si="3"/>
        <v>9.8713233106478171E-2</v>
      </c>
      <c r="K8" s="17">
        <f>'HP Yahoo Finance'!E29</f>
        <v>0.68551328836174996</v>
      </c>
      <c r="L8" s="17">
        <f t="shared" si="4"/>
        <v>5.871323400054787E-2</v>
      </c>
      <c r="M8" s="17">
        <f t="shared" si="5"/>
        <v>0.25437429666809364</v>
      </c>
      <c r="N8" s="5">
        <v>4309</v>
      </c>
      <c r="O8" s="5">
        <f t="shared" si="6"/>
        <v>1096.0988443428155</v>
      </c>
      <c r="P8" s="17">
        <f t="shared" si="7"/>
        <v>-0.21192545184318701</v>
      </c>
      <c r="Q8" s="17">
        <f t="shared" si="8"/>
        <v>-0.38000000000000078</v>
      </c>
      <c r="R8" s="17">
        <f t="shared" si="9"/>
        <v>-416.51756085027074</v>
      </c>
      <c r="S8" s="5">
        <f>SUM($R$4:R8)</f>
        <v>79.210195052846757</v>
      </c>
      <c r="T8" s="5"/>
    </row>
    <row r="9" spans="1:20" hidden="1" x14ac:dyDescent="0.3">
      <c r="A9" s="34" t="s">
        <v>81</v>
      </c>
      <c r="B9" s="5">
        <v>9.5</v>
      </c>
      <c r="C9" s="5">
        <v>3.0000001192092899E-2</v>
      </c>
      <c r="D9" s="5">
        <v>3204</v>
      </c>
      <c r="E9" s="5">
        <v>9.0299999999999994</v>
      </c>
      <c r="F9" s="9">
        <f t="shared" si="0"/>
        <v>4.6974999999999996E-2</v>
      </c>
      <c r="G9" s="17">
        <f>(15-13)/252</f>
        <v>7.9365079365079361E-3</v>
      </c>
      <c r="H9" s="5">
        <f t="shared" si="1"/>
        <v>-0.77842828481134363</v>
      </c>
      <c r="I9" s="17">
        <f t="shared" si="2"/>
        <v>-0.84050596632993224</v>
      </c>
      <c r="J9" s="17">
        <f t="shared" si="3"/>
        <v>6.7711039137429596E-2</v>
      </c>
      <c r="K9" s="17">
        <f>'HP Yahoo Finance'!E30</f>
        <v>0.69682024682348176</v>
      </c>
      <c r="L9" s="17">
        <f t="shared" si="4"/>
        <v>3.7711037945336701E-2</v>
      </c>
      <c r="M9" s="17">
        <f t="shared" si="5"/>
        <v>0.21815828473359614</v>
      </c>
      <c r="N9" s="5">
        <v>3204</v>
      </c>
      <c r="O9" s="5">
        <f t="shared" si="6"/>
        <v>698.97914428644197</v>
      </c>
      <c r="P9" s="17">
        <f t="shared" si="7"/>
        <v>-3.62160119344975E-2</v>
      </c>
      <c r="Q9" s="17">
        <f t="shared" si="8"/>
        <v>1.9999999999999574E-2</v>
      </c>
      <c r="R9" s="17">
        <f t="shared" si="9"/>
        <v>13.979582885728542</v>
      </c>
      <c r="S9" s="5">
        <f>SUM($R$4:R9)</f>
        <v>93.189777938575304</v>
      </c>
      <c r="T9" s="5"/>
    </row>
    <row r="10" spans="1:20" hidden="1" x14ac:dyDescent="0.3">
      <c r="A10" s="34" t="s">
        <v>82</v>
      </c>
      <c r="B10" s="5">
        <v>9.5</v>
      </c>
      <c r="C10" s="5">
        <v>1.00000016391277E-2</v>
      </c>
      <c r="D10" s="5">
        <v>1675</v>
      </c>
      <c r="E10" s="5">
        <v>8.81</v>
      </c>
      <c r="F10" s="9">
        <f t="shared" si="0"/>
        <v>4.6974999999999996E-2</v>
      </c>
      <c r="G10" s="17">
        <f>(15-14)/252</f>
        <v>3.968253968253968E-3</v>
      </c>
      <c r="H10" s="5">
        <f t="shared" si="1"/>
        <v>-1.7000373723818034</v>
      </c>
      <c r="I10" s="17">
        <f t="shared" si="2"/>
        <v>-1.7436703143957293</v>
      </c>
      <c r="J10" s="17">
        <f t="shared" si="3"/>
        <v>6.8838436932194269E-3</v>
      </c>
      <c r="K10" s="17">
        <f>'HP Yahoo Finance'!E31</f>
        <v>0.69265148123369702</v>
      </c>
      <c r="L10" s="17">
        <f t="shared" si="4"/>
        <v>3.1161579459082732E-3</v>
      </c>
      <c r="M10" s="17">
        <f t="shared" si="5"/>
        <v>4.4561948032167668E-2</v>
      </c>
      <c r="N10" s="5">
        <v>1675</v>
      </c>
      <c r="O10" s="5">
        <f t="shared" si="6"/>
        <v>74.64126295388084</v>
      </c>
      <c r="P10" s="17">
        <f t="shared" si="7"/>
        <v>-0.17359633670142846</v>
      </c>
      <c r="Q10" s="17">
        <f t="shared" si="8"/>
        <v>-0.21999999999999886</v>
      </c>
      <c r="R10" s="17">
        <f t="shared" si="9"/>
        <v>-16.421077849853699</v>
      </c>
      <c r="S10" s="5">
        <f>SUM($R$4:R10)</f>
        <v>76.768700088721602</v>
      </c>
      <c r="T10" s="5">
        <f>MAX(E10-B10,0)</f>
        <v>0</v>
      </c>
    </row>
    <row r="13" spans="1:20" x14ac:dyDescent="0.3">
      <c r="A13" s="69" t="s">
        <v>131</v>
      </c>
      <c r="B13" s="4"/>
      <c r="C13" s="4"/>
    </row>
    <row r="14" spans="1:20" x14ac:dyDescent="0.3">
      <c r="A14" s="77" t="s">
        <v>110</v>
      </c>
      <c r="B14" s="78"/>
      <c r="C14" s="38"/>
    </row>
    <row r="15" spans="1:20" x14ac:dyDescent="0.3">
      <c r="A15" s="63" t="s">
        <v>111</v>
      </c>
      <c r="B15" s="5" t="s">
        <v>112</v>
      </c>
      <c r="C15" s="38"/>
    </row>
    <row r="16" spans="1:20" x14ac:dyDescent="0.3">
      <c r="A16" s="77" t="s">
        <v>113</v>
      </c>
      <c r="B16" s="5">
        <v>80</v>
      </c>
      <c r="C16" s="4" t="s">
        <v>115</v>
      </c>
    </row>
    <row r="17" spans="1:13" x14ac:dyDescent="0.3">
      <c r="A17" s="77"/>
      <c r="B17" s="5">
        <f>B16*100</f>
        <v>8000</v>
      </c>
      <c r="C17" s="4" t="s">
        <v>116</v>
      </c>
    </row>
    <row r="18" spans="1:13" x14ac:dyDescent="0.3">
      <c r="A18" s="63" t="s">
        <v>114</v>
      </c>
      <c r="B18" s="26">
        <v>4.7E-2</v>
      </c>
      <c r="C18" s="40"/>
    </row>
    <row r="19" spans="1:13" x14ac:dyDescent="0.3">
      <c r="A19" s="63" t="s">
        <v>109</v>
      </c>
      <c r="B19" s="5">
        <v>9.5</v>
      </c>
      <c r="C19" s="4"/>
    </row>
    <row r="20" spans="1:13" x14ac:dyDescent="0.3">
      <c r="A20" s="64"/>
      <c r="B20" s="4"/>
      <c r="C20" s="4"/>
    </row>
    <row r="23" spans="1:13" ht="28.8" x14ac:dyDescent="0.3">
      <c r="A23" s="65" t="s">
        <v>117</v>
      </c>
      <c r="B23" s="43" t="s">
        <v>92</v>
      </c>
      <c r="C23" s="42" t="s">
        <v>118</v>
      </c>
      <c r="D23" s="42" t="s">
        <v>119</v>
      </c>
      <c r="E23" s="44" t="s">
        <v>120</v>
      </c>
      <c r="F23" s="55" t="s">
        <v>132</v>
      </c>
      <c r="G23" s="53" t="s">
        <v>68</v>
      </c>
      <c r="H23" s="44" t="s">
        <v>90</v>
      </c>
      <c r="I23" s="44" t="s">
        <v>121</v>
      </c>
      <c r="J23" s="44" t="s">
        <v>122</v>
      </c>
      <c r="K23" s="44" t="s">
        <v>123</v>
      </c>
      <c r="L23" s="44" t="s">
        <v>124</v>
      </c>
      <c r="M23" s="44" t="s">
        <v>125</v>
      </c>
    </row>
    <row r="24" spans="1:13" x14ac:dyDescent="0.3">
      <c r="A24" s="66" t="s">
        <v>75</v>
      </c>
      <c r="B24" s="5">
        <v>9.6199999999999992</v>
      </c>
      <c r="C24" s="35">
        <v>0.40000003576278698</v>
      </c>
      <c r="D24" s="35">
        <v>8</v>
      </c>
      <c r="E24" s="54">
        <f>D24/252</f>
        <v>3.1746031746031744E-2</v>
      </c>
      <c r="F24" s="56">
        <v>0.67443806500795833</v>
      </c>
      <c r="G24" s="56">
        <f xml:space="preserve"> (LN(B24 / $B$19) + ($B$18 + (F24^2) / 2) * E24) / ( F24* SQRT(E24))</f>
        <v>0.17695838886435897</v>
      </c>
      <c r="H24" s="56">
        <f>ROUND(_xlfn.NORM.DIST(G24,0,1,TRUE),2)</f>
        <v>0.56999999999999995</v>
      </c>
      <c r="I24" s="56">
        <f>$B$17*H24</f>
        <v>4560</v>
      </c>
      <c r="J24" s="56">
        <f>I24</f>
        <v>4560</v>
      </c>
      <c r="K24" s="56">
        <f>(J24*B24)/1000</f>
        <v>43.867199999999997</v>
      </c>
      <c r="L24" s="56">
        <f>K24</f>
        <v>43.867199999999997</v>
      </c>
      <c r="M24" s="56">
        <f t="shared" ref="M24:M31" si="10">L24*$B$18*(1/252)</f>
        <v>8.1815809523809527E-3</v>
      </c>
    </row>
    <row r="25" spans="1:13" x14ac:dyDescent="0.3">
      <c r="A25" s="66" t="s">
        <v>76</v>
      </c>
      <c r="B25" s="17">
        <v>9.23</v>
      </c>
      <c r="C25" s="35">
        <v>0.19999998807907099</v>
      </c>
      <c r="D25" s="35">
        <v>7</v>
      </c>
      <c r="E25" s="54">
        <f t="shared" ref="E25:E32" si="11">D25/252</f>
        <v>2.7777777777777776E-2</v>
      </c>
      <c r="F25" s="56">
        <v>0.66512656517801327</v>
      </c>
      <c r="G25" s="56">
        <f t="shared" ref="G25:G31" si="12" xml:space="preserve"> (LN(B25 / $B$19) + ($B$18 + (F25^2) / 2) * E25) / ( F25* SQRT(E25))</f>
        <v>-0.1928911903765918</v>
      </c>
      <c r="H25" s="56">
        <f t="shared" ref="H25:H31" si="13">ROUND(_xlfn.NORM.DIST(G25,0,1,TRUE),2)</f>
        <v>0.42</v>
      </c>
      <c r="I25" s="56">
        <f>$B$17*H25</f>
        <v>3360</v>
      </c>
      <c r="J25" s="56">
        <f>I25-I24</f>
        <v>-1200</v>
      </c>
      <c r="K25" s="56">
        <f t="shared" ref="K25:K31" si="14">(J25*B25)/1000</f>
        <v>-11.076000000000001</v>
      </c>
      <c r="L25" s="56">
        <f>L24+M24+K25</f>
        <v>32.799381580952378</v>
      </c>
      <c r="M25" s="56">
        <f t="shared" si="10"/>
        <v>6.1173449773998479E-3</v>
      </c>
    </row>
    <row r="26" spans="1:13" x14ac:dyDescent="0.3">
      <c r="A26" s="66" t="s">
        <v>77</v>
      </c>
      <c r="B26" s="5">
        <v>9.27</v>
      </c>
      <c r="C26" s="35">
        <v>0.18000000715255701</v>
      </c>
      <c r="D26" s="35">
        <v>6</v>
      </c>
      <c r="E26" s="54">
        <f t="shared" si="11"/>
        <v>2.3809523809523808E-2</v>
      </c>
      <c r="F26" s="56">
        <v>0.68035229799011465</v>
      </c>
      <c r="G26" s="56">
        <f t="shared" si="12"/>
        <v>-0.17030668102914151</v>
      </c>
      <c r="H26" s="56">
        <f t="shared" si="13"/>
        <v>0.43</v>
      </c>
      <c r="I26" s="56">
        <f t="shared" ref="I26:I31" si="15">$B$17*H26</f>
        <v>3440</v>
      </c>
      <c r="J26" s="56">
        <f t="shared" ref="J26:J31" si="16">I26-I25</f>
        <v>80</v>
      </c>
      <c r="K26" s="56">
        <f t="shared" si="14"/>
        <v>0.74159999999999993</v>
      </c>
      <c r="L26" s="56">
        <f t="shared" ref="L26:L32" si="17">L25+M25+K26</f>
        <v>33.547098925929774</v>
      </c>
      <c r="M26" s="56">
        <f t="shared" si="10"/>
        <v>6.2568001965027749E-3</v>
      </c>
    </row>
    <row r="27" spans="1:13" x14ac:dyDescent="0.3">
      <c r="A27" s="66" t="s">
        <v>78</v>
      </c>
      <c r="B27" s="5">
        <v>9.07</v>
      </c>
      <c r="C27" s="35">
        <v>7.9999983310699505E-2</v>
      </c>
      <c r="D27" s="35">
        <v>5</v>
      </c>
      <c r="E27" s="54">
        <f t="shared" si="11"/>
        <v>1.984126984126984E-2</v>
      </c>
      <c r="F27" s="56">
        <v>0.67633018537612766</v>
      </c>
      <c r="G27" s="56">
        <f t="shared" si="12"/>
        <v>-0.42878412942853666</v>
      </c>
      <c r="H27" s="56">
        <f t="shared" si="13"/>
        <v>0.33</v>
      </c>
      <c r="I27" s="56">
        <f t="shared" si="15"/>
        <v>2640</v>
      </c>
      <c r="J27" s="56">
        <f t="shared" si="16"/>
        <v>-800</v>
      </c>
      <c r="K27" s="56">
        <f t="shared" si="14"/>
        <v>-7.2560000000000002</v>
      </c>
      <c r="L27" s="56">
        <f t="shared" si="17"/>
        <v>26.297355726126277</v>
      </c>
      <c r="M27" s="56">
        <f t="shared" si="10"/>
        <v>4.9046655520949799E-3</v>
      </c>
    </row>
    <row r="28" spans="1:13" x14ac:dyDescent="0.3">
      <c r="A28" s="66" t="s">
        <v>79</v>
      </c>
      <c r="B28" s="5">
        <v>9.39</v>
      </c>
      <c r="C28" s="35">
        <v>0.139999985694885</v>
      </c>
      <c r="D28" s="35">
        <v>4</v>
      </c>
      <c r="E28" s="54">
        <f t="shared" si="11"/>
        <v>1.5873015873015872E-2</v>
      </c>
      <c r="F28" s="56">
        <v>0.67737614367779686</v>
      </c>
      <c r="G28" s="56">
        <f t="shared" si="12"/>
        <v>-8.5057206323992246E-2</v>
      </c>
      <c r="H28" s="56">
        <f t="shared" si="13"/>
        <v>0.47</v>
      </c>
      <c r="I28" s="56">
        <f t="shared" si="15"/>
        <v>3760</v>
      </c>
      <c r="J28" s="56">
        <f t="shared" si="16"/>
        <v>1120</v>
      </c>
      <c r="K28" s="56">
        <f t="shared" si="14"/>
        <v>10.516800000000002</v>
      </c>
      <c r="L28" s="56">
        <f t="shared" si="17"/>
        <v>36.81906039167837</v>
      </c>
      <c r="M28" s="56">
        <f t="shared" si="10"/>
        <v>6.8670469778130284E-3</v>
      </c>
    </row>
    <row r="29" spans="1:13" x14ac:dyDescent="0.3">
      <c r="A29" s="66" t="s">
        <v>80</v>
      </c>
      <c r="B29" s="5">
        <v>9.01</v>
      </c>
      <c r="C29" s="35">
        <v>3.9999999105930301E-2</v>
      </c>
      <c r="D29" s="35">
        <v>3</v>
      </c>
      <c r="E29" s="54">
        <f t="shared" si="11"/>
        <v>1.1904761904761904E-2</v>
      </c>
      <c r="F29" s="56">
        <v>0.68551328836174996</v>
      </c>
      <c r="G29" s="56">
        <f t="shared" si="12"/>
        <v>-0.66314046350354205</v>
      </c>
      <c r="H29" s="56">
        <f t="shared" si="13"/>
        <v>0.25</v>
      </c>
      <c r="I29" s="56">
        <f t="shared" si="15"/>
        <v>2000</v>
      </c>
      <c r="J29" s="56">
        <f t="shared" si="16"/>
        <v>-1760</v>
      </c>
      <c r="K29" s="56">
        <f t="shared" si="14"/>
        <v>-15.8576</v>
      </c>
      <c r="L29" s="56">
        <f t="shared" si="17"/>
        <v>20.968327438656182</v>
      </c>
      <c r="M29" s="56">
        <f t="shared" si="10"/>
        <v>3.9107594826065101E-3</v>
      </c>
    </row>
    <row r="30" spans="1:13" x14ac:dyDescent="0.3">
      <c r="A30" s="66" t="s">
        <v>81</v>
      </c>
      <c r="B30" s="5">
        <v>9.0299999999999994</v>
      </c>
      <c r="C30" s="35">
        <v>3.0000001192092899E-2</v>
      </c>
      <c r="D30" s="35">
        <v>2</v>
      </c>
      <c r="E30" s="54">
        <f t="shared" si="11"/>
        <v>7.9365079365079361E-3</v>
      </c>
      <c r="F30" s="56">
        <v>0.69682024682348176</v>
      </c>
      <c r="G30" s="56">
        <f t="shared" si="12"/>
        <v>-0.78030613979548802</v>
      </c>
      <c r="H30" s="56">
        <f t="shared" si="13"/>
        <v>0.22</v>
      </c>
      <c r="I30" s="56">
        <f t="shared" si="15"/>
        <v>1760</v>
      </c>
      <c r="J30" s="56">
        <f t="shared" si="16"/>
        <v>-240</v>
      </c>
      <c r="K30" s="56">
        <f t="shared" si="14"/>
        <v>-2.1671999999999998</v>
      </c>
      <c r="L30" s="56">
        <f t="shared" si="17"/>
        <v>18.805038198138789</v>
      </c>
      <c r="M30" s="56">
        <f t="shared" si="10"/>
        <v>3.5072888702877896E-3</v>
      </c>
    </row>
    <row r="31" spans="1:13" x14ac:dyDescent="0.3">
      <c r="A31" s="67" t="s">
        <v>82</v>
      </c>
      <c r="B31" s="5">
        <v>8.81</v>
      </c>
      <c r="C31" s="35">
        <v>1.00000016391277E-2</v>
      </c>
      <c r="D31" s="35">
        <v>1</v>
      </c>
      <c r="E31" s="54">
        <f t="shared" si="11"/>
        <v>3.968253968253968E-3</v>
      </c>
      <c r="F31" s="56">
        <v>0.69265148123369702</v>
      </c>
      <c r="G31" s="56">
        <f t="shared" si="12"/>
        <v>-1.7020611143709063</v>
      </c>
      <c r="H31" s="56">
        <f t="shared" si="13"/>
        <v>0.04</v>
      </c>
      <c r="I31" s="56">
        <f t="shared" si="15"/>
        <v>320</v>
      </c>
      <c r="J31" s="56">
        <f t="shared" si="16"/>
        <v>-1440</v>
      </c>
      <c r="K31" s="56">
        <f t="shared" si="14"/>
        <v>-12.686400000000001</v>
      </c>
      <c r="L31" s="56">
        <f t="shared" si="17"/>
        <v>6.1221454870090763</v>
      </c>
      <c r="M31" s="56">
        <f t="shared" si="10"/>
        <v>1.1418287217834389E-3</v>
      </c>
    </row>
    <row r="32" spans="1:13" x14ac:dyDescent="0.3">
      <c r="A32" s="66" t="s">
        <v>126</v>
      </c>
      <c r="B32" s="5">
        <v>8.48</v>
      </c>
      <c r="C32" s="35">
        <v>1.00000016391277E-2</v>
      </c>
      <c r="D32" s="35">
        <v>0</v>
      </c>
      <c r="E32" s="54">
        <f t="shared" si="11"/>
        <v>0</v>
      </c>
      <c r="F32" s="56">
        <v>0.4756307901442583</v>
      </c>
      <c r="G32" s="56"/>
      <c r="H32" s="56"/>
      <c r="I32" s="56"/>
      <c r="J32" s="56"/>
      <c r="K32" s="56"/>
      <c r="L32" s="56">
        <f t="shared" si="17"/>
        <v>6.1232873157308596</v>
      </c>
      <c r="M32" s="56"/>
    </row>
    <row r="34" spans="11:12" x14ac:dyDescent="0.3">
      <c r="K34" s="35"/>
      <c r="L34" s="49" t="s">
        <v>127</v>
      </c>
    </row>
    <row r="35" spans="11:12" x14ac:dyDescent="0.3">
      <c r="K35" s="35" t="s">
        <v>124</v>
      </c>
      <c r="L35" s="35">
        <f>L32</f>
        <v>6.1232873157308596</v>
      </c>
    </row>
    <row r="36" spans="11:12" x14ac:dyDescent="0.3">
      <c r="K36" s="35" t="s">
        <v>97</v>
      </c>
      <c r="L36" s="37">
        <f>MAX(B32-B19,0)</f>
        <v>0</v>
      </c>
    </row>
    <row r="37" spans="11:12" x14ac:dyDescent="0.3">
      <c r="K37" s="35" t="s">
        <v>128</v>
      </c>
      <c r="L37" s="37">
        <f>(L36*B18)/1000</f>
        <v>0</v>
      </c>
    </row>
    <row r="38" spans="11:12" x14ac:dyDescent="0.3">
      <c r="K38" s="35" t="s">
        <v>129</v>
      </c>
      <c r="L38" s="35">
        <f>(I32*C32)/1000</f>
        <v>0</v>
      </c>
    </row>
    <row r="39" spans="11:12" x14ac:dyDescent="0.3">
      <c r="K39" s="49" t="s">
        <v>130</v>
      </c>
      <c r="L39" s="50">
        <f>L38+L37-L35</f>
        <v>-6.1232873157308596</v>
      </c>
    </row>
  </sheetData>
  <mergeCells count="2">
    <mergeCell ref="A14:B14"/>
    <mergeCell ref="A16:A17"/>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99DCA-65F4-4B89-89C9-62D510D7B834}">
  <dimension ref="A2:M29"/>
  <sheetViews>
    <sheetView topLeftCell="B1" zoomScale="70" zoomScaleNormal="70" workbookViewId="0">
      <selection activeCell="R56" sqref="R56"/>
    </sheetView>
  </sheetViews>
  <sheetFormatPr defaultColWidth="8.77734375" defaultRowHeight="14.4" x14ac:dyDescent="0.3"/>
  <cols>
    <col min="1" max="1" width="38.33203125" style="72" bestFit="1" customWidth="1"/>
    <col min="2" max="2" width="9.88671875" style="4" bestFit="1" customWidth="1"/>
    <col min="3" max="3" width="10.33203125" style="4" bestFit="1" customWidth="1"/>
    <col min="4" max="4" width="10" style="4" bestFit="1" customWidth="1"/>
    <col min="5" max="5" width="14" style="4" bestFit="1" customWidth="1"/>
    <col min="6" max="6" width="38.33203125" style="4" bestFit="1" customWidth="1"/>
    <col min="7" max="7" width="8.77734375" style="4"/>
    <col min="8" max="8" width="41.5546875" style="4" bestFit="1" customWidth="1"/>
    <col min="9" max="9" width="13.44140625" style="4" bestFit="1" customWidth="1"/>
    <col min="10" max="10" width="13.21875" style="4" bestFit="1" customWidth="1"/>
    <col min="11" max="11" width="10" style="4" bestFit="1" customWidth="1"/>
    <col min="12" max="12" width="11.44140625" style="4" bestFit="1" customWidth="1"/>
    <col min="13" max="13" width="10.33203125" style="4" bestFit="1" customWidth="1"/>
    <col min="14" max="16384" width="8.77734375" style="4"/>
  </cols>
  <sheetData>
    <row r="2" spans="1:11" x14ac:dyDescent="0.3">
      <c r="A2" s="72" t="s">
        <v>133</v>
      </c>
      <c r="H2" s="4" t="s">
        <v>141</v>
      </c>
    </row>
    <row r="3" spans="1:11" x14ac:dyDescent="0.3">
      <c r="A3" s="71" t="s">
        <v>6</v>
      </c>
      <c r="H3" s="71" t="s">
        <v>6</v>
      </c>
    </row>
    <row r="4" spans="1:11" x14ac:dyDescent="0.3">
      <c r="A4" s="70" t="s">
        <v>92</v>
      </c>
      <c r="B4" s="70">
        <v>9.6199999999999992</v>
      </c>
      <c r="H4" s="70" t="s">
        <v>92</v>
      </c>
      <c r="I4" s="70">
        <v>9.6199999999999992</v>
      </c>
    </row>
    <row r="5" spans="1:11" x14ac:dyDescent="0.3">
      <c r="A5" s="6" t="s">
        <v>8</v>
      </c>
      <c r="B5" s="6" t="s">
        <v>69</v>
      </c>
      <c r="C5" s="6" t="s">
        <v>134</v>
      </c>
      <c r="D5" s="6" t="s">
        <v>135</v>
      </c>
      <c r="H5" s="6" t="s">
        <v>8</v>
      </c>
      <c r="I5" s="6" t="s">
        <v>69</v>
      </c>
      <c r="J5" s="6" t="s">
        <v>134</v>
      </c>
      <c r="K5" s="6" t="s">
        <v>135</v>
      </c>
    </row>
    <row r="6" spans="1:11" x14ac:dyDescent="0.3">
      <c r="A6" s="5" t="s">
        <v>30</v>
      </c>
      <c r="B6" s="5">
        <v>9.5</v>
      </c>
      <c r="C6" s="73">
        <v>0.40000003576278698</v>
      </c>
      <c r="D6" s="5">
        <f>MAX(B4-B6,0)</f>
        <v>0.11999999999999922</v>
      </c>
      <c r="H6" s="5" t="s">
        <v>34</v>
      </c>
      <c r="I6" s="5">
        <v>10.5</v>
      </c>
      <c r="J6" s="73">
        <v>6.9999992847442599E-2</v>
      </c>
      <c r="K6" s="5">
        <f>MAX(I4-I6,0)</f>
        <v>0</v>
      </c>
    </row>
    <row r="8" spans="1:11" ht="15" thickBot="1" x14ac:dyDescent="0.35">
      <c r="A8" s="15" t="s">
        <v>7</v>
      </c>
      <c r="H8" s="15" t="s">
        <v>7</v>
      </c>
    </row>
    <row r="9" spans="1:11" x14ac:dyDescent="0.3">
      <c r="A9" s="5" t="s">
        <v>92</v>
      </c>
      <c r="B9" s="5">
        <v>9.6199999999999992</v>
      </c>
      <c r="H9" s="5" t="s">
        <v>92</v>
      </c>
      <c r="I9" s="5">
        <v>9.6199999999999992</v>
      </c>
    </row>
    <row r="10" spans="1:11" x14ac:dyDescent="0.3">
      <c r="A10" s="6" t="s">
        <v>8</v>
      </c>
      <c r="B10" s="6" t="s">
        <v>69</v>
      </c>
      <c r="C10" s="6" t="s">
        <v>134</v>
      </c>
      <c r="D10" s="6" t="s">
        <v>135</v>
      </c>
      <c r="H10" s="6" t="s">
        <v>8</v>
      </c>
      <c r="I10" s="6" t="s">
        <v>69</v>
      </c>
      <c r="J10" s="6" t="s">
        <v>134</v>
      </c>
      <c r="K10" s="6" t="s">
        <v>135</v>
      </c>
    </row>
    <row r="11" spans="1:11" x14ac:dyDescent="0.3">
      <c r="A11" s="5" t="s">
        <v>31</v>
      </c>
      <c r="B11" s="5">
        <v>9.5</v>
      </c>
      <c r="C11" s="73">
        <v>0.30000001192092901</v>
      </c>
      <c r="D11" s="5">
        <f>MAX(B11-B4,0)</f>
        <v>0</v>
      </c>
      <c r="H11" s="5" t="s">
        <v>35</v>
      </c>
      <c r="I11" s="5">
        <v>8.5</v>
      </c>
      <c r="J11" s="73">
        <v>1.03999996185303</v>
      </c>
      <c r="K11" s="5">
        <f>MAX(I11-I3,0)</f>
        <v>8.5</v>
      </c>
    </row>
    <row r="14" spans="1:11" x14ac:dyDescent="0.3">
      <c r="A14" s="5" t="s">
        <v>140</v>
      </c>
      <c r="H14" s="5" t="s">
        <v>140</v>
      </c>
    </row>
    <row r="15" spans="1:11" x14ac:dyDescent="0.3">
      <c r="A15" s="73">
        <f>C6+C11</f>
        <v>0.70000004768371604</v>
      </c>
      <c r="H15" s="73">
        <f>J6+J11</f>
        <v>1.1099999547004726</v>
      </c>
    </row>
    <row r="19" spans="1:13" x14ac:dyDescent="0.3">
      <c r="A19" s="5" t="s">
        <v>136</v>
      </c>
      <c r="B19" s="5" t="s">
        <v>109</v>
      </c>
      <c r="C19" s="5" t="s">
        <v>137</v>
      </c>
      <c r="D19" s="5" t="s">
        <v>138</v>
      </c>
      <c r="E19" s="5" t="s">
        <v>139</v>
      </c>
      <c r="H19" s="5" t="s">
        <v>136</v>
      </c>
      <c r="I19" s="5" t="s">
        <v>142</v>
      </c>
      <c r="J19" s="5" t="s">
        <v>143</v>
      </c>
      <c r="K19" s="5" t="s">
        <v>137</v>
      </c>
      <c r="L19" s="5" t="s">
        <v>138</v>
      </c>
      <c r="M19" s="5" t="s">
        <v>139</v>
      </c>
    </row>
    <row r="20" spans="1:13" x14ac:dyDescent="0.3">
      <c r="A20" s="5">
        <v>7.5</v>
      </c>
      <c r="B20" s="5">
        <v>9.5</v>
      </c>
      <c r="C20" s="5">
        <f>MAX(A20-B20,0)</f>
        <v>0</v>
      </c>
      <c r="D20" s="5">
        <f>MAX(B20-A20,0)</f>
        <v>2</v>
      </c>
      <c r="E20" s="73">
        <f>C20+D20-A15</f>
        <v>1.299999952316284</v>
      </c>
      <c r="H20" s="5">
        <v>7.5</v>
      </c>
      <c r="I20" s="5">
        <v>10.5</v>
      </c>
      <c r="J20" s="5">
        <v>8.5</v>
      </c>
      <c r="K20" s="5">
        <f>MAX(H20-I20,0)</f>
        <v>0</v>
      </c>
      <c r="L20" s="5">
        <f>MAX(J20-H20,0)</f>
        <v>1</v>
      </c>
      <c r="M20" s="73">
        <f>K20+L20-H15</f>
        <v>-0.10999995470047264</v>
      </c>
    </row>
    <row r="21" spans="1:13" x14ac:dyDescent="0.3">
      <c r="A21" s="5">
        <f t="shared" ref="A21:A29" si="0">A20+0.5</f>
        <v>8</v>
      </c>
      <c r="B21" s="5">
        <v>9.5</v>
      </c>
      <c r="C21" s="5">
        <f t="shared" ref="C21:C29" si="1">MAX(A21-B21,0)</f>
        <v>0</v>
      </c>
      <c r="D21" s="5">
        <f t="shared" ref="D21:D29" si="2">MAX(B21-A21,0)</f>
        <v>1.5</v>
      </c>
      <c r="E21" s="73">
        <f t="shared" ref="E21:E29" si="3">C21+D21-F5</f>
        <v>1.5</v>
      </c>
      <c r="H21" s="5">
        <f t="shared" ref="H21:H29" si="4">H20+0.5</f>
        <v>8</v>
      </c>
      <c r="I21" s="5">
        <v>10.5</v>
      </c>
      <c r="J21" s="5">
        <v>8.5</v>
      </c>
      <c r="K21" s="5">
        <f t="shared" ref="K21:K29" si="5">MAX(H21-I21,0)</f>
        <v>0</v>
      </c>
      <c r="L21" s="5">
        <f t="shared" ref="L21:L29" si="6">MAX(J21-H21,0)</f>
        <v>0.5</v>
      </c>
      <c r="M21" s="73">
        <f t="shared" ref="M21:M29" si="7">K21+L21-M5</f>
        <v>0.5</v>
      </c>
    </row>
    <row r="22" spans="1:13" x14ac:dyDescent="0.3">
      <c r="A22" s="5">
        <f t="shared" si="0"/>
        <v>8.5</v>
      </c>
      <c r="B22" s="5">
        <v>9.5</v>
      </c>
      <c r="C22" s="5">
        <f t="shared" si="1"/>
        <v>0</v>
      </c>
      <c r="D22" s="5">
        <f t="shared" si="2"/>
        <v>1</v>
      </c>
      <c r="E22" s="73">
        <f t="shared" si="3"/>
        <v>1</v>
      </c>
      <c r="H22" s="5">
        <f t="shared" si="4"/>
        <v>8.5</v>
      </c>
      <c r="I22" s="5">
        <v>10.5</v>
      </c>
      <c r="J22" s="5">
        <v>8.5</v>
      </c>
      <c r="K22" s="5">
        <f t="shared" si="5"/>
        <v>0</v>
      </c>
      <c r="L22" s="5">
        <f t="shared" si="6"/>
        <v>0</v>
      </c>
      <c r="M22" s="73">
        <f t="shared" si="7"/>
        <v>0</v>
      </c>
    </row>
    <row r="23" spans="1:13" x14ac:dyDescent="0.3">
      <c r="A23" s="5">
        <f t="shared" si="0"/>
        <v>9</v>
      </c>
      <c r="B23" s="5">
        <v>9.5</v>
      </c>
      <c r="C23" s="5">
        <f t="shared" si="1"/>
        <v>0</v>
      </c>
      <c r="D23" s="5">
        <f t="shared" si="2"/>
        <v>0.5</v>
      </c>
      <c r="E23" s="73">
        <f t="shared" si="3"/>
        <v>0.5</v>
      </c>
      <c r="H23" s="5">
        <f t="shared" si="4"/>
        <v>9</v>
      </c>
      <c r="I23" s="5">
        <v>10.5</v>
      </c>
      <c r="J23" s="5">
        <v>8.5</v>
      </c>
      <c r="K23" s="5">
        <f t="shared" si="5"/>
        <v>0</v>
      </c>
      <c r="L23" s="5">
        <f t="shared" si="6"/>
        <v>0</v>
      </c>
      <c r="M23" s="73">
        <f t="shared" si="7"/>
        <v>0</v>
      </c>
    </row>
    <row r="24" spans="1:13" x14ac:dyDescent="0.3">
      <c r="A24" s="5">
        <f t="shared" si="0"/>
        <v>9.5</v>
      </c>
      <c r="B24" s="5">
        <v>9.5</v>
      </c>
      <c r="C24" s="5">
        <f t="shared" si="1"/>
        <v>0</v>
      </c>
      <c r="D24" s="5">
        <f t="shared" si="2"/>
        <v>0</v>
      </c>
      <c r="E24" s="73">
        <f t="shared" si="3"/>
        <v>0</v>
      </c>
      <c r="H24" s="5">
        <f t="shared" si="4"/>
        <v>9.5</v>
      </c>
      <c r="I24" s="5">
        <v>10.5</v>
      </c>
      <c r="J24" s="5">
        <v>8.5</v>
      </c>
      <c r="K24" s="5">
        <f t="shared" si="5"/>
        <v>0</v>
      </c>
      <c r="L24" s="5">
        <f t="shared" si="6"/>
        <v>0</v>
      </c>
      <c r="M24" s="73">
        <f t="shared" si="7"/>
        <v>0</v>
      </c>
    </row>
    <row r="25" spans="1:13" x14ac:dyDescent="0.3">
      <c r="A25" s="5">
        <f t="shared" si="0"/>
        <v>10</v>
      </c>
      <c r="B25" s="5">
        <v>9.5</v>
      </c>
      <c r="C25" s="5">
        <f t="shared" si="1"/>
        <v>0.5</v>
      </c>
      <c r="D25" s="5">
        <f t="shared" si="2"/>
        <v>0</v>
      </c>
      <c r="E25" s="73">
        <f t="shared" si="3"/>
        <v>0.5</v>
      </c>
      <c r="H25" s="5">
        <f t="shared" si="4"/>
        <v>10</v>
      </c>
      <c r="I25" s="5">
        <v>10.5</v>
      </c>
      <c r="J25" s="5">
        <v>8.5</v>
      </c>
      <c r="K25" s="5">
        <f t="shared" si="5"/>
        <v>0</v>
      </c>
      <c r="L25" s="5">
        <f t="shared" si="6"/>
        <v>0</v>
      </c>
      <c r="M25" s="73">
        <f t="shared" si="7"/>
        <v>0</v>
      </c>
    </row>
    <row r="26" spans="1:13" x14ac:dyDescent="0.3">
      <c r="A26" s="5">
        <f t="shared" si="0"/>
        <v>10.5</v>
      </c>
      <c r="B26" s="5">
        <v>9.5</v>
      </c>
      <c r="C26" s="5">
        <f t="shared" si="1"/>
        <v>1</v>
      </c>
      <c r="D26" s="5">
        <f t="shared" si="2"/>
        <v>0</v>
      </c>
      <c r="E26" s="73">
        <f t="shared" si="3"/>
        <v>1</v>
      </c>
      <c r="H26" s="5">
        <f t="shared" si="4"/>
        <v>10.5</v>
      </c>
      <c r="I26" s="5">
        <v>10.5</v>
      </c>
      <c r="J26" s="5">
        <v>8.5</v>
      </c>
      <c r="K26" s="5">
        <f t="shared" si="5"/>
        <v>0</v>
      </c>
      <c r="L26" s="5">
        <f t="shared" si="6"/>
        <v>0</v>
      </c>
      <c r="M26" s="73">
        <f t="shared" si="7"/>
        <v>0</v>
      </c>
    </row>
    <row r="27" spans="1:13" x14ac:dyDescent="0.3">
      <c r="A27" s="5">
        <f t="shared" si="0"/>
        <v>11</v>
      </c>
      <c r="B27" s="5">
        <v>9.5</v>
      </c>
      <c r="C27" s="5">
        <f t="shared" si="1"/>
        <v>1.5</v>
      </c>
      <c r="D27" s="5">
        <f t="shared" si="2"/>
        <v>0</v>
      </c>
      <c r="E27" s="73">
        <f t="shared" si="3"/>
        <v>1.5</v>
      </c>
      <c r="H27" s="5">
        <f t="shared" si="4"/>
        <v>11</v>
      </c>
      <c r="I27" s="5">
        <v>10.5</v>
      </c>
      <c r="J27" s="5">
        <v>8.5</v>
      </c>
      <c r="K27" s="5">
        <f t="shared" si="5"/>
        <v>0.5</v>
      </c>
      <c r="L27" s="5">
        <f t="shared" si="6"/>
        <v>0</v>
      </c>
      <c r="M27" s="73">
        <f t="shared" si="7"/>
        <v>0.5</v>
      </c>
    </row>
    <row r="28" spans="1:13" x14ac:dyDescent="0.3">
      <c r="A28" s="5">
        <f t="shared" si="0"/>
        <v>11.5</v>
      </c>
      <c r="B28" s="5">
        <v>9.5</v>
      </c>
      <c r="C28" s="5">
        <f t="shared" si="1"/>
        <v>2</v>
      </c>
      <c r="D28" s="5">
        <f t="shared" si="2"/>
        <v>0</v>
      </c>
      <c r="E28" s="73">
        <f t="shared" si="3"/>
        <v>2</v>
      </c>
      <c r="H28" s="5">
        <f t="shared" si="4"/>
        <v>11.5</v>
      </c>
      <c r="I28" s="5">
        <v>10.5</v>
      </c>
      <c r="J28" s="5">
        <v>8.5</v>
      </c>
      <c r="K28" s="5">
        <f t="shared" si="5"/>
        <v>1</v>
      </c>
      <c r="L28" s="5">
        <f t="shared" si="6"/>
        <v>0</v>
      </c>
      <c r="M28" s="73">
        <f t="shared" si="7"/>
        <v>1</v>
      </c>
    </row>
    <row r="29" spans="1:13" x14ac:dyDescent="0.3">
      <c r="A29" s="5">
        <f t="shared" si="0"/>
        <v>12</v>
      </c>
      <c r="B29" s="5">
        <v>9.5</v>
      </c>
      <c r="C29" s="5">
        <f t="shared" si="1"/>
        <v>2.5</v>
      </c>
      <c r="D29" s="5">
        <f t="shared" si="2"/>
        <v>0</v>
      </c>
      <c r="E29" s="73">
        <f t="shared" si="3"/>
        <v>2.5</v>
      </c>
      <c r="H29" s="5">
        <f t="shared" si="4"/>
        <v>12</v>
      </c>
      <c r="I29" s="5">
        <v>10.5</v>
      </c>
      <c r="J29" s="5">
        <v>8.5</v>
      </c>
      <c r="K29" s="5">
        <f t="shared" si="5"/>
        <v>1.5</v>
      </c>
      <c r="L29" s="5">
        <f t="shared" si="6"/>
        <v>0</v>
      </c>
      <c r="M29" s="73">
        <f t="shared" si="7"/>
        <v>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12374-E1E2-4452-991E-0B24C7952AB8}">
  <dimension ref="A1:O34"/>
  <sheetViews>
    <sheetView topLeftCell="A1157" workbookViewId="0">
      <selection activeCell="E7" sqref="E7"/>
    </sheetView>
  </sheetViews>
  <sheetFormatPr defaultColWidth="8.77734375" defaultRowHeight="14.4" x14ac:dyDescent="0.3"/>
  <cols>
    <col min="1" max="1" width="23.21875" bestFit="1" customWidth="1"/>
    <col min="2" max="2" width="5.44140625" bestFit="1" customWidth="1"/>
    <col min="3" max="6" width="11.77734375" bestFit="1" customWidth="1"/>
    <col min="7" max="7" width="5.21875" bestFit="1" customWidth="1"/>
    <col min="8" max="8" width="18.21875" bestFit="1" customWidth="1"/>
    <col min="9" max="9" width="5.44140625" bestFit="1" customWidth="1"/>
    <col min="10" max="13" width="11.77734375" bestFit="1" customWidth="1"/>
    <col min="14" max="14" width="5.21875" bestFit="1" customWidth="1"/>
  </cols>
  <sheetData>
    <row r="1" spans="1:15" x14ac:dyDescent="0.3">
      <c r="A1" t="s">
        <v>6</v>
      </c>
      <c r="H1" t="s">
        <v>7</v>
      </c>
    </row>
    <row r="2" spans="1:15" x14ac:dyDescent="0.3">
      <c r="A2" t="s">
        <v>8</v>
      </c>
      <c r="B2" t="s">
        <v>9</v>
      </c>
      <c r="C2" t="s">
        <v>10</v>
      </c>
      <c r="D2" t="s">
        <v>11</v>
      </c>
      <c r="E2" t="s">
        <v>12</v>
      </c>
      <c r="F2" t="s">
        <v>13</v>
      </c>
      <c r="G2" t="s">
        <v>14</v>
      </c>
      <c r="H2" t="s">
        <v>8</v>
      </c>
      <c r="I2" t="s">
        <v>9</v>
      </c>
      <c r="J2" t="s">
        <v>10</v>
      </c>
      <c r="K2" t="s">
        <v>11</v>
      </c>
      <c r="L2" t="s">
        <v>12</v>
      </c>
      <c r="M2" t="s">
        <v>13</v>
      </c>
      <c r="N2" t="s">
        <v>14</v>
      </c>
    </row>
    <row r="3" spans="1:15" x14ac:dyDescent="0.3">
      <c r="A3" t="s">
        <v>15</v>
      </c>
    </row>
    <row r="4" spans="1:15" x14ac:dyDescent="0.3">
      <c r="A4" t="s">
        <v>16</v>
      </c>
      <c r="B4">
        <v>6</v>
      </c>
      <c r="C4">
        <v>3</v>
      </c>
      <c r="D4">
        <v>4.6000003814697301</v>
      </c>
      <c r="E4">
        <v>0</v>
      </c>
      <c r="F4">
        <v>246.35733032226599</v>
      </c>
      <c r="G4">
        <v>0</v>
      </c>
      <c r="H4" t="s">
        <v>17</v>
      </c>
      <c r="I4">
        <v>6</v>
      </c>
      <c r="J4">
        <v>0</v>
      </c>
      <c r="K4">
        <v>0.19999998807907099</v>
      </c>
      <c r="L4">
        <v>0</v>
      </c>
      <c r="M4">
        <v>231.79740905761699</v>
      </c>
      <c r="N4">
        <v>0</v>
      </c>
      <c r="O4" t="s">
        <v>103</v>
      </c>
    </row>
    <row r="5" spans="1:15" x14ac:dyDescent="0.3">
      <c r="A5" t="s">
        <v>18</v>
      </c>
      <c r="B5">
        <v>6.5</v>
      </c>
      <c r="C5">
        <v>2</v>
      </c>
      <c r="D5">
        <v>3.75</v>
      </c>
      <c r="E5">
        <v>0</v>
      </c>
      <c r="F5">
        <v>0</v>
      </c>
      <c r="G5">
        <v>0</v>
      </c>
      <c r="H5" t="s">
        <v>19</v>
      </c>
      <c r="I5">
        <v>6.5</v>
      </c>
      <c r="J5">
        <v>0</v>
      </c>
      <c r="K5">
        <v>0.20999997854232799</v>
      </c>
      <c r="L5">
        <v>0</v>
      </c>
      <c r="M5">
        <v>204.13941955566401</v>
      </c>
      <c r="N5">
        <v>0</v>
      </c>
    </row>
    <row r="6" spans="1:15" x14ac:dyDescent="0.3">
      <c r="A6" t="s">
        <v>20</v>
      </c>
      <c r="B6">
        <v>7</v>
      </c>
      <c r="C6">
        <v>2.4000005722045898</v>
      </c>
      <c r="D6">
        <v>2.57999992370606</v>
      </c>
      <c r="E6">
        <v>2.6000003814697301</v>
      </c>
      <c r="F6">
        <v>0</v>
      </c>
      <c r="G6">
        <v>4</v>
      </c>
      <c r="H6" t="s">
        <v>21</v>
      </c>
      <c r="I6">
        <v>7</v>
      </c>
      <c r="J6">
        <v>0</v>
      </c>
      <c r="K6">
        <v>7.9999983310699505E-2</v>
      </c>
      <c r="L6">
        <v>0</v>
      </c>
      <c r="M6">
        <v>130.97604370117199</v>
      </c>
      <c r="N6">
        <v>0</v>
      </c>
    </row>
    <row r="7" spans="1:15" x14ac:dyDescent="0.3">
      <c r="A7" t="s">
        <v>22</v>
      </c>
      <c r="B7">
        <v>7.5</v>
      </c>
      <c r="C7">
        <v>1</v>
      </c>
      <c r="D7">
        <v>2.2799997329711901</v>
      </c>
      <c r="E7">
        <v>1.94999980926514</v>
      </c>
      <c r="F7">
        <v>0</v>
      </c>
      <c r="G7">
        <v>5</v>
      </c>
      <c r="H7" t="s">
        <v>23</v>
      </c>
      <c r="I7">
        <v>7.5</v>
      </c>
      <c r="J7">
        <v>1.00000016391277E-2</v>
      </c>
      <c r="K7">
        <v>1.9999999552965199E-2</v>
      </c>
      <c r="L7">
        <v>1.9999999552965199E-2</v>
      </c>
      <c r="M7">
        <v>74.629127502441406</v>
      </c>
      <c r="N7">
        <v>3</v>
      </c>
    </row>
    <row r="8" spans="1:15" x14ac:dyDescent="0.3">
      <c r="A8" t="s">
        <v>24</v>
      </c>
      <c r="B8">
        <v>8</v>
      </c>
      <c r="C8">
        <v>1</v>
      </c>
      <c r="D8">
        <v>1.78999996185303</v>
      </c>
      <c r="E8">
        <v>0</v>
      </c>
      <c r="F8">
        <v>0</v>
      </c>
      <c r="G8">
        <v>0</v>
      </c>
      <c r="H8" t="s">
        <v>25</v>
      </c>
      <c r="I8">
        <v>8</v>
      </c>
      <c r="J8">
        <v>1.9999999552965199E-2</v>
      </c>
      <c r="K8">
        <v>3.9999999105930301E-2</v>
      </c>
      <c r="L8">
        <v>0</v>
      </c>
      <c r="M8">
        <v>66.524955749511705</v>
      </c>
      <c r="N8">
        <v>0</v>
      </c>
    </row>
    <row r="9" spans="1:15" x14ac:dyDescent="0.3">
      <c r="A9" t="s">
        <v>26</v>
      </c>
      <c r="B9">
        <v>8.5</v>
      </c>
      <c r="C9">
        <v>0.92000001668930098</v>
      </c>
      <c r="D9">
        <v>1.3100004196167001</v>
      </c>
      <c r="E9">
        <v>1.0600004196167001</v>
      </c>
      <c r="F9">
        <v>56.409019470214801</v>
      </c>
      <c r="G9">
        <v>4</v>
      </c>
      <c r="H9" t="s">
        <v>27</v>
      </c>
      <c r="I9">
        <v>8.5</v>
      </c>
      <c r="J9">
        <v>5.0000000745058101E-2</v>
      </c>
      <c r="K9">
        <v>5.9999998658895499E-2</v>
      </c>
      <c r="L9">
        <v>5.0000000745058101E-2</v>
      </c>
      <c r="M9">
        <v>56.784431457519503</v>
      </c>
      <c r="N9">
        <v>33</v>
      </c>
    </row>
    <row r="10" spans="1:15" x14ac:dyDescent="0.3">
      <c r="A10" t="s">
        <v>28</v>
      </c>
      <c r="B10">
        <v>9</v>
      </c>
      <c r="C10">
        <v>0.68000000715255704</v>
      </c>
      <c r="D10">
        <v>0.70999997854232799</v>
      </c>
      <c r="E10">
        <v>0.64999997615814198</v>
      </c>
      <c r="F10">
        <v>52.131805419921903</v>
      </c>
      <c r="G10">
        <v>661</v>
      </c>
      <c r="H10" t="s">
        <v>29</v>
      </c>
      <c r="I10">
        <v>9</v>
      </c>
      <c r="J10">
        <v>0.139999985694885</v>
      </c>
      <c r="K10">
        <v>0.16000002622604401</v>
      </c>
      <c r="L10">
        <v>0.120000004768372</v>
      </c>
      <c r="M10">
        <v>55.2643432617188</v>
      </c>
      <c r="N10">
        <v>225</v>
      </c>
    </row>
    <row r="11" spans="1:15" x14ac:dyDescent="0.3">
      <c r="A11" t="s">
        <v>30</v>
      </c>
      <c r="B11">
        <v>9.5</v>
      </c>
      <c r="C11">
        <v>0.37000000476837203</v>
      </c>
      <c r="D11">
        <v>0.37999999523162797</v>
      </c>
      <c r="E11">
        <v>0.40000003576278698</v>
      </c>
      <c r="F11">
        <v>50.664100646972699</v>
      </c>
      <c r="G11">
        <v>3153</v>
      </c>
      <c r="H11" t="s">
        <v>31</v>
      </c>
      <c r="I11">
        <v>9.5</v>
      </c>
      <c r="J11">
        <v>0.31999999284744302</v>
      </c>
      <c r="K11">
        <v>0.34000003337860102</v>
      </c>
      <c r="L11">
        <v>0.30000001192092901</v>
      </c>
      <c r="M11">
        <v>53.230445861816399</v>
      </c>
      <c r="N11">
        <v>205</v>
      </c>
    </row>
    <row r="12" spans="1:15" x14ac:dyDescent="0.3">
      <c r="A12" t="s">
        <v>32</v>
      </c>
      <c r="B12">
        <v>10</v>
      </c>
      <c r="C12">
        <v>0.150000035762787</v>
      </c>
      <c r="D12">
        <v>0.18000000715255701</v>
      </c>
      <c r="E12">
        <v>0.20999997854232799</v>
      </c>
      <c r="F12">
        <v>48.919620513916001</v>
      </c>
      <c r="G12">
        <v>5651</v>
      </c>
      <c r="H12" t="s">
        <v>33</v>
      </c>
      <c r="I12">
        <v>10</v>
      </c>
      <c r="J12">
        <v>0.60000002384185802</v>
      </c>
      <c r="K12">
        <v>0.62999999523162797</v>
      </c>
      <c r="L12">
        <v>0.56000000238418601</v>
      </c>
      <c r="M12">
        <v>50.849769592285199</v>
      </c>
      <c r="N12">
        <v>83</v>
      </c>
    </row>
    <row r="13" spans="1:15" x14ac:dyDescent="0.3">
      <c r="A13" t="s">
        <v>34</v>
      </c>
      <c r="B13">
        <v>10.5</v>
      </c>
      <c r="C13">
        <v>5.9999998658895499E-2</v>
      </c>
      <c r="D13">
        <v>6.9999992847442599E-2</v>
      </c>
      <c r="E13">
        <v>6.9999992847442599E-2</v>
      </c>
      <c r="F13">
        <v>49.372314453125</v>
      </c>
      <c r="G13">
        <v>2660</v>
      </c>
      <c r="H13" t="s">
        <v>35</v>
      </c>
      <c r="I13">
        <v>10.5</v>
      </c>
      <c r="J13">
        <v>0.82999998331069902</v>
      </c>
      <c r="K13">
        <v>1.0299997329711901</v>
      </c>
      <c r="L13">
        <v>1.03999996185303</v>
      </c>
      <c r="M13">
        <v>0</v>
      </c>
      <c r="N13">
        <v>16</v>
      </c>
    </row>
    <row r="14" spans="1:15" x14ac:dyDescent="0.3">
      <c r="A14" t="s">
        <v>36</v>
      </c>
      <c r="B14">
        <v>11</v>
      </c>
      <c r="C14">
        <v>1.00000016391277E-2</v>
      </c>
      <c r="D14">
        <v>3.0000001192092899E-2</v>
      </c>
      <c r="E14">
        <v>1.9999999552965199E-2</v>
      </c>
      <c r="F14">
        <v>48.689926147460902</v>
      </c>
      <c r="G14">
        <v>13</v>
      </c>
      <c r="H14" t="s">
        <v>37</v>
      </c>
      <c r="I14">
        <v>11</v>
      </c>
      <c r="J14">
        <v>1.3999996185302701</v>
      </c>
      <c r="K14">
        <v>1.5299997329711901</v>
      </c>
      <c r="L14">
        <v>1.7200002670288099</v>
      </c>
      <c r="M14">
        <v>50.518955230712898</v>
      </c>
      <c r="N14">
        <v>3</v>
      </c>
    </row>
    <row r="15" spans="1:15" x14ac:dyDescent="0.3">
      <c r="A15" t="s">
        <v>38</v>
      </c>
      <c r="B15">
        <v>11.5</v>
      </c>
      <c r="C15">
        <v>0</v>
      </c>
      <c r="D15">
        <v>0.10000002384185799</v>
      </c>
      <c r="E15">
        <v>0</v>
      </c>
      <c r="F15">
        <v>88.915077209472699</v>
      </c>
      <c r="G15">
        <v>0</v>
      </c>
      <c r="H15" t="s">
        <v>39</v>
      </c>
      <c r="I15">
        <v>11.5</v>
      </c>
      <c r="J15">
        <v>1.71000003814697</v>
      </c>
      <c r="K15">
        <v>2.2600002288818399</v>
      </c>
      <c r="L15">
        <v>0</v>
      </c>
      <c r="M15">
        <v>71.988212585449205</v>
      </c>
      <c r="N15">
        <v>0</v>
      </c>
    </row>
    <row r="16" spans="1:15" x14ac:dyDescent="0.3">
      <c r="A16" t="s">
        <v>40</v>
      </c>
      <c r="B16">
        <v>12</v>
      </c>
      <c r="C16">
        <v>0</v>
      </c>
      <c r="D16">
        <v>5.0000000745058101E-2</v>
      </c>
      <c r="E16">
        <v>0</v>
      </c>
      <c r="F16">
        <v>85.973640441894503</v>
      </c>
      <c r="G16">
        <v>0</v>
      </c>
      <c r="H16" t="s">
        <v>41</v>
      </c>
      <c r="I16">
        <v>12</v>
      </c>
      <c r="J16">
        <v>2.25</v>
      </c>
      <c r="K16">
        <v>2.5500001907348602</v>
      </c>
      <c r="L16">
        <v>0</v>
      </c>
      <c r="M16">
        <v>0</v>
      </c>
      <c r="N16">
        <v>0</v>
      </c>
    </row>
    <row r="17" spans="1:14" x14ac:dyDescent="0.3">
      <c r="A17" t="s">
        <v>42</v>
      </c>
      <c r="B17">
        <v>12.5</v>
      </c>
      <c r="C17">
        <v>1.00000016391277E-2</v>
      </c>
      <c r="D17">
        <v>1.9999999552965199E-2</v>
      </c>
      <c r="E17">
        <v>1.00000016391277E-2</v>
      </c>
      <c r="F17">
        <v>77.475563049316406</v>
      </c>
      <c r="G17">
        <v>282</v>
      </c>
      <c r="H17" t="s">
        <v>43</v>
      </c>
      <c r="I17">
        <v>12.5</v>
      </c>
      <c r="J17">
        <v>2</v>
      </c>
      <c r="K17">
        <v>3.5500001907348602</v>
      </c>
      <c r="L17">
        <v>0</v>
      </c>
      <c r="M17">
        <v>0</v>
      </c>
      <c r="N17">
        <v>0</v>
      </c>
    </row>
    <row r="18" spans="1:14" x14ac:dyDescent="0.3">
      <c r="A18" t="s">
        <v>44</v>
      </c>
      <c r="B18">
        <v>13</v>
      </c>
      <c r="C18">
        <v>0</v>
      </c>
      <c r="D18">
        <v>5.0000000745058101E-2</v>
      </c>
      <c r="E18">
        <v>0</v>
      </c>
      <c r="F18">
        <v>107.900100708008</v>
      </c>
      <c r="G18">
        <v>0</v>
      </c>
      <c r="H18" t="s">
        <v>45</v>
      </c>
      <c r="I18">
        <v>13</v>
      </c>
      <c r="J18">
        <v>3.1500005722045898</v>
      </c>
      <c r="K18">
        <v>3.54999923706055</v>
      </c>
      <c r="L18">
        <v>0</v>
      </c>
      <c r="M18">
        <v>0</v>
      </c>
      <c r="N18">
        <v>0</v>
      </c>
    </row>
    <row r="25" spans="1:14" ht="15.6" x14ac:dyDescent="0.3">
      <c r="A25" s="22" t="s">
        <v>6</v>
      </c>
      <c r="B25" s="22"/>
      <c r="C25" s="22"/>
      <c r="D25" s="22"/>
      <c r="E25" s="22"/>
      <c r="F25" s="22"/>
      <c r="G25" s="22"/>
      <c r="H25" s="22" t="s">
        <v>7</v>
      </c>
      <c r="I25" s="22"/>
      <c r="J25" s="22"/>
      <c r="K25" s="22"/>
      <c r="L25" s="22"/>
      <c r="M25" s="22"/>
      <c r="N25" s="22"/>
    </row>
    <row r="26" spans="1:14" ht="15.6" x14ac:dyDescent="0.3">
      <c r="A26" s="22" t="s">
        <v>8</v>
      </c>
      <c r="B26" s="22" t="s">
        <v>9</v>
      </c>
      <c r="C26" s="22" t="s">
        <v>10</v>
      </c>
      <c r="D26" s="22" t="s">
        <v>11</v>
      </c>
      <c r="E26" s="22" t="s">
        <v>12</v>
      </c>
      <c r="F26" s="22" t="s">
        <v>13</v>
      </c>
      <c r="G26" s="22" t="s">
        <v>14</v>
      </c>
      <c r="H26" s="22" t="s">
        <v>8</v>
      </c>
      <c r="I26" s="22" t="s">
        <v>9</v>
      </c>
      <c r="J26" s="22" t="s">
        <v>10</v>
      </c>
      <c r="K26" s="22" t="s">
        <v>11</v>
      </c>
      <c r="L26" s="22" t="s">
        <v>12</v>
      </c>
      <c r="M26" s="22" t="s">
        <v>13</v>
      </c>
      <c r="N26" s="22" t="s">
        <v>14</v>
      </c>
    </row>
    <row r="27" spans="1:14" ht="15.6" x14ac:dyDescent="0.3">
      <c r="A27" s="22" t="s">
        <v>15</v>
      </c>
      <c r="B27" s="22"/>
      <c r="C27" s="22"/>
      <c r="D27" s="22"/>
      <c r="E27" s="22"/>
      <c r="F27" s="22"/>
      <c r="G27" s="22"/>
      <c r="H27" s="22"/>
      <c r="I27" s="22"/>
      <c r="J27" s="22"/>
      <c r="K27" s="22"/>
      <c r="L27" s="22"/>
      <c r="M27" s="22"/>
      <c r="N27" s="22"/>
    </row>
    <row r="28" spans="1:14" ht="15.6" x14ac:dyDescent="0.3">
      <c r="A28" s="22" t="s">
        <v>22</v>
      </c>
      <c r="B28" s="22">
        <v>7.5</v>
      </c>
      <c r="C28" s="22">
        <v>1</v>
      </c>
      <c r="D28" s="22">
        <v>2.2799997300000001</v>
      </c>
      <c r="E28" s="22">
        <v>1.94999981</v>
      </c>
      <c r="F28" s="22">
        <v>0</v>
      </c>
      <c r="G28" s="22">
        <v>5</v>
      </c>
      <c r="H28" s="22" t="s">
        <v>23</v>
      </c>
      <c r="I28" s="22">
        <v>7.5</v>
      </c>
      <c r="J28" s="22">
        <v>0.01</v>
      </c>
      <c r="K28" s="22">
        <v>0.02</v>
      </c>
      <c r="L28" s="22">
        <v>0.02</v>
      </c>
      <c r="M28" s="22">
        <v>74.629127499999996</v>
      </c>
      <c r="N28" s="22">
        <v>3</v>
      </c>
    </row>
    <row r="29" spans="1:14" ht="15.6" x14ac:dyDescent="0.3">
      <c r="A29" s="22" t="s">
        <v>26</v>
      </c>
      <c r="B29" s="22">
        <v>8.5</v>
      </c>
      <c r="C29" s="22">
        <v>0.92000002000000003</v>
      </c>
      <c r="D29" s="22">
        <v>1.3100004199999999</v>
      </c>
      <c r="E29" s="22">
        <v>1.0600004199999999</v>
      </c>
      <c r="F29" s="22">
        <v>56.409019499999999</v>
      </c>
      <c r="G29" s="22">
        <v>4</v>
      </c>
      <c r="H29" s="22" t="s">
        <v>27</v>
      </c>
      <c r="I29" s="22">
        <v>8.5</v>
      </c>
      <c r="J29" s="22">
        <v>0.05</v>
      </c>
      <c r="K29" s="22">
        <v>0.06</v>
      </c>
      <c r="L29" s="22">
        <v>0.05</v>
      </c>
      <c r="M29" s="22">
        <v>56.784431499999997</v>
      </c>
      <c r="N29" s="22">
        <v>33</v>
      </c>
    </row>
    <row r="30" spans="1:14" ht="15.6" x14ac:dyDescent="0.3">
      <c r="A30" s="22" t="s">
        <v>28</v>
      </c>
      <c r="B30" s="22">
        <v>9</v>
      </c>
      <c r="C30" s="22">
        <v>0.68000000999999999</v>
      </c>
      <c r="D30" s="22">
        <v>0.70999997999999997</v>
      </c>
      <c r="E30" s="22">
        <v>0.64999998000000003</v>
      </c>
      <c r="F30" s="22">
        <v>52.131805399999998</v>
      </c>
      <c r="G30" s="22">
        <v>661</v>
      </c>
      <c r="H30" s="22" t="s">
        <v>29</v>
      </c>
      <c r="I30" s="22">
        <v>9</v>
      </c>
      <c r="J30" s="22">
        <v>0.13999998999999999</v>
      </c>
      <c r="K30" s="22">
        <v>0.16000002999999999</v>
      </c>
      <c r="L30" s="22">
        <v>0.12</v>
      </c>
      <c r="M30" s="22">
        <v>55.2643433</v>
      </c>
      <c r="N30" s="22">
        <v>225</v>
      </c>
    </row>
    <row r="31" spans="1:14" ht="15.6" x14ac:dyDescent="0.3">
      <c r="A31" s="22" t="s">
        <v>30</v>
      </c>
      <c r="B31" s="22">
        <v>9.5</v>
      </c>
      <c r="C31" s="22">
        <v>0.37</v>
      </c>
      <c r="D31" s="22">
        <v>0.38</v>
      </c>
      <c r="E31" s="22">
        <v>0.40000004</v>
      </c>
      <c r="F31" s="22">
        <v>50.664100599999998</v>
      </c>
      <c r="G31" s="22">
        <v>3153</v>
      </c>
      <c r="H31" s="22" t="s">
        <v>31</v>
      </c>
      <c r="I31" s="22">
        <v>9.5</v>
      </c>
      <c r="J31" s="22">
        <v>0.31999999000000001</v>
      </c>
      <c r="K31" s="22">
        <v>0.34000003000000001</v>
      </c>
      <c r="L31" s="22">
        <v>0.30000000999999998</v>
      </c>
      <c r="M31" s="22">
        <v>53.230445899999999</v>
      </c>
      <c r="N31" s="22">
        <v>205</v>
      </c>
    </row>
    <row r="32" spans="1:14" ht="15.6" x14ac:dyDescent="0.3">
      <c r="A32" s="22" t="s">
        <v>32</v>
      </c>
      <c r="B32" s="22">
        <v>10</v>
      </c>
      <c r="C32" s="22">
        <v>0.15000004</v>
      </c>
      <c r="D32" s="22">
        <v>0.18000000999999999</v>
      </c>
      <c r="E32" s="22">
        <v>0.20999998</v>
      </c>
      <c r="F32" s="22">
        <v>48.919620500000001</v>
      </c>
      <c r="G32" s="22">
        <v>5651</v>
      </c>
      <c r="H32" s="22" t="s">
        <v>33</v>
      </c>
      <c r="I32" s="22">
        <v>10</v>
      </c>
      <c r="J32" s="22">
        <v>0.60000001999999997</v>
      </c>
      <c r="K32" s="22">
        <v>0.63</v>
      </c>
      <c r="L32" s="22">
        <v>0.56000000000000005</v>
      </c>
      <c r="M32" s="22">
        <v>50.849769600000002</v>
      </c>
      <c r="N32" s="22">
        <v>83</v>
      </c>
    </row>
    <row r="33" spans="1:14" ht="15.6" x14ac:dyDescent="0.3">
      <c r="A33" s="22" t="s">
        <v>34</v>
      </c>
      <c r="B33" s="22">
        <v>10.5</v>
      </c>
      <c r="C33" s="22">
        <v>0.06</v>
      </c>
      <c r="D33" s="22">
        <v>6.9999989999999998E-2</v>
      </c>
      <c r="E33" s="22">
        <v>6.9999989999999998E-2</v>
      </c>
      <c r="F33" s="22">
        <v>49.372314500000002</v>
      </c>
      <c r="G33" s="22">
        <v>2660</v>
      </c>
      <c r="H33" s="22" t="s">
        <v>35</v>
      </c>
      <c r="I33" s="22">
        <v>10.5</v>
      </c>
      <c r="J33" s="22">
        <v>0.82999997999999997</v>
      </c>
      <c r="K33" s="22">
        <v>1.0299997299999999</v>
      </c>
      <c r="L33" s="22">
        <v>1.0399999600000001</v>
      </c>
      <c r="M33" s="22">
        <v>0</v>
      </c>
      <c r="N33" s="22">
        <v>16</v>
      </c>
    </row>
    <row r="34" spans="1:14" ht="15.6" x14ac:dyDescent="0.3">
      <c r="A34" s="22" t="s">
        <v>36</v>
      </c>
      <c r="B34" s="22">
        <v>11</v>
      </c>
      <c r="C34" s="22">
        <v>0.01</v>
      </c>
      <c r="D34" s="22">
        <v>0.03</v>
      </c>
      <c r="E34" s="22">
        <v>0.02</v>
      </c>
      <c r="F34" s="22">
        <v>48.689926100000001</v>
      </c>
      <c r="G34" s="22">
        <v>13</v>
      </c>
      <c r="H34" s="22" t="s">
        <v>37</v>
      </c>
      <c r="I34" s="22">
        <v>11</v>
      </c>
      <c r="J34" s="22">
        <v>1.39999962</v>
      </c>
      <c r="K34" s="22">
        <v>1.5299997299999999</v>
      </c>
      <c r="L34" s="22">
        <v>1.7200002700000001</v>
      </c>
      <c r="M34" s="22">
        <v>50.518955200000001</v>
      </c>
      <c r="N34" s="22">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8D5A6-0705-428B-A3C0-C6C8183EBDAE}">
  <dimension ref="A1:B27"/>
  <sheetViews>
    <sheetView tabSelected="1" workbookViewId="0">
      <selection activeCell="B12" sqref="B12"/>
    </sheetView>
  </sheetViews>
  <sheetFormatPr defaultColWidth="8.77734375" defaultRowHeight="14.4" x14ac:dyDescent="0.3"/>
  <cols>
    <col min="1" max="1" width="12.33203125" bestFit="1" customWidth="1"/>
    <col min="2" max="2" width="8.33203125" bestFit="1" customWidth="1"/>
  </cols>
  <sheetData>
    <row r="1" spans="1:2" x14ac:dyDescent="0.3">
      <c r="A1" s="2">
        <v>45302</v>
      </c>
      <c r="B1">
        <v>9.4600000000000009</v>
      </c>
    </row>
    <row r="2" spans="1:2" x14ac:dyDescent="0.3">
      <c r="A2" s="2">
        <v>45393</v>
      </c>
      <c r="B2">
        <v>9.33</v>
      </c>
    </row>
    <row r="3" spans="1:2" x14ac:dyDescent="0.3">
      <c r="A3" s="2">
        <v>45423</v>
      </c>
      <c r="B3">
        <v>9.6199999999999992</v>
      </c>
    </row>
    <row r="4" spans="1:2" x14ac:dyDescent="0.3">
      <c r="A4" s="2">
        <v>45454</v>
      </c>
      <c r="B4">
        <v>9.23</v>
      </c>
    </row>
    <row r="5" spans="1:2" x14ac:dyDescent="0.3">
      <c r="A5" s="2">
        <v>45484</v>
      </c>
      <c r="B5">
        <v>9.27</v>
      </c>
    </row>
    <row r="6" spans="1:2" x14ac:dyDescent="0.3">
      <c r="A6" s="2">
        <v>45515</v>
      </c>
      <c r="B6">
        <v>9.07</v>
      </c>
    </row>
    <row r="7" spans="1:2" x14ac:dyDescent="0.3">
      <c r="A7" s="2">
        <v>45607</v>
      </c>
      <c r="B7">
        <v>9.39</v>
      </c>
    </row>
    <row r="8" spans="1:2" x14ac:dyDescent="0.3">
      <c r="A8" s="2">
        <v>45637</v>
      </c>
      <c r="B8">
        <v>9.01</v>
      </c>
    </row>
    <row r="9" spans="1:2" x14ac:dyDescent="0.3">
      <c r="A9" t="s">
        <v>46</v>
      </c>
      <c r="B9">
        <v>9.0299999999999994</v>
      </c>
    </row>
    <row r="10" spans="1:2" x14ac:dyDescent="0.3">
      <c r="A10" t="s">
        <v>47</v>
      </c>
      <c r="B10">
        <v>8.81</v>
      </c>
    </row>
    <row r="11" spans="1:2" x14ac:dyDescent="0.3">
      <c r="A11" s="2" t="s">
        <v>48</v>
      </c>
      <c r="B11">
        <v>8.48</v>
      </c>
    </row>
    <row r="12" spans="1:2" x14ac:dyDescent="0.3">
      <c r="A12" s="2"/>
    </row>
    <row r="13" spans="1:2" x14ac:dyDescent="0.3">
      <c r="A13" s="2"/>
    </row>
    <row r="14" spans="1:2" x14ac:dyDescent="0.3">
      <c r="A14" s="2"/>
    </row>
    <row r="15" spans="1:2" x14ac:dyDescent="0.3">
      <c r="A15" s="2"/>
    </row>
    <row r="16" spans="1:2" x14ac:dyDescent="0.3">
      <c r="A16" s="2" t="s">
        <v>61</v>
      </c>
    </row>
    <row r="17" spans="1:2" x14ac:dyDescent="0.3">
      <c r="A17" t="s">
        <v>49</v>
      </c>
      <c r="B17" t="s">
        <v>50</v>
      </c>
    </row>
    <row r="18" spans="1:2" x14ac:dyDescent="0.3">
      <c r="A18" s="3">
        <v>45601</v>
      </c>
      <c r="B18" s="1">
        <v>4.72</v>
      </c>
    </row>
    <row r="19" spans="1:2" x14ac:dyDescent="0.3">
      <c r="A19" s="2">
        <v>45602</v>
      </c>
      <c r="B19">
        <v>4.68</v>
      </c>
    </row>
    <row r="20" spans="1:2" x14ac:dyDescent="0.3">
      <c r="A20" s="2">
        <v>45603</v>
      </c>
      <c r="B20">
        <v>4.6900000000000004</v>
      </c>
    </row>
    <row r="21" spans="1:2" x14ac:dyDescent="0.3">
      <c r="A21" s="2">
        <v>45604</v>
      </c>
      <c r="B21">
        <v>4.7</v>
      </c>
    </row>
    <row r="22" spans="1:2" x14ac:dyDescent="0.3">
      <c r="A22" s="2">
        <v>45607</v>
      </c>
      <c r="B22" t="s">
        <v>51</v>
      </c>
    </row>
    <row r="23" spans="1:2" x14ac:dyDescent="0.3">
      <c r="A23" s="2">
        <v>45608</v>
      </c>
      <c r="B23">
        <v>4.7</v>
      </c>
    </row>
    <row r="24" spans="1:2" x14ac:dyDescent="0.3">
      <c r="A24" s="2">
        <v>45609</v>
      </c>
      <c r="B24">
        <v>4.6900000000000004</v>
      </c>
    </row>
    <row r="25" spans="1:2" x14ac:dyDescent="0.3">
      <c r="A25" s="2">
        <v>45610</v>
      </c>
      <c r="B25">
        <v>4.7</v>
      </c>
    </row>
    <row r="26" spans="1:2" x14ac:dyDescent="0.3">
      <c r="A26" s="2">
        <v>45611</v>
      </c>
      <c r="B26">
        <v>4.7</v>
      </c>
    </row>
    <row r="27" spans="1:2" x14ac:dyDescent="0.3">
      <c r="B27">
        <f>AVERAGE(B18:B26)</f>
        <v>4.6975000000000007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FBAC-232E-4F2A-956B-C72E9120AF1D}">
  <dimension ref="A1:G32"/>
  <sheetViews>
    <sheetView topLeftCell="A19" zoomScaleNormal="100" workbookViewId="0">
      <selection activeCell="G35" sqref="G35"/>
    </sheetView>
  </sheetViews>
  <sheetFormatPr defaultColWidth="8.77734375" defaultRowHeight="14.4" x14ac:dyDescent="0.3"/>
  <cols>
    <col min="1" max="1" width="10.21875" bestFit="1" customWidth="1"/>
    <col min="2" max="2" width="9.6640625" bestFit="1" customWidth="1"/>
    <col min="3" max="3" width="10.21875" bestFit="1" customWidth="1"/>
    <col min="4" max="4" width="16.77734375" bestFit="1" customWidth="1"/>
    <col min="5" max="5" width="26.77734375" bestFit="1" customWidth="1"/>
  </cols>
  <sheetData>
    <row r="1" spans="1:5" x14ac:dyDescent="0.3">
      <c r="A1" t="s">
        <v>91</v>
      </c>
      <c r="B1" t="s">
        <v>92</v>
      </c>
      <c r="C1" t="s">
        <v>99</v>
      </c>
      <c r="D1" t="s">
        <v>100</v>
      </c>
      <c r="E1" t="s">
        <v>101</v>
      </c>
    </row>
    <row r="2" spans="1:5" x14ac:dyDescent="0.3">
      <c r="A2" s="2">
        <v>45569</v>
      </c>
      <c r="B2">
        <v>8.7200000000000006</v>
      </c>
    </row>
    <row r="3" spans="1:5" x14ac:dyDescent="0.3">
      <c r="A3" s="2">
        <v>45572</v>
      </c>
      <c r="B3">
        <v>8.8699999999999992</v>
      </c>
      <c r="C3">
        <f>LN(B3/B2)</f>
        <v>1.7055558400599788E-2</v>
      </c>
    </row>
    <row r="4" spans="1:5" x14ac:dyDescent="0.3">
      <c r="A4" s="2">
        <v>45573</v>
      </c>
      <c r="B4">
        <v>9.08</v>
      </c>
      <c r="C4">
        <f t="shared" ref="C4:C32" si="0">LN(B4/B3)</f>
        <v>2.3399396291713989E-2</v>
      </c>
    </row>
    <row r="5" spans="1:5" x14ac:dyDescent="0.3">
      <c r="A5" s="2">
        <v>45574</v>
      </c>
      <c r="B5">
        <v>8.91</v>
      </c>
      <c r="C5">
        <f t="shared" si="0"/>
        <v>-1.8899951130483962E-2</v>
      </c>
    </row>
    <row r="6" spans="1:5" x14ac:dyDescent="0.3">
      <c r="A6" s="2">
        <v>45575</v>
      </c>
      <c r="B6">
        <v>9.0299999999999994</v>
      </c>
      <c r="C6">
        <f t="shared" si="0"/>
        <v>1.337812594617605E-2</v>
      </c>
    </row>
    <row r="7" spans="1:5" x14ac:dyDescent="0.3">
      <c r="A7" s="2">
        <v>45576</v>
      </c>
      <c r="B7">
        <v>9.2100000000000009</v>
      </c>
      <c r="C7">
        <f t="shared" si="0"/>
        <v>1.9737482838321552E-2</v>
      </c>
    </row>
    <row r="8" spans="1:5" x14ac:dyDescent="0.3">
      <c r="A8" s="2">
        <v>45579</v>
      </c>
      <c r="B8">
        <v>9</v>
      </c>
      <c r="C8">
        <f t="shared" si="0"/>
        <v>-2.3065272930996219E-2</v>
      </c>
    </row>
    <row r="9" spans="1:5" x14ac:dyDescent="0.3">
      <c r="A9" s="2">
        <v>45580</v>
      </c>
      <c r="B9">
        <v>10.42</v>
      </c>
      <c r="C9">
        <f t="shared" si="0"/>
        <v>0.14650245898900149</v>
      </c>
    </row>
    <row r="10" spans="1:5" x14ac:dyDescent="0.3">
      <c r="A10" s="2">
        <v>45581</v>
      </c>
      <c r="B10">
        <v>11.07</v>
      </c>
      <c r="C10">
        <f t="shared" si="0"/>
        <v>6.0511710395324714E-2</v>
      </c>
    </row>
    <row r="11" spans="1:5" x14ac:dyDescent="0.3">
      <c r="A11" s="2">
        <v>45582</v>
      </c>
      <c r="B11">
        <v>10.66</v>
      </c>
      <c r="C11">
        <f t="shared" si="0"/>
        <v>-3.7740327982847086E-2</v>
      </c>
    </row>
    <row r="12" spans="1:5" x14ac:dyDescent="0.3">
      <c r="A12" s="2">
        <v>45583</v>
      </c>
      <c r="B12">
        <v>10.79</v>
      </c>
      <c r="C12">
        <f t="shared" si="0"/>
        <v>1.212136053234482E-2</v>
      </c>
    </row>
    <row r="13" spans="1:5" x14ac:dyDescent="0.3">
      <c r="A13" s="2">
        <v>45586</v>
      </c>
      <c r="B13">
        <v>10.45</v>
      </c>
      <c r="C13">
        <f t="shared" si="0"/>
        <v>-3.2017800859223233E-2</v>
      </c>
    </row>
    <row r="14" spans="1:5" x14ac:dyDescent="0.3">
      <c r="A14" s="2">
        <v>45587</v>
      </c>
      <c r="B14">
        <v>9.73</v>
      </c>
      <c r="C14">
        <f t="shared" si="0"/>
        <v>-7.1388082212906184E-2</v>
      </c>
    </row>
    <row r="15" spans="1:5" x14ac:dyDescent="0.3">
      <c r="A15" s="2">
        <v>45588</v>
      </c>
      <c r="B15">
        <v>9.35</v>
      </c>
      <c r="C15">
        <f t="shared" si="0"/>
        <v>-3.9837552897318121E-2</v>
      </c>
    </row>
    <row r="16" spans="1:5" x14ac:dyDescent="0.3">
      <c r="A16" s="2">
        <v>45589</v>
      </c>
      <c r="B16">
        <v>9.34</v>
      </c>
      <c r="C16">
        <f t="shared" si="0"/>
        <v>-1.0700910598444044E-3</v>
      </c>
    </row>
    <row r="17" spans="1:7" x14ac:dyDescent="0.3">
      <c r="A17" s="2">
        <v>45590</v>
      </c>
      <c r="B17">
        <v>9.26</v>
      </c>
      <c r="C17">
        <f t="shared" si="0"/>
        <v>-8.6022035826631912E-3</v>
      </c>
    </row>
    <row r="18" spans="1:7" x14ac:dyDescent="0.3">
      <c r="A18" s="2">
        <v>45593</v>
      </c>
      <c r="B18">
        <v>9.44</v>
      </c>
      <c r="C18">
        <f t="shared" si="0"/>
        <v>1.9251931499321306E-2</v>
      </c>
    </row>
    <row r="19" spans="1:7" x14ac:dyDescent="0.3">
      <c r="A19" s="2">
        <v>45594</v>
      </c>
      <c r="B19">
        <v>9.35</v>
      </c>
      <c r="C19">
        <f t="shared" si="0"/>
        <v>-9.5796368568137197E-3</v>
      </c>
    </row>
    <row r="20" spans="1:7" x14ac:dyDescent="0.3">
      <c r="A20" s="2">
        <v>45595</v>
      </c>
      <c r="B20">
        <v>9.24</v>
      </c>
      <c r="C20">
        <f t="shared" si="0"/>
        <v>-1.1834457647002796E-2</v>
      </c>
    </row>
    <row r="21" spans="1:7" x14ac:dyDescent="0.3">
      <c r="A21" s="2">
        <v>45596</v>
      </c>
      <c r="B21">
        <v>9.4600000000000009</v>
      </c>
      <c r="C21">
        <f t="shared" si="0"/>
        <v>2.3530497410194251E-2</v>
      </c>
    </row>
    <row r="22" spans="1:7" x14ac:dyDescent="0.3">
      <c r="A22" s="2">
        <v>45597</v>
      </c>
      <c r="B22">
        <v>9.4600000000000009</v>
      </c>
      <c r="C22">
        <f t="shared" si="0"/>
        <v>0</v>
      </c>
    </row>
    <row r="23" spans="1:7" x14ac:dyDescent="0.3">
      <c r="A23" s="2">
        <v>45600</v>
      </c>
      <c r="B23">
        <v>9.33</v>
      </c>
      <c r="C23">
        <f t="shared" si="0"/>
        <v>-1.3837368204534496E-2</v>
      </c>
    </row>
    <row r="24" spans="1:7" x14ac:dyDescent="0.3">
      <c r="A24" s="2">
        <v>45601</v>
      </c>
      <c r="B24">
        <v>9.6199999999999992</v>
      </c>
      <c r="C24">
        <f t="shared" si="0"/>
        <v>3.0609249818362508E-2</v>
      </c>
      <c r="D24">
        <f>_xlfn.STDEV.P(C2:C23)</f>
        <v>4.2485604636349317E-2</v>
      </c>
      <c r="E24">
        <f>D24*SQRT(252)</f>
        <v>0.67443806500795833</v>
      </c>
      <c r="G24">
        <v>0.67443806500795833</v>
      </c>
    </row>
    <row r="25" spans="1:7" x14ac:dyDescent="0.3">
      <c r="A25" s="2">
        <v>45602</v>
      </c>
      <c r="B25">
        <v>9.23</v>
      </c>
      <c r="C25">
        <f t="shared" si="0"/>
        <v>-4.1385216162854246E-2</v>
      </c>
      <c r="D25">
        <f t="shared" ref="D25:D32" si="1">_xlfn.STDEV.P(C3:C24)</f>
        <v>4.1899035281990869E-2</v>
      </c>
      <c r="E25">
        <f t="shared" ref="E25:E32" si="2">D25*SQRT(252)</f>
        <v>0.66512656517801327</v>
      </c>
      <c r="G25">
        <v>0.66512656517801327</v>
      </c>
    </row>
    <row r="26" spans="1:7" x14ac:dyDescent="0.3">
      <c r="A26" s="2">
        <v>45603</v>
      </c>
      <c r="B26">
        <v>9.27</v>
      </c>
      <c r="C26">
        <f t="shared" si="0"/>
        <v>4.3243310630028033E-3</v>
      </c>
      <c r="D26">
        <f t="shared" si="1"/>
        <v>4.2858166295075065E-2</v>
      </c>
      <c r="E26">
        <f t="shared" si="2"/>
        <v>0.68035229799011465</v>
      </c>
      <c r="G26">
        <v>0.68035229799011465</v>
      </c>
    </row>
    <row r="27" spans="1:7" x14ac:dyDescent="0.3">
      <c r="A27" s="2">
        <v>45604</v>
      </c>
      <c r="B27">
        <v>9.07</v>
      </c>
      <c r="C27">
        <f t="shared" si="0"/>
        <v>-2.1811115450718479E-2</v>
      </c>
      <c r="D27">
        <f t="shared" si="1"/>
        <v>4.2604797015986837E-2</v>
      </c>
      <c r="E27">
        <f t="shared" si="2"/>
        <v>0.67633018537612766</v>
      </c>
      <c r="G27">
        <v>0.67633018537612766</v>
      </c>
    </row>
    <row r="28" spans="1:7" x14ac:dyDescent="0.3">
      <c r="A28" s="2">
        <v>45607</v>
      </c>
      <c r="B28">
        <v>9.39</v>
      </c>
      <c r="C28">
        <f t="shared" si="0"/>
        <v>3.4673029093126376E-2</v>
      </c>
      <c r="D28">
        <f t="shared" si="1"/>
        <v>4.2670686195700178E-2</v>
      </c>
      <c r="E28">
        <f t="shared" si="2"/>
        <v>0.67737614367779686</v>
      </c>
      <c r="G28">
        <v>0.67737614367779686</v>
      </c>
    </row>
    <row r="29" spans="1:7" x14ac:dyDescent="0.3">
      <c r="A29" s="2">
        <v>45608</v>
      </c>
      <c r="B29">
        <v>9.01</v>
      </c>
      <c r="C29">
        <f t="shared" si="0"/>
        <v>-4.1310221599925041E-2</v>
      </c>
      <c r="D29">
        <f t="shared" si="1"/>
        <v>4.3183278129411869E-2</v>
      </c>
      <c r="E29">
        <f t="shared" si="2"/>
        <v>0.68551328836174996</v>
      </c>
      <c r="G29">
        <v>0.68551328836174996</v>
      </c>
    </row>
    <row r="30" spans="1:7" x14ac:dyDescent="0.3">
      <c r="A30" s="2">
        <v>45609</v>
      </c>
      <c r="B30">
        <v>9.0299999999999994</v>
      </c>
      <c r="C30">
        <f t="shared" si="0"/>
        <v>2.2172958086475311E-3</v>
      </c>
      <c r="D30">
        <f t="shared" si="1"/>
        <v>4.3895549562132818E-2</v>
      </c>
      <c r="E30">
        <f t="shared" si="2"/>
        <v>0.69682024682348176</v>
      </c>
      <c r="G30">
        <v>0.69682024682348176</v>
      </c>
    </row>
    <row r="31" spans="1:7" x14ac:dyDescent="0.3">
      <c r="A31" s="2">
        <v>45610</v>
      </c>
      <c r="B31">
        <v>8.81</v>
      </c>
      <c r="C31">
        <f t="shared" si="0"/>
        <v>-2.4664927480805808E-2</v>
      </c>
      <c r="D31">
        <f t="shared" si="1"/>
        <v>4.363294201392582E-2</v>
      </c>
      <c r="E31">
        <f t="shared" si="2"/>
        <v>0.69265148123369702</v>
      </c>
      <c r="G31">
        <v>0.69265148123369702</v>
      </c>
    </row>
    <row r="32" spans="1:7" x14ac:dyDescent="0.3">
      <c r="A32" s="2">
        <v>45611</v>
      </c>
      <c r="B32">
        <v>8.48</v>
      </c>
      <c r="C32">
        <f t="shared" si="0"/>
        <v>-3.8176990144276467E-2</v>
      </c>
      <c r="D32">
        <f t="shared" si="1"/>
        <v>2.9961923490639489E-2</v>
      </c>
      <c r="E32">
        <f t="shared" si="2"/>
        <v>0.4756307901442583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PUT CALL PARITY</vt:lpstr>
      <vt:lpstr>IMPLIED VOLATILITY</vt:lpstr>
      <vt:lpstr>DELTA HEDGING -1 </vt:lpstr>
      <vt:lpstr>DELTA HEDGING - 2</vt:lpstr>
      <vt:lpstr>Volatility Trade</vt:lpstr>
      <vt:lpstr>PUT_CALL SHEET</vt:lpstr>
      <vt:lpstr>HP and Risk Free rate</vt:lpstr>
      <vt:lpstr>HP Yahoo Finance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Vipul Monteiro</dc:creator>
  <cp:keywords/>
  <dc:description/>
  <cp:lastModifiedBy>Aditya Suhane</cp:lastModifiedBy>
  <dcterms:created xsi:type="dcterms:W3CDTF">2024-11-23T11:08:05Z</dcterms:created>
  <dcterms:modified xsi:type="dcterms:W3CDTF">2025-01-05T18:07:31Z</dcterms:modified>
  <cp:category/>
</cp:coreProperties>
</file>