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/>
  <mc:AlternateContent xmlns:mc="http://schemas.openxmlformats.org/markup-compatibility/2006">
    <mc:Choice Requires="x15">
      <x15ac:absPath xmlns:x15ac="http://schemas.microsoft.com/office/spreadsheetml/2010/11/ac" url="https://d.docs.live.net/4e152c3454fb685a/Documents/"/>
    </mc:Choice>
  </mc:AlternateContent>
  <xr:revisionPtr revIDLastSave="0" documentId="8_{CB45BEA8-8C5F-4E94-9356-1D04D7738559}" xr6:coauthVersionLast="47" xr6:coauthVersionMax="47" xr10:uidLastSave="{00000000-0000-0000-0000-000000000000}"/>
  <bookViews>
    <workbookView xWindow="-110" yWindow="-110" windowWidth="25820" windowHeight="15500" firstSheet="5" activeTab="6" xr2:uid="{00000000-000D-0000-FFFF-FFFF00000000}"/>
  </bookViews>
  <sheets>
    <sheet name="ticker" sheetId="8" r:id="rId1"/>
    <sheet name="AAPL" sheetId="1" r:id="rId2"/>
    <sheet name="AMZN" sheetId="2" r:id="rId3"/>
    <sheet name="SNOW" sheetId="3" r:id="rId4"/>
    <sheet name="TSLA" sheetId="4" r:id="rId5"/>
    <sheet name="META" sheetId="5" r:id="rId6"/>
    <sheet name="MSFT" sheetId="6" r:id="rId7"/>
    <sheet name="GOOG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8" l="1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F887" i="7"/>
  <c r="E887" i="7"/>
  <c r="D887" i="7"/>
  <c r="C887" i="7"/>
  <c r="B887" i="7"/>
  <c r="A887" i="7"/>
  <c r="F886" i="7"/>
  <c r="E886" i="7"/>
  <c r="D886" i="7"/>
  <c r="C886" i="7"/>
  <c r="B886" i="7"/>
  <c r="A886" i="7"/>
  <c r="F885" i="7"/>
  <c r="E885" i="7"/>
  <c r="D885" i="7"/>
  <c r="C885" i="7"/>
  <c r="B885" i="7"/>
  <c r="A885" i="7"/>
  <c r="F884" i="7"/>
  <c r="E884" i="7"/>
  <c r="D884" i="7"/>
  <c r="C884" i="7"/>
  <c r="B884" i="7"/>
  <c r="A884" i="7"/>
  <c r="F883" i="7"/>
  <c r="E883" i="7"/>
  <c r="D883" i="7"/>
  <c r="C883" i="7"/>
  <c r="B883" i="7"/>
  <c r="A883" i="7"/>
  <c r="F882" i="7"/>
  <c r="E882" i="7"/>
  <c r="D882" i="7"/>
  <c r="C882" i="7"/>
  <c r="B882" i="7"/>
  <c r="A882" i="7"/>
  <c r="F881" i="7"/>
  <c r="E881" i="7"/>
  <c r="D881" i="7"/>
  <c r="C881" i="7"/>
  <c r="B881" i="7"/>
  <c r="A881" i="7"/>
  <c r="F880" i="7"/>
  <c r="E880" i="7"/>
  <c r="D880" i="7"/>
  <c r="C880" i="7"/>
  <c r="B880" i="7"/>
  <c r="A880" i="7"/>
  <c r="F879" i="7"/>
  <c r="E879" i="7"/>
  <c r="D879" i="7"/>
  <c r="C879" i="7"/>
  <c r="B879" i="7"/>
  <c r="A879" i="7"/>
  <c r="F878" i="7"/>
  <c r="E878" i="7"/>
  <c r="D878" i="7"/>
  <c r="C878" i="7"/>
  <c r="B878" i="7"/>
  <c r="A878" i="7"/>
  <c r="F877" i="7"/>
  <c r="E877" i="7"/>
  <c r="D877" i="7"/>
  <c r="C877" i="7"/>
  <c r="B877" i="7"/>
  <c r="A877" i="7"/>
  <c r="F876" i="7"/>
  <c r="E876" i="7"/>
  <c r="D876" i="7"/>
  <c r="C876" i="7"/>
  <c r="B876" i="7"/>
  <c r="A876" i="7"/>
  <c r="F875" i="7"/>
  <c r="E875" i="7"/>
  <c r="D875" i="7"/>
  <c r="C875" i="7"/>
  <c r="B875" i="7"/>
  <c r="A875" i="7"/>
  <c r="F874" i="7"/>
  <c r="E874" i="7"/>
  <c r="D874" i="7"/>
  <c r="C874" i="7"/>
  <c r="B874" i="7"/>
  <c r="A874" i="7"/>
  <c r="F873" i="7"/>
  <c r="E873" i="7"/>
  <c r="D873" i="7"/>
  <c r="C873" i="7"/>
  <c r="B873" i="7"/>
  <c r="A873" i="7"/>
  <c r="F872" i="7"/>
  <c r="E872" i="7"/>
  <c r="D872" i="7"/>
  <c r="C872" i="7"/>
  <c r="B872" i="7"/>
  <c r="A872" i="7"/>
  <c r="F871" i="7"/>
  <c r="E871" i="7"/>
  <c r="D871" i="7"/>
  <c r="C871" i="7"/>
  <c r="B871" i="7"/>
  <c r="A871" i="7"/>
  <c r="F870" i="7"/>
  <c r="E870" i="7"/>
  <c r="D870" i="7"/>
  <c r="C870" i="7"/>
  <c r="B870" i="7"/>
  <c r="A870" i="7"/>
  <c r="F869" i="7"/>
  <c r="E869" i="7"/>
  <c r="D869" i="7"/>
  <c r="C869" i="7"/>
  <c r="B869" i="7"/>
  <c r="A869" i="7"/>
  <c r="F868" i="7"/>
  <c r="E868" i="7"/>
  <c r="D868" i="7"/>
  <c r="C868" i="7"/>
  <c r="B868" i="7"/>
  <c r="A868" i="7"/>
  <c r="F867" i="7"/>
  <c r="E867" i="7"/>
  <c r="D867" i="7"/>
  <c r="C867" i="7"/>
  <c r="B867" i="7"/>
  <c r="A867" i="7"/>
  <c r="F866" i="7"/>
  <c r="E866" i="7"/>
  <c r="D866" i="7"/>
  <c r="C866" i="7"/>
  <c r="B866" i="7"/>
  <c r="A866" i="7"/>
  <c r="F865" i="7"/>
  <c r="E865" i="7"/>
  <c r="D865" i="7"/>
  <c r="C865" i="7"/>
  <c r="B865" i="7"/>
  <c r="A865" i="7"/>
  <c r="F864" i="7"/>
  <c r="E864" i="7"/>
  <c r="D864" i="7"/>
  <c r="C864" i="7"/>
  <c r="B864" i="7"/>
  <c r="A864" i="7"/>
  <c r="F863" i="7"/>
  <c r="E863" i="7"/>
  <c r="D863" i="7"/>
  <c r="C863" i="7"/>
  <c r="B863" i="7"/>
  <c r="A863" i="7"/>
  <c r="F862" i="7"/>
  <c r="E862" i="7"/>
  <c r="D862" i="7"/>
  <c r="C862" i="7"/>
  <c r="B862" i="7"/>
  <c r="A862" i="7"/>
  <c r="F861" i="7"/>
  <c r="E861" i="7"/>
  <c r="D861" i="7"/>
  <c r="C861" i="7"/>
  <c r="B861" i="7"/>
  <c r="A861" i="7"/>
  <c r="F860" i="7"/>
  <c r="E860" i="7"/>
  <c r="D860" i="7"/>
  <c r="C860" i="7"/>
  <c r="B860" i="7"/>
  <c r="A860" i="7"/>
  <c r="F859" i="7"/>
  <c r="E859" i="7"/>
  <c r="D859" i="7"/>
  <c r="C859" i="7"/>
  <c r="B859" i="7"/>
  <c r="A859" i="7"/>
  <c r="F858" i="7"/>
  <c r="E858" i="7"/>
  <c r="D858" i="7"/>
  <c r="C858" i="7"/>
  <c r="B858" i="7"/>
  <c r="A858" i="7"/>
  <c r="F857" i="7"/>
  <c r="E857" i="7"/>
  <c r="D857" i="7"/>
  <c r="C857" i="7"/>
  <c r="B857" i="7"/>
  <c r="A857" i="7"/>
  <c r="F856" i="7"/>
  <c r="E856" i="7"/>
  <c r="D856" i="7"/>
  <c r="C856" i="7"/>
  <c r="B856" i="7"/>
  <c r="A856" i="7"/>
  <c r="F855" i="7"/>
  <c r="E855" i="7"/>
  <c r="D855" i="7"/>
  <c r="C855" i="7"/>
  <c r="B855" i="7"/>
  <c r="A855" i="7"/>
  <c r="F854" i="7"/>
  <c r="E854" i="7"/>
  <c r="D854" i="7"/>
  <c r="C854" i="7"/>
  <c r="B854" i="7"/>
  <c r="A854" i="7"/>
  <c r="F853" i="7"/>
  <c r="E853" i="7"/>
  <c r="D853" i="7"/>
  <c r="C853" i="7"/>
  <c r="B853" i="7"/>
  <c r="A853" i="7"/>
  <c r="F852" i="7"/>
  <c r="E852" i="7"/>
  <c r="D852" i="7"/>
  <c r="C852" i="7"/>
  <c r="B852" i="7"/>
  <c r="A852" i="7"/>
  <c r="F851" i="7"/>
  <c r="E851" i="7"/>
  <c r="D851" i="7"/>
  <c r="C851" i="7"/>
  <c r="B851" i="7"/>
  <c r="A851" i="7"/>
  <c r="F850" i="7"/>
  <c r="E850" i="7"/>
  <c r="D850" i="7"/>
  <c r="C850" i="7"/>
  <c r="B850" i="7"/>
  <c r="A850" i="7"/>
  <c r="F849" i="7"/>
  <c r="E849" i="7"/>
  <c r="D849" i="7"/>
  <c r="C849" i="7"/>
  <c r="B849" i="7"/>
  <c r="A849" i="7"/>
  <c r="F848" i="7"/>
  <c r="E848" i="7"/>
  <c r="D848" i="7"/>
  <c r="C848" i="7"/>
  <c r="B848" i="7"/>
  <c r="A848" i="7"/>
  <c r="F847" i="7"/>
  <c r="E847" i="7"/>
  <c r="D847" i="7"/>
  <c r="C847" i="7"/>
  <c r="B847" i="7"/>
  <c r="A847" i="7"/>
  <c r="F846" i="7"/>
  <c r="E846" i="7"/>
  <c r="D846" i="7"/>
  <c r="C846" i="7"/>
  <c r="B846" i="7"/>
  <c r="A846" i="7"/>
  <c r="F845" i="7"/>
  <c r="E845" i="7"/>
  <c r="D845" i="7"/>
  <c r="C845" i="7"/>
  <c r="B845" i="7"/>
  <c r="A845" i="7"/>
  <c r="F844" i="7"/>
  <c r="E844" i="7"/>
  <c r="D844" i="7"/>
  <c r="C844" i="7"/>
  <c r="B844" i="7"/>
  <c r="A844" i="7"/>
  <c r="F843" i="7"/>
  <c r="E843" i="7"/>
  <c r="D843" i="7"/>
  <c r="C843" i="7"/>
  <c r="B843" i="7"/>
  <c r="A843" i="7"/>
  <c r="F842" i="7"/>
  <c r="E842" i="7"/>
  <c r="D842" i="7"/>
  <c r="C842" i="7"/>
  <c r="B842" i="7"/>
  <c r="A842" i="7"/>
  <c r="F841" i="7"/>
  <c r="E841" i="7"/>
  <c r="D841" i="7"/>
  <c r="C841" i="7"/>
  <c r="B841" i="7"/>
  <c r="A841" i="7"/>
  <c r="F840" i="7"/>
  <c r="E840" i="7"/>
  <c r="D840" i="7"/>
  <c r="C840" i="7"/>
  <c r="B840" i="7"/>
  <c r="A840" i="7"/>
  <c r="F839" i="7"/>
  <c r="E839" i="7"/>
  <c r="D839" i="7"/>
  <c r="C839" i="7"/>
  <c r="B839" i="7"/>
  <c r="A839" i="7"/>
  <c r="F838" i="7"/>
  <c r="E838" i="7"/>
  <c r="D838" i="7"/>
  <c r="C838" i="7"/>
  <c r="B838" i="7"/>
  <c r="A838" i="7"/>
  <c r="F837" i="7"/>
  <c r="E837" i="7"/>
  <c r="D837" i="7"/>
  <c r="C837" i="7"/>
  <c r="B837" i="7"/>
  <c r="A837" i="7"/>
  <c r="F836" i="7"/>
  <c r="E836" i="7"/>
  <c r="D836" i="7"/>
  <c r="C836" i="7"/>
  <c r="B836" i="7"/>
  <c r="A836" i="7"/>
  <c r="F835" i="7"/>
  <c r="E835" i="7"/>
  <c r="D835" i="7"/>
  <c r="C835" i="7"/>
  <c r="B835" i="7"/>
  <c r="A835" i="7"/>
  <c r="F834" i="7"/>
  <c r="E834" i="7"/>
  <c r="D834" i="7"/>
  <c r="C834" i="7"/>
  <c r="B834" i="7"/>
  <c r="A834" i="7"/>
  <c r="F833" i="7"/>
  <c r="E833" i="7"/>
  <c r="D833" i="7"/>
  <c r="C833" i="7"/>
  <c r="B833" i="7"/>
  <c r="A833" i="7"/>
  <c r="F832" i="7"/>
  <c r="E832" i="7"/>
  <c r="D832" i="7"/>
  <c r="C832" i="7"/>
  <c r="B832" i="7"/>
  <c r="A832" i="7"/>
  <c r="F831" i="7"/>
  <c r="E831" i="7"/>
  <c r="D831" i="7"/>
  <c r="C831" i="7"/>
  <c r="B831" i="7"/>
  <c r="A831" i="7"/>
  <c r="F830" i="7"/>
  <c r="E830" i="7"/>
  <c r="D830" i="7"/>
  <c r="C830" i="7"/>
  <c r="B830" i="7"/>
  <c r="A830" i="7"/>
  <c r="F829" i="7"/>
  <c r="E829" i="7"/>
  <c r="D829" i="7"/>
  <c r="C829" i="7"/>
  <c r="B829" i="7"/>
  <c r="A829" i="7"/>
  <c r="F828" i="7"/>
  <c r="E828" i="7"/>
  <c r="D828" i="7"/>
  <c r="C828" i="7"/>
  <c r="B828" i="7"/>
  <c r="A828" i="7"/>
  <c r="F827" i="7"/>
  <c r="E827" i="7"/>
  <c r="D827" i="7"/>
  <c r="C827" i="7"/>
  <c r="B827" i="7"/>
  <c r="A827" i="7"/>
  <c r="F826" i="7"/>
  <c r="E826" i="7"/>
  <c r="D826" i="7"/>
  <c r="C826" i="7"/>
  <c r="B826" i="7"/>
  <c r="A826" i="7"/>
  <c r="F825" i="7"/>
  <c r="E825" i="7"/>
  <c r="D825" i="7"/>
  <c r="C825" i="7"/>
  <c r="B825" i="7"/>
  <c r="A825" i="7"/>
  <c r="F824" i="7"/>
  <c r="E824" i="7"/>
  <c r="D824" i="7"/>
  <c r="C824" i="7"/>
  <c r="B824" i="7"/>
  <c r="A824" i="7"/>
  <c r="F823" i="7"/>
  <c r="E823" i="7"/>
  <c r="D823" i="7"/>
  <c r="C823" i="7"/>
  <c r="B823" i="7"/>
  <c r="A823" i="7"/>
  <c r="F822" i="7"/>
  <c r="E822" i="7"/>
  <c r="D822" i="7"/>
  <c r="C822" i="7"/>
  <c r="B822" i="7"/>
  <c r="A822" i="7"/>
  <c r="F821" i="7"/>
  <c r="E821" i="7"/>
  <c r="D821" i="7"/>
  <c r="C821" i="7"/>
  <c r="B821" i="7"/>
  <c r="A821" i="7"/>
  <c r="F820" i="7"/>
  <c r="E820" i="7"/>
  <c r="D820" i="7"/>
  <c r="C820" i="7"/>
  <c r="B820" i="7"/>
  <c r="A820" i="7"/>
  <c r="F819" i="7"/>
  <c r="E819" i="7"/>
  <c r="D819" i="7"/>
  <c r="C819" i="7"/>
  <c r="B819" i="7"/>
  <c r="A819" i="7"/>
  <c r="F818" i="7"/>
  <c r="E818" i="7"/>
  <c r="D818" i="7"/>
  <c r="C818" i="7"/>
  <c r="B818" i="7"/>
  <c r="A818" i="7"/>
  <c r="F817" i="7"/>
  <c r="E817" i="7"/>
  <c r="D817" i="7"/>
  <c r="C817" i="7"/>
  <c r="B817" i="7"/>
  <c r="A817" i="7"/>
  <c r="F816" i="7"/>
  <c r="E816" i="7"/>
  <c r="D816" i="7"/>
  <c r="C816" i="7"/>
  <c r="B816" i="7"/>
  <c r="A816" i="7"/>
  <c r="F815" i="7"/>
  <c r="E815" i="7"/>
  <c r="D815" i="7"/>
  <c r="C815" i="7"/>
  <c r="B815" i="7"/>
  <c r="A815" i="7"/>
  <c r="F814" i="7"/>
  <c r="E814" i="7"/>
  <c r="D814" i="7"/>
  <c r="C814" i="7"/>
  <c r="B814" i="7"/>
  <c r="A814" i="7"/>
  <c r="F813" i="7"/>
  <c r="E813" i="7"/>
  <c r="D813" i="7"/>
  <c r="C813" i="7"/>
  <c r="B813" i="7"/>
  <c r="A813" i="7"/>
  <c r="F812" i="7"/>
  <c r="E812" i="7"/>
  <c r="D812" i="7"/>
  <c r="C812" i="7"/>
  <c r="B812" i="7"/>
  <c r="A812" i="7"/>
  <c r="F811" i="7"/>
  <c r="E811" i="7"/>
  <c r="D811" i="7"/>
  <c r="C811" i="7"/>
  <c r="B811" i="7"/>
  <c r="A811" i="7"/>
  <c r="F810" i="7"/>
  <c r="E810" i="7"/>
  <c r="D810" i="7"/>
  <c r="C810" i="7"/>
  <c r="B810" i="7"/>
  <c r="A810" i="7"/>
  <c r="F809" i="7"/>
  <c r="E809" i="7"/>
  <c r="D809" i="7"/>
  <c r="C809" i="7"/>
  <c r="B809" i="7"/>
  <c r="A809" i="7"/>
  <c r="F808" i="7"/>
  <c r="E808" i="7"/>
  <c r="D808" i="7"/>
  <c r="C808" i="7"/>
  <c r="B808" i="7"/>
  <c r="A808" i="7"/>
  <c r="F807" i="7"/>
  <c r="E807" i="7"/>
  <c r="D807" i="7"/>
  <c r="C807" i="7"/>
  <c r="B807" i="7"/>
  <c r="A807" i="7"/>
  <c r="F806" i="7"/>
  <c r="E806" i="7"/>
  <c r="D806" i="7"/>
  <c r="C806" i="7"/>
  <c r="B806" i="7"/>
  <c r="A806" i="7"/>
  <c r="F805" i="7"/>
  <c r="E805" i="7"/>
  <c r="D805" i="7"/>
  <c r="C805" i="7"/>
  <c r="B805" i="7"/>
  <c r="A805" i="7"/>
  <c r="F804" i="7"/>
  <c r="E804" i="7"/>
  <c r="D804" i="7"/>
  <c r="C804" i="7"/>
  <c r="B804" i="7"/>
  <c r="A804" i="7"/>
  <c r="F803" i="7"/>
  <c r="E803" i="7"/>
  <c r="D803" i="7"/>
  <c r="C803" i="7"/>
  <c r="B803" i="7"/>
  <c r="A803" i="7"/>
  <c r="F802" i="7"/>
  <c r="E802" i="7"/>
  <c r="D802" i="7"/>
  <c r="C802" i="7"/>
  <c r="B802" i="7"/>
  <c r="A802" i="7"/>
  <c r="F801" i="7"/>
  <c r="E801" i="7"/>
  <c r="D801" i="7"/>
  <c r="C801" i="7"/>
  <c r="B801" i="7"/>
  <c r="A801" i="7"/>
  <c r="F800" i="7"/>
  <c r="E800" i="7"/>
  <c r="D800" i="7"/>
  <c r="C800" i="7"/>
  <c r="B800" i="7"/>
  <c r="A800" i="7"/>
  <c r="F799" i="7"/>
  <c r="E799" i="7"/>
  <c r="D799" i="7"/>
  <c r="C799" i="7"/>
  <c r="B799" i="7"/>
  <c r="A799" i="7"/>
  <c r="F798" i="7"/>
  <c r="E798" i="7"/>
  <c r="D798" i="7"/>
  <c r="C798" i="7"/>
  <c r="B798" i="7"/>
  <c r="A798" i="7"/>
  <c r="F797" i="7"/>
  <c r="E797" i="7"/>
  <c r="D797" i="7"/>
  <c r="C797" i="7"/>
  <c r="B797" i="7"/>
  <c r="A797" i="7"/>
  <c r="F796" i="7"/>
  <c r="E796" i="7"/>
  <c r="D796" i="7"/>
  <c r="C796" i="7"/>
  <c r="B796" i="7"/>
  <c r="A796" i="7"/>
  <c r="F795" i="7"/>
  <c r="E795" i="7"/>
  <c r="D795" i="7"/>
  <c r="C795" i="7"/>
  <c r="B795" i="7"/>
  <c r="A795" i="7"/>
  <c r="F794" i="7"/>
  <c r="E794" i="7"/>
  <c r="D794" i="7"/>
  <c r="C794" i="7"/>
  <c r="B794" i="7"/>
  <c r="A794" i="7"/>
  <c r="F793" i="7"/>
  <c r="E793" i="7"/>
  <c r="D793" i="7"/>
  <c r="C793" i="7"/>
  <c r="B793" i="7"/>
  <c r="A793" i="7"/>
  <c r="F792" i="7"/>
  <c r="E792" i="7"/>
  <c r="D792" i="7"/>
  <c r="C792" i="7"/>
  <c r="B792" i="7"/>
  <c r="A792" i="7"/>
  <c r="F791" i="7"/>
  <c r="E791" i="7"/>
  <c r="D791" i="7"/>
  <c r="C791" i="7"/>
  <c r="B791" i="7"/>
  <c r="A791" i="7"/>
  <c r="F790" i="7"/>
  <c r="E790" i="7"/>
  <c r="D790" i="7"/>
  <c r="C790" i="7"/>
  <c r="B790" i="7"/>
  <c r="A790" i="7"/>
  <c r="F789" i="7"/>
  <c r="E789" i="7"/>
  <c r="D789" i="7"/>
  <c r="C789" i="7"/>
  <c r="B789" i="7"/>
  <c r="A789" i="7"/>
  <c r="F788" i="7"/>
  <c r="E788" i="7"/>
  <c r="D788" i="7"/>
  <c r="C788" i="7"/>
  <c r="B788" i="7"/>
  <c r="A788" i="7"/>
  <c r="F787" i="7"/>
  <c r="E787" i="7"/>
  <c r="D787" i="7"/>
  <c r="C787" i="7"/>
  <c r="B787" i="7"/>
  <c r="A787" i="7"/>
  <c r="F786" i="7"/>
  <c r="E786" i="7"/>
  <c r="D786" i="7"/>
  <c r="C786" i="7"/>
  <c r="B786" i="7"/>
  <c r="A786" i="7"/>
  <c r="F785" i="7"/>
  <c r="E785" i="7"/>
  <c r="D785" i="7"/>
  <c r="C785" i="7"/>
  <c r="B785" i="7"/>
  <c r="A785" i="7"/>
  <c r="F784" i="7"/>
  <c r="E784" i="7"/>
  <c r="D784" i="7"/>
  <c r="C784" i="7"/>
  <c r="B784" i="7"/>
  <c r="A784" i="7"/>
  <c r="F783" i="7"/>
  <c r="E783" i="7"/>
  <c r="D783" i="7"/>
  <c r="C783" i="7"/>
  <c r="B783" i="7"/>
  <c r="A783" i="7"/>
  <c r="F782" i="7"/>
  <c r="E782" i="7"/>
  <c r="D782" i="7"/>
  <c r="C782" i="7"/>
  <c r="B782" i="7"/>
  <c r="A782" i="7"/>
  <c r="F781" i="7"/>
  <c r="E781" i="7"/>
  <c r="D781" i="7"/>
  <c r="C781" i="7"/>
  <c r="B781" i="7"/>
  <c r="A781" i="7"/>
  <c r="F780" i="7"/>
  <c r="E780" i="7"/>
  <c r="D780" i="7"/>
  <c r="C780" i="7"/>
  <c r="B780" i="7"/>
  <c r="A780" i="7"/>
  <c r="F779" i="7"/>
  <c r="E779" i="7"/>
  <c r="D779" i="7"/>
  <c r="C779" i="7"/>
  <c r="B779" i="7"/>
  <c r="A779" i="7"/>
  <c r="F778" i="7"/>
  <c r="E778" i="7"/>
  <c r="D778" i="7"/>
  <c r="C778" i="7"/>
  <c r="B778" i="7"/>
  <c r="A778" i="7"/>
  <c r="F777" i="7"/>
  <c r="E777" i="7"/>
  <c r="D777" i="7"/>
  <c r="C777" i="7"/>
  <c r="B777" i="7"/>
  <c r="A777" i="7"/>
  <c r="F776" i="7"/>
  <c r="E776" i="7"/>
  <c r="D776" i="7"/>
  <c r="C776" i="7"/>
  <c r="B776" i="7"/>
  <c r="A776" i="7"/>
  <c r="F775" i="7"/>
  <c r="E775" i="7"/>
  <c r="D775" i="7"/>
  <c r="C775" i="7"/>
  <c r="B775" i="7"/>
  <c r="A775" i="7"/>
  <c r="F774" i="7"/>
  <c r="E774" i="7"/>
  <c r="D774" i="7"/>
  <c r="C774" i="7"/>
  <c r="B774" i="7"/>
  <c r="A774" i="7"/>
  <c r="F773" i="7"/>
  <c r="E773" i="7"/>
  <c r="D773" i="7"/>
  <c r="C773" i="7"/>
  <c r="B773" i="7"/>
  <c r="A773" i="7"/>
  <c r="F772" i="7"/>
  <c r="E772" i="7"/>
  <c r="D772" i="7"/>
  <c r="C772" i="7"/>
  <c r="B772" i="7"/>
  <c r="A772" i="7"/>
  <c r="F771" i="7"/>
  <c r="E771" i="7"/>
  <c r="D771" i="7"/>
  <c r="C771" i="7"/>
  <c r="B771" i="7"/>
  <c r="A771" i="7"/>
  <c r="F770" i="7"/>
  <c r="E770" i="7"/>
  <c r="D770" i="7"/>
  <c r="C770" i="7"/>
  <c r="B770" i="7"/>
  <c r="A770" i="7"/>
  <c r="F769" i="7"/>
  <c r="E769" i="7"/>
  <c r="D769" i="7"/>
  <c r="C769" i="7"/>
  <c r="B769" i="7"/>
  <c r="A769" i="7"/>
  <c r="F768" i="7"/>
  <c r="E768" i="7"/>
  <c r="D768" i="7"/>
  <c r="C768" i="7"/>
  <c r="B768" i="7"/>
  <c r="A768" i="7"/>
  <c r="F767" i="7"/>
  <c r="E767" i="7"/>
  <c r="D767" i="7"/>
  <c r="C767" i="7"/>
  <c r="B767" i="7"/>
  <c r="A767" i="7"/>
  <c r="F766" i="7"/>
  <c r="E766" i="7"/>
  <c r="D766" i="7"/>
  <c r="C766" i="7"/>
  <c r="B766" i="7"/>
  <c r="A766" i="7"/>
  <c r="F765" i="7"/>
  <c r="E765" i="7"/>
  <c r="D765" i="7"/>
  <c r="C765" i="7"/>
  <c r="B765" i="7"/>
  <c r="A765" i="7"/>
  <c r="F764" i="7"/>
  <c r="E764" i="7"/>
  <c r="D764" i="7"/>
  <c r="C764" i="7"/>
  <c r="B764" i="7"/>
  <c r="A764" i="7"/>
  <c r="F763" i="7"/>
  <c r="E763" i="7"/>
  <c r="D763" i="7"/>
  <c r="C763" i="7"/>
  <c r="B763" i="7"/>
  <c r="A763" i="7"/>
  <c r="F762" i="7"/>
  <c r="E762" i="7"/>
  <c r="D762" i="7"/>
  <c r="C762" i="7"/>
  <c r="B762" i="7"/>
  <c r="A762" i="7"/>
  <c r="F761" i="7"/>
  <c r="E761" i="7"/>
  <c r="D761" i="7"/>
  <c r="C761" i="7"/>
  <c r="B761" i="7"/>
  <c r="A761" i="7"/>
  <c r="F760" i="7"/>
  <c r="E760" i="7"/>
  <c r="D760" i="7"/>
  <c r="C760" i="7"/>
  <c r="B760" i="7"/>
  <c r="A760" i="7"/>
  <c r="F759" i="7"/>
  <c r="E759" i="7"/>
  <c r="D759" i="7"/>
  <c r="C759" i="7"/>
  <c r="B759" i="7"/>
  <c r="A759" i="7"/>
  <c r="F758" i="7"/>
  <c r="E758" i="7"/>
  <c r="D758" i="7"/>
  <c r="C758" i="7"/>
  <c r="B758" i="7"/>
  <c r="A758" i="7"/>
  <c r="F757" i="7"/>
  <c r="E757" i="7"/>
  <c r="D757" i="7"/>
  <c r="C757" i="7"/>
  <c r="B757" i="7"/>
  <c r="A757" i="7"/>
  <c r="F756" i="7"/>
  <c r="E756" i="7"/>
  <c r="D756" i="7"/>
  <c r="C756" i="7"/>
  <c r="B756" i="7"/>
  <c r="A756" i="7"/>
  <c r="F755" i="7"/>
  <c r="E755" i="7"/>
  <c r="D755" i="7"/>
  <c r="C755" i="7"/>
  <c r="B755" i="7"/>
  <c r="A755" i="7"/>
  <c r="F754" i="7"/>
  <c r="E754" i="7"/>
  <c r="D754" i="7"/>
  <c r="C754" i="7"/>
  <c r="B754" i="7"/>
  <c r="A754" i="7"/>
  <c r="F753" i="7"/>
  <c r="E753" i="7"/>
  <c r="D753" i="7"/>
  <c r="C753" i="7"/>
  <c r="B753" i="7"/>
  <c r="A753" i="7"/>
  <c r="F752" i="7"/>
  <c r="E752" i="7"/>
  <c r="D752" i="7"/>
  <c r="C752" i="7"/>
  <c r="B752" i="7"/>
  <c r="A752" i="7"/>
  <c r="F751" i="7"/>
  <c r="E751" i="7"/>
  <c r="D751" i="7"/>
  <c r="C751" i="7"/>
  <c r="B751" i="7"/>
  <c r="A751" i="7"/>
  <c r="F750" i="7"/>
  <c r="E750" i="7"/>
  <c r="D750" i="7"/>
  <c r="C750" i="7"/>
  <c r="B750" i="7"/>
  <c r="A750" i="7"/>
  <c r="F749" i="7"/>
  <c r="E749" i="7"/>
  <c r="D749" i="7"/>
  <c r="C749" i="7"/>
  <c r="B749" i="7"/>
  <c r="A749" i="7"/>
  <c r="F748" i="7"/>
  <c r="E748" i="7"/>
  <c r="D748" i="7"/>
  <c r="C748" i="7"/>
  <c r="B748" i="7"/>
  <c r="A748" i="7"/>
  <c r="F747" i="7"/>
  <c r="E747" i="7"/>
  <c r="D747" i="7"/>
  <c r="C747" i="7"/>
  <c r="B747" i="7"/>
  <c r="A747" i="7"/>
  <c r="F746" i="7"/>
  <c r="E746" i="7"/>
  <c r="D746" i="7"/>
  <c r="C746" i="7"/>
  <c r="B746" i="7"/>
  <c r="A746" i="7"/>
  <c r="F745" i="7"/>
  <c r="E745" i="7"/>
  <c r="D745" i="7"/>
  <c r="C745" i="7"/>
  <c r="B745" i="7"/>
  <c r="A745" i="7"/>
  <c r="F744" i="7"/>
  <c r="E744" i="7"/>
  <c r="D744" i="7"/>
  <c r="C744" i="7"/>
  <c r="B744" i="7"/>
  <c r="A744" i="7"/>
  <c r="F743" i="7"/>
  <c r="E743" i="7"/>
  <c r="D743" i="7"/>
  <c r="C743" i="7"/>
  <c r="B743" i="7"/>
  <c r="A743" i="7"/>
  <c r="F742" i="7"/>
  <c r="E742" i="7"/>
  <c r="D742" i="7"/>
  <c r="C742" i="7"/>
  <c r="B742" i="7"/>
  <c r="A742" i="7"/>
  <c r="F741" i="7"/>
  <c r="E741" i="7"/>
  <c r="D741" i="7"/>
  <c r="C741" i="7"/>
  <c r="B741" i="7"/>
  <c r="A741" i="7"/>
  <c r="F740" i="7"/>
  <c r="E740" i="7"/>
  <c r="D740" i="7"/>
  <c r="C740" i="7"/>
  <c r="B740" i="7"/>
  <c r="A740" i="7"/>
  <c r="F739" i="7"/>
  <c r="E739" i="7"/>
  <c r="D739" i="7"/>
  <c r="C739" i="7"/>
  <c r="B739" i="7"/>
  <c r="A739" i="7"/>
  <c r="F738" i="7"/>
  <c r="E738" i="7"/>
  <c r="D738" i="7"/>
  <c r="C738" i="7"/>
  <c r="B738" i="7"/>
  <c r="A738" i="7"/>
  <c r="F737" i="7"/>
  <c r="E737" i="7"/>
  <c r="D737" i="7"/>
  <c r="C737" i="7"/>
  <c r="B737" i="7"/>
  <c r="A737" i="7"/>
  <c r="F736" i="7"/>
  <c r="E736" i="7"/>
  <c r="D736" i="7"/>
  <c r="C736" i="7"/>
  <c r="B736" i="7"/>
  <c r="A736" i="7"/>
  <c r="F735" i="7"/>
  <c r="E735" i="7"/>
  <c r="D735" i="7"/>
  <c r="C735" i="7"/>
  <c r="B735" i="7"/>
  <c r="A735" i="7"/>
  <c r="F734" i="7"/>
  <c r="E734" i="7"/>
  <c r="D734" i="7"/>
  <c r="C734" i="7"/>
  <c r="B734" i="7"/>
  <c r="A734" i="7"/>
  <c r="F733" i="7"/>
  <c r="E733" i="7"/>
  <c r="D733" i="7"/>
  <c r="C733" i="7"/>
  <c r="B733" i="7"/>
  <c r="A733" i="7"/>
  <c r="F732" i="7"/>
  <c r="E732" i="7"/>
  <c r="D732" i="7"/>
  <c r="C732" i="7"/>
  <c r="B732" i="7"/>
  <c r="A732" i="7"/>
  <c r="F731" i="7"/>
  <c r="E731" i="7"/>
  <c r="D731" i="7"/>
  <c r="C731" i="7"/>
  <c r="B731" i="7"/>
  <c r="A731" i="7"/>
  <c r="F730" i="7"/>
  <c r="E730" i="7"/>
  <c r="D730" i="7"/>
  <c r="C730" i="7"/>
  <c r="B730" i="7"/>
  <c r="A730" i="7"/>
  <c r="F729" i="7"/>
  <c r="E729" i="7"/>
  <c r="D729" i="7"/>
  <c r="C729" i="7"/>
  <c r="B729" i="7"/>
  <c r="A729" i="7"/>
  <c r="F728" i="7"/>
  <c r="E728" i="7"/>
  <c r="D728" i="7"/>
  <c r="C728" i="7"/>
  <c r="B728" i="7"/>
  <c r="A728" i="7"/>
  <c r="F727" i="7"/>
  <c r="E727" i="7"/>
  <c r="D727" i="7"/>
  <c r="C727" i="7"/>
  <c r="B727" i="7"/>
  <c r="A727" i="7"/>
  <c r="F726" i="7"/>
  <c r="E726" i="7"/>
  <c r="D726" i="7"/>
  <c r="C726" i="7"/>
  <c r="B726" i="7"/>
  <c r="A726" i="7"/>
  <c r="F725" i="7"/>
  <c r="E725" i="7"/>
  <c r="D725" i="7"/>
  <c r="C725" i="7"/>
  <c r="B725" i="7"/>
  <c r="A725" i="7"/>
  <c r="F724" i="7"/>
  <c r="E724" i="7"/>
  <c r="D724" i="7"/>
  <c r="C724" i="7"/>
  <c r="B724" i="7"/>
  <c r="A724" i="7"/>
  <c r="F723" i="7"/>
  <c r="E723" i="7"/>
  <c r="D723" i="7"/>
  <c r="C723" i="7"/>
  <c r="B723" i="7"/>
  <c r="A723" i="7"/>
  <c r="F722" i="7"/>
  <c r="E722" i="7"/>
  <c r="D722" i="7"/>
  <c r="C722" i="7"/>
  <c r="B722" i="7"/>
  <c r="A722" i="7"/>
  <c r="F721" i="7"/>
  <c r="E721" i="7"/>
  <c r="D721" i="7"/>
  <c r="C721" i="7"/>
  <c r="B721" i="7"/>
  <c r="A721" i="7"/>
  <c r="F720" i="7"/>
  <c r="E720" i="7"/>
  <c r="D720" i="7"/>
  <c r="C720" i="7"/>
  <c r="B720" i="7"/>
  <c r="A720" i="7"/>
  <c r="F719" i="7"/>
  <c r="E719" i="7"/>
  <c r="D719" i="7"/>
  <c r="C719" i="7"/>
  <c r="B719" i="7"/>
  <c r="A719" i="7"/>
  <c r="F718" i="7"/>
  <c r="E718" i="7"/>
  <c r="D718" i="7"/>
  <c r="C718" i="7"/>
  <c r="B718" i="7"/>
  <c r="A718" i="7"/>
  <c r="F717" i="7"/>
  <c r="E717" i="7"/>
  <c r="D717" i="7"/>
  <c r="C717" i="7"/>
  <c r="B717" i="7"/>
  <c r="A717" i="7"/>
  <c r="F716" i="7"/>
  <c r="E716" i="7"/>
  <c r="D716" i="7"/>
  <c r="C716" i="7"/>
  <c r="B716" i="7"/>
  <c r="A716" i="7"/>
  <c r="F715" i="7"/>
  <c r="E715" i="7"/>
  <c r="D715" i="7"/>
  <c r="C715" i="7"/>
  <c r="B715" i="7"/>
  <c r="A715" i="7"/>
  <c r="F714" i="7"/>
  <c r="E714" i="7"/>
  <c r="D714" i="7"/>
  <c r="C714" i="7"/>
  <c r="B714" i="7"/>
  <c r="A714" i="7"/>
  <c r="F713" i="7"/>
  <c r="E713" i="7"/>
  <c r="D713" i="7"/>
  <c r="C713" i="7"/>
  <c r="B713" i="7"/>
  <c r="A713" i="7"/>
  <c r="F712" i="7"/>
  <c r="E712" i="7"/>
  <c r="D712" i="7"/>
  <c r="C712" i="7"/>
  <c r="B712" i="7"/>
  <c r="A712" i="7"/>
  <c r="F711" i="7"/>
  <c r="E711" i="7"/>
  <c r="D711" i="7"/>
  <c r="C711" i="7"/>
  <c r="B711" i="7"/>
  <c r="A711" i="7"/>
  <c r="F710" i="7"/>
  <c r="E710" i="7"/>
  <c r="D710" i="7"/>
  <c r="C710" i="7"/>
  <c r="B710" i="7"/>
  <c r="A710" i="7"/>
  <c r="F709" i="7"/>
  <c r="E709" i="7"/>
  <c r="D709" i="7"/>
  <c r="C709" i="7"/>
  <c r="B709" i="7"/>
  <c r="A709" i="7"/>
  <c r="F708" i="7"/>
  <c r="E708" i="7"/>
  <c r="D708" i="7"/>
  <c r="C708" i="7"/>
  <c r="B708" i="7"/>
  <c r="A708" i="7"/>
  <c r="F707" i="7"/>
  <c r="E707" i="7"/>
  <c r="D707" i="7"/>
  <c r="C707" i="7"/>
  <c r="B707" i="7"/>
  <c r="A707" i="7"/>
  <c r="F706" i="7"/>
  <c r="E706" i="7"/>
  <c r="D706" i="7"/>
  <c r="C706" i="7"/>
  <c r="B706" i="7"/>
  <c r="A706" i="7"/>
  <c r="F705" i="7"/>
  <c r="E705" i="7"/>
  <c r="D705" i="7"/>
  <c r="C705" i="7"/>
  <c r="B705" i="7"/>
  <c r="A705" i="7"/>
  <c r="F704" i="7"/>
  <c r="E704" i="7"/>
  <c r="D704" i="7"/>
  <c r="C704" i="7"/>
  <c r="B704" i="7"/>
  <c r="A704" i="7"/>
  <c r="F703" i="7"/>
  <c r="E703" i="7"/>
  <c r="D703" i="7"/>
  <c r="C703" i="7"/>
  <c r="B703" i="7"/>
  <c r="A703" i="7"/>
  <c r="F702" i="7"/>
  <c r="E702" i="7"/>
  <c r="D702" i="7"/>
  <c r="C702" i="7"/>
  <c r="B702" i="7"/>
  <c r="A702" i="7"/>
  <c r="F701" i="7"/>
  <c r="E701" i="7"/>
  <c r="D701" i="7"/>
  <c r="C701" i="7"/>
  <c r="B701" i="7"/>
  <c r="A701" i="7"/>
  <c r="F700" i="7"/>
  <c r="E700" i="7"/>
  <c r="D700" i="7"/>
  <c r="C700" i="7"/>
  <c r="B700" i="7"/>
  <c r="A700" i="7"/>
  <c r="F699" i="7"/>
  <c r="E699" i="7"/>
  <c r="D699" i="7"/>
  <c r="C699" i="7"/>
  <c r="B699" i="7"/>
  <c r="A699" i="7"/>
  <c r="F698" i="7"/>
  <c r="E698" i="7"/>
  <c r="D698" i="7"/>
  <c r="C698" i="7"/>
  <c r="B698" i="7"/>
  <c r="A698" i="7"/>
  <c r="F697" i="7"/>
  <c r="E697" i="7"/>
  <c r="D697" i="7"/>
  <c r="C697" i="7"/>
  <c r="B697" i="7"/>
  <c r="A697" i="7"/>
  <c r="F696" i="7"/>
  <c r="E696" i="7"/>
  <c r="D696" i="7"/>
  <c r="C696" i="7"/>
  <c r="B696" i="7"/>
  <c r="A696" i="7"/>
  <c r="F695" i="7"/>
  <c r="E695" i="7"/>
  <c r="D695" i="7"/>
  <c r="C695" i="7"/>
  <c r="B695" i="7"/>
  <c r="A695" i="7"/>
  <c r="F694" i="7"/>
  <c r="E694" i="7"/>
  <c r="D694" i="7"/>
  <c r="C694" i="7"/>
  <c r="B694" i="7"/>
  <c r="A694" i="7"/>
  <c r="F693" i="7"/>
  <c r="E693" i="7"/>
  <c r="D693" i="7"/>
  <c r="C693" i="7"/>
  <c r="B693" i="7"/>
  <c r="A693" i="7"/>
  <c r="F692" i="7"/>
  <c r="E692" i="7"/>
  <c r="D692" i="7"/>
  <c r="C692" i="7"/>
  <c r="B692" i="7"/>
  <c r="A692" i="7"/>
  <c r="F691" i="7"/>
  <c r="E691" i="7"/>
  <c r="D691" i="7"/>
  <c r="C691" i="7"/>
  <c r="B691" i="7"/>
  <c r="A691" i="7"/>
  <c r="F690" i="7"/>
  <c r="E690" i="7"/>
  <c r="D690" i="7"/>
  <c r="C690" i="7"/>
  <c r="B690" i="7"/>
  <c r="A690" i="7"/>
  <c r="F689" i="7"/>
  <c r="E689" i="7"/>
  <c r="D689" i="7"/>
  <c r="C689" i="7"/>
  <c r="B689" i="7"/>
  <c r="A689" i="7"/>
  <c r="F688" i="7"/>
  <c r="E688" i="7"/>
  <c r="D688" i="7"/>
  <c r="C688" i="7"/>
  <c r="B688" i="7"/>
  <c r="A688" i="7"/>
  <c r="F687" i="7"/>
  <c r="E687" i="7"/>
  <c r="D687" i="7"/>
  <c r="C687" i="7"/>
  <c r="B687" i="7"/>
  <c r="A687" i="7"/>
  <c r="F686" i="7"/>
  <c r="E686" i="7"/>
  <c r="D686" i="7"/>
  <c r="C686" i="7"/>
  <c r="B686" i="7"/>
  <c r="A686" i="7"/>
  <c r="F685" i="7"/>
  <c r="E685" i="7"/>
  <c r="D685" i="7"/>
  <c r="C685" i="7"/>
  <c r="B685" i="7"/>
  <c r="A685" i="7"/>
  <c r="F684" i="7"/>
  <c r="E684" i="7"/>
  <c r="D684" i="7"/>
  <c r="C684" i="7"/>
  <c r="B684" i="7"/>
  <c r="A684" i="7"/>
  <c r="F683" i="7"/>
  <c r="E683" i="7"/>
  <c r="D683" i="7"/>
  <c r="C683" i="7"/>
  <c r="B683" i="7"/>
  <c r="A683" i="7"/>
  <c r="F682" i="7"/>
  <c r="E682" i="7"/>
  <c r="D682" i="7"/>
  <c r="C682" i="7"/>
  <c r="B682" i="7"/>
  <c r="A682" i="7"/>
  <c r="F681" i="7"/>
  <c r="E681" i="7"/>
  <c r="D681" i="7"/>
  <c r="C681" i="7"/>
  <c r="B681" i="7"/>
  <c r="A681" i="7"/>
  <c r="F680" i="7"/>
  <c r="E680" i="7"/>
  <c r="D680" i="7"/>
  <c r="C680" i="7"/>
  <c r="B680" i="7"/>
  <c r="A680" i="7"/>
  <c r="F679" i="7"/>
  <c r="E679" i="7"/>
  <c r="D679" i="7"/>
  <c r="C679" i="7"/>
  <c r="B679" i="7"/>
  <c r="A679" i="7"/>
  <c r="F678" i="7"/>
  <c r="E678" i="7"/>
  <c r="D678" i="7"/>
  <c r="C678" i="7"/>
  <c r="B678" i="7"/>
  <c r="A678" i="7"/>
  <c r="F677" i="7"/>
  <c r="E677" i="7"/>
  <c r="D677" i="7"/>
  <c r="C677" i="7"/>
  <c r="B677" i="7"/>
  <c r="A677" i="7"/>
  <c r="F676" i="7"/>
  <c r="E676" i="7"/>
  <c r="D676" i="7"/>
  <c r="C676" i="7"/>
  <c r="B676" i="7"/>
  <c r="A676" i="7"/>
  <c r="F675" i="7"/>
  <c r="E675" i="7"/>
  <c r="D675" i="7"/>
  <c r="C675" i="7"/>
  <c r="B675" i="7"/>
  <c r="A675" i="7"/>
  <c r="F674" i="7"/>
  <c r="E674" i="7"/>
  <c r="D674" i="7"/>
  <c r="C674" i="7"/>
  <c r="B674" i="7"/>
  <c r="A674" i="7"/>
  <c r="F673" i="7"/>
  <c r="E673" i="7"/>
  <c r="D673" i="7"/>
  <c r="C673" i="7"/>
  <c r="B673" i="7"/>
  <c r="A673" i="7"/>
  <c r="F672" i="7"/>
  <c r="E672" i="7"/>
  <c r="D672" i="7"/>
  <c r="C672" i="7"/>
  <c r="B672" i="7"/>
  <c r="A672" i="7"/>
  <c r="F671" i="7"/>
  <c r="E671" i="7"/>
  <c r="D671" i="7"/>
  <c r="C671" i="7"/>
  <c r="B671" i="7"/>
  <c r="A671" i="7"/>
  <c r="F670" i="7"/>
  <c r="E670" i="7"/>
  <c r="D670" i="7"/>
  <c r="C670" i="7"/>
  <c r="B670" i="7"/>
  <c r="A670" i="7"/>
  <c r="F669" i="7"/>
  <c r="E669" i="7"/>
  <c r="D669" i="7"/>
  <c r="C669" i="7"/>
  <c r="B669" i="7"/>
  <c r="A669" i="7"/>
  <c r="F668" i="7"/>
  <c r="E668" i="7"/>
  <c r="D668" i="7"/>
  <c r="C668" i="7"/>
  <c r="B668" i="7"/>
  <c r="A668" i="7"/>
  <c r="F667" i="7"/>
  <c r="E667" i="7"/>
  <c r="D667" i="7"/>
  <c r="C667" i="7"/>
  <c r="B667" i="7"/>
  <c r="A667" i="7"/>
  <c r="F666" i="7"/>
  <c r="E666" i="7"/>
  <c r="D666" i="7"/>
  <c r="C666" i="7"/>
  <c r="B666" i="7"/>
  <c r="A666" i="7"/>
  <c r="F665" i="7"/>
  <c r="E665" i="7"/>
  <c r="D665" i="7"/>
  <c r="C665" i="7"/>
  <c r="B665" i="7"/>
  <c r="A665" i="7"/>
  <c r="F664" i="7"/>
  <c r="E664" i="7"/>
  <c r="D664" i="7"/>
  <c r="C664" i="7"/>
  <c r="B664" i="7"/>
  <c r="A664" i="7"/>
  <c r="F663" i="7"/>
  <c r="E663" i="7"/>
  <c r="D663" i="7"/>
  <c r="C663" i="7"/>
  <c r="B663" i="7"/>
  <c r="A663" i="7"/>
  <c r="F662" i="7"/>
  <c r="E662" i="7"/>
  <c r="D662" i="7"/>
  <c r="C662" i="7"/>
  <c r="B662" i="7"/>
  <c r="A662" i="7"/>
  <c r="F661" i="7"/>
  <c r="E661" i="7"/>
  <c r="D661" i="7"/>
  <c r="C661" i="7"/>
  <c r="B661" i="7"/>
  <c r="A661" i="7"/>
  <c r="F660" i="7"/>
  <c r="E660" i="7"/>
  <c r="D660" i="7"/>
  <c r="C660" i="7"/>
  <c r="B660" i="7"/>
  <c r="A660" i="7"/>
  <c r="F659" i="7"/>
  <c r="E659" i="7"/>
  <c r="D659" i="7"/>
  <c r="C659" i="7"/>
  <c r="B659" i="7"/>
  <c r="A659" i="7"/>
  <c r="F658" i="7"/>
  <c r="E658" i="7"/>
  <c r="D658" i="7"/>
  <c r="C658" i="7"/>
  <c r="B658" i="7"/>
  <c r="A658" i="7"/>
  <c r="F657" i="7"/>
  <c r="E657" i="7"/>
  <c r="D657" i="7"/>
  <c r="C657" i="7"/>
  <c r="B657" i="7"/>
  <c r="A657" i="7"/>
  <c r="F656" i="7"/>
  <c r="E656" i="7"/>
  <c r="D656" i="7"/>
  <c r="C656" i="7"/>
  <c r="B656" i="7"/>
  <c r="A656" i="7"/>
  <c r="F655" i="7"/>
  <c r="E655" i="7"/>
  <c r="D655" i="7"/>
  <c r="C655" i="7"/>
  <c r="B655" i="7"/>
  <c r="A655" i="7"/>
  <c r="F654" i="7"/>
  <c r="E654" i="7"/>
  <c r="D654" i="7"/>
  <c r="C654" i="7"/>
  <c r="B654" i="7"/>
  <c r="A654" i="7"/>
  <c r="F653" i="7"/>
  <c r="E653" i="7"/>
  <c r="D653" i="7"/>
  <c r="C653" i="7"/>
  <c r="B653" i="7"/>
  <c r="A653" i="7"/>
  <c r="F652" i="7"/>
  <c r="E652" i="7"/>
  <c r="D652" i="7"/>
  <c r="C652" i="7"/>
  <c r="B652" i="7"/>
  <c r="A652" i="7"/>
  <c r="F651" i="7"/>
  <c r="E651" i="7"/>
  <c r="D651" i="7"/>
  <c r="C651" i="7"/>
  <c r="B651" i="7"/>
  <c r="A651" i="7"/>
  <c r="F650" i="7"/>
  <c r="E650" i="7"/>
  <c r="D650" i="7"/>
  <c r="C650" i="7"/>
  <c r="B650" i="7"/>
  <c r="A650" i="7"/>
  <c r="F649" i="7"/>
  <c r="E649" i="7"/>
  <c r="D649" i="7"/>
  <c r="C649" i="7"/>
  <c r="B649" i="7"/>
  <c r="A649" i="7"/>
  <c r="F648" i="7"/>
  <c r="E648" i="7"/>
  <c r="D648" i="7"/>
  <c r="C648" i="7"/>
  <c r="B648" i="7"/>
  <c r="A648" i="7"/>
  <c r="F647" i="7"/>
  <c r="E647" i="7"/>
  <c r="D647" i="7"/>
  <c r="C647" i="7"/>
  <c r="B647" i="7"/>
  <c r="A647" i="7"/>
  <c r="F646" i="7"/>
  <c r="E646" i="7"/>
  <c r="D646" i="7"/>
  <c r="C646" i="7"/>
  <c r="B646" i="7"/>
  <c r="A646" i="7"/>
  <c r="F645" i="7"/>
  <c r="E645" i="7"/>
  <c r="D645" i="7"/>
  <c r="C645" i="7"/>
  <c r="B645" i="7"/>
  <c r="A645" i="7"/>
  <c r="F644" i="7"/>
  <c r="E644" i="7"/>
  <c r="D644" i="7"/>
  <c r="C644" i="7"/>
  <c r="B644" i="7"/>
  <c r="A644" i="7"/>
  <c r="F643" i="7"/>
  <c r="E643" i="7"/>
  <c r="D643" i="7"/>
  <c r="C643" i="7"/>
  <c r="B643" i="7"/>
  <c r="A643" i="7"/>
  <c r="F642" i="7"/>
  <c r="E642" i="7"/>
  <c r="D642" i="7"/>
  <c r="C642" i="7"/>
  <c r="B642" i="7"/>
  <c r="A642" i="7"/>
  <c r="F641" i="7"/>
  <c r="E641" i="7"/>
  <c r="D641" i="7"/>
  <c r="C641" i="7"/>
  <c r="B641" i="7"/>
  <c r="A641" i="7"/>
  <c r="F640" i="7"/>
  <c r="E640" i="7"/>
  <c r="D640" i="7"/>
  <c r="C640" i="7"/>
  <c r="B640" i="7"/>
  <c r="A640" i="7"/>
  <c r="F639" i="7"/>
  <c r="E639" i="7"/>
  <c r="D639" i="7"/>
  <c r="C639" i="7"/>
  <c r="B639" i="7"/>
  <c r="A639" i="7"/>
  <c r="F638" i="7"/>
  <c r="E638" i="7"/>
  <c r="D638" i="7"/>
  <c r="C638" i="7"/>
  <c r="B638" i="7"/>
  <c r="A638" i="7"/>
  <c r="F637" i="7"/>
  <c r="E637" i="7"/>
  <c r="D637" i="7"/>
  <c r="C637" i="7"/>
  <c r="B637" i="7"/>
  <c r="A637" i="7"/>
  <c r="F636" i="7"/>
  <c r="E636" i="7"/>
  <c r="D636" i="7"/>
  <c r="C636" i="7"/>
  <c r="B636" i="7"/>
  <c r="A636" i="7"/>
  <c r="F635" i="7"/>
  <c r="E635" i="7"/>
  <c r="D635" i="7"/>
  <c r="C635" i="7"/>
  <c r="B635" i="7"/>
  <c r="A635" i="7"/>
  <c r="F634" i="7"/>
  <c r="E634" i="7"/>
  <c r="D634" i="7"/>
  <c r="C634" i="7"/>
  <c r="B634" i="7"/>
  <c r="A634" i="7"/>
  <c r="F633" i="7"/>
  <c r="E633" i="7"/>
  <c r="D633" i="7"/>
  <c r="C633" i="7"/>
  <c r="B633" i="7"/>
  <c r="A633" i="7"/>
  <c r="F632" i="7"/>
  <c r="E632" i="7"/>
  <c r="D632" i="7"/>
  <c r="C632" i="7"/>
  <c r="B632" i="7"/>
  <c r="A632" i="7"/>
  <c r="F631" i="7"/>
  <c r="E631" i="7"/>
  <c r="D631" i="7"/>
  <c r="C631" i="7"/>
  <c r="B631" i="7"/>
  <c r="A631" i="7"/>
  <c r="F630" i="7"/>
  <c r="E630" i="7"/>
  <c r="D630" i="7"/>
  <c r="C630" i="7"/>
  <c r="B630" i="7"/>
  <c r="A630" i="7"/>
  <c r="F629" i="7"/>
  <c r="E629" i="7"/>
  <c r="D629" i="7"/>
  <c r="C629" i="7"/>
  <c r="B629" i="7"/>
  <c r="A629" i="7"/>
  <c r="F628" i="7"/>
  <c r="E628" i="7"/>
  <c r="D628" i="7"/>
  <c r="C628" i="7"/>
  <c r="B628" i="7"/>
  <c r="A628" i="7"/>
  <c r="F627" i="7"/>
  <c r="E627" i="7"/>
  <c r="D627" i="7"/>
  <c r="C627" i="7"/>
  <c r="B627" i="7"/>
  <c r="A627" i="7"/>
  <c r="F626" i="7"/>
  <c r="E626" i="7"/>
  <c r="D626" i="7"/>
  <c r="C626" i="7"/>
  <c r="B626" i="7"/>
  <c r="A626" i="7"/>
  <c r="F625" i="7"/>
  <c r="E625" i="7"/>
  <c r="D625" i="7"/>
  <c r="C625" i="7"/>
  <c r="B625" i="7"/>
  <c r="A625" i="7"/>
  <c r="F624" i="7"/>
  <c r="E624" i="7"/>
  <c r="D624" i="7"/>
  <c r="C624" i="7"/>
  <c r="B624" i="7"/>
  <c r="A624" i="7"/>
  <c r="F623" i="7"/>
  <c r="E623" i="7"/>
  <c r="D623" i="7"/>
  <c r="C623" i="7"/>
  <c r="B623" i="7"/>
  <c r="A623" i="7"/>
  <c r="F622" i="7"/>
  <c r="E622" i="7"/>
  <c r="D622" i="7"/>
  <c r="C622" i="7"/>
  <c r="B622" i="7"/>
  <c r="A622" i="7"/>
  <c r="F621" i="7"/>
  <c r="E621" i="7"/>
  <c r="D621" i="7"/>
  <c r="C621" i="7"/>
  <c r="B621" i="7"/>
  <c r="A621" i="7"/>
  <c r="F620" i="7"/>
  <c r="E620" i="7"/>
  <c r="D620" i="7"/>
  <c r="C620" i="7"/>
  <c r="B620" i="7"/>
  <c r="A620" i="7"/>
  <c r="F619" i="7"/>
  <c r="E619" i="7"/>
  <c r="D619" i="7"/>
  <c r="C619" i="7"/>
  <c r="B619" i="7"/>
  <c r="A619" i="7"/>
  <c r="F618" i="7"/>
  <c r="E618" i="7"/>
  <c r="D618" i="7"/>
  <c r="C618" i="7"/>
  <c r="B618" i="7"/>
  <c r="A618" i="7"/>
  <c r="F617" i="7"/>
  <c r="E617" i="7"/>
  <c r="D617" i="7"/>
  <c r="C617" i="7"/>
  <c r="B617" i="7"/>
  <c r="A617" i="7"/>
  <c r="F616" i="7"/>
  <c r="E616" i="7"/>
  <c r="D616" i="7"/>
  <c r="C616" i="7"/>
  <c r="B616" i="7"/>
  <c r="A616" i="7"/>
  <c r="F615" i="7"/>
  <c r="E615" i="7"/>
  <c r="D615" i="7"/>
  <c r="C615" i="7"/>
  <c r="B615" i="7"/>
  <c r="A615" i="7"/>
  <c r="F614" i="7"/>
  <c r="E614" i="7"/>
  <c r="D614" i="7"/>
  <c r="C614" i="7"/>
  <c r="B614" i="7"/>
  <c r="A614" i="7"/>
  <c r="F613" i="7"/>
  <c r="E613" i="7"/>
  <c r="D613" i="7"/>
  <c r="C613" i="7"/>
  <c r="B613" i="7"/>
  <c r="A613" i="7"/>
  <c r="F612" i="7"/>
  <c r="E612" i="7"/>
  <c r="D612" i="7"/>
  <c r="C612" i="7"/>
  <c r="B612" i="7"/>
  <c r="A612" i="7"/>
  <c r="F611" i="7"/>
  <c r="E611" i="7"/>
  <c r="D611" i="7"/>
  <c r="C611" i="7"/>
  <c r="B611" i="7"/>
  <c r="A611" i="7"/>
  <c r="F610" i="7"/>
  <c r="E610" i="7"/>
  <c r="D610" i="7"/>
  <c r="C610" i="7"/>
  <c r="B610" i="7"/>
  <c r="A610" i="7"/>
  <c r="F609" i="7"/>
  <c r="E609" i="7"/>
  <c r="D609" i="7"/>
  <c r="C609" i="7"/>
  <c r="B609" i="7"/>
  <c r="A609" i="7"/>
  <c r="F608" i="7"/>
  <c r="E608" i="7"/>
  <c r="D608" i="7"/>
  <c r="C608" i="7"/>
  <c r="B608" i="7"/>
  <c r="A608" i="7"/>
  <c r="F607" i="7"/>
  <c r="E607" i="7"/>
  <c r="D607" i="7"/>
  <c r="C607" i="7"/>
  <c r="B607" i="7"/>
  <c r="A607" i="7"/>
  <c r="F606" i="7"/>
  <c r="E606" i="7"/>
  <c r="D606" i="7"/>
  <c r="C606" i="7"/>
  <c r="B606" i="7"/>
  <c r="A606" i="7"/>
  <c r="F605" i="7"/>
  <c r="E605" i="7"/>
  <c r="D605" i="7"/>
  <c r="C605" i="7"/>
  <c r="B605" i="7"/>
  <c r="A605" i="7"/>
  <c r="F604" i="7"/>
  <c r="E604" i="7"/>
  <c r="D604" i="7"/>
  <c r="C604" i="7"/>
  <c r="B604" i="7"/>
  <c r="A604" i="7"/>
  <c r="F603" i="7"/>
  <c r="E603" i="7"/>
  <c r="D603" i="7"/>
  <c r="C603" i="7"/>
  <c r="B603" i="7"/>
  <c r="A603" i="7"/>
  <c r="F602" i="7"/>
  <c r="E602" i="7"/>
  <c r="D602" i="7"/>
  <c r="C602" i="7"/>
  <c r="B602" i="7"/>
  <c r="A602" i="7"/>
  <c r="F601" i="7"/>
  <c r="E601" i="7"/>
  <c r="D601" i="7"/>
  <c r="C601" i="7"/>
  <c r="B601" i="7"/>
  <c r="A601" i="7"/>
  <c r="F600" i="7"/>
  <c r="E600" i="7"/>
  <c r="D600" i="7"/>
  <c r="C600" i="7"/>
  <c r="B600" i="7"/>
  <c r="A600" i="7"/>
  <c r="F599" i="7"/>
  <c r="E599" i="7"/>
  <c r="D599" i="7"/>
  <c r="C599" i="7"/>
  <c r="B599" i="7"/>
  <c r="A599" i="7"/>
  <c r="F598" i="7"/>
  <c r="E598" i="7"/>
  <c r="D598" i="7"/>
  <c r="C598" i="7"/>
  <c r="B598" i="7"/>
  <c r="A598" i="7"/>
  <c r="F597" i="7"/>
  <c r="E597" i="7"/>
  <c r="D597" i="7"/>
  <c r="C597" i="7"/>
  <c r="B597" i="7"/>
  <c r="A597" i="7"/>
  <c r="F596" i="7"/>
  <c r="E596" i="7"/>
  <c r="D596" i="7"/>
  <c r="C596" i="7"/>
  <c r="B596" i="7"/>
  <c r="A596" i="7"/>
  <c r="F595" i="7"/>
  <c r="E595" i="7"/>
  <c r="D595" i="7"/>
  <c r="C595" i="7"/>
  <c r="B595" i="7"/>
  <c r="A595" i="7"/>
  <c r="F594" i="7"/>
  <c r="E594" i="7"/>
  <c r="D594" i="7"/>
  <c r="C594" i="7"/>
  <c r="B594" i="7"/>
  <c r="A594" i="7"/>
  <c r="F593" i="7"/>
  <c r="E593" i="7"/>
  <c r="D593" i="7"/>
  <c r="C593" i="7"/>
  <c r="B593" i="7"/>
  <c r="A593" i="7"/>
  <c r="F592" i="7"/>
  <c r="E592" i="7"/>
  <c r="D592" i="7"/>
  <c r="C592" i="7"/>
  <c r="B592" i="7"/>
  <c r="A592" i="7"/>
  <c r="F591" i="7"/>
  <c r="E591" i="7"/>
  <c r="D591" i="7"/>
  <c r="C591" i="7"/>
  <c r="B591" i="7"/>
  <c r="A591" i="7"/>
  <c r="F590" i="7"/>
  <c r="E590" i="7"/>
  <c r="D590" i="7"/>
  <c r="C590" i="7"/>
  <c r="B590" i="7"/>
  <c r="A590" i="7"/>
  <c r="F589" i="7"/>
  <c r="E589" i="7"/>
  <c r="D589" i="7"/>
  <c r="C589" i="7"/>
  <c r="B589" i="7"/>
  <c r="A589" i="7"/>
  <c r="F588" i="7"/>
  <c r="E588" i="7"/>
  <c r="D588" i="7"/>
  <c r="C588" i="7"/>
  <c r="B588" i="7"/>
  <c r="A588" i="7"/>
  <c r="F587" i="7"/>
  <c r="E587" i="7"/>
  <c r="D587" i="7"/>
  <c r="C587" i="7"/>
  <c r="B587" i="7"/>
  <c r="A587" i="7"/>
  <c r="F586" i="7"/>
  <c r="E586" i="7"/>
  <c r="D586" i="7"/>
  <c r="C586" i="7"/>
  <c r="B586" i="7"/>
  <c r="A586" i="7"/>
  <c r="F585" i="7"/>
  <c r="E585" i="7"/>
  <c r="D585" i="7"/>
  <c r="C585" i="7"/>
  <c r="B585" i="7"/>
  <c r="A585" i="7"/>
  <c r="F584" i="7"/>
  <c r="E584" i="7"/>
  <c r="D584" i="7"/>
  <c r="C584" i="7"/>
  <c r="B584" i="7"/>
  <c r="A584" i="7"/>
  <c r="F583" i="7"/>
  <c r="E583" i="7"/>
  <c r="D583" i="7"/>
  <c r="C583" i="7"/>
  <c r="B583" i="7"/>
  <c r="A583" i="7"/>
  <c r="F582" i="7"/>
  <c r="E582" i="7"/>
  <c r="D582" i="7"/>
  <c r="C582" i="7"/>
  <c r="B582" i="7"/>
  <c r="A582" i="7"/>
  <c r="F581" i="7"/>
  <c r="E581" i="7"/>
  <c r="D581" i="7"/>
  <c r="C581" i="7"/>
  <c r="B581" i="7"/>
  <c r="A581" i="7"/>
  <c r="F580" i="7"/>
  <c r="E580" i="7"/>
  <c r="D580" i="7"/>
  <c r="C580" i="7"/>
  <c r="B580" i="7"/>
  <c r="A580" i="7"/>
  <c r="F579" i="7"/>
  <c r="E579" i="7"/>
  <c r="D579" i="7"/>
  <c r="C579" i="7"/>
  <c r="B579" i="7"/>
  <c r="A579" i="7"/>
  <c r="F578" i="7"/>
  <c r="E578" i="7"/>
  <c r="D578" i="7"/>
  <c r="C578" i="7"/>
  <c r="B578" i="7"/>
  <c r="A578" i="7"/>
  <c r="F577" i="7"/>
  <c r="E577" i="7"/>
  <c r="D577" i="7"/>
  <c r="C577" i="7"/>
  <c r="B577" i="7"/>
  <c r="A577" i="7"/>
  <c r="F576" i="7"/>
  <c r="E576" i="7"/>
  <c r="D576" i="7"/>
  <c r="C576" i="7"/>
  <c r="B576" i="7"/>
  <c r="A576" i="7"/>
  <c r="F575" i="7"/>
  <c r="E575" i="7"/>
  <c r="D575" i="7"/>
  <c r="C575" i="7"/>
  <c r="B575" i="7"/>
  <c r="A575" i="7"/>
  <c r="F574" i="7"/>
  <c r="E574" i="7"/>
  <c r="D574" i="7"/>
  <c r="C574" i="7"/>
  <c r="B574" i="7"/>
  <c r="A574" i="7"/>
  <c r="F573" i="7"/>
  <c r="E573" i="7"/>
  <c r="D573" i="7"/>
  <c r="C573" i="7"/>
  <c r="B573" i="7"/>
  <c r="A573" i="7"/>
  <c r="F572" i="7"/>
  <c r="E572" i="7"/>
  <c r="D572" i="7"/>
  <c r="C572" i="7"/>
  <c r="B572" i="7"/>
  <c r="A572" i="7"/>
  <c r="F571" i="7"/>
  <c r="E571" i="7"/>
  <c r="D571" i="7"/>
  <c r="C571" i="7"/>
  <c r="B571" i="7"/>
  <c r="A571" i="7"/>
  <c r="F570" i="7"/>
  <c r="E570" i="7"/>
  <c r="D570" i="7"/>
  <c r="C570" i="7"/>
  <c r="B570" i="7"/>
  <c r="A570" i="7"/>
  <c r="F569" i="7"/>
  <c r="E569" i="7"/>
  <c r="D569" i="7"/>
  <c r="C569" i="7"/>
  <c r="B569" i="7"/>
  <c r="A569" i="7"/>
  <c r="F568" i="7"/>
  <c r="E568" i="7"/>
  <c r="D568" i="7"/>
  <c r="C568" i="7"/>
  <c r="B568" i="7"/>
  <c r="A568" i="7"/>
  <c r="F567" i="7"/>
  <c r="E567" i="7"/>
  <c r="D567" i="7"/>
  <c r="C567" i="7"/>
  <c r="B567" i="7"/>
  <c r="A567" i="7"/>
  <c r="F566" i="7"/>
  <c r="E566" i="7"/>
  <c r="D566" i="7"/>
  <c r="C566" i="7"/>
  <c r="B566" i="7"/>
  <c r="A566" i="7"/>
  <c r="F565" i="7"/>
  <c r="E565" i="7"/>
  <c r="D565" i="7"/>
  <c r="C565" i="7"/>
  <c r="B565" i="7"/>
  <c r="A565" i="7"/>
  <c r="F564" i="7"/>
  <c r="E564" i="7"/>
  <c r="D564" i="7"/>
  <c r="C564" i="7"/>
  <c r="B564" i="7"/>
  <c r="A564" i="7"/>
  <c r="F563" i="7"/>
  <c r="E563" i="7"/>
  <c r="D563" i="7"/>
  <c r="C563" i="7"/>
  <c r="B563" i="7"/>
  <c r="A563" i="7"/>
  <c r="F562" i="7"/>
  <c r="E562" i="7"/>
  <c r="D562" i="7"/>
  <c r="C562" i="7"/>
  <c r="B562" i="7"/>
  <c r="A562" i="7"/>
  <c r="F561" i="7"/>
  <c r="E561" i="7"/>
  <c r="D561" i="7"/>
  <c r="C561" i="7"/>
  <c r="B561" i="7"/>
  <c r="A561" i="7"/>
  <c r="F560" i="7"/>
  <c r="E560" i="7"/>
  <c r="D560" i="7"/>
  <c r="C560" i="7"/>
  <c r="B560" i="7"/>
  <c r="A560" i="7"/>
  <c r="F559" i="7"/>
  <c r="E559" i="7"/>
  <c r="D559" i="7"/>
  <c r="C559" i="7"/>
  <c r="B559" i="7"/>
  <c r="A559" i="7"/>
  <c r="F558" i="7"/>
  <c r="E558" i="7"/>
  <c r="D558" i="7"/>
  <c r="C558" i="7"/>
  <c r="B558" i="7"/>
  <c r="A558" i="7"/>
  <c r="F557" i="7"/>
  <c r="E557" i="7"/>
  <c r="D557" i="7"/>
  <c r="C557" i="7"/>
  <c r="B557" i="7"/>
  <c r="A557" i="7"/>
  <c r="F556" i="7"/>
  <c r="E556" i="7"/>
  <c r="D556" i="7"/>
  <c r="C556" i="7"/>
  <c r="B556" i="7"/>
  <c r="A556" i="7"/>
  <c r="F555" i="7"/>
  <c r="E555" i="7"/>
  <c r="D555" i="7"/>
  <c r="C555" i="7"/>
  <c r="B555" i="7"/>
  <c r="A555" i="7"/>
  <c r="F554" i="7"/>
  <c r="E554" i="7"/>
  <c r="D554" i="7"/>
  <c r="C554" i="7"/>
  <c r="B554" i="7"/>
  <c r="A554" i="7"/>
  <c r="F553" i="7"/>
  <c r="E553" i="7"/>
  <c r="D553" i="7"/>
  <c r="C553" i="7"/>
  <c r="B553" i="7"/>
  <c r="A553" i="7"/>
  <c r="F552" i="7"/>
  <c r="E552" i="7"/>
  <c r="D552" i="7"/>
  <c r="C552" i="7"/>
  <c r="B552" i="7"/>
  <c r="A552" i="7"/>
  <c r="F551" i="7"/>
  <c r="E551" i="7"/>
  <c r="D551" i="7"/>
  <c r="C551" i="7"/>
  <c r="B551" i="7"/>
  <c r="A551" i="7"/>
  <c r="F550" i="7"/>
  <c r="E550" i="7"/>
  <c r="D550" i="7"/>
  <c r="C550" i="7"/>
  <c r="B550" i="7"/>
  <c r="A550" i="7"/>
  <c r="F549" i="7"/>
  <c r="E549" i="7"/>
  <c r="D549" i="7"/>
  <c r="C549" i="7"/>
  <c r="B549" i="7"/>
  <c r="A549" i="7"/>
  <c r="F548" i="7"/>
  <c r="E548" i="7"/>
  <c r="D548" i="7"/>
  <c r="C548" i="7"/>
  <c r="B548" i="7"/>
  <c r="A548" i="7"/>
  <c r="F547" i="7"/>
  <c r="E547" i="7"/>
  <c r="D547" i="7"/>
  <c r="C547" i="7"/>
  <c r="B547" i="7"/>
  <c r="A547" i="7"/>
  <c r="F546" i="7"/>
  <c r="E546" i="7"/>
  <c r="D546" i="7"/>
  <c r="C546" i="7"/>
  <c r="B546" i="7"/>
  <c r="A546" i="7"/>
  <c r="F545" i="7"/>
  <c r="E545" i="7"/>
  <c r="D545" i="7"/>
  <c r="C545" i="7"/>
  <c r="B545" i="7"/>
  <c r="A545" i="7"/>
  <c r="F544" i="7"/>
  <c r="E544" i="7"/>
  <c r="D544" i="7"/>
  <c r="C544" i="7"/>
  <c r="B544" i="7"/>
  <c r="A544" i="7"/>
  <c r="F543" i="7"/>
  <c r="E543" i="7"/>
  <c r="D543" i="7"/>
  <c r="C543" i="7"/>
  <c r="B543" i="7"/>
  <c r="A543" i="7"/>
  <c r="F542" i="7"/>
  <c r="E542" i="7"/>
  <c r="D542" i="7"/>
  <c r="C542" i="7"/>
  <c r="B542" i="7"/>
  <c r="A542" i="7"/>
  <c r="F541" i="7"/>
  <c r="E541" i="7"/>
  <c r="D541" i="7"/>
  <c r="C541" i="7"/>
  <c r="B541" i="7"/>
  <c r="A541" i="7"/>
  <c r="F540" i="7"/>
  <c r="E540" i="7"/>
  <c r="D540" i="7"/>
  <c r="C540" i="7"/>
  <c r="B540" i="7"/>
  <c r="A540" i="7"/>
  <c r="F539" i="7"/>
  <c r="E539" i="7"/>
  <c r="D539" i="7"/>
  <c r="C539" i="7"/>
  <c r="B539" i="7"/>
  <c r="A539" i="7"/>
  <c r="F538" i="7"/>
  <c r="E538" i="7"/>
  <c r="D538" i="7"/>
  <c r="C538" i="7"/>
  <c r="B538" i="7"/>
  <c r="A538" i="7"/>
  <c r="F537" i="7"/>
  <c r="E537" i="7"/>
  <c r="D537" i="7"/>
  <c r="C537" i="7"/>
  <c r="B537" i="7"/>
  <c r="A537" i="7"/>
  <c r="F536" i="7"/>
  <c r="E536" i="7"/>
  <c r="D536" i="7"/>
  <c r="C536" i="7"/>
  <c r="B536" i="7"/>
  <c r="A536" i="7"/>
  <c r="F535" i="7"/>
  <c r="E535" i="7"/>
  <c r="D535" i="7"/>
  <c r="C535" i="7"/>
  <c r="B535" i="7"/>
  <c r="A535" i="7"/>
  <c r="F534" i="7"/>
  <c r="E534" i="7"/>
  <c r="D534" i="7"/>
  <c r="C534" i="7"/>
  <c r="B534" i="7"/>
  <c r="A534" i="7"/>
  <c r="F533" i="7"/>
  <c r="E533" i="7"/>
  <c r="D533" i="7"/>
  <c r="C533" i="7"/>
  <c r="B533" i="7"/>
  <c r="A533" i="7"/>
  <c r="F532" i="7"/>
  <c r="E532" i="7"/>
  <c r="D532" i="7"/>
  <c r="C532" i="7"/>
  <c r="B532" i="7"/>
  <c r="A532" i="7"/>
  <c r="F531" i="7"/>
  <c r="E531" i="7"/>
  <c r="D531" i="7"/>
  <c r="C531" i="7"/>
  <c r="B531" i="7"/>
  <c r="A531" i="7"/>
  <c r="F530" i="7"/>
  <c r="E530" i="7"/>
  <c r="D530" i="7"/>
  <c r="C530" i="7"/>
  <c r="B530" i="7"/>
  <c r="A530" i="7"/>
  <c r="F529" i="7"/>
  <c r="E529" i="7"/>
  <c r="D529" i="7"/>
  <c r="C529" i="7"/>
  <c r="B529" i="7"/>
  <c r="A529" i="7"/>
  <c r="F528" i="7"/>
  <c r="E528" i="7"/>
  <c r="D528" i="7"/>
  <c r="C528" i="7"/>
  <c r="B528" i="7"/>
  <c r="A528" i="7"/>
  <c r="F527" i="7"/>
  <c r="E527" i="7"/>
  <c r="D527" i="7"/>
  <c r="C527" i="7"/>
  <c r="B527" i="7"/>
  <c r="A527" i="7"/>
  <c r="F526" i="7"/>
  <c r="E526" i="7"/>
  <c r="D526" i="7"/>
  <c r="C526" i="7"/>
  <c r="B526" i="7"/>
  <c r="A526" i="7"/>
  <c r="F525" i="7"/>
  <c r="E525" i="7"/>
  <c r="D525" i="7"/>
  <c r="C525" i="7"/>
  <c r="B525" i="7"/>
  <c r="A525" i="7"/>
  <c r="F524" i="7"/>
  <c r="E524" i="7"/>
  <c r="D524" i="7"/>
  <c r="C524" i="7"/>
  <c r="B524" i="7"/>
  <c r="A524" i="7"/>
  <c r="F523" i="7"/>
  <c r="E523" i="7"/>
  <c r="D523" i="7"/>
  <c r="C523" i="7"/>
  <c r="B523" i="7"/>
  <c r="A523" i="7"/>
  <c r="F522" i="7"/>
  <c r="E522" i="7"/>
  <c r="D522" i="7"/>
  <c r="C522" i="7"/>
  <c r="B522" i="7"/>
  <c r="A522" i="7"/>
  <c r="F521" i="7"/>
  <c r="E521" i="7"/>
  <c r="D521" i="7"/>
  <c r="C521" i="7"/>
  <c r="B521" i="7"/>
  <c r="A521" i="7"/>
  <c r="F520" i="7"/>
  <c r="E520" i="7"/>
  <c r="D520" i="7"/>
  <c r="C520" i="7"/>
  <c r="B520" i="7"/>
  <c r="A520" i="7"/>
  <c r="F519" i="7"/>
  <c r="E519" i="7"/>
  <c r="D519" i="7"/>
  <c r="C519" i="7"/>
  <c r="B519" i="7"/>
  <c r="A519" i="7"/>
  <c r="F518" i="7"/>
  <c r="E518" i="7"/>
  <c r="D518" i="7"/>
  <c r="C518" i="7"/>
  <c r="B518" i="7"/>
  <c r="A518" i="7"/>
  <c r="F517" i="7"/>
  <c r="E517" i="7"/>
  <c r="D517" i="7"/>
  <c r="C517" i="7"/>
  <c r="B517" i="7"/>
  <c r="A517" i="7"/>
  <c r="F516" i="7"/>
  <c r="E516" i="7"/>
  <c r="D516" i="7"/>
  <c r="C516" i="7"/>
  <c r="B516" i="7"/>
  <c r="A516" i="7"/>
  <c r="F515" i="7"/>
  <c r="E515" i="7"/>
  <c r="D515" i="7"/>
  <c r="C515" i="7"/>
  <c r="B515" i="7"/>
  <c r="A515" i="7"/>
  <c r="F514" i="7"/>
  <c r="E514" i="7"/>
  <c r="D514" i="7"/>
  <c r="C514" i="7"/>
  <c r="B514" i="7"/>
  <c r="A514" i="7"/>
  <c r="F513" i="7"/>
  <c r="E513" i="7"/>
  <c r="D513" i="7"/>
  <c r="C513" i="7"/>
  <c r="B513" i="7"/>
  <c r="A513" i="7"/>
  <c r="F512" i="7"/>
  <c r="E512" i="7"/>
  <c r="D512" i="7"/>
  <c r="C512" i="7"/>
  <c r="B512" i="7"/>
  <c r="A512" i="7"/>
  <c r="F511" i="7"/>
  <c r="E511" i="7"/>
  <c r="D511" i="7"/>
  <c r="C511" i="7"/>
  <c r="B511" i="7"/>
  <c r="A511" i="7"/>
  <c r="F510" i="7"/>
  <c r="E510" i="7"/>
  <c r="D510" i="7"/>
  <c r="C510" i="7"/>
  <c r="B510" i="7"/>
  <c r="A510" i="7"/>
  <c r="F509" i="7"/>
  <c r="E509" i="7"/>
  <c r="D509" i="7"/>
  <c r="C509" i="7"/>
  <c r="B509" i="7"/>
  <c r="A509" i="7"/>
  <c r="F508" i="7"/>
  <c r="E508" i="7"/>
  <c r="D508" i="7"/>
  <c r="C508" i="7"/>
  <c r="B508" i="7"/>
  <c r="A508" i="7"/>
  <c r="F507" i="7"/>
  <c r="E507" i="7"/>
  <c r="D507" i="7"/>
  <c r="C507" i="7"/>
  <c r="B507" i="7"/>
  <c r="A507" i="7"/>
  <c r="F506" i="7"/>
  <c r="E506" i="7"/>
  <c r="D506" i="7"/>
  <c r="C506" i="7"/>
  <c r="B506" i="7"/>
  <c r="A506" i="7"/>
  <c r="F505" i="7"/>
  <c r="E505" i="7"/>
  <c r="D505" i="7"/>
  <c r="C505" i="7"/>
  <c r="B505" i="7"/>
  <c r="A505" i="7"/>
  <c r="F504" i="7"/>
  <c r="E504" i="7"/>
  <c r="D504" i="7"/>
  <c r="C504" i="7"/>
  <c r="B504" i="7"/>
  <c r="A504" i="7"/>
  <c r="F503" i="7"/>
  <c r="E503" i="7"/>
  <c r="D503" i="7"/>
  <c r="C503" i="7"/>
  <c r="B503" i="7"/>
  <c r="A503" i="7"/>
  <c r="F502" i="7"/>
  <c r="E502" i="7"/>
  <c r="D502" i="7"/>
  <c r="C502" i="7"/>
  <c r="B502" i="7"/>
  <c r="A502" i="7"/>
  <c r="F501" i="7"/>
  <c r="E501" i="7"/>
  <c r="D501" i="7"/>
  <c r="C501" i="7"/>
  <c r="B501" i="7"/>
  <c r="A501" i="7"/>
  <c r="F500" i="7"/>
  <c r="E500" i="7"/>
  <c r="D500" i="7"/>
  <c r="C500" i="7"/>
  <c r="B500" i="7"/>
  <c r="A500" i="7"/>
  <c r="F499" i="7"/>
  <c r="E499" i="7"/>
  <c r="D499" i="7"/>
  <c r="C499" i="7"/>
  <c r="B499" i="7"/>
  <c r="A499" i="7"/>
  <c r="F498" i="7"/>
  <c r="E498" i="7"/>
  <c r="D498" i="7"/>
  <c r="C498" i="7"/>
  <c r="B498" i="7"/>
  <c r="A498" i="7"/>
  <c r="F497" i="7"/>
  <c r="E497" i="7"/>
  <c r="D497" i="7"/>
  <c r="C497" i="7"/>
  <c r="B497" i="7"/>
  <c r="A497" i="7"/>
  <c r="F496" i="7"/>
  <c r="E496" i="7"/>
  <c r="D496" i="7"/>
  <c r="C496" i="7"/>
  <c r="B496" i="7"/>
  <c r="A496" i="7"/>
  <c r="F495" i="7"/>
  <c r="E495" i="7"/>
  <c r="D495" i="7"/>
  <c r="C495" i="7"/>
  <c r="B495" i="7"/>
  <c r="A495" i="7"/>
  <c r="F494" i="7"/>
  <c r="E494" i="7"/>
  <c r="D494" i="7"/>
  <c r="C494" i="7"/>
  <c r="B494" i="7"/>
  <c r="A494" i="7"/>
  <c r="F493" i="7"/>
  <c r="E493" i="7"/>
  <c r="D493" i="7"/>
  <c r="C493" i="7"/>
  <c r="B493" i="7"/>
  <c r="A493" i="7"/>
  <c r="F492" i="7"/>
  <c r="E492" i="7"/>
  <c r="D492" i="7"/>
  <c r="C492" i="7"/>
  <c r="B492" i="7"/>
  <c r="A492" i="7"/>
  <c r="F491" i="7"/>
  <c r="E491" i="7"/>
  <c r="D491" i="7"/>
  <c r="C491" i="7"/>
  <c r="B491" i="7"/>
  <c r="A491" i="7"/>
  <c r="F490" i="7"/>
  <c r="E490" i="7"/>
  <c r="D490" i="7"/>
  <c r="C490" i="7"/>
  <c r="B490" i="7"/>
  <c r="A490" i="7"/>
  <c r="F489" i="7"/>
  <c r="E489" i="7"/>
  <c r="D489" i="7"/>
  <c r="C489" i="7"/>
  <c r="B489" i="7"/>
  <c r="A489" i="7"/>
  <c r="F488" i="7"/>
  <c r="E488" i="7"/>
  <c r="D488" i="7"/>
  <c r="C488" i="7"/>
  <c r="B488" i="7"/>
  <c r="A488" i="7"/>
  <c r="F487" i="7"/>
  <c r="E487" i="7"/>
  <c r="D487" i="7"/>
  <c r="C487" i="7"/>
  <c r="B487" i="7"/>
  <c r="A487" i="7"/>
  <c r="F486" i="7"/>
  <c r="E486" i="7"/>
  <c r="D486" i="7"/>
  <c r="C486" i="7"/>
  <c r="B486" i="7"/>
  <c r="A486" i="7"/>
  <c r="F485" i="7"/>
  <c r="E485" i="7"/>
  <c r="D485" i="7"/>
  <c r="C485" i="7"/>
  <c r="B485" i="7"/>
  <c r="A485" i="7"/>
  <c r="F484" i="7"/>
  <c r="E484" i="7"/>
  <c r="D484" i="7"/>
  <c r="C484" i="7"/>
  <c r="B484" i="7"/>
  <c r="A484" i="7"/>
  <c r="F483" i="7"/>
  <c r="E483" i="7"/>
  <c r="D483" i="7"/>
  <c r="C483" i="7"/>
  <c r="B483" i="7"/>
  <c r="A483" i="7"/>
  <c r="F482" i="7"/>
  <c r="E482" i="7"/>
  <c r="D482" i="7"/>
  <c r="C482" i="7"/>
  <c r="B482" i="7"/>
  <c r="A482" i="7"/>
  <c r="F481" i="7"/>
  <c r="E481" i="7"/>
  <c r="D481" i="7"/>
  <c r="C481" i="7"/>
  <c r="B481" i="7"/>
  <c r="A481" i="7"/>
  <c r="F480" i="7"/>
  <c r="E480" i="7"/>
  <c r="D480" i="7"/>
  <c r="C480" i="7"/>
  <c r="B480" i="7"/>
  <c r="A480" i="7"/>
  <c r="F479" i="7"/>
  <c r="E479" i="7"/>
  <c r="D479" i="7"/>
  <c r="C479" i="7"/>
  <c r="B479" i="7"/>
  <c r="A479" i="7"/>
  <c r="F478" i="7"/>
  <c r="E478" i="7"/>
  <c r="D478" i="7"/>
  <c r="C478" i="7"/>
  <c r="B478" i="7"/>
  <c r="A478" i="7"/>
  <c r="F477" i="7"/>
  <c r="E477" i="7"/>
  <c r="D477" i="7"/>
  <c r="C477" i="7"/>
  <c r="B477" i="7"/>
  <c r="A477" i="7"/>
  <c r="F476" i="7"/>
  <c r="E476" i="7"/>
  <c r="D476" i="7"/>
  <c r="C476" i="7"/>
  <c r="B476" i="7"/>
  <c r="A476" i="7"/>
  <c r="F475" i="7"/>
  <c r="E475" i="7"/>
  <c r="D475" i="7"/>
  <c r="C475" i="7"/>
  <c r="B475" i="7"/>
  <c r="A475" i="7"/>
  <c r="F474" i="7"/>
  <c r="E474" i="7"/>
  <c r="D474" i="7"/>
  <c r="C474" i="7"/>
  <c r="B474" i="7"/>
  <c r="A474" i="7"/>
  <c r="F473" i="7"/>
  <c r="E473" i="7"/>
  <c r="D473" i="7"/>
  <c r="C473" i="7"/>
  <c r="B473" i="7"/>
  <c r="A473" i="7"/>
  <c r="F472" i="7"/>
  <c r="E472" i="7"/>
  <c r="D472" i="7"/>
  <c r="C472" i="7"/>
  <c r="B472" i="7"/>
  <c r="A472" i="7"/>
  <c r="F471" i="7"/>
  <c r="E471" i="7"/>
  <c r="D471" i="7"/>
  <c r="C471" i="7"/>
  <c r="B471" i="7"/>
  <c r="A471" i="7"/>
  <c r="F470" i="7"/>
  <c r="E470" i="7"/>
  <c r="D470" i="7"/>
  <c r="C470" i="7"/>
  <c r="B470" i="7"/>
  <c r="A470" i="7"/>
  <c r="F469" i="7"/>
  <c r="E469" i="7"/>
  <c r="D469" i="7"/>
  <c r="C469" i="7"/>
  <c r="B469" i="7"/>
  <c r="A469" i="7"/>
  <c r="F468" i="7"/>
  <c r="E468" i="7"/>
  <c r="D468" i="7"/>
  <c r="C468" i="7"/>
  <c r="B468" i="7"/>
  <c r="A468" i="7"/>
  <c r="F467" i="7"/>
  <c r="E467" i="7"/>
  <c r="D467" i="7"/>
  <c r="C467" i="7"/>
  <c r="B467" i="7"/>
  <c r="A467" i="7"/>
  <c r="F466" i="7"/>
  <c r="E466" i="7"/>
  <c r="D466" i="7"/>
  <c r="C466" i="7"/>
  <c r="B466" i="7"/>
  <c r="A466" i="7"/>
  <c r="F465" i="7"/>
  <c r="E465" i="7"/>
  <c r="D465" i="7"/>
  <c r="C465" i="7"/>
  <c r="B465" i="7"/>
  <c r="A465" i="7"/>
  <c r="F464" i="7"/>
  <c r="E464" i="7"/>
  <c r="D464" i="7"/>
  <c r="C464" i="7"/>
  <c r="B464" i="7"/>
  <c r="A464" i="7"/>
  <c r="F463" i="7"/>
  <c r="E463" i="7"/>
  <c r="D463" i="7"/>
  <c r="C463" i="7"/>
  <c r="B463" i="7"/>
  <c r="A463" i="7"/>
  <c r="F462" i="7"/>
  <c r="E462" i="7"/>
  <c r="D462" i="7"/>
  <c r="C462" i="7"/>
  <c r="B462" i="7"/>
  <c r="A462" i="7"/>
  <c r="F461" i="7"/>
  <c r="E461" i="7"/>
  <c r="D461" i="7"/>
  <c r="C461" i="7"/>
  <c r="B461" i="7"/>
  <c r="A461" i="7"/>
  <c r="F460" i="7"/>
  <c r="E460" i="7"/>
  <c r="D460" i="7"/>
  <c r="C460" i="7"/>
  <c r="B460" i="7"/>
  <c r="A460" i="7"/>
  <c r="F459" i="7"/>
  <c r="E459" i="7"/>
  <c r="D459" i="7"/>
  <c r="C459" i="7"/>
  <c r="B459" i="7"/>
  <c r="A459" i="7"/>
  <c r="F458" i="7"/>
  <c r="E458" i="7"/>
  <c r="D458" i="7"/>
  <c r="C458" i="7"/>
  <c r="B458" i="7"/>
  <c r="A458" i="7"/>
  <c r="F457" i="7"/>
  <c r="E457" i="7"/>
  <c r="D457" i="7"/>
  <c r="C457" i="7"/>
  <c r="B457" i="7"/>
  <c r="A457" i="7"/>
  <c r="F456" i="7"/>
  <c r="E456" i="7"/>
  <c r="D456" i="7"/>
  <c r="C456" i="7"/>
  <c r="B456" i="7"/>
  <c r="A456" i="7"/>
  <c r="F455" i="7"/>
  <c r="E455" i="7"/>
  <c r="D455" i="7"/>
  <c r="C455" i="7"/>
  <c r="B455" i="7"/>
  <c r="A455" i="7"/>
  <c r="F454" i="7"/>
  <c r="E454" i="7"/>
  <c r="D454" i="7"/>
  <c r="C454" i="7"/>
  <c r="B454" i="7"/>
  <c r="A454" i="7"/>
  <c r="F453" i="7"/>
  <c r="E453" i="7"/>
  <c r="D453" i="7"/>
  <c r="C453" i="7"/>
  <c r="B453" i="7"/>
  <c r="A453" i="7"/>
  <c r="F452" i="7"/>
  <c r="E452" i="7"/>
  <c r="D452" i="7"/>
  <c r="C452" i="7"/>
  <c r="B452" i="7"/>
  <c r="A452" i="7"/>
  <c r="F451" i="7"/>
  <c r="E451" i="7"/>
  <c r="D451" i="7"/>
  <c r="C451" i="7"/>
  <c r="B451" i="7"/>
  <c r="A451" i="7"/>
  <c r="F450" i="7"/>
  <c r="E450" i="7"/>
  <c r="D450" i="7"/>
  <c r="C450" i="7"/>
  <c r="B450" i="7"/>
  <c r="A450" i="7"/>
  <c r="F449" i="7"/>
  <c r="E449" i="7"/>
  <c r="D449" i="7"/>
  <c r="C449" i="7"/>
  <c r="B449" i="7"/>
  <c r="A449" i="7"/>
  <c r="F448" i="7"/>
  <c r="E448" i="7"/>
  <c r="D448" i="7"/>
  <c r="C448" i="7"/>
  <c r="B448" i="7"/>
  <c r="A448" i="7"/>
  <c r="F447" i="7"/>
  <c r="E447" i="7"/>
  <c r="D447" i="7"/>
  <c r="C447" i="7"/>
  <c r="B447" i="7"/>
  <c r="A447" i="7"/>
  <c r="F446" i="7"/>
  <c r="E446" i="7"/>
  <c r="D446" i="7"/>
  <c r="C446" i="7"/>
  <c r="B446" i="7"/>
  <c r="A446" i="7"/>
  <c r="F445" i="7"/>
  <c r="E445" i="7"/>
  <c r="D445" i="7"/>
  <c r="C445" i="7"/>
  <c r="B445" i="7"/>
  <c r="A445" i="7"/>
  <c r="F444" i="7"/>
  <c r="E444" i="7"/>
  <c r="D444" i="7"/>
  <c r="C444" i="7"/>
  <c r="B444" i="7"/>
  <c r="A444" i="7"/>
  <c r="F443" i="7"/>
  <c r="E443" i="7"/>
  <c r="D443" i="7"/>
  <c r="C443" i="7"/>
  <c r="B443" i="7"/>
  <c r="A443" i="7"/>
  <c r="F442" i="7"/>
  <c r="E442" i="7"/>
  <c r="D442" i="7"/>
  <c r="C442" i="7"/>
  <c r="B442" i="7"/>
  <c r="A442" i="7"/>
  <c r="F441" i="7"/>
  <c r="E441" i="7"/>
  <c r="D441" i="7"/>
  <c r="C441" i="7"/>
  <c r="B441" i="7"/>
  <c r="A441" i="7"/>
  <c r="F440" i="7"/>
  <c r="E440" i="7"/>
  <c r="D440" i="7"/>
  <c r="C440" i="7"/>
  <c r="B440" i="7"/>
  <c r="A440" i="7"/>
  <c r="F439" i="7"/>
  <c r="E439" i="7"/>
  <c r="D439" i="7"/>
  <c r="C439" i="7"/>
  <c r="B439" i="7"/>
  <c r="A439" i="7"/>
  <c r="F438" i="7"/>
  <c r="E438" i="7"/>
  <c r="D438" i="7"/>
  <c r="C438" i="7"/>
  <c r="B438" i="7"/>
  <c r="A438" i="7"/>
  <c r="F437" i="7"/>
  <c r="E437" i="7"/>
  <c r="D437" i="7"/>
  <c r="C437" i="7"/>
  <c r="B437" i="7"/>
  <c r="A437" i="7"/>
  <c r="F436" i="7"/>
  <c r="E436" i="7"/>
  <c r="D436" i="7"/>
  <c r="C436" i="7"/>
  <c r="B436" i="7"/>
  <c r="A436" i="7"/>
  <c r="F435" i="7"/>
  <c r="E435" i="7"/>
  <c r="D435" i="7"/>
  <c r="C435" i="7"/>
  <c r="B435" i="7"/>
  <c r="A435" i="7"/>
  <c r="F434" i="7"/>
  <c r="E434" i="7"/>
  <c r="D434" i="7"/>
  <c r="C434" i="7"/>
  <c r="B434" i="7"/>
  <c r="A434" i="7"/>
  <c r="F433" i="7"/>
  <c r="E433" i="7"/>
  <c r="D433" i="7"/>
  <c r="C433" i="7"/>
  <c r="B433" i="7"/>
  <c r="A433" i="7"/>
  <c r="F432" i="7"/>
  <c r="E432" i="7"/>
  <c r="D432" i="7"/>
  <c r="C432" i="7"/>
  <c r="B432" i="7"/>
  <c r="A432" i="7"/>
  <c r="F431" i="7"/>
  <c r="E431" i="7"/>
  <c r="D431" i="7"/>
  <c r="C431" i="7"/>
  <c r="B431" i="7"/>
  <c r="A431" i="7"/>
  <c r="F430" i="7"/>
  <c r="E430" i="7"/>
  <c r="D430" i="7"/>
  <c r="C430" i="7"/>
  <c r="B430" i="7"/>
  <c r="A430" i="7"/>
  <c r="F429" i="7"/>
  <c r="E429" i="7"/>
  <c r="D429" i="7"/>
  <c r="C429" i="7"/>
  <c r="B429" i="7"/>
  <c r="A429" i="7"/>
  <c r="F428" i="7"/>
  <c r="E428" i="7"/>
  <c r="D428" i="7"/>
  <c r="C428" i="7"/>
  <c r="B428" i="7"/>
  <c r="A428" i="7"/>
  <c r="F427" i="7"/>
  <c r="E427" i="7"/>
  <c r="D427" i="7"/>
  <c r="C427" i="7"/>
  <c r="B427" i="7"/>
  <c r="A427" i="7"/>
  <c r="F426" i="7"/>
  <c r="E426" i="7"/>
  <c r="D426" i="7"/>
  <c r="C426" i="7"/>
  <c r="B426" i="7"/>
  <c r="A426" i="7"/>
  <c r="F425" i="7"/>
  <c r="E425" i="7"/>
  <c r="D425" i="7"/>
  <c r="C425" i="7"/>
  <c r="B425" i="7"/>
  <c r="A425" i="7"/>
  <c r="F424" i="7"/>
  <c r="E424" i="7"/>
  <c r="D424" i="7"/>
  <c r="C424" i="7"/>
  <c r="B424" i="7"/>
  <c r="A424" i="7"/>
  <c r="F423" i="7"/>
  <c r="E423" i="7"/>
  <c r="D423" i="7"/>
  <c r="C423" i="7"/>
  <c r="B423" i="7"/>
  <c r="A423" i="7"/>
  <c r="F422" i="7"/>
  <c r="E422" i="7"/>
  <c r="D422" i="7"/>
  <c r="C422" i="7"/>
  <c r="B422" i="7"/>
  <c r="A422" i="7"/>
  <c r="F421" i="7"/>
  <c r="E421" i="7"/>
  <c r="D421" i="7"/>
  <c r="C421" i="7"/>
  <c r="B421" i="7"/>
  <c r="A421" i="7"/>
  <c r="F420" i="7"/>
  <c r="E420" i="7"/>
  <c r="D420" i="7"/>
  <c r="C420" i="7"/>
  <c r="B420" i="7"/>
  <c r="A420" i="7"/>
  <c r="F419" i="7"/>
  <c r="E419" i="7"/>
  <c r="D419" i="7"/>
  <c r="C419" i="7"/>
  <c r="B419" i="7"/>
  <c r="A419" i="7"/>
  <c r="F418" i="7"/>
  <c r="E418" i="7"/>
  <c r="D418" i="7"/>
  <c r="C418" i="7"/>
  <c r="B418" i="7"/>
  <c r="A418" i="7"/>
  <c r="F417" i="7"/>
  <c r="E417" i="7"/>
  <c r="D417" i="7"/>
  <c r="C417" i="7"/>
  <c r="B417" i="7"/>
  <c r="A417" i="7"/>
  <c r="F416" i="7"/>
  <c r="E416" i="7"/>
  <c r="D416" i="7"/>
  <c r="C416" i="7"/>
  <c r="B416" i="7"/>
  <c r="A416" i="7"/>
  <c r="F415" i="7"/>
  <c r="E415" i="7"/>
  <c r="D415" i="7"/>
  <c r="C415" i="7"/>
  <c r="B415" i="7"/>
  <c r="A415" i="7"/>
  <c r="F414" i="7"/>
  <c r="E414" i="7"/>
  <c r="D414" i="7"/>
  <c r="C414" i="7"/>
  <c r="B414" i="7"/>
  <c r="A414" i="7"/>
  <c r="F413" i="7"/>
  <c r="E413" i="7"/>
  <c r="D413" i="7"/>
  <c r="C413" i="7"/>
  <c r="B413" i="7"/>
  <c r="A413" i="7"/>
  <c r="F412" i="7"/>
  <c r="E412" i="7"/>
  <c r="D412" i="7"/>
  <c r="C412" i="7"/>
  <c r="B412" i="7"/>
  <c r="A412" i="7"/>
  <c r="F411" i="7"/>
  <c r="E411" i="7"/>
  <c r="D411" i="7"/>
  <c r="C411" i="7"/>
  <c r="B411" i="7"/>
  <c r="A411" i="7"/>
  <c r="F410" i="7"/>
  <c r="E410" i="7"/>
  <c r="D410" i="7"/>
  <c r="C410" i="7"/>
  <c r="B410" i="7"/>
  <c r="A410" i="7"/>
  <c r="F409" i="7"/>
  <c r="E409" i="7"/>
  <c r="D409" i="7"/>
  <c r="C409" i="7"/>
  <c r="B409" i="7"/>
  <c r="A409" i="7"/>
  <c r="F408" i="7"/>
  <c r="E408" i="7"/>
  <c r="D408" i="7"/>
  <c r="C408" i="7"/>
  <c r="B408" i="7"/>
  <c r="A408" i="7"/>
  <c r="F407" i="7"/>
  <c r="E407" i="7"/>
  <c r="D407" i="7"/>
  <c r="C407" i="7"/>
  <c r="B407" i="7"/>
  <c r="A407" i="7"/>
  <c r="F406" i="7"/>
  <c r="E406" i="7"/>
  <c r="D406" i="7"/>
  <c r="C406" i="7"/>
  <c r="B406" i="7"/>
  <c r="A406" i="7"/>
  <c r="F405" i="7"/>
  <c r="E405" i="7"/>
  <c r="D405" i="7"/>
  <c r="C405" i="7"/>
  <c r="B405" i="7"/>
  <c r="A405" i="7"/>
  <c r="F404" i="7"/>
  <c r="E404" i="7"/>
  <c r="D404" i="7"/>
  <c r="C404" i="7"/>
  <c r="B404" i="7"/>
  <c r="A404" i="7"/>
  <c r="F403" i="7"/>
  <c r="E403" i="7"/>
  <c r="D403" i="7"/>
  <c r="C403" i="7"/>
  <c r="B403" i="7"/>
  <c r="A403" i="7"/>
  <c r="F402" i="7"/>
  <c r="E402" i="7"/>
  <c r="D402" i="7"/>
  <c r="C402" i="7"/>
  <c r="B402" i="7"/>
  <c r="A402" i="7"/>
  <c r="F401" i="7"/>
  <c r="E401" i="7"/>
  <c r="D401" i="7"/>
  <c r="C401" i="7"/>
  <c r="B401" i="7"/>
  <c r="A401" i="7"/>
  <c r="F400" i="7"/>
  <c r="E400" i="7"/>
  <c r="D400" i="7"/>
  <c r="C400" i="7"/>
  <c r="B400" i="7"/>
  <c r="A400" i="7"/>
  <c r="F399" i="7"/>
  <c r="E399" i="7"/>
  <c r="D399" i="7"/>
  <c r="C399" i="7"/>
  <c r="B399" i="7"/>
  <c r="A399" i="7"/>
  <c r="F398" i="7"/>
  <c r="E398" i="7"/>
  <c r="D398" i="7"/>
  <c r="C398" i="7"/>
  <c r="B398" i="7"/>
  <c r="A398" i="7"/>
  <c r="F397" i="7"/>
  <c r="E397" i="7"/>
  <c r="D397" i="7"/>
  <c r="C397" i="7"/>
  <c r="B397" i="7"/>
  <c r="A397" i="7"/>
  <c r="F396" i="7"/>
  <c r="E396" i="7"/>
  <c r="D396" i="7"/>
  <c r="C396" i="7"/>
  <c r="B396" i="7"/>
  <c r="A396" i="7"/>
  <c r="F395" i="7"/>
  <c r="E395" i="7"/>
  <c r="D395" i="7"/>
  <c r="C395" i="7"/>
  <c r="B395" i="7"/>
  <c r="A395" i="7"/>
  <c r="F394" i="7"/>
  <c r="E394" i="7"/>
  <c r="D394" i="7"/>
  <c r="C394" i="7"/>
  <c r="B394" i="7"/>
  <c r="A394" i="7"/>
  <c r="F393" i="7"/>
  <c r="E393" i="7"/>
  <c r="D393" i="7"/>
  <c r="C393" i="7"/>
  <c r="B393" i="7"/>
  <c r="A393" i="7"/>
  <c r="F392" i="7"/>
  <c r="E392" i="7"/>
  <c r="D392" i="7"/>
  <c r="C392" i="7"/>
  <c r="B392" i="7"/>
  <c r="A392" i="7"/>
  <c r="F391" i="7"/>
  <c r="E391" i="7"/>
  <c r="D391" i="7"/>
  <c r="C391" i="7"/>
  <c r="B391" i="7"/>
  <c r="A391" i="7"/>
  <c r="F390" i="7"/>
  <c r="E390" i="7"/>
  <c r="D390" i="7"/>
  <c r="C390" i="7"/>
  <c r="B390" i="7"/>
  <c r="A390" i="7"/>
  <c r="F389" i="7"/>
  <c r="E389" i="7"/>
  <c r="D389" i="7"/>
  <c r="C389" i="7"/>
  <c r="B389" i="7"/>
  <c r="A389" i="7"/>
  <c r="F388" i="7"/>
  <c r="E388" i="7"/>
  <c r="D388" i="7"/>
  <c r="C388" i="7"/>
  <c r="B388" i="7"/>
  <c r="A388" i="7"/>
  <c r="F387" i="7"/>
  <c r="E387" i="7"/>
  <c r="D387" i="7"/>
  <c r="C387" i="7"/>
  <c r="B387" i="7"/>
  <c r="A387" i="7"/>
  <c r="F386" i="7"/>
  <c r="E386" i="7"/>
  <c r="D386" i="7"/>
  <c r="C386" i="7"/>
  <c r="B386" i="7"/>
  <c r="A386" i="7"/>
  <c r="F385" i="7"/>
  <c r="E385" i="7"/>
  <c r="D385" i="7"/>
  <c r="C385" i="7"/>
  <c r="B385" i="7"/>
  <c r="A385" i="7"/>
  <c r="F384" i="7"/>
  <c r="E384" i="7"/>
  <c r="D384" i="7"/>
  <c r="C384" i="7"/>
  <c r="B384" i="7"/>
  <c r="A384" i="7"/>
  <c r="F383" i="7"/>
  <c r="E383" i="7"/>
  <c r="D383" i="7"/>
  <c r="C383" i="7"/>
  <c r="B383" i="7"/>
  <c r="A383" i="7"/>
  <c r="F382" i="7"/>
  <c r="E382" i="7"/>
  <c r="D382" i="7"/>
  <c r="C382" i="7"/>
  <c r="B382" i="7"/>
  <c r="A382" i="7"/>
  <c r="F381" i="7"/>
  <c r="E381" i="7"/>
  <c r="D381" i="7"/>
  <c r="C381" i="7"/>
  <c r="B381" i="7"/>
  <c r="A381" i="7"/>
  <c r="F380" i="7"/>
  <c r="E380" i="7"/>
  <c r="D380" i="7"/>
  <c r="C380" i="7"/>
  <c r="B380" i="7"/>
  <c r="A380" i="7"/>
  <c r="F379" i="7"/>
  <c r="E379" i="7"/>
  <c r="D379" i="7"/>
  <c r="C379" i="7"/>
  <c r="B379" i="7"/>
  <c r="A379" i="7"/>
  <c r="F378" i="7"/>
  <c r="E378" i="7"/>
  <c r="D378" i="7"/>
  <c r="C378" i="7"/>
  <c r="B378" i="7"/>
  <c r="A378" i="7"/>
  <c r="F377" i="7"/>
  <c r="E377" i="7"/>
  <c r="D377" i="7"/>
  <c r="C377" i="7"/>
  <c r="B377" i="7"/>
  <c r="A377" i="7"/>
  <c r="F376" i="7"/>
  <c r="E376" i="7"/>
  <c r="D376" i="7"/>
  <c r="C376" i="7"/>
  <c r="B376" i="7"/>
  <c r="A376" i="7"/>
  <c r="F375" i="7"/>
  <c r="E375" i="7"/>
  <c r="D375" i="7"/>
  <c r="C375" i="7"/>
  <c r="B375" i="7"/>
  <c r="A375" i="7"/>
  <c r="F374" i="7"/>
  <c r="E374" i="7"/>
  <c r="D374" i="7"/>
  <c r="C374" i="7"/>
  <c r="B374" i="7"/>
  <c r="A374" i="7"/>
  <c r="F373" i="7"/>
  <c r="E373" i="7"/>
  <c r="D373" i="7"/>
  <c r="C373" i="7"/>
  <c r="B373" i="7"/>
  <c r="A373" i="7"/>
  <c r="F372" i="7"/>
  <c r="E372" i="7"/>
  <c r="D372" i="7"/>
  <c r="C372" i="7"/>
  <c r="B372" i="7"/>
  <c r="A372" i="7"/>
  <c r="F371" i="7"/>
  <c r="E371" i="7"/>
  <c r="D371" i="7"/>
  <c r="C371" i="7"/>
  <c r="B371" i="7"/>
  <c r="A371" i="7"/>
  <c r="F370" i="7"/>
  <c r="E370" i="7"/>
  <c r="D370" i="7"/>
  <c r="C370" i="7"/>
  <c r="B370" i="7"/>
  <c r="A370" i="7"/>
  <c r="F369" i="7"/>
  <c r="E369" i="7"/>
  <c r="D369" i="7"/>
  <c r="C369" i="7"/>
  <c r="B369" i="7"/>
  <c r="A369" i="7"/>
  <c r="F368" i="7"/>
  <c r="E368" i="7"/>
  <c r="D368" i="7"/>
  <c r="C368" i="7"/>
  <c r="B368" i="7"/>
  <c r="A368" i="7"/>
  <c r="F367" i="7"/>
  <c r="E367" i="7"/>
  <c r="D367" i="7"/>
  <c r="C367" i="7"/>
  <c r="B367" i="7"/>
  <c r="A367" i="7"/>
  <c r="F366" i="7"/>
  <c r="E366" i="7"/>
  <c r="D366" i="7"/>
  <c r="C366" i="7"/>
  <c r="B366" i="7"/>
  <c r="A366" i="7"/>
  <c r="F365" i="7"/>
  <c r="E365" i="7"/>
  <c r="D365" i="7"/>
  <c r="C365" i="7"/>
  <c r="B365" i="7"/>
  <c r="A365" i="7"/>
  <c r="F364" i="7"/>
  <c r="E364" i="7"/>
  <c r="D364" i="7"/>
  <c r="C364" i="7"/>
  <c r="B364" i="7"/>
  <c r="A364" i="7"/>
  <c r="F363" i="7"/>
  <c r="E363" i="7"/>
  <c r="D363" i="7"/>
  <c r="C363" i="7"/>
  <c r="B363" i="7"/>
  <c r="A363" i="7"/>
  <c r="F362" i="7"/>
  <c r="E362" i="7"/>
  <c r="D362" i="7"/>
  <c r="C362" i="7"/>
  <c r="B362" i="7"/>
  <c r="A362" i="7"/>
  <c r="F361" i="7"/>
  <c r="E361" i="7"/>
  <c r="D361" i="7"/>
  <c r="C361" i="7"/>
  <c r="B361" i="7"/>
  <c r="A361" i="7"/>
  <c r="F360" i="7"/>
  <c r="E360" i="7"/>
  <c r="D360" i="7"/>
  <c r="C360" i="7"/>
  <c r="B360" i="7"/>
  <c r="A360" i="7"/>
  <c r="F359" i="7"/>
  <c r="E359" i="7"/>
  <c r="D359" i="7"/>
  <c r="C359" i="7"/>
  <c r="B359" i="7"/>
  <c r="A359" i="7"/>
  <c r="F358" i="7"/>
  <c r="E358" i="7"/>
  <c r="D358" i="7"/>
  <c r="C358" i="7"/>
  <c r="B358" i="7"/>
  <c r="A358" i="7"/>
  <c r="F357" i="7"/>
  <c r="E357" i="7"/>
  <c r="D357" i="7"/>
  <c r="C357" i="7"/>
  <c r="B357" i="7"/>
  <c r="A357" i="7"/>
  <c r="F356" i="7"/>
  <c r="E356" i="7"/>
  <c r="D356" i="7"/>
  <c r="C356" i="7"/>
  <c r="B356" i="7"/>
  <c r="A356" i="7"/>
  <c r="F355" i="7"/>
  <c r="E355" i="7"/>
  <c r="D355" i="7"/>
  <c r="C355" i="7"/>
  <c r="B355" i="7"/>
  <c r="A355" i="7"/>
  <c r="F354" i="7"/>
  <c r="E354" i="7"/>
  <c r="D354" i="7"/>
  <c r="C354" i="7"/>
  <c r="B354" i="7"/>
  <c r="A354" i="7"/>
  <c r="F353" i="7"/>
  <c r="E353" i="7"/>
  <c r="D353" i="7"/>
  <c r="C353" i="7"/>
  <c r="B353" i="7"/>
  <c r="A353" i="7"/>
  <c r="F352" i="7"/>
  <c r="E352" i="7"/>
  <c r="D352" i="7"/>
  <c r="C352" i="7"/>
  <c r="B352" i="7"/>
  <c r="A352" i="7"/>
  <c r="F351" i="7"/>
  <c r="E351" i="7"/>
  <c r="D351" i="7"/>
  <c r="C351" i="7"/>
  <c r="B351" i="7"/>
  <c r="A351" i="7"/>
  <c r="F350" i="7"/>
  <c r="E350" i="7"/>
  <c r="D350" i="7"/>
  <c r="C350" i="7"/>
  <c r="B350" i="7"/>
  <c r="A350" i="7"/>
  <c r="F349" i="7"/>
  <c r="E349" i="7"/>
  <c r="D349" i="7"/>
  <c r="C349" i="7"/>
  <c r="B349" i="7"/>
  <c r="A349" i="7"/>
  <c r="F348" i="7"/>
  <c r="E348" i="7"/>
  <c r="D348" i="7"/>
  <c r="C348" i="7"/>
  <c r="B348" i="7"/>
  <c r="A348" i="7"/>
  <c r="F347" i="7"/>
  <c r="E347" i="7"/>
  <c r="D347" i="7"/>
  <c r="C347" i="7"/>
  <c r="B347" i="7"/>
  <c r="A347" i="7"/>
  <c r="F346" i="7"/>
  <c r="E346" i="7"/>
  <c r="D346" i="7"/>
  <c r="C346" i="7"/>
  <c r="B346" i="7"/>
  <c r="A346" i="7"/>
  <c r="F345" i="7"/>
  <c r="E345" i="7"/>
  <c r="D345" i="7"/>
  <c r="C345" i="7"/>
  <c r="B345" i="7"/>
  <c r="A345" i="7"/>
  <c r="F344" i="7"/>
  <c r="E344" i="7"/>
  <c r="D344" i="7"/>
  <c r="C344" i="7"/>
  <c r="B344" i="7"/>
  <c r="A344" i="7"/>
  <c r="F343" i="7"/>
  <c r="E343" i="7"/>
  <c r="D343" i="7"/>
  <c r="C343" i="7"/>
  <c r="B343" i="7"/>
  <c r="A343" i="7"/>
  <c r="F342" i="7"/>
  <c r="E342" i="7"/>
  <c r="D342" i="7"/>
  <c r="C342" i="7"/>
  <c r="B342" i="7"/>
  <c r="A342" i="7"/>
  <c r="F341" i="7"/>
  <c r="E341" i="7"/>
  <c r="D341" i="7"/>
  <c r="C341" i="7"/>
  <c r="B341" i="7"/>
  <c r="A341" i="7"/>
  <c r="F340" i="7"/>
  <c r="E340" i="7"/>
  <c r="D340" i="7"/>
  <c r="C340" i="7"/>
  <c r="B340" i="7"/>
  <c r="A340" i="7"/>
  <c r="F339" i="7"/>
  <c r="E339" i="7"/>
  <c r="D339" i="7"/>
  <c r="C339" i="7"/>
  <c r="B339" i="7"/>
  <c r="A339" i="7"/>
  <c r="F338" i="7"/>
  <c r="E338" i="7"/>
  <c r="D338" i="7"/>
  <c r="C338" i="7"/>
  <c r="B338" i="7"/>
  <c r="A338" i="7"/>
  <c r="F337" i="7"/>
  <c r="E337" i="7"/>
  <c r="D337" i="7"/>
  <c r="C337" i="7"/>
  <c r="B337" i="7"/>
  <c r="A337" i="7"/>
  <c r="F336" i="7"/>
  <c r="E336" i="7"/>
  <c r="D336" i="7"/>
  <c r="C336" i="7"/>
  <c r="B336" i="7"/>
  <c r="A336" i="7"/>
  <c r="F335" i="7"/>
  <c r="E335" i="7"/>
  <c r="D335" i="7"/>
  <c r="C335" i="7"/>
  <c r="B335" i="7"/>
  <c r="A335" i="7"/>
  <c r="F334" i="7"/>
  <c r="E334" i="7"/>
  <c r="D334" i="7"/>
  <c r="C334" i="7"/>
  <c r="B334" i="7"/>
  <c r="A334" i="7"/>
  <c r="F333" i="7"/>
  <c r="E333" i="7"/>
  <c r="D333" i="7"/>
  <c r="C333" i="7"/>
  <c r="B333" i="7"/>
  <c r="A333" i="7"/>
  <c r="F332" i="7"/>
  <c r="E332" i="7"/>
  <c r="D332" i="7"/>
  <c r="C332" i="7"/>
  <c r="B332" i="7"/>
  <c r="A332" i="7"/>
  <c r="F331" i="7"/>
  <c r="E331" i="7"/>
  <c r="D331" i="7"/>
  <c r="C331" i="7"/>
  <c r="B331" i="7"/>
  <c r="A331" i="7"/>
  <c r="F330" i="7"/>
  <c r="E330" i="7"/>
  <c r="D330" i="7"/>
  <c r="C330" i="7"/>
  <c r="B330" i="7"/>
  <c r="A330" i="7"/>
  <c r="F329" i="7"/>
  <c r="E329" i="7"/>
  <c r="D329" i="7"/>
  <c r="C329" i="7"/>
  <c r="B329" i="7"/>
  <c r="A329" i="7"/>
  <c r="F328" i="7"/>
  <c r="E328" i="7"/>
  <c r="D328" i="7"/>
  <c r="C328" i="7"/>
  <c r="B328" i="7"/>
  <c r="A328" i="7"/>
  <c r="F327" i="7"/>
  <c r="E327" i="7"/>
  <c r="D327" i="7"/>
  <c r="C327" i="7"/>
  <c r="B327" i="7"/>
  <c r="A327" i="7"/>
  <c r="F326" i="7"/>
  <c r="E326" i="7"/>
  <c r="D326" i="7"/>
  <c r="C326" i="7"/>
  <c r="B326" i="7"/>
  <c r="A326" i="7"/>
  <c r="F325" i="7"/>
  <c r="E325" i="7"/>
  <c r="D325" i="7"/>
  <c r="C325" i="7"/>
  <c r="B325" i="7"/>
  <c r="A325" i="7"/>
  <c r="F324" i="7"/>
  <c r="E324" i="7"/>
  <c r="D324" i="7"/>
  <c r="C324" i="7"/>
  <c r="B324" i="7"/>
  <c r="A324" i="7"/>
  <c r="F323" i="7"/>
  <c r="E323" i="7"/>
  <c r="D323" i="7"/>
  <c r="C323" i="7"/>
  <c r="B323" i="7"/>
  <c r="A323" i="7"/>
  <c r="F322" i="7"/>
  <c r="E322" i="7"/>
  <c r="D322" i="7"/>
  <c r="C322" i="7"/>
  <c r="B322" i="7"/>
  <c r="A322" i="7"/>
  <c r="F321" i="7"/>
  <c r="E321" i="7"/>
  <c r="D321" i="7"/>
  <c r="C321" i="7"/>
  <c r="B321" i="7"/>
  <c r="A321" i="7"/>
  <c r="F320" i="7"/>
  <c r="E320" i="7"/>
  <c r="D320" i="7"/>
  <c r="C320" i="7"/>
  <c r="B320" i="7"/>
  <c r="A320" i="7"/>
  <c r="F319" i="7"/>
  <c r="E319" i="7"/>
  <c r="D319" i="7"/>
  <c r="C319" i="7"/>
  <c r="B319" i="7"/>
  <c r="A319" i="7"/>
  <c r="F318" i="7"/>
  <c r="E318" i="7"/>
  <c r="D318" i="7"/>
  <c r="C318" i="7"/>
  <c r="B318" i="7"/>
  <c r="A318" i="7"/>
  <c r="F317" i="7"/>
  <c r="E317" i="7"/>
  <c r="D317" i="7"/>
  <c r="C317" i="7"/>
  <c r="B317" i="7"/>
  <c r="A317" i="7"/>
  <c r="F316" i="7"/>
  <c r="E316" i="7"/>
  <c r="D316" i="7"/>
  <c r="C316" i="7"/>
  <c r="B316" i="7"/>
  <c r="A316" i="7"/>
  <c r="F315" i="7"/>
  <c r="E315" i="7"/>
  <c r="D315" i="7"/>
  <c r="C315" i="7"/>
  <c r="B315" i="7"/>
  <c r="A315" i="7"/>
  <c r="F314" i="7"/>
  <c r="E314" i="7"/>
  <c r="D314" i="7"/>
  <c r="C314" i="7"/>
  <c r="B314" i="7"/>
  <c r="A314" i="7"/>
  <c r="F313" i="7"/>
  <c r="E313" i="7"/>
  <c r="D313" i="7"/>
  <c r="C313" i="7"/>
  <c r="B313" i="7"/>
  <c r="A313" i="7"/>
  <c r="F312" i="7"/>
  <c r="E312" i="7"/>
  <c r="D312" i="7"/>
  <c r="C312" i="7"/>
  <c r="B312" i="7"/>
  <c r="A312" i="7"/>
  <c r="F311" i="7"/>
  <c r="E311" i="7"/>
  <c r="D311" i="7"/>
  <c r="C311" i="7"/>
  <c r="B311" i="7"/>
  <c r="A311" i="7"/>
  <c r="F310" i="7"/>
  <c r="E310" i="7"/>
  <c r="D310" i="7"/>
  <c r="C310" i="7"/>
  <c r="B310" i="7"/>
  <c r="A310" i="7"/>
  <c r="F309" i="7"/>
  <c r="E309" i="7"/>
  <c r="D309" i="7"/>
  <c r="C309" i="7"/>
  <c r="B309" i="7"/>
  <c r="A309" i="7"/>
  <c r="F308" i="7"/>
  <c r="E308" i="7"/>
  <c r="D308" i="7"/>
  <c r="C308" i="7"/>
  <c r="B308" i="7"/>
  <c r="A308" i="7"/>
  <c r="F307" i="7"/>
  <c r="E307" i="7"/>
  <c r="D307" i="7"/>
  <c r="C307" i="7"/>
  <c r="B307" i="7"/>
  <c r="A307" i="7"/>
  <c r="F306" i="7"/>
  <c r="E306" i="7"/>
  <c r="D306" i="7"/>
  <c r="C306" i="7"/>
  <c r="B306" i="7"/>
  <c r="A306" i="7"/>
  <c r="F305" i="7"/>
  <c r="E305" i="7"/>
  <c r="D305" i="7"/>
  <c r="C305" i="7"/>
  <c r="B305" i="7"/>
  <c r="A305" i="7"/>
  <c r="F304" i="7"/>
  <c r="E304" i="7"/>
  <c r="D304" i="7"/>
  <c r="C304" i="7"/>
  <c r="B304" i="7"/>
  <c r="A304" i="7"/>
  <c r="F303" i="7"/>
  <c r="E303" i="7"/>
  <c r="D303" i="7"/>
  <c r="C303" i="7"/>
  <c r="B303" i="7"/>
  <c r="A303" i="7"/>
  <c r="F302" i="7"/>
  <c r="E302" i="7"/>
  <c r="D302" i="7"/>
  <c r="C302" i="7"/>
  <c r="B302" i="7"/>
  <c r="A302" i="7"/>
  <c r="F301" i="7"/>
  <c r="E301" i="7"/>
  <c r="D301" i="7"/>
  <c r="C301" i="7"/>
  <c r="B301" i="7"/>
  <c r="A301" i="7"/>
  <c r="F300" i="7"/>
  <c r="E300" i="7"/>
  <c r="D300" i="7"/>
  <c r="C300" i="7"/>
  <c r="B300" i="7"/>
  <c r="A300" i="7"/>
  <c r="F299" i="7"/>
  <c r="E299" i="7"/>
  <c r="D299" i="7"/>
  <c r="C299" i="7"/>
  <c r="B299" i="7"/>
  <c r="A299" i="7"/>
  <c r="F298" i="7"/>
  <c r="E298" i="7"/>
  <c r="D298" i="7"/>
  <c r="C298" i="7"/>
  <c r="B298" i="7"/>
  <c r="A298" i="7"/>
  <c r="F297" i="7"/>
  <c r="E297" i="7"/>
  <c r="D297" i="7"/>
  <c r="C297" i="7"/>
  <c r="B297" i="7"/>
  <c r="A297" i="7"/>
  <c r="F296" i="7"/>
  <c r="E296" i="7"/>
  <c r="D296" i="7"/>
  <c r="C296" i="7"/>
  <c r="B296" i="7"/>
  <c r="A296" i="7"/>
  <c r="F295" i="7"/>
  <c r="E295" i="7"/>
  <c r="D295" i="7"/>
  <c r="C295" i="7"/>
  <c r="B295" i="7"/>
  <c r="A295" i="7"/>
  <c r="F294" i="7"/>
  <c r="E294" i="7"/>
  <c r="D294" i="7"/>
  <c r="C294" i="7"/>
  <c r="B294" i="7"/>
  <c r="A294" i="7"/>
  <c r="F293" i="7"/>
  <c r="E293" i="7"/>
  <c r="D293" i="7"/>
  <c r="C293" i="7"/>
  <c r="B293" i="7"/>
  <c r="A293" i="7"/>
  <c r="F292" i="7"/>
  <c r="E292" i="7"/>
  <c r="D292" i="7"/>
  <c r="C292" i="7"/>
  <c r="B292" i="7"/>
  <c r="A292" i="7"/>
  <c r="F291" i="7"/>
  <c r="E291" i="7"/>
  <c r="D291" i="7"/>
  <c r="C291" i="7"/>
  <c r="B291" i="7"/>
  <c r="A291" i="7"/>
  <c r="F290" i="7"/>
  <c r="E290" i="7"/>
  <c r="D290" i="7"/>
  <c r="C290" i="7"/>
  <c r="B290" i="7"/>
  <c r="A290" i="7"/>
  <c r="F289" i="7"/>
  <c r="E289" i="7"/>
  <c r="D289" i="7"/>
  <c r="C289" i="7"/>
  <c r="B289" i="7"/>
  <c r="A289" i="7"/>
  <c r="F288" i="7"/>
  <c r="E288" i="7"/>
  <c r="D288" i="7"/>
  <c r="C288" i="7"/>
  <c r="B288" i="7"/>
  <c r="A288" i="7"/>
  <c r="F287" i="7"/>
  <c r="E287" i="7"/>
  <c r="D287" i="7"/>
  <c r="C287" i="7"/>
  <c r="B287" i="7"/>
  <c r="A287" i="7"/>
  <c r="F286" i="7"/>
  <c r="E286" i="7"/>
  <c r="D286" i="7"/>
  <c r="C286" i="7"/>
  <c r="B286" i="7"/>
  <c r="A286" i="7"/>
  <c r="F285" i="7"/>
  <c r="E285" i="7"/>
  <c r="D285" i="7"/>
  <c r="C285" i="7"/>
  <c r="B285" i="7"/>
  <c r="A285" i="7"/>
  <c r="F284" i="7"/>
  <c r="E284" i="7"/>
  <c r="D284" i="7"/>
  <c r="C284" i="7"/>
  <c r="B284" i="7"/>
  <c r="A284" i="7"/>
  <c r="F283" i="7"/>
  <c r="E283" i="7"/>
  <c r="D283" i="7"/>
  <c r="C283" i="7"/>
  <c r="B283" i="7"/>
  <c r="A283" i="7"/>
  <c r="F282" i="7"/>
  <c r="E282" i="7"/>
  <c r="D282" i="7"/>
  <c r="C282" i="7"/>
  <c r="B282" i="7"/>
  <c r="A282" i="7"/>
  <c r="F281" i="7"/>
  <c r="E281" i="7"/>
  <c r="D281" i="7"/>
  <c r="C281" i="7"/>
  <c r="B281" i="7"/>
  <c r="A281" i="7"/>
  <c r="F280" i="7"/>
  <c r="E280" i="7"/>
  <c r="D280" i="7"/>
  <c r="C280" i="7"/>
  <c r="B280" i="7"/>
  <c r="A280" i="7"/>
  <c r="F279" i="7"/>
  <c r="E279" i="7"/>
  <c r="D279" i="7"/>
  <c r="C279" i="7"/>
  <c r="B279" i="7"/>
  <c r="A279" i="7"/>
  <c r="F278" i="7"/>
  <c r="E278" i="7"/>
  <c r="D278" i="7"/>
  <c r="C278" i="7"/>
  <c r="B278" i="7"/>
  <c r="A278" i="7"/>
  <c r="F277" i="7"/>
  <c r="E277" i="7"/>
  <c r="D277" i="7"/>
  <c r="C277" i="7"/>
  <c r="B277" i="7"/>
  <c r="A277" i="7"/>
  <c r="F276" i="7"/>
  <c r="E276" i="7"/>
  <c r="D276" i="7"/>
  <c r="C276" i="7"/>
  <c r="B276" i="7"/>
  <c r="A276" i="7"/>
  <c r="F275" i="7"/>
  <c r="E275" i="7"/>
  <c r="D275" i="7"/>
  <c r="C275" i="7"/>
  <c r="B275" i="7"/>
  <c r="A275" i="7"/>
  <c r="F274" i="7"/>
  <c r="E274" i="7"/>
  <c r="D274" i="7"/>
  <c r="C274" i="7"/>
  <c r="B274" i="7"/>
  <c r="A274" i="7"/>
  <c r="F273" i="7"/>
  <c r="E273" i="7"/>
  <c r="D273" i="7"/>
  <c r="C273" i="7"/>
  <c r="B273" i="7"/>
  <c r="A273" i="7"/>
  <c r="F272" i="7"/>
  <c r="E272" i="7"/>
  <c r="D272" i="7"/>
  <c r="C272" i="7"/>
  <c r="B272" i="7"/>
  <c r="A272" i="7"/>
  <c r="F271" i="7"/>
  <c r="E271" i="7"/>
  <c r="D271" i="7"/>
  <c r="C271" i="7"/>
  <c r="B271" i="7"/>
  <c r="A271" i="7"/>
  <c r="F270" i="7"/>
  <c r="E270" i="7"/>
  <c r="D270" i="7"/>
  <c r="C270" i="7"/>
  <c r="B270" i="7"/>
  <c r="A270" i="7"/>
  <c r="F269" i="7"/>
  <c r="E269" i="7"/>
  <c r="D269" i="7"/>
  <c r="C269" i="7"/>
  <c r="B269" i="7"/>
  <c r="A269" i="7"/>
  <c r="F268" i="7"/>
  <c r="E268" i="7"/>
  <c r="D268" i="7"/>
  <c r="C268" i="7"/>
  <c r="B268" i="7"/>
  <c r="A268" i="7"/>
  <c r="F267" i="7"/>
  <c r="E267" i="7"/>
  <c r="D267" i="7"/>
  <c r="C267" i="7"/>
  <c r="B267" i="7"/>
  <c r="A267" i="7"/>
  <c r="F266" i="7"/>
  <c r="E266" i="7"/>
  <c r="D266" i="7"/>
  <c r="C266" i="7"/>
  <c r="B266" i="7"/>
  <c r="A266" i="7"/>
  <c r="F265" i="7"/>
  <c r="E265" i="7"/>
  <c r="D265" i="7"/>
  <c r="C265" i="7"/>
  <c r="B265" i="7"/>
  <c r="A265" i="7"/>
  <c r="F264" i="7"/>
  <c r="E264" i="7"/>
  <c r="D264" i="7"/>
  <c r="C264" i="7"/>
  <c r="B264" i="7"/>
  <c r="A264" i="7"/>
  <c r="F263" i="7"/>
  <c r="E263" i="7"/>
  <c r="D263" i="7"/>
  <c r="C263" i="7"/>
  <c r="B263" i="7"/>
  <c r="A263" i="7"/>
  <c r="F262" i="7"/>
  <c r="E262" i="7"/>
  <c r="D262" i="7"/>
  <c r="C262" i="7"/>
  <c r="B262" i="7"/>
  <c r="A262" i="7"/>
  <c r="F261" i="7"/>
  <c r="E261" i="7"/>
  <c r="D261" i="7"/>
  <c r="C261" i="7"/>
  <c r="B261" i="7"/>
  <c r="A261" i="7"/>
  <c r="F260" i="7"/>
  <c r="E260" i="7"/>
  <c r="D260" i="7"/>
  <c r="C260" i="7"/>
  <c r="B260" i="7"/>
  <c r="A260" i="7"/>
  <c r="F259" i="7"/>
  <c r="E259" i="7"/>
  <c r="D259" i="7"/>
  <c r="C259" i="7"/>
  <c r="B259" i="7"/>
  <c r="A259" i="7"/>
  <c r="F258" i="7"/>
  <c r="E258" i="7"/>
  <c r="D258" i="7"/>
  <c r="C258" i="7"/>
  <c r="B258" i="7"/>
  <c r="A258" i="7"/>
  <c r="F257" i="7"/>
  <c r="E257" i="7"/>
  <c r="D257" i="7"/>
  <c r="C257" i="7"/>
  <c r="B257" i="7"/>
  <c r="A257" i="7"/>
  <c r="F256" i="7"/>
  <c r="E256" i="7"/>
  <c r="D256" i="7"/>
  <c r="C256" i="7"/>
  <c r="B256" i="7"/>
  <c r="A256" i="7"/>
  <c r="F255" i="7"/>
  <c r="E255" i="7"/>
  <c r="D255" i="7"/>
  <c r="C255" i="7"/>
  <c r="B255" i="7"/>
  <c r="A255" i="7"/>
  <c r="F254" i="7"/>
  <c r="E254" i="7"/>
  <c r="D254" i="7"/>
  <c r="C254" i="7"/>
  <c r="B254" i="7"/>
  <c r="A254" i="7"/>
  <c r="F253" i="7"/>
  <c r="E253" i="7"/>
  <c r="D253" i="7"/>
  <c r="C253" i="7"/>
  <c r="B253" i="7"/>
  <c r="A253" i="7"/>
  <c r="F252" i="7"/>
  <c r="E252" i="7"/>
  <c r="D252" i="7"/>
  <c r="C252" i="7"/>
  <c r="B252" i="7"/>
  <c r="A252" i="7"/>
  <c r="F251" i="7"/>
  <c r="E251" i="7"/>
  <c r="D251" i="7"/>
  <c r="C251" i="7"/>
  <c r="B251" i="7"/>
  <c r="A251" i="7"/>
  <c r="F250" i="7"/>
  <c r="E250" i="7"/>
  <c r="D250" i="7"/>
  <c r="C250" i="7"/>
  <c r="B250" i="7"/>
  <c r="A250" i="7"/>
  <c r="F249" i="7"/>
  <c r="E249" i="7"/>
  <c r="D249" i="7"/>
  <c r="C249" i="7"/>
  <c r="B249" i="7"/>
  <c r="A249" i="7"/>
  <c r="F248" i="7"/>
  <c r="E248" i="7"/>
  <c r="D248" i="7"/>
  <c r="C248" i="7"/>
  <c r="B248" i="7"/>
  <c r="A248" i="7"/>
  <c r="F247" i="7"/>
  <c r="E247" i="7"/>
  <c r="D247" i="7"/>
  <c r="C247" i="7"/>
  <c r="B247" i="7"/>
  <c r="A247" i="7"/>
  <c r="F246" i="7"/>
  <c r="E246" i="7"/>
  <c r="D246" i="7"/>
  <c r="C246" i="7"/>
  <c r="B246" i="7"/>
  <c r="A246" i="7"/>
  <c r="F245" i="7"/>
  <c r="E245" i="7"/>
  <c r="D245" i="7"/>
  <c r="C245" i="7"/>
  <c r="B245" i="7"/>
  <c r="A245" i="7"/>
  <c r="F244" i="7"/>
  <c r="E244" i="7"/>
  <c r="D244" i="7"/>
  <c r="C244" i="7"/>
  <c r="B244" i="7"/>
  <c r="A244" i="7"/>
  <c r="F243" i="7"/>
  <c r="E243" i="7"/>
  <c r="D243" i="7"/>
  <c r="C243" i="7"/>
  <c r="B243" i="7"/>
  <c r="A243" i="7"/>
  <c r="F242" i="7"/>
  <c r="E242" i="7"/>
  <c r="D242" i="7"/>
  <c r="C242" i="7"/>
  <c r="B242" i="7"/>
  <c r="A242" i="7"/>
  <c r="F241" i="7"/>
  <c r="E241" i="7"/>
  <c r="D241" i="7"/>
  <c r="C241" i="7"/>
  <c r="B241" i="7"/>
  <c r="A241" i="7"/>
  <c r="F240" i="7"/>
  <c r="E240" i="7"/>
  <c r="D240" i="7"/>
  <c r="C240" i="7"/>
  <c r="B240" i="7"/>
  <c r="A240" i="7"/>
  <c r="F239" i="7"/>
  <c r="E239" i="7"/>
  <c r="D239" i="7"/>
  <c r="C239" i="7"/>
  <c r="B239" i="7"/>
  <c r="A239" i="7"/>
  <c r="F238" i="7"/>
  <c r="E238" i="7"/>
  <c r="D238" i="7"/>
  <c r="C238" i="7"/>
  <c r="B238" i="7"/>
  <c r="A238" i="7"/>
  <c r="F237" i="7"/>
  <c r="E237" i="7"/>
  <c r="D237" i="7"/>
  <c r="C237" i="7"/>
  <c r="B237" i="7"/>
  <c r="A237" i="7"/>
  <c r="F236" i="7"/>
  <c r="E236" i="7"/>
  <c r="D236" i="7"/>
  <c r="C236" i="7"/>
  <c r="B236" i="7"/>
  <c r="A236" i="7"/>
  <c r="F235" i="7"/>
  <c r="E235" i="7"/>
  <c r="D235" i="7"/>
  <c r="C235" i="7"/>
  <c r="B235" i="7"/>
  <c r="A235" i="7"/>
  <c r="F234" i="7"/>
  <c r="E234" i="7"/>
  <c r="D234" i="7"/>
  <c r="C234" i="7"/>
  <c r="B234" i="7"/>
  <c r="A234" i="7"/>
  <c r="F233" i="7"/>
  <c r="E233" i="7"/>
  <c r="D233" i="7"/>
  <c r="C233" i="7"/>
  <c r="B233" i="7"/>
  <c r="A233" i="7"/>
  <c r="F232" i="7"/>
  <c r="E232" i="7"/>
  <c r="D232" i="7"/>
  <c r="C232" i="7"/>
  <c r="B232" i="7"/>
  <c r="A232" i="7"/>
  <c r="F231" i="7"/>
  <c r="E231" i="7"/>
  <c r="D231" i="7"/>
  <c r="C231" i="7"/>
  <c r="B231" i="7"/>
  <c r="A231" i="7"/>
  <c r="F230" i="7"/>
  <c r="E230" i="7"/>
  <c r="D230" i="7"/>
  <c r="C230" i="7"/>
  <c r="B230" i="7"/>
  <c r="A230" i="7"/>
  <c r="F229" i="7"/>
  <c r="E229" i="7"/>
  <c r="D229" i="7"/>
  <c r="C229" i="7"/>
  <c r="B229" i="7"/>
  <c r="A229" i="7"/>
  <c r="F228" i="7"/>
  <c r="E228" i="7"/>
  <c r="D228" i="7"/>
  <c r="C228" i="7"/>
  <c r="B228" i="7"/>
  <c r="A228" i="7"/>
  <c r="F227" i="7"/>
  <c r="E227" i="7"/>
  <c r="D227" i="7"/>
  <c r="C227" i="7"/>
  <c r="B227" i="7"/>
  <c r="A227" i="7"/>
  <c r="F226" i="7"/>
  <c r="E226" i="7"/>
  <c r="D226" i="7"/>
  <c r="C226" i="7"/>
  <c r="B226" i="7"/>
  <c r="A226" i="7"/>
  <c r="F225" i="7"/>
  <c r="E225" i="7"/>
  <c r="D225" i="7"/>
  <c r="C225" i="7"/>
  <c r="B225" i="7"/>
  <c r="A225" i="7"/>
  <c r="F224" i="7"/>
  <c r="E224" i="7"/>
  <c r="D224" i="7"/>
  <c r="C224" i="7"/>
  <c r="B224" i="7"/>
  <c r="A224" i="7"/>
  <c r="F223" i="7"/>
  <c r="E223" i="7"/>
  <c r="D223" i="7"/>
  <c r="C223" i="7"/>
  <c r="B223" i="7"/>
  <c r="A223" i="7"/>
  <c r="F222" i="7"/>
  <c r="E222" i="7"/>
  <c r="D222" i="7"/>
  <c r="C222" i="7"/>
  <c r="B222" i="7"/>
  <c r="A222" i="7"/>
  <c r="F221" i="7"/>
  <c r="E221" i="7"/>
  <c r="D221" i="7"/>
  <c r="C221" i="7"/>
  <c r="B221" i="7"/>
  <c r="A221" i="7"/>
  <c r="F220" i="7"/>
  <c r="E220" i="7"/>
  <c r="D220" i="7"/>
  <c r="C220" i="7"/>
  <c r="B220" i="7"/>
  <c r="A220" i="7"/>
  <c r="F219" i="7"/>
  <c r="E219" i="7"/>
  <c r="D219" i="7"/>
  <c r="C219" i="7"/>
  <c r="B219" i="7"/>
  <c r="A219" i="7"/>
  <c r="F218" i="7"/>
  <c r="E218" i="7"/>
  <c r="D218" i="7"/>
  <c r="C218" i="7"/>
  <c r="B218" i="7"/>
  <c r="A218" i="7"/>
  <c r="F217" i="7"/>
  <c r="E217" i="7"/>
  <c r="D217" i="7"/>
  <c r="C217" i="7"/>
  <c r="B217" i="7"/>
  <c r="A217" i="7"/>
  <c r="F216" i="7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6" i="7"/>
  <c r="E146" i="7"/>
  <c r="D146" i="7"/>
  <c r="C146" i="7"/>
  <c r="B146" i="7"/>
  <c r="A146" i="7"/>
  <c r="F145" i="7"/>
  <c r="E145" i="7"/>
  <c r="D145" i="7"/>
  <c r="C145" i="7"/>
  <c r="B145" i="7"/>
  <c r="A145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F2" i="7"/>
  <c r="E2" i="7"/>
  <c r="D2" i="7"/>
  <c r="C2" i="7"/>
  <c r="B2" i="7"/>
  <c r="A2" i="7"/>
  <c r="F1" i="7"/>
  <c r="E1" i="7"/>
  <c r="D1" i="7"/>
  <c r="C1" i="7"/>
  <c r="B1" i="7"/>
  <c r="A1" i="7"/>
  <c r="F888" i="6"/>
  <c r="E888" i="6"/>
  <c r="D888" i="6"/>
  <c r="C888" i="6"/>
  <c r="B888" i="6"/>
  <c r="A888" i="6"/>
  <c r="F887" i="6"/>
  <c r="E887" i="6"/>
  <c r="D887" i="6"/>
  <c r="C887" i="6"/>
  <c r="B887" i="6"/>
  <c r="A887" i="6"/>
  <c r="F886" i="6"/>
  <c r="E886" i="6"/>
  <c r="D886" i="6"/>
  <c r="C886" i="6"/>
  <c r="B886" i="6"/>
  <c r="A886" i="6"/>
  <c r="F885" i="6"/>
  <c r="E885" i="6"/>
  <c r="D885" i="6"/>
  <c r="C885" i="6"/>
  <c r="B885" i="6"/>
  <c r="A885" i="6"/>
  <c r="F884" i="6"/>
  <c r="E884" i="6"/>
  <c r="D884" i="6"/>
  <c r="C884" i="6"/>
  <c r="B884" i="6"/>
  <c r="A884" i="6"/>
  <c r="F883" i="6"/>
  <c r="E883" i="6"/>
  <c r="D883" i="6"/>
  <c r="C883" i="6"/>
  <c r="B883" i="6"/>
  <c r="A883" i="6"/>
  <c r="F882" i="6"/>
  <c r="E882" i="6"/>
  <c r="D882" i="6"/>
  <c r="C882" i="6"/>
  <c r="B882" i="6"/>
  <c r="A882" i="6"/>
  <c r="F881" i="6"/>
  <c r="E881" i="6"/>
  <c r="D881" i="6"/>
  <c r="C881" i="6"/>
  <c r="B881" i="6"/>
  <c r="A881" i="6"/>
  <c r="F880" i="6"/>
  <c r="E880" i="6"/>
  <c r="D880" i="6"/>
  <c r="C880" i="6"/>
  <c r="B880" i="6"/>
  <c r="A880" i="6"/>
  <c r="F879" i="6"/>
  <c r="E879" i="6"/>
  <c r="D879" i="6"/>
  <c r="C879" i="6"/>
  <c r="B879" i="6"/>
  <c r="A879" i="6"/>
  <c r="F878" i="6"/>
  <c r="E878" i="6"/>
  <c r="D878" i="6"/>
  <c r="C878" i="6"/>
  <c r="B878" i="6"/>
  <c r="A878" i="6"/>
  <c r="F877" i="6"/>
  <c r="E877" i="6"/>
  <c r="D877" i="6"/>
  <c r="C877" i="6"/>
  <c r="B877" i="6"/>
  <c r="A877" i="6"/>
  <c r="F876" i="6"/>
  <c r="E876" i="6"/>
  <c r="D876" i="6"/>
  <c r="C876" i="6"/>
  <c r="B876" i="6"/>
  <c r="A876" i="6"/>
  <c r="F875" i="6"/>
  <c r="E875" i="6"/>
  <c r="D875" i="6"/>
  <c r="C875" i="6"/>
  <c r="B875" i="6"/>
  <c r="A875" i="6"/>
  <c r="F874" i="6"/>
  <c r="E874" i="6"/>
  <c r="D874" i="6"/>
  <c r="C874" i="6"/>
  <c r="B874" i="6"/>
  <c r="A874" i="6"/>
  <c r="F873" i="6"/>
  <c r="E873" i="6"/>
  <c r="D873" i="6"/>
  <c r="C873" i="6"/>
  <c r="B873" i="6"/>
  <c r="A873" i="6"/>
  <c r="F872" i="6"/>
  <c r="E872" i="6"/>
  <c r="D872" i="6"/>
  <c r="C872" i="6"/>
  <c r="B872" i="6"/>
  <c r="A872" i="6"/>
  <c r="F871" i="6"/>
  <c r="E871" i="6"/>
  <c r="D871" i="6"/>
  <c r="C871" i="6"/>
  <c r="B871" i="6"/>
  <c r="A871" i="6"/>
  <c r="F870" i="6"/>
  <c r="E870" i="6"/>
  <c r="D870" i="6"/>
  <c r="C870" i="6"/>
  <c r="B870" i="6"/>
  <c r="A870" i="6"/>
  <c r="F869" i="6"/>
  <c r="E869" i="6"/>
  <c r="D869" i="6"/>
  <c r="C869" i="6"/>
  <c r="B869" i="6"/>
  <c r="A869" i="6"/>
  <c r="F868" i="6"/>
  <c r="E868" i="6"/>
  <c r="D868" i="6"/>
  <c r="C868" i="6"/>
  <c r="B868" i="6"/>
  <c r="A868" i="6"/>
  <c r="F867" i="6"/>
  <c r="E867" i="6"/>
  <c r="D867" i="6"/>
  <c r="C867" i="6"/>
  <c r="B867" i="6"/>
  <c r="A867" i="6"/>
  <c r="F866" i="6"/>
  <c r="E866" i="6"/>
  <c r="D866" i="6"/>
  <c r="C866" i="6"/>
  <c r="B866" i="6"/>
  <c r="A866" i="6"/>
  <c r="F865" i="6"/>
  <c r="E865" i="6"/>
  <c r="D865" i="6"/>
  <c r="C865" i="6"/>
  <c r="B865" i="6"/>
  <c r="A865" i="6"/>
  <c r="F864" i="6"/>
  <c r="E864" i="6"/>
  <c r="D864" i="6"/>
  <c r="C864" i="6"/>
  <c r="B864" i="6"/>
  <c r="A864" i="6"/>
  <c r="F863" i="6"/>
  <c r="E863" i="6"/>
  <c r="D863" i="6"/>
  <c r="C863" i="6"/>
  <c r="B863" i="6"/>
  <c r="A863" i="6"/>
  <c r="F862" i="6"/>
  <c r="E862" i="6"/>
  <c r="D862" i="6"/>
  <c r="C862" i="6"/>
  <c r="B862" i="6"/>
  <c r="A862" i="6"/>
  <c r="F861" i="6"/>
  <c r="E861" i="6"/>
  <c r="D861" i="6"/>
  <c r="C861" i="6"/>
  <c r="B861" i="6"/>
  <c r="A861" i="6"/>
  <c r="F860" i="6"/>
  <c r="E860" i="6"/>
  <c r="D860" i="6"/>
  <c r="C860" i="6"/>
  <c r="B860" i="6"/>
  <c r="A860" i="6"/>
  <c r="F859" i="6"/>
  <c r="E859" i="6"/>
  <c r="D859" i="6"/>
  <c r="C859" i="6"/>
  <c r="B859" i="6"/>
  <c r="A859" i="6"/>
  <c r="F858" i="6"/>
  <c r="E858" i="6"/>
  <c r="D858" i="6"/>
  <c r="C858" i="6"/>
  <c r="B858" i="6"/>
  <c r="A858" i="6"/>
  <c r="F857" i="6"/>
  <c r="E857" i="6"/>
  <c r="D857" i="6"/>
  <c r="C857" i="6"/>
  <c r="B857" i="6"/>
  <c r="A857" i="6"/>
  <c r="F856" i="6"/>
  <c r="E856" i="6"/>
  <c r="D856" i="6"/>
  <c r="C856" i="6"/>
  <c r="B856" i="6"/>
  <c r="A856" i="6"/>
  <c r="F855" i="6"/>
  <c r="E855" i="6"/>
  <c r="D855" i="6"/>
  <c r="C855" i="6"/>
  <c r="B855" i="6"/>
  <c r="A855" i="6"/>
  <c r="F854" i="6"/>
  <c r="E854" i="6"/>
  <c r="D854" i="6"/>
  <c r="C854" i="6"/>
  <c r="B854" i="6"/>
  <c r="A854" i="6"/>
  <c r="F853" i="6"/>
  <c r="E853" i="6"/>
  <c r="D853" i="6"/>
  <c r="C853" i="6"/>
  <c r="B853" i="6"/>
  <c r="A853" i="6"/>
  <c r="F852" i="6"/>
  <c r="E852" i="6"/>
  <c r="D852" i="6"/>
  <c r="C852" i="6"/>
  <c r="B852" i="6"/>
  <c r="A852" i="6"/>
  <c r="F851" i="6"/>
  <c r="E851" i="6"/>
  <c r="D851" i="6"/>
  <c r="C851" i="6"/>
  <c r="B851" i="6"/>
  <c r="A851" i="6"/>
  <c r="F850" i="6"/>
  <c r="E850" i="6"/>
  <c r="D850" i="6"/>
  <c r="C850" i="6"/>
  <c r="B850" i="6"/>
  <c r="A850" i="6"/>
  <c r="F849" i="6"/>
  <c r="E849" i="6"/>
  <c r="D849" i="6"/>
  <c r="C849" i="6"/>
  <c r="B849" i="6"/>
  <c r="A849" i="6"/>
  <c r="F848" i="6"/>
  <c r="E848" i="6"/>
  <c r="D848" i="6"/>
  <c r="C848" i="6"/>
  <c r="B848" i="6"/>
  <c r="A848" i="6"/>
  <c r="F847" i="6"/>
  <c r="E847" i="6"/>
  <c r="D847" i="6"/>
  <c r="C847" i="6"/>
  <c r="B847" i="6"/>
  <c r="A847" i="6"/>
  <c r="F846" i="6"/>
  <c r="E846" i="6"/>
  <c r="D846" i="6"/>
  <c r="C846" i="6"/>
  <c r="B846" i="6"/>
  <c r="A846" i="6"/>
  <c r="F845" i="6"/>
  <c r="E845" i="6"/>
  <c r="D845" i="6"/>
  <c r="C845" i="6"/>
  <c r="B845" i="6"/>
  <c r="A845" i="6"/>
  <c r="F844" i="6"/>
  <c r="E844" i="6"/>
  <c r="D844" i="6"/>
  <c r="C844" i="6"/>
  <c r="B844" i="6"/>
  <c r="A844" i="6"/>
  <c r="F843" i="6"/>
  <c r="E843" i="6"/>
  <c r="D843" i="6"/>
  <c r="C843" i="6"/>
  <c r="B843" i="6"/>
  <c r="A843" i="6"/>
  <c r="F842" i="6"/>
  <c r="E842" i="6"/>
  <c r="D842" i="6"/>
  <c r="C842" i="6"/>
  <c r="B842" i="6"/>
  <c r="A842" i="6"/>
  <c r="F841" i="6"/>
  <c r="E841" i="6"/>
  <c r="D841" i="6"/>
  <c r="C841" i="6"/>
  <c r="B841" i="6"/>
  <c r="A841" i="6"/>
  <c r="F840" i="6"/>
  <c r="E840" i="6"/>
  <c r="D840" i="6"/>
  <c r="C840" i="6"/>
  <c r="B840" i="6"/>
  <c r="A840" i="6"/>
  <c r="F839" i="6"/>
  <c r="E839" i="6"/>
  <c r="D839" i="6"/>
  <c r="C839" i="6"/>
  <c r="B839" i="6"/>
  <c r="A839" i="6"/>
  <c r="F838" i="6"/>
  <c r="E838" i="6"/>
  <c r="D838" i="6"/>
  <c r="C838" i="6"/>
  <c r="B838" i="6"/>
  <c r="A838" i="6"/>
  <c r="F837" i="6"/>
  <c r="E837" i="6"/>
  <c r="D837" i="6"/>
  <c r="C837" i="6"/>
  <c r="B837" i="6"/>
  <c r="A837" i="6"/>
  <c r="F836" i="6"/>
  <c r="E836" i="6"/>
  <c r="D836" i="6"/>
  <c r="C836" i="6"/>
  <c r="B836" i="6"/>
  <c r="A836" i="6"/>
  <c r="F835" i="6"/>
  <c r="E835" i="6"/>
  <c r="D835" i="6"/>
  <c r="C835" i="6"/>
  <c r="B835" i="6"/>
  <c r="A835" i="6"/>
  <c r="F834" i="6"/>
  <c r="E834" i="6"/>
  <c r="D834" i="6"/>
  <c r="C834" i="6"/>
  <c r="B834" i="6"/>
  <c r="A834" i="6"/>
  <c r="F833" i="6"/>
  <c r="E833" i="6"/>
  <c r="D833" i="6"/>
  <c r="C833" i="6"/>
  <c r="B833" i="6"/>
  <c r="A833" i="6"/>
  <c r="F832" i="6"/>
  <c r="E832" i="6"/>
  <c r="D832" i="6"/>
  <c r="C832" i="6"/>
  <c r="B832" i="6"/>
  <c r="A832" i="6"/>
  <c r="F831" i="6"/>
  <c r="E831" i="6"/>
  <c r="D831" i="6"/>
  <c r="C831" i="6"/>
  <c r="B831" i="6"/>
  <c r="A831" i="6"/>
  <c r="F830" i="6"/>
  <c r="E830" i="6"/>
  <c r="D830" i="6"/>
  <c r="C830" i="6"/>
  <c r="B830" i="6"/>
  <c r="A830" i="6"/>
  <c r="F829" i="6"/>
  <c r="E829" i="6"/>
  <c r="D829" i="6"/>
  <c r="C829" i="6"/>
  <c r="B829" i="6"/>
  <c r="A829" i="6"/>
  <c r="F828" i="6"/>
  <c r="E828" i="6"/>
  <c r="D828" i="6"/>
  <c r="C828" i="6"/>
  <c r="B828" i="6"/>
  <c r="A828" i="6"/>
  <c r="F827" i="6"/>
  <c r="E827" i="6"/>
  <c r="D827" i="6"/>
  <c r="C827" i="6"/>
  <c r="B827" i="6"/>
  <c r="A827" i="6"/>
  <c r="F826" i="6"/>
  <c r="E826" i="6"/>
  <c r="D826" i="6"/>
  <c r="C826" i="6"/>
  <c r="B826" i="6"/>
  <c r="A826" i="6"/>
  <c r="F825" i="6"/>
  <c r="E825" i="6"/>
  <c r="D825" i="6"/>
  <c r="C825" i="6"/>
  <c r="B825" i="6"/>
  <c r="A825" i="6"/>
  <c r="F824" i="6"/>
  <c r="E824" i="6"/>
  <c r="D824" i="6"/>
  <c r="C824" i="6"/>
  <c r="B824" i="6"/>
  <c r="A824" i="6"/>
  <c r="F823" i="6"/>
  <c r="E823" i="6"/>
  <c r="D823" i="6"/>
  <c r="C823" i="6"/>
  <c r="B823" i="6"/>
  <c r="A823" i="6"/>
  <c r="F822" i="6"/>
  <c r="E822" i="6"/>
  <c r="D822" i="6"/>
  <c r="C822" i="6"/>
  <c r="B822" i="6"/>
  <c r="A822" i="6"/>
  <c r="F821" i="6"/>
  <c r="E821" i="6"/>
  <c r="D821" i="6"/>
  <c r="C821" i="6"/>
  <c r="B821" i="6"/>
  <c r="A821" i="6"/>
  <c r="F820" i="6"/>
  <c r="E820" i="6"/>
  <c r="D820" i="6"/>
  <c r="C820" i="6"/>
  <c r="B820" i="6"/>
  <c r="A820" i="6"/>
  <c r="F819" i="6"/>
  <c r="E819" i="6"/>
  <c r="D819" i="6"/>
  <c r="C819" i="6"/>
  <c r="B819" i="6"/>
  <c r="A819" i="6"/>
  <c r="F818" i="6"/>
  <c r="E818" i="6"/>
  <c r="D818" i="6"/>
  <c r="C818" i="6"/>
  <c r="B818" i="6"/>
  <c r="A818" i="6"/>
  <c r="F817" i="6"/>
  <c r="E817" i="6"/>
  <c r="D817" i="6"/>
  <c r="C817" i="6"/>
  <c r="B817" i="6"/>
  <c r="A817" i="6"/>
  <c r="F816" i="6"/>
  <c r="E816" i="6"/>
  <c r="D816" i="6"/>
  <c r="C816" i="6"/>
  <c r="B816" i="6"/>
  <c r="A816" i="6"/>
  <c r="F815" i="6"/>
  <c r="E815" i="6"/>
  <c r="D815" i="6"/>
  <c r="C815" i="6"/>
  <c r="B815" i="6"/>
  <c r="A815" i="6"/>
  <c r="F814" i="6"/>
  <c r="E814" i="6"/>
  <c r="D814" i="6"/>
  <c r="C814" i="6"/>
  <c r="B814" i="6"/>
  <c r="A814" i="6"/>
  <c r="F813" i="6"/>
  <c r="E813" i="6"/>
  <c r="D813" i="6"/>
  <c r="C813" i="6"/>
  <c r="B813" i="6"/>
  <c r="A813" i="6"/>
  <c r="F812" i="6"/>
  <c r="E812" i="6"/>
  <c r="D812" i="6"/>
  <c r="C812" i="6"/>
  <c r="B812" i="6"/>
  <c r="A812" i="6"/>
  <c r="F811" i="6"/>
  <c r="E811" i="6"/>
  <c r="D811" i="6"/>
  <c r="C811" i="6"/>
  <c r="B811" i="6"/>
  <c r="A811" i="6"/>
  <c r="F810" i="6"/>
  <c r="E810" i="6"/>
  <c r="D810" i="6"/>
  <c r="C810" i="6"/>
  <c r="B810" i="6"/>
  <c r="A810" i="6"/>
  <c r="F809" i="6"/>
  <c r="E809" i="6"/>
  <c r="D809" i="6"/>
  <c r="C809" i="6"/>
  <c r="B809" i="6"/>
  <c r="A809" i="6"/>
  <c r="F808" i="6"/>
  <c r="E808" i="6"/>
  <c r="D808" i="6"/>
  <c r="C808" i="6"/>
  <c r="B808" i="6"/>
  <c r="A808" i="6"/>
  <c r="F807" i="6"/>
  <c r="E807" i="6"/>
  <c r="D807" i="6"/>
  <c r="C807" i="6"/>
  <c r="B807" i="6"/>
  <c r="A807" i="6"/>
  <c r="F806" i="6"/>
  <c r="E806" i="6"/>
  <c r="D806" i="6"/>
  <c r="C806" i="6"/>
  <c r="B806" i="6"/>
  <c r="A806" i="6"/>
  <c r="F805" i="6"/>
  <c r="E805" i="6"/>
  <c r="D805" i="6"/>
  <c r="C805" i="6"/>
  <c r="B805" i="6"/>
  <c r="A805" i="6"/>
  <c r="F804" i="6"/>
  <c r="E804" i="6"/>
  <c r="D804" i="6"/>
  <c r="C804" i="6"/>
  <c r="B804" i="6"/>
  <c r="A804" i="6"/>
  <c r="F803" i="6"/>
  <c r="E803" i="6"/>
  <c r="D803" i="6"/>
  <c r="C803" i="6"/>
  <c r="B803" i="6"/>
  <c r="A803" i="6"/>
  <c r="F802" i="6"/>
  <c r="E802" i="6"/>
  <c r="D802" i="6"/>
  <c r="C802" i="6"/>
  <c r="B802" i="6"/>
  <c r="A802" i="6"/>
  <c r="F801" i="6"/>
  <c r="E801" i="6"/>
  <c r="D801" i="6"/>
  <c r="C801" i="6"/>
  <c r="B801" i="6"/>
  <c r="A801" i="6"/>
  <c r="F800" i="6"/>
  <c r="E800" i="6"/>
  <c r="D800" i="6"/>
  <c r="C800" i="6"/>
  <c r="B800" i="6"/>
  <c r="A800" i="6"/>
  <c r="F799" i="6"/>
  <c r="E799" i="6"/>
  <c r="D799" i="6"/>
  <c r="C799" i="6"/>
  <c r="B799" i="6"/>
  <c r="A799" i="6"/>
  <c r="F798" i="6"/>
  <c r="E798" i="6"/>
  <c r="D798" i="6"/>
  <c r="C798" i="6"/>
  <c r="B798" i="6"/>
  <c r="A798" i="6"/>
  <c r="F797" i="6"/>
  <c r="E797" i="6"/>
  <c r="D797" i="6"/>
  <c r="C797" i="6"/>
  <c r="B797" i="6"/>
  <c r="A797" i="6"/>
  <c r="F796" i="6"/>
  <c r="E796" i="6"/>
  <c r="D796" i="6"/>
  <c r="C796" i="6"/>
  <c r="B796" i="6"/>
  <c r="A796" i="6"/>
  <c r="F795" i="6"/>
  <c r="E795" i="6"/>
  <c r="D795" i="6"/>
  <c r="C795" i="6"/>
  <c r="B795" i="6"/>
  <c r="A795" i="6"/>
  <c r="F794" i="6"/>
  <c r="E794" i="6"/>
  <c r="D794" i="6"/>
  <c r="C794" i="6"/>
  <c r="B794" i="6"/>
  <c r="A794" i="6"/>
  <c r="F793" i="6"/>
  <c r="E793" i="6"/>
  <c r="D793" i="6"/>
  <c r="C793" i="6"/>
  <c r="B793" i="6"/>
  <c r="A793" i="6"/>
  <c r="F792" i="6"/>
  <c r="E792" i="6"/>
  <c r="D792" i="6"/>
  <c r="C792" i="6"/>
  <c r="B792" i="6"/>
  <c r="A792" i="6"/>
  <c r="F791" i="6"/>
  <c r="E791" i="6"/>
  <c r="D791" i="6"/>
  <c r="C791" i="6"/>
  <c r="B791" i="6"/>
  <c r="A791" i="6"/>
  <c r="F790" i="6"/>
  <c r="E790" i="6"/>
  <c r="D790" i="6"/>
  <c r="C790" i="6"/>
  <c r="B790" i="6"/>
  <c r="A790" i="6"/>
  <c r="F789" i="6"/>
  <c r="E789" i="6"/>
  <c r="D789" i="6"/>
  <c r="C789" i="6"/>
  <c r="B789" i="6"/>
  <c r="A789" i="6"/>
  <c r="F788" i="6"/>
  <c r="E788" i="6"/>
  <c r="D788" i="6"/>
  <c r="C788" i="6"/>
  <c r="B788" i="6"/>
  <c r="A788" i="6"/>
  <c r="F787" i="6"/>
  <c r="E787" i="6"/>
  <c r="D787" i="6"/>
  <c r="C787" i="6"/>
  <c r="B787" i="6"/>
  <c r="A787" i="6"/>
  <c r="F786" i="6"/>
  <c r="E786" i="6"/>
  <c r="D786" i="6"/>
  <c r="C786" i="6"/>
  <c r="B786" i="6"/>
  <c r="A786" i="6"/>
  <c r="F785" i="6"/>
  <c r="E785" i="6"/>
  <c r="D785" i="6"/>
  <c r="C785" i="6"/>
  <c r="B785" i="6"/>
  <c r="A785" i="6"/>
  <c r="F784" i="6"/>
  <c r="E784" i="6"/>
  <c r="D784" i="6"/>
  <c r="C784" i="6"/>
  <c r="B784" i="6"/>
  <c r="A784" i="6"/>
  <c r="F783" i="6"/>
  <c r="E783" i="6"/>
  <c r="D783" i="6"/>
  <c r="C783" i="6"/>
  <c r="B783" i="6"/>
  <c r="A783" i="6"/>
  <c r="F782" i="6"/>
  <c r="E782" i="6"/>
  <c r="D782" i="6"/>
  <c r="C782" i="6"/>
  <c r="B782" i="6"/>
  <c r="A782" i="6"/>
  <c r="F781" i="6"/>
  <c r="E781" i="6"/>
  <c r="D781" i="6"/>
  <c r="C781" i="6"/>
  <c r="B781" i="6"/>
  <c r="A781" i="6"/>
  <c r="F780" i="6"/>
  <c r="E780" i="6"/>
  <c r="D780" i="6"/>
  <c r="C780" i="6"/>
  <c r="B780" i="6"/>
  <c r="A780" i="6"/>
  <c r="F779" i="6"/>
  <c r="E779" i="6"/>
  <c r="D779" i="6"/>
  <c r="C779" i="6"/>
  <c r="B779" i="6"/>
  <c r="A779" i="6"/>
  <c r="F778" i="6"/>
  <c r="E778" i="6"/>
  <c r="D778" i="6"/>
  <c r="C778" i="6"/>
  <c r="B778" i="6"/>
  <c r="A778" i="6"/>
  <c r="F777" i="6"/>
  <c r="E777" i="6"/>
  <c r="D777" i="6"/>
  <c r="C777" i="6"/>
  <c r="B777" i="6"/>
  <c r="A777" i="6"/>
  <c r="F776" i="6"/>
  <c r="E776" i="6"/>
  <c r="D776" i="6"/>
  <c r="C776" i="6"/>
  <c r="B776" i="6"/>
  <c r="A776" i="6"/>
  <c r="F775" i="6"/>
  <c r="E775" i="6"/>
  <c r="D775" i="6"/>
  <c r="C775" i="6"/>
  <c r="B775" i="6"/>
  <c r="A775" i="6"/>
  <c r="F774" i="6"/>
  <c r="E774" i="6"/>
  <c r="D774" i="6"/>
  <c r="C774" i="6"/>
  <c r="B774" i="6"/>
  <c r="A774" i="6"/>
  <c r="F773" i="6"/>
  <c r="E773" i="6"/>
  <c r="D773" i="6"/>
  <c r="C773" i="6"/>
  <c r="B773" i="6"/>
  <c r="A773" i="6"/>
  <c r="F772" i="6"/>
  <c r="E772" i="6"/>
  <c r="D772" i="6"/>
  <c r="C772" i="6"/>
  <c r="B772" i="6"/>
  <c r="A772" i="6"/>
  <c r="F771" i="6"/>
  <c r="E771" i="6"/>
  <c r="D771" i="6"/>
  <c r="C771" i="6"/>
  <c r="B771" i="6"/>
  <c r="A771" i="6"/>
  <c r="F770" i="6"/>
  <c r="E770" i="6"/>
  <c r="D770" i="6"/>
  <c r="C770" i="6"/>
  <c r="B770" i="6"/>
  <c r="A770" i="6"/>
  <c r="F769" i="6"/>
  <c r="E769" i="6"/>
  <c r="D769" i="6"/>
  <c r="C769" i="6"/>
  <c r="B769" i="6"/>
  <c r="A769" i="6"/>
  <c r="F768" i="6"/>
  <c r="E768" i="6"/>
  <c r="D768" i="6"/>
  <c r="C768" i="6"/>
  <c r="B768" i="6"/>
  <c r="A768" i="6"/>
  <c r="F767" i="6"/>
  <c r="E767" i="6"/>
  <c r="D767" i="6"/>
  <c r="C767" i="6"/>
  <c r="B767" i="6"/>
  <c r="A767" i="6"/>
  <c r="F766" i="6"/>
  <c r="E766" i="6"/>
  <c r="D766" i="6"/>
  <c r="C766" i="6"/>
  <c r="B766" i="6"/>
  <c r="A766" i="6"/>
  <c r="F765" i="6"/>
  <c r="E765" i="6"/>
  <c r="D765" i="6"/>
  <c r="C765" i="6"/>
  <c r="B765" i="6"/>
  <c r="A765" i="6"/>
  <c r="F764" i="6"/>
  <c r="E764" i="6"/>
  <c r="D764" i="6"/>
  <c r="C764" i="6"/>
  <c r="B764" i="6"/>
  <c r="A764" i="6"/>
  <c r="F763" i="6"/>
  <c r="E763" i="6"/>
  <c r="D763" i="6"/>
  <c r="C763" i="6"/>
  <c r="B763" i="6"/>
  <c r="A763" i="6"/>
  <c r="F762" i="6"/>
  <c r="E762" i="6"/>
  <c r="D762" i="6"/>
  <c r="C762" i="6"/>
  <c r="B762" i="6"/>
  <c r="A762" i="6"/>
  <c r="F761" i="6"/>
  <c r="E761" i="6"/>
  <c r="D761" i="6"/>
  <c r="C761" i="6"/>
  <c r="B761" i="6"/>
  <c r="A761" i="6"/>
  <c r="F760" i="6"/>
  <c r="E760" i="6"/>
  <c r="D760" i="6"/>
  <c r="C760" i="6"/>
  <c r="B760" i="6"/>
  <c r="A760" i="6"/>
  <c r="F759" i="6"/>
  <c r="E759" i="6"/>
  <c r="D759" i="6"/>
  <c r="C759" i="6"/>
  <c r="B759" i="6"/>
  <c r="A759" i="6"/>
  <c r="F758" i="6"/>
  <c r="E758" i="6"/>
  <c r="D758" i="6"/>
  <c r="C758" i="6"/>
  <c r="B758" i="6"/>
  <c r="A758" i="6"/>
  <c r="F757" i="6"/>
  <c r="E757" i="6"/>
  <c r="D757" i="6"/>
  <c r="C757" i="6"/>
  <c r="B757" i="6"/>
  <c r="A757" i="6"/>
  <c r="F756" i="6"/>
  <c r="E756" i="6"/>
  <c r="D756" i="6"/>
  <c r="C756" i="6"/>
  <c r="B756" i="6"/>
  <c r="A756" i="6"/>
  <c r="F755" i="6"/>
  <c r="E755" i="6"/>
  <c r="D755" i="6"/>
  <c r="C755" i="6"/>
  <c r="B755" i="6"/>
  <c r="A755" i="6"/>
  <c r="F754" i="6"/>
  <c r="E754" i="6"/>
  <c r="D754" i="6"/>
  <c r="C754" i="6"/>
  <c r="B754" i="6"/>
  <c r="A754" i="6"/>
  <c r="F753" i="6"/>
  <c r="E753" i="6"/>
  <c r="D753" i="6"/>
  <c r="C753" i="6"/>
  <c r="B753" i="6"/>
  <c r="A753" i="6"/>
  <c r="F752" i="6"/>
  <c r="E752" i="6"/>
  <c r="D752" i="6"/>
  <c r="C752" i="6"/>
  <c r="B752" i="6"/>
  <c r="A752" i="6"/>
  <c r="F751" i="6"/>
  <c r="E751" i="6"/>
  <c r="D751" i="6"/>
  <c r="C751" i="6"/>
  <c r="B751" i="6"/>
  <c r="A751" i="6"/>
  <c r="F750" i="6"/>
  <c r="E750" i="6"/>
  <c r="D750" i="6"/>
  <c r="C750" i="6"/>
  <c r="B750" i="6"/>
  <c r="A750" i="6"/>
  <c r="F749" i="6"/>
  <c r="E749" i="6"/>
  <c r="D749" i="6"/>
  <c r="C749" i="6"/>
  <c r="B749" i="6"/>
  <c r="A749" i="6"/>
  <c r="F748" i="6"/>
  <c r="E748" i="6"/>
  <c r="D748" i="6"/>
  <c r="C748" i="6"/>
  <c r="B748" i="6"/>
  <c r="A748" i="6"/>
  <c r="F747" i="6"/>
  <c r="E747" i="6"/>
  <c r="D747" i="6"/>
  <c r="C747" i="6"/>
  <c r="B747" i="6"/>
  <c r="A747" i="6"/>
  <c r="F746" i="6"/>
  <c r="E746" i="6"/>
  <c r="D746" i="6"/>
  <c r="C746" i="6"/>
  <c r="B746" i="6"/>
  <c r="A746" i="6"/>
  <c r="F745" i="6"/>
  <c r="E745" i="6"/>
  <c r="D745" i="6"/>
  <c r="C745" i="6"/>
  <c r="B745" i="6"/>
  <c r="A745" i="6"/>
  <c r="F744" i="6"/>
  <c r="E744" i="6"/>
  <c r="D744" i="6"/>
  <c r="C744" i="6"/>
  <c r="B744" i="6"/>
  <c r="A744" i="6"/>
  <c r="F743" i="6"/>
  <c r="E743" i="6"/>
  <c r="D743" i="6"/>
  <c r="C743" i="6"/>
  <c r="B743" i="6"/>
  <c r="A743" i="6"/>
  <c r="F742" i="6"/>
  <c r="E742" i="6"/>
  <c r="D742" i="6"/>
  <c r="C742" i="6"/>
  <c r="B742" i="6"/>
  <c r="A742" i="6"/>
  <c r="F741" i="6"/>
  <c r="E741" i="6"/>
  <c r="D741" i="6"/>
  <c r="C741" i="6"/>
  <c r="B741" i="6"/>
  <c r="A741" i="6"/>
  <c r="F740" i="6"/>
  <c r="E740" i="6"/>
  <c r="D740" i="6"/>
  <c r="C740" i="6"/>
  <c r="B740" i="6"/>
  <c r="A740" i="6"/>
  <c r="F739" i="6"/>
  <c r="E739" i="6"/>
  <c r="D739" i="6"/>
  <c r="C739" i="6"/>
  <c r="B739" i="6"/>
  <c r="A739" i="6"/>
  <c r="F738" i="6"/>
  <c r="E738" i="6"/>
  <c r="D738" i="6"/>
  <c r="C738" i="6"/>
  <c r="B738" i="6"/>
  <c r="A738" i="6"/>
  <c r="F737" i="6"/>
  <c r="E737" i="6"/>
  <c r="D737" i="6"/>
  <c r="C737" i="6"/>
  <c r="B737" i="6"/>
  <c r="A737" i="6"/>
  <c r="F736" i="6"/>
  <c r="E736" i="6"/>
  <c r="D736" i="6"/>
  <c r="C736" i="6"/>
  <c r="B736" i="6"/>
  <c r="A736" i="6"/>
  <c r="F735" i="6"/>
  <c r="E735" i="6"/>
  <c r="D735" i="6"/>
  <c r="C735" i="6"/>
  <c r="B735" i="6"/>
  <c r="A735" i="6"/>
  <c r="F734" i="6"/>
  <c r="E734" i="6"/>
  <c r="D734" i="6"/>
  <c r="C734" i="6"/>
  <c r="B734" i="6"/>
  <c r="A734" i="6"/>
  <c r="F733" i="6"/>
  <c r="E733" i="6"/>
  <c r="D733" i="6"/>
  <c r="C733" i="6"/>
  <c r="B733" i="6"/>
  <c r="A733" i="6"/>
  <c r="F732" i="6"/>
  <c r="E732" i="6"/>
  <c r="D732" i="6"/>
  <c r="C732" i="6"/>
  <c r="B732" i="6"/>
  <c r="A732" i="6"/>
  <c r="F731" i="6"/>
  <c r="E731" i="6"/>
  <c r="D731" i="6"/>
  <c r="C731" i="6"/>
  <c r="B731" i="6"/>
  <c r="A731" i="6"/>
  <c r="F730" i="6"/>
  <c r="E730" i="6"/>
  <c r="D730" i="6"/>
  <c r="C730" i="6"/>
  <c r="B730" i="6"/>
  <c r="A730" i="6"/>
  <c r="F729" i="6"/>
  <c r="E729" i="6"/>
  <c r="D729" i="6"/>
  <c r="C729" i="6"/>
  <c r="B729" i="6"/>
  <c r="A729" i="6"/>
  <c r="F728" i="6"/>
  <c r="E728" i="6"/>
  <c r="D728" i="6"/>
  <c r="C728" i="6"/>
  <c r="B728" i="6"/>
  <c r="A728" i="6"/>
  <c r="F727" i="6"/>
  <c r="E727" i="6"/>
  <c r="D727" i="6"/>
  <c r="C727" i="6"/>
  <c r="B727" i="6"/>
  <c r="A727" i="6"/>
  <c r="F726" i="6"/>
  <c r="E726" i="6"/>
  <c r="D726" i="6"/>
  <c r="C726" i="6"/>
  <c r="B726" i="6"/>
  <c r="A726" i="6"/>
  <c r="F725" i="6"/>
  <c r="E725" i="6"/>
  <c r="D725" i="6"/>
  <c r="C725" i="6"/>
  <c r="B725" i="6"/>
  <c r="A725" i="6"/>
  <c r="F724" i="6"/>
  <c r="E724" i="6"/>
  <c r="D724" i="6"/>
  <c r="C724" i="6"/>
  <c r="B724" i="6"/>
  <c r="A724" i="6"/>
  <c r="F723" i="6"/>
  <c r="E723" i="6"/>
  <c r="D723" i="6"/>
  <c r="C723" i="6"/>
  <c r="B723" i="6"/>
  <c r="A723" i="6"/>
  <c r="F722" i="6"/>
  <c r="E722" i="6"/>
  <c r="D722" i="6"/>
  <c r="C722" i="6"/>
  <c r="B722" i="6"/>
  <c r="A722" i="6"/>
  <c r="F721" i="6"/>
  <c r="E721" i="6"/>
  <c r="D721" i="6"/>
  <c r="C721" i="6"/>
  <c r="B721" i="6"/>
  <c r="A721" i="6"/>
  <c r="F720" i="6"/>
  <c r="E720" i="6"/>
  <c r="D720" i="6"/>
  <c r="C720" i="6"/>
  <c r="B720" i="6"/>
  <c r="A720" i="6"/>
  <c r="F719" i="6"/>
  <c r="E719" i="6"/>
  <c r="D719" i="6"/>
  <c r="C719" i="6"/>
  <c r="B719" i="6"/>
  <c r="A719" i="6"/>
  <c r="F718" i="6"/>
  <c r="E718" i="6"/>
  <c r="D718" i="6"/>
  <c r="C718" i="6"/>
  <c r="B718" i="6"/>
  <c r="A718" i="6"/>
  <c r="F717" i="6"/>
  <c r="E717" i="6"/>
  <c r="D717" i="6"/>
  <c r="C717" i="6"/>
  <c r="B717" i="6"/>
  <c r="A717" i="6"/>
  <c r="F716" i="6"/>
  <c r="E716" i="6"/>
  <c r="D716" i="6"/>
  <c r="C716" i="6"/>
  <c r="B716" i="6"/>
  <c r="A716" i="6"/>
  <c r="F715" i="6"/>
  <c r="E715" i="6"/>
  <c r="D715" i="6"/>
  <c r="C715" i="6"/>
  <c r="B715" i="6"/>
  <c r="A715" i="6"/>
  <c r="F714" i="6"/>
  <c r="E714" i="6"/>
  <c r="D714" i="6"/>
  <c r="C714" i="6"/>
  <c r="B714" i="6"/>
  <c r="A714" i="6"/>
  <c r="F713" i="6"/>
  <c r="E713" i="6"/>
  <c r="D713" i="6"/>
  <c r="C713" i="6"/>
  <c r="B713" i="6"/>
  <c r="A713" i="6"/>
  <c r="F712" i="6"/>
  <c r="E712" i="6"/>
  <c r="D712" i="6"/>
  <c r="C712" i="6"/>
  <c r="B712" i="6"/>
  <c r="A712" i="6"/>
  <c r="F711" i="6"/>
  <c r="E711" i="6"/>
  <c r="D711" i="6"/>
  <c r="C711" i="6"/>
  <c r="B711" i="6"/>
  <c r="A711" i="6"/>
  <c r="F710" i="6"/>
  <c r="E710" i="6"/>
  <c r="D710" i="6"/>
  <c r="C710" i="6"/>
  <c r="B710" i="6"/>
  <c r="A710" i="6"/>
  <c r="F709" i="6"/>
  <c r="E709" i="6"/>
  <c r="D709" i="6"/>
  <c r="C709" i="6"/>
  <c r="B709" i="6"/>
  <c r="A709" i="6"/>
  <c r="F708" i="6"/>
  <c r="E708" i="6"/>
  <c r="D708" i="6"/>
  <c r="C708" i="6"/>
  <c r="B708" i="6"/>
  <c r="A708" i="6"/>
  <c r="F707" i="6"/>
  <c r="E707" i="6"/>
  <c r="D707" i="6"/>
  <c r="C707" i="6"/>
  <c r="B707" i="6"/>
  <c r="A707" i="6"/>
  <c r="F706" i="6"/>
  <c r="E706" i="6"/>
  <c r="D706" i="6"/>
  <c r="C706" i="6"/>
  <c r="B706" i="6"/>
  <c r="A706" i="6"/>
  <c r="F705" i="6"/>
  <c r="E705" i="6"/>
  <c r="D705" i="6"/>
  <c r="C705" i="6"/>
  <c r="B705" i="6"/>
  <c r="A705" i="6"/>
  <c r="F704" i="6"/>
  <c r="E704" i="6"/>
  <c r="D704" i="6"/>
  <c r="C704" i="6"/>
  <c r="B704" i="6"/>
  <c r="A704" i="6"/>
  <c r="F703" i="6"/>
  <c r="E703" i="6"/>
  <c r="D703" i="6"/>
  <c r="C703" i="6"/>
  <c r="B703" i="6"/>
  <c r="A703" i="6"/>
  <c r="F702" i="6"/>
  <c r="E702" i="6"/>
  <c r="D702" i="6"/>
  <c r="C702" i="6"/>
  <c r="B702" i="6"/>
  <c r="A702" i="6"/>
  <c r="F701" i="6"/>
  <c r="E701" i="6"/>
  <c r="D701" i="6"/>
  <c r="C701" i="6"/>
  <c r="B701" i="6"/>
  <c r="A701" i="6"/>
  <c r="F700" i="6"/>
  <c r="E700" i="6"/>
  <c r="D700" i="6"/>
  <c r="C700" i="6"/>
  <c r="B700" i="6"/>
  <c r="A700" i="6"/>
  <c r="F699" i="6"/>
  <c r="E699" i="6"/>
  <c r="D699" i="6"/>
  <c r="C699" i="6"/>
  <c r="B699" i="6"/>
  <c r="A699" i="6"/>
  <c r="F698" i="6"/>
  <c r="E698" i="6"/>
  <c r="D698" i="6"/>
  <c r="C698" i="6"/>
  <c r="B698" i="6"/>
  <c r="A698" i="6"/>
  <c r="F697" i="6"/>
  <c r="E697" i="6"/>
  <c r="D697" i="6"/>
  <c r="C697" i="6"/>
  <c r="B697" i="6"/>
  <c r="A697" i="6"/>
  <c r="F696" i="6"/>
  <c r="E696" i="6"/>
  <c r="D696" i="6"/>
  <c r="C696" i="6"/>
  <c r="B696" i="6"/>
  <c r="A696" i="6"/>
  <c r="F695" i="6"/>
  <c r="E695" i="6"/>
  <c r="D695" i="6"/>
  <c r="C695" i="6"/>
  <c r="B695" i="6"/>
  <c r="A695" i="6"/>
  <c r="F694" i="6"/>
  <c r="E694" i="6"/>
  <c r="D694" i="6"/>
  <c r="C694" i="6"/>
  <c r="B694" i="6"/>
  <c r="A694" i="6"/>
  <c r="F693" i="6"/>
  <c r="E693" i="6"/>
  <c r="D693" i="6"/>
  <c r="C693" i="6"/>
  <c r="B693" i="6"/>
  <c r="A693" i="6"/>
  <c r="F692" i="6"/>
  <c r="E692" i="6"/>
  <c r="D692" i="6"/>
  <c r="C692" i="6"/>
  <c r="B692" i="6"/>
  <c r="A692" i="6"/>
  <c r="F691" i="6"/>
  <c r="E691" i="6"/>
  <c r="D691" i="6"/>
  <c r="C691" i="6"/>
  <c r="B691" i="6"/>
  <c r="A691" i="6"/>
  <c r="F690" i="6"/>
  <c r="E690" i="6"/>
  <c r="D690" i="6"/>
  <c r="C690" i="6"/>
  <c r="B690" i="6"/>
  <c r="A690" i="6"/>
  <c r="F689" i="6"/>
  <c r="E689" i="6"/>
  <c r="D689" i="6"/>
  <c r="C689" i="6"/>
  <c r="B689" i="6"/>
  <c r="A689" i="6"/>
  <c r="F688" i="6"/>
  <c r="E688" i="6"/>
  <c r="D688" i="6"/>
  <c r="C688" i="6"/>
  <c r="B688" i="6"/>
  <c r="A688" i="6"/>
  <c r="F687" i="6"/>
  <c r="E687" i="6"/>
  <c r="D687" i="6"/>
  <c r="C687" i="6"/>
  <c r="B687" i="6"/>
  <c r="A687" i="6"/>
  <c r="F686" i="6"/>
  <c r="E686" i="6"/>
  <c r="D686" i="6"/>
  <c r="C686" i="6"/>
  <c r="B686" i="6"/>
  <c r="A686" i="6"/>
  <c r="F685" i="6"/>
  <c r="E685" i="6"/>
  <c r="D685" i="6"/>
  <c r="C685" i="6"/>
  <c r="B685" i="6"/>
  <c r="A685" i="6"/>
  <c r="F684" i="6"/>
  <c r="E684" i="6"/>
  <c r="D684" i="6"/>
  <c r="C684" i="6"/>
  <c r="B684" i="6"/>
  <c r="A684" i="6"/>
  <c r="F683" i="6"/>
  <c r="E683" i="6"/>
  <c r="D683" i="6"/>
  <c r="C683" i="6"/>
  <c r="B683" i="6"/>
  <c r="A683" i="6"/>
  <c r="F682" i="6"/>
  <c r="E682" i="6"/>
  <c r="D682" i="6"/>
  <c r="C682" i="6"/>
  <c r="B682" i="6"/>
  <c r="A682" i="6"/>
  <c r="F681" i="6"/>
  <c r="E681" i="6"/>
  <c r="D681" i="6"/>
  <c r="C681" i="6"/>
  <c r="B681" i="6"/>
  <c r="A681" i="6"/>
  <c r="F680" i="6"/>
  <c r="E680" i="6"/>
  <c r="D680" i="6"/>
  <c r="C680" i="6"/>
  <c r="B680" i="6"/>
  <c r="A680" i="6"/>
  <c r="F679" i="6"/>
  <c r="E679" i="6"/>
  <c r="D679" i="6"/>
  <c r="C679" i="6"/>
  <c r="B679" i="6"/>
  <c r="A679" i="6"/>
  <c r="F678" i="6"/>
  <c r="E678" i="6"/>
  <c r="D678" i="6"/>
  <c r="C678" i="6"/>
  <c r="B678" i="6"/>
  <c r="A678" i="6"/>
  <c r="F677" i="6"/>
  <c r="E677" i="6"/>
  <c r="D677" i="6"/>
  <c r="C677" i="6"/>
  <c r="B677" i="6"/>
  <c r="A677" i="6"/>
  <c r="F676" i="6"/>
  <c r="E676" i="6"/>
  <c r="D676" i="6"/>
  <c r="C676" i="6"/>
  <c r="B676" i="6"/>
  <c r="A676" i="6"/>
  <c r="F675" i="6"/>
  <c r="E675" i="6"/>
  <c r="D675" i="6"/>
  <c r="C675" i="6"/>
  <c r="B675" i="6"/>
  <c r="A675" i="6"/>
  <c r="F674" i="6"/>
  <c r="E674" i="6"/>
  <c r="D674" i="6"/>
  <c r="C674" i="6"/>
  <c r="B674" i="6"/>
  <c r="A674" i="6"/>
  <c r="F673" i="6"/>
  <c r="E673" i="6"/>
  <c r="D673" i="6"/>
  <c r="C673" i="6"/>
  <c r="B673" i="6"/>
  <c r="A673" i="6"/>
  <c r="F672" i="6"/>
  <c r="E672" i="6"/>
  <c r="D672" i="6"/>
  <c r="C672" i="6"/>
  <c r="B672" i="6"/>
  <c r="A672" i="6"/>
  <c r="F671" i="6"/>
  <c r="E671" i="6"/>
  <c r="D671" i="6"/>
  <c r="C671" i="6"/>
  <c r="B671" i="6"/>
  <c r="A671" i="6"/>
  <c r="F670" i="6"/>
  <c r="E670" i="6"/>
  <c r="D670" i="6"/>
  <c r="C670" i="6"/>
  <c r="B670" i="6"/>
  <c r="A670" i="6"/>
  <c r="F669" i="6"/>
  <c r="E669" i="6"/>
  <c r="D669" i="6"/>
  <c r="C669" i="6"/>
  <c r="B669" i="6"/>
  <c r="A669" i="6"/>
  <c r="F668" i="6"/>
  <c r="E668" i="6"/>
  <c r="D668" i="6"/>
  <c r="C668" i="6"/>
  <c r="B668" i="6"/>
  <c r="A668" i="6"/>
  <c r="F667" i="6"/>
  <c r="E667" i="6"/>
  <c r="D667" i="6"/>
  <c r="C667" i="6"/>
  <c r="B667" i="6"/>
  <c r="A667" i="6"/>
  <c r="F666" i="6"/>
  <c r="E666" i="6"/>
  <c r="D666" i="6"/>
  <c r="C666" i="6"/>
  <c r="B666" i="6"/>
  <c r="A666" i="6"/>
  <c r="F665" i="6"/>
  <c r="E665" i="6"/>
  <c r="D665" i="6"/>
  <c r="C665" i="6"/>
  <c r="B665" i="6"/>
  <c r="A665" i="6"/>
  <c r="F664" i="6"/>
  <c r="E664" i="6"/>
  <c r="D664" i="6"/>
  <c r="C664" i="6"/>
  <c r="B664" i="6"/>
  <c r="A664" i="6"/>
  <c r="F663" i="6"/>
  <c r="E663" i="6"/>
  <c r="D663" i="6"/>
  <c r="C663" i="6"/>
  <c r="B663" i="6"/>
  <c r="A663" i="6"/>
  <c r="F662" i="6"/>
  <c r="E662" i="6"/>
  <c r="D662" i="6"/>
  <c r="C662" i="6"/>
  <c r="B662" i="6"/>
  <c r="A662" i="6"/>
  <c r="F661" i="6"/>
  <c r="E661" i="6"/>
  <c r="D661" i="6"/>
  <c r="C661" i="6"/>
  <c r="B661" i="6"/>
  <c r="A661" i="6"/>
  <c r="F660" i="6"/>
  <c r="E660" i="6"/>
  <c r="D660" i="6"/>
  <c r="C660" i="6"/>
  <c r="B660" i="6"/>
  <c r="A660" i="6"/>
  <c r="F659" i="6"/>
  <c r="E659" i="6"/>
  <c r="D659" i="6"/>
  <c r="C659" i="6"/>
  <c r="B659" i="6"/>
  <c r="A659" i="6"/>
  <c r="F658" i="6"/>
  <c r="E658" i="6"/>
  <c r="D658" i="6"/>
  <c r="C658" i="6"/>
  <c r="B658" i="6"/>
  <c r="A658" i="6"/>
  <c r="F657" i="6"/>
  <c r="E657" i="6"/>
  <c r="D657" i="6"/>
  <c r="C657" i="6"/>
  <c r="B657" i="6"/>
  <c r="A657" i="6"/>
  <c r="F656" i="6"/>
  <c r="E656" i="6"/>
  <c r="D656" i="6"/>
  <c r="C656" i="6"/>
  <c r="B656" i="6"/>
  <c r="A656" i="6"/>
  <c r="F655" i="6"/>
  <c r="E655" i="6"/>
  <c r="D655" i="6"/>
  <c r="C655" i="6"/>
  <c r="B655" i="6"/>
  <c r="A655" i="6"/>
  <c r="F654" i="6"/>
  <c r="E654" i="6"/>
  <c r="D654" i="6"/>
  <c r="C654" i="6"/>
  <c r="B654" i="6"/>
  <c r="A654" i="6"/>
  <c r="F653" i="6"/>
  <c r="E653" i="6"/>
  <c r="D653" i="6"/>
  <c r="C653" i="6"/>
  <c r="B653" i="6"/>
  <c r="A653" i="6"/>
  <c r="F652" i="6"/>
  <c r="E652" i="6"/>
  <c r="D652" i="6"/>
  <c r="C652" i="6"/>
  <c r="B652" i="6"/>
  <c r="A652" i="6"/>
  <c r="F651" i="6"/>
  <c r="E651" i="6"/>
  <c r="D651" i="6"/>
  <c r="C651" i="6"/>
  <c r="B651" i="6"/>
  <c r="A651" i="6"/>
  <c r="F650" i="6"/>
  <c r="E650" i="6"/>
  <c r="D650" i="6"/>
  <c r="C650" i="6"/>
  <c r="B650" i="6"/>
  <c r="A650" i="6"/>
  <c r="F649" i="6"/>
  <c r="E649" i="6"/>
  <c r="D649" i="6"/>
  <c r="C649" i="6"/>
  <c r="B649" i="6"/>
  <c r="A649" i="6"/>
  <c r="F648" i="6"/>
  <c r="E648" i="6"/>
  <c r="D648" i="6"/>
  <c r="C648" i="6"/>
  <c r="B648" i="6"/>
  <c r="A648" i="6"/>
  <c r="F647" i="6"/>
  <c r="E647" i="6"/>
  <c r="D647" i="6"/>
  <c r="C647" i="6"/>
  <c r="B647" i="6"/>
  <c r="A647" i="6"/>
  <c r="F646" i="6"/>
  <c r="E646" i="6"/>
  <c r="D646" i="6"/>
  <c r="C646" i="6"/>
  <c r="B646" i="6"/>
  <c r="A646" i="6"/>
  <c r="F645" i="6"/>
  <c r="E645" i="6"/>
  <c r="D645" i="6"/>
  <c r="C645" i="6"/>
  <c r="B645" i="6"/>
  <c r="A645" i="6"/>
  <c r="F644" i="6"/>
  <c r="E644" i="6"/>
  <c r="D644" i="6"/>
  <c r="C644" i="6"/>
  <c r="B644" i="6"/>
  <c r="A644" i="6"/>
  <c r="F643" i="6"/>
  <c r="E643" i="6"/>
  <c r="D643" i="6"/>
  <c r="C643" i="6"/>
  <c r="B643" i="6"/>
  <c r="A643" i="6"/>
  <c r="F642" i="6"/>
  <c r="E642" i="6"/>
  <c r="D642" i="6"/>
  <c r="C642" i="6"/>
  <c r="B642" i="6"/>
  <c r="A642" i="6"/>
  <c r="F641" i="6"/>
  <c r="E641" i="6"/>
  <c r="D641" i="6"/>
  <c r="C641" i="6"/>
  <c r="B641" i="6"/>
  <c r="A641" i="6"/>
  <c r="F640" i="6"/>
  <c r="E640" i="6"/>
  <c r="D640" i="6"/>
  <c r="C640" i="6"/>
  <c r="B640" i="6"/>
  <c r="A640" i="6"/>
  <c r="F639" i="6"/>
  <c r="E639" i="6"/>
  <c r="D639" i="6"/>
  <c r="C639" i="6"/>
  <c r="B639" i="6"/>
  <c r="A639" i="6"/>
  <c r="F638" i="6"/>
  <c r="E638" i="6"/>
  <c r="D638" i="6"/>
  <c r="C638" i="6"/>
  <c r="B638" i="6"/>
  <c r="A638" i="6"/>
  <c r="F637" i="6"/>
  <c r="E637" i="6"/>
  <c r="D637" i="6"/>
  <c r="C637" i="6"/>
  <c r="B637" i="6"/>
  <c r="A637" i="6"/>
  <c r="F636" i="6"/>
  <c r="E636" i="6"/>
  <c r="D636" i="6"/>
  <c r="C636" i="6"/>
  <c r="B636" i="6"/>
  <c r="A636" i="6"/>
  <c r="F635" i="6"/>
  <c r="E635" i="6"/>
  <c r="D635" i="6"/>
  <c r="C635" i="6"/>
  <c r="B635" i="6"/>
  <c r="A635" i="6"/>
  <c r="F634" i="6"/>
  <c r="E634" i="6"/>
  <c r="D634" i="6"/>
  <c r="C634" i="6"/>
  <c r="B634" i="6"/>
  <c r="A634" i="6"/>
  <c r="F633" i="6"/>
  <c r="E633" i="6"/>
  <c r="D633" i="6"/>
  <c r="C633" i="6"/>
  <c r="B633" i="6"/>
  <c r="A633" i="6"/>
  <c r="F632" i="6"/>
  <c r="E632" i="6"/>
  <c r="D632" i="6"/>
  <c r="C632" i="6"/>
  <c r="B632" i="6"/>
  <c r="A632" i="6"/>
  <c r="F631" i="6"/>
  <c r="E631" i="6"/>
  <c r="D631" i="6"/>
  <c r="C631" i="6"/>
  <c r="B631" i="6"/>
  <c r="A631" i="6"/>
  <c r="F630" i="6"/>
  <c r="E630" i="6"/>
  <c r="D630" i="6"/>
  <c r="C630" i="6"/>
  <c r="B630" i="6"/>
  <c r="A630" i="6"/>
  <c r="F629" i="6"/>
  <c r="E629" i="6"/>
  <c r="D629" i="6"/>
  <c r="C629" i="6"/>
  <c r="B629" i="6"/>
  <c r="A629" i="6"/>
  <c r="F628" i="6"/>
  <c r="E628" i="6"/>
  <c r="D628" i="6"/>
  <c r="C628" i="6"/>
  <c r="B628" i="6"/>
  <c r="A628" i="6"/>
  <c r="F627" i="6"/>
  <c r="E627" i="6"/>
  <c r="D627" i="6"/>
  <c r="C627" i="6"/>
  <c r="B627" i="6"/>
  <c r="A627" i="6"/>
  <c r="F626" i="6"/>
  <c r="E626" i="6"/>
  <c r="D626" i="6"/>
  <c r="C626" i="6"/>
  <c r="B626" i="6"/>
  <c r="A626" i="6"/>
  <c r="F625" i="6"/>
  <c r="E625" i="6"/>
  <c r="D625" i="6"/>
  <c r="C625" i="6"/>
  <c r="B625" i="6"/>
  <c r="A625" i="6"/>
  <c r="F624" i="6"/>
  <c r="E624" i="6"/>
  <c r="D624" i="6"/>
  <c r="C624" i="6"/>
  <c r="B624" i="6"/>
  <c r="A624" i="6"/>
  <c r="F623" i="6"/>
  <c r="E623" i="6"/>
  <c r="D623" i="6"/>
  <c r="C623" i="6"/>
  <c r="B623" i="6"/>
  <c r="A623" i="6"/>
  <c r="F622" i="6"/>
  <c r="E622" i="6"/>
  <c r="D622" i="6"/>
  <c r="C622" i="6"/>
  <c r="B622" i="6"/>
  <c r="A622" i="6"/>
  <c r="F621" i="6"/>
  <c r="E621" i="6"/>
  <c r="D621" i="6"/>
  <c r="C621" i="6"/>
  <c r="B621" i="6"/>
  <c r="A621" i="6"/>
  <c r="F620" i="6"/>
  <c r="E620" i="6"/>
  <c r="D620" i="6"/>
  <c r="C620" i="6"/>
  <c r="B620" i="6"/>
  <c r="A620" i="6"/>
  <c r="F619" i="6"/>
  <c r="E619" i="6"/>
  <c r="D619" i="6"/>
  <c r="C619" i="6"/>
  <c r="B619" i="6"/>
  <c r="A619" i="6"/>
  <c r="F618" i="6"/>
  <c r="E618" i="6"/>
  <c r="D618" i="6"/>
  <c r="C618" i="6"/>
  <c r="B618" i="6"/>
  <c r="A618" i="6"/>
  <c r="F617" i="6"/>
  <c r="E617" i="6"/>
  <c r="D617" i="6"/>
  <c r="C617" i="6"/>
  <c r="B617" i="6"/>
  <c r="A617" i="6"/>
  <c r="F616" i="6"/>
  <c r="E616" i="6"/>
  <c r="D616" i="6"/>
  <c r="C616" i="6"/>
  <c r="B616" i="6"/>
  <c r="A616" i="6"/>
  <c r="F615" i="6"/>
  <c r="E615" i="6"/>
  <c r="D615" i="6"/>
  <c r="C615" i="6"/>
  <c r="B615" i="6"/>
  <c r="A615" i="6"/>
  <c r="F614" i="6"/>
  <c r="E614" i="6"/>
  <c r="D614" i="6"/>
  <c r="C614" i="6"/>
  <c r="B614" i="6"/>
  <c r="A614" i="6"/>
  <c r="F613" i="6"/>
  <c r="E613" i="6"/>
  <c r="D613" i="6"/>
  <c r="C613" i="6"/>
  <c r="B613" i="6"/>
  <c r="A613" i="6"/>
  <c r="F612" i="6"/>
  <c r="E612" i="6"/>
  <c r="D612" i="6"/>
  <c r="C612" i="6"/>
  <c r="B612" i="6"/>
  <c r="A612" i="6"/>
  <c r="F611" i="6"/>
  <c r="E611" i="6"/>
  <c r="D611" i="6"/>
  <c r="C611" i="6"/>
  <c r="B611" i="6"/>
  <c r="A611" i="6"/>
  <c r="F610" i="6"/>
  <c r="E610" i="6"/>
  <c r="D610" i="6"/>
  <c r="C610" i="6"/>
  <c r="B610" i="6"/>
  <c r="A610" i="6"/>
  <c r="F609" i="6"/>
  <c r="E609" i="6"/>
  <c r="D609" i="6"/>
  <c r="C609" i="6"/>
  <c r="B609" i="6"/>
  <c r="A609" i="6"/>
  <c r="F608" i="6"/>
  <c r="E608" i="6"/>
  <c r="D608" i="6"/>
  <c r="C608" i="6"/>
  <c r="B608" i="6"/>
  <c r="A608" i="6"/>
  <c r="F607" i="6"/>
  <c r="E607" i="6"/>
  <c r="D607" i="6"/>
  <c r="C607" i="6"/>
  <c r="B607" i="6"/>
  <c r="A607" i="6"/>
  <c r="F606" i="6"/>
  <c r="E606" i="6"/>
  <c r="D606" i="6"/>
  <c r="C606" i="6"/>
  <c r="B606" i="6"/>
  <c r="A606" i="6"/>
  <c r="F605" i="6"/>
  <c r="E605" i="6"/>
  <c r="D605" i="6"/>
  <c r="C605" i="6"/>
  <c r="B605" i="6"/>
  <c r="A605" i="6"/>
  <c r="F604" i="6"/>
  <c r="E604" i="6"/>
  <c r="D604" i="6"/>
  <c r="C604" i="6"/>
  <c r="B604" i="6"/>
  <c r="A604" i="6"/>
  <c r="F603" i="6"/>
  <c r="E603" i="6"/>
  <c r="D603" i="6"/>
  <c r="C603" i="6"/>
  <c r="B603" i="6"/>
  <c r="A603" i="6"/>
  <c r="F602" i="6"/>
  <c r="E602" i="6"/>
  <c r="D602" i="6"/>
  <c r="C602" i="6"/>
  <c r="B602" i="6"/>
  <c r="A602" i="6"/>
  <c r="F601" i="6"/>
  <c r="E601" i="6"/>
  <c r="D601" i="6"/>
  <c r="C601" i="6"/>
  <c r="B601" i="6"/>
  <c r="A601" i="6"/>
  <c r="F600" i="6"/>
  <c r="E600" i="6"/>
  <c r="D600" i="6"/>
  <c r="C600" i="6"/>
  <c r="B600" i="6"/>
  <c r="A600" i="6"/>
  <c r="F599" i="6"/>
  <c r="E599" i="6"/>
  <c r="D599" i="6"/>
  <c r="C599" i="6"/>
  <c r="B599" i="6"/>
  <c r="A599" i="6"/>
  <c r="F598" i="6"/>
  <c r="E598" i="6"/>
  <c r="D598" i="6"/>
  <c r="C598" i="6"/>
  <c r="B598" i="6"/>
  <c r="A598" i="6"/>
  <c r="F597" i="6"/>
  <c r="E597" i="6"/>
  <c r="D597" i="6"/>
  <c r="C597" i="6"/>
  <c r="B597" i="6"/>
  <c r="A597" i="6"/>
  <c r="F596" i="6"/>
  <c r="E596" i="6"/>
  <c r="D596" i="6"/>
  <c r="C596" i="6"/>
  <c r="B596" i="6"/>
  <c r="A596" i="6"/>
  <c r="F595" i="6"/>
  <c r="E595" i="6"/>
  <c r="D595" i="6"/>
  <c r="C595" i="6"/>
  <c r="B595" i="6"/>
  <c r="A595" i="6"/>
  <c r="F594" i="6"/>
  <c r="E594" i="6"/>
  <c r="D594" i="6"/>
  <c r="C594" i="6"/>
  <c r="B594" i="6"/>
  <c r="A594" i="6"/>
  <c r="F593" i="6"/>
  <c r="E593" i="6"/>
  <c r="D593" i="6"/>
  <c r="C593" i="6"/>
  <c r="B593" i="6"/>
  <c r="A593" i="6"/>
  <c r="F592" i="6"/>
  <c r="E592" i="6"/>
  <c r="D592" i="6"/>
  <c r="C592" i="6"/>
  <c r="B592" i="6"/>
  <c r="A592" i="6"/>
  <c r="F591" i="6"/>
  <c r="E591" i="6"/>
  <c r="D591" i="6"/>
  <c r="C591" i="6"/>
  <c r="B591" i="6"/>
  <c r="A591" i="6"/>
  <c r="F590" i="6"/>
  <c r="E590" i="6"/>
  <c r="D590" i="6"/>
  <c r="C590" i="6"/>
  <c r="B590" i="6"/>
  <c r="A590" i="6"/>
  <c r="F589" i="6"/>
  <c r="E589" i="6"/>
  <c r="D589" i="6"/>
  <c r="C589" i="6"/>
  <c r="B589" i="6"/>
  <c r="A589" i="6"/>
  <c r="F588" i="6"/>
  <c r="E588" i="6"/>
  <c r="D588" i="6"/>
  <c r="C588" i="6"/>
  <c r="B588" i="6"/>
  <c r="A588" i="6"/>
  <c r="F587" i="6"/>
  <c r="E587" i="6"/>
  <c r="D587" i="6"/>
  <c r="C587" i="6"/>
  <c r="B587" i="6"/>
  <c r="A587" i="6"/>
  <c r="F586" i="6"/>
  <c r="E586" i="6"/>
  <c r="D586" i="6"/>
  <c r="C586" i="6"/>
  <c r="B586" i="6"/>
  <c r="A586" i="6"/>
  <c r="F585" i="6"/>
  <c r="E585" i="6"/>
  <c r="D585" i="6"/>
  <c r="C585" i="6"/>
  <c r="B585" i="6"/>
  <c r="A585" i="6"/>
  <c r="F584" i="6"/>
  <c r="E584" i="6"/>
  <c r="D584" i="6"/>
  <c r="C584" i="6"/>
  <c r="B584" i="6"/>
  <c r="A584" i="6"/>
  <c r="F583" i="6"/>
  <c r="E583" i="6"/>
  <c r="D583" i="6"/>
  <c r="C583" i="6"/>
  <c r="B583" i="6"/>
  <c r="A583" i="6"/>
  <c r="F582" i="6"/>
  <c r="E582" i="6"/>
  <c r="D582" i="6"/>
  <c r="C582" i="6"/>
  <c r="B582" i="6"/>
  <c r="A582" i="6"/>
  <c r="F581" i="6"/>
  <c r="E581" i="6"/>
  <c r="D581" i="6"/>
  <c r="C581" i="6"/>
  <c r="B581" i="6"/>
  <c r="A581" i="6"/>
  <c r="F580" i="6"/>
  <c r="E580" i="6"/>
  <c r="D580" i="6"/>
  <c r="C580" i="6"/>
  <c r="B580" i="6"/>
  <c r="A580" i="6"/>
  <c r="F579" i="6"/>
  <c r="E579" i="6"/>
  <c r="D579" i="6"/>
  <c r="C579" i="6"/>
  <c r="B579" i="6"/>
  <c r="A579" i="6"/>
  <c r="F578" i="6"/>
  <c r="E578" i="6"/>
  <c r="D578" i="6"/>
  <c r="C578" i="6"/>
  <c r="B578" i="6"/>
  <c r="A578" i="6"/>
  <c r="F577" i="6"/>
  <c r="E577" i="6"/>
  <c r="D577" i="6"/>
  <c r="C577" i="6"/>
  <c r="B577" i="6"/>
  <c r="A577" i="6"/>
  <c r="F576" i="6"/>
  <c r="E576" i="6"/>
  <c r="D576" i="6"/>
  <c r="C576" i="6"/>
  <c r="B576" i="6"/>
  <c r="A576" i="6"/>
  <c r="F575" i="6"/>
  <c r="E575" i="6"/>
  <c r="D575" i="6"/>
  <c r="C575" i="6"/>
  <c r="B575" i="6"/>
  <c r="A575" i="6"/>
  <c r="F574" i="6"/>
  <c r="E574" i="6"/>
  <c r="D574" i="6"/>
  <c r="C574" i="6"/>
  <c r="B574" i="6"/>
  <c r="A574" i="6"/>
  <c r="F573" i="6"/>
  <c r="E573" i="6"/>
  <c r="D573" i="6"/>
  <c r="C573" i="6"/>
  <c r="B573" i="6"/>
  <c r="A573" i="6"/>
  <c r="F572" i="6"/>
  <c r="E572" i="6"/>
  <c r="D572" i="6"/>
  <c r="C572" i="6"/>
  <c r="B572" i="6"/>
  <c r="A572" i="6"/>
  <c r="F571" i="6"/>
  <c r="E571" i="6"/>
  <c r="D571" i="6"/>
  <c r="C571" i="6"/>
  <c r="B571" i="6"/>
  <c r="A571" i="6"/>
  <c r="F570" i="6"/>
  <c r="E570" i="6"/>
  <c r="D570" i="6"/>
  <c r="C570" i="6"/>
  <c r="B570" i="6"/>
  <c r="A570" i="6"/>
  <c r="F569" i="6"/>
  <c r="E569" i="6"/>
  <c r="D569" i="6"/>
  <c r="C569" i="6"/>
  <c r="B569" i="6"/>
  <c r="A569" i="6"/>
  <c r="F568" i="6"/>
  <c r="E568" i="6"/>
  <c r="D568" i="6"/>
  <c r="C568" i="6"/>
  <c r="B568" i="6"/>
  <c r="A568" i="6"/>
  <c r="F567" i="6"/>
  <c r="E567" i="6"/>
  <c r="D567" i="6"/>
  <c r="C567" i="6"/>
  <c r="B567" i="6"/>
  <c r="A567" i="6"/>
  <c r="F566" i="6"/>
  <c r="E566" i="6"/>
  <c r="D566" i="6"/>
  <c r="C566" i="6"/>
  <c r="B566" i="6"/>
  <c r="A566" i="6"/>
  <c r="F565" i="6"/>
  <c r="E565" i="6"/>
  <c r="D565" i="6"/>
  <c r="C565" i="6"/>
  <c r="B565" i="6"/>
  <c r="A565" i="6"/>
  <c r="F564" i="6"/>
  <c r="E564" i="6"/>
  <c r="D564" i="6"/>
  <c r="C564" i="6"/>
  <c r="B564" i="6"/>
  <c r="A564" i="6"/>
  <c r="F563" i="6"/>
  <c r="E563" i="6"/>
  <c r="D563" i="6"/>
  <c r="C563" i="6"/>
  <c r="B563" i="6"/>
  <c r="A563" i="6"/>
  <c r="F562" i="6"/>
  <c r="E562" i="6"/>
  <c r="D562" i="6"/>
  <c r="C562" i="6"/>
  <c r="B562" i="6"/>
  <c r="A562" i="6"/>
  <c r="F561" i="6"/>
  <c r="E561" i="6"/>
  <c r="D561" i="6"/>
  <c r="C561" i="6"/>
  <c r="B561" i="6"/>
  <c r="A561" i="6"/>
  <c r="F560" i="6"/>
  <c r="E560" i="6"/>
  <c r="D560" i="6"/>
  <c r="C560" i="6"/>
  <c r="B560" i="6"/>
  <c r="A560" i="6"/>
  <c r="F559" i="6"/>
  <c r="E559" i="6"/>
  <c r="D559" i="6"/>
  <c r="C559" i="6"/>
  <c r="B559" i="6"/>
  <c r="A559" i="6"/>
  <c r="F558" i="6"/>
  <c r="E558" i="6"/>
  <c r="D558" i="6"/>
  <c r="C558" i="6"/>
  <c r="B558" i="6"/>
  <c r="A558" i="6"/>
  <c r="F557" i="6"/>
  <c r="E557" i="6"/>
  <c r="D557" i="6"/>
  <c r="C557" i="6"/>
  <c r="B557" i="6"/>
  <c r="A557" i="6"/>
  <c r="F556" i="6"/>
  <c r="E556" i="6"/>
  <c r="D556" i="6"/>
  <c r="C556" i="6"/>
  <c r="B556" i="6"/>
  <c r="A556" i="6"/>
  <c r="F555" i="6"/>
  <c r="E555" i="6"/>
  <c r="D555" i="6"/>
  <c r="C555" i="6"/>
  <c r="B555" i="6"/>
  <c r="A555" i="6"/>
  <c r="F554" i="6"/>
  <c r="E554" i="6"/>
  <c r="D554" i="6"/>
  <c r="C554" i="6"/>
  <c r="B554" i="6"/>
  <c r="A554" i="6"/>
  <c r="F553" i="6"/>
  <c r="E553" i="6"/>
  <c r="D553" i="6"/>
  <c r="C553" i="6"/>
  <c r="B553" i="6"/>
  <c r="A553" i="6"/>
  <c r="F552" i="6"/>
  <c r="E552" i="6"/>
  <c r="D552" i="6"/>
  <c r="C552" i="6"/>
  <c r="B552" i="6"/>
  <c r="A552" i="6"/>
  <c r="F551" i="6"/>
  <c r="E551" i="6"/>
  <c r="D551" i="6"/>
  <c r="C551" i="6"/>
  <c r="B551" i="6"/>
  <c r="A551" i="6"/>
  <c r="F550" i="6"/>
  <c r="E550" i="6"/>
  <c r="D550" i="6"/>
  <c r="C550" i="6"/>
  <c r="B550" i="6"/>
  <c r="A550" i="6"/>
  <c r="F549" i="6"/>
  <c r="E549" i="6"/>
  <c r="D549" i="6"/>
  <c r="C549" i="6"/>
  <c r="B549" i="6"/>
  <c r="A549" i="6"/>
  <c r="F548" i="6"/>
  <c r="E548" i="6"/>
  <c r="D548" i="6"/>
  <c r="C548" i="6"/>
  <c r="B548" i="6"/>
  <c r="A548" i="6"/>
  <c r="F547" i="6"/>
  <c r="E547" i="6"/>
  <c r="D547" i="6"/>
  <c r="C547" i="6"/>
  <c r="B547" i="6"/>
  <c r="A547" i="6"/>
  <c r="F546" i="6"/>
  <c r="E546" i="6"/>
  <c r="D546" i="6"/>
  <c r="C546" i="6"/>
  <c r="B546" i="6"/>
  <c r="A546" i="6"/>
  <c r="F545" i="6"/>
  <c r="E545" i="6"/>
  <c r="D545" i="6"/>
  <c r="C545" i="6"/>
  <c r="B545" i="6"/>
  <c r="A545" i="6"/>
  <c r="F544" i="6"/>
  <c r="E544" i="6"/>
  <c r="D544" i="6"/>
  <c r="C544" i="6"/>
  <c r="B544" i="6"/>
  <c r="A544" i="6"/>
  <c r="F543" i="6"/>
  <c r="E543" i="6"/>
  <c r="D543" i="6"/>
  <c r="C543" i="6"/>
  <c r="B543" i="6"/>
  <c r="A543" i="6"/>
  <c r="F542" i="6"/>
  <c r="E542" i="6"/>
  <c r="D542" i="6"/>
  <c r="C542" i="6"/>
  <c r="B542" i="6"/>
  <c r="A542" i="6"/>
  <c r="F541" i="6"/>
  <c r="E541" i="6"/>
  <c r="D541" i="6"/>
  <c r="C541" i="6"/>
  <c r="B541" i="6"/>
  <c r="A541" i="6"/>
  <c r="F540" i="6"/>
  <c r="E540" i="6"/>
  <c r="D540" i="6"/>
  <c r="C540" i="6"/>
  <c r="B540" i="6"/>
  <c r="A540" i="6"/>
  <c r="F539" i="6"/>
  <c r="E539" i="6"/>
  <c r="D539" i="6"/>
  <c r="C539" i="6"/>
  <c r="B539" i="6"/>
  <c r="A539" i="6"/>
  <c r="F538" i="6"/>
  <c r="E538" i="6"/>
  <c r="D538" i="6"/>
  <c r="C538" i="6"/>
  <c r="B538" i="6"/>
  <c r="A538" i="6"/>
  <c r="F537" i="6"/>
  <c r="E537" i="6"/>
  <c r="D537" i="6"/>
  <c r="C537" i="6"/>
  <c r="B537" i="6"/>
  <c r="A537" i="6"/>
  <c r="F536" i="6"/>
  <c r="E536" i="6"/>
  <c r="D536" i="6"/>
  <c r="C536" i="6"/>
  <c r="B536" i="6"/>
  <c r="A536" i="6"/>
  <c r="F535" i="6"/>
  <c r="E535" i="6"/>
  <c r="D535" i="6"/>
  <c r="C535" i="6"/>
  <c r="B535" i="6"/>
  <c r="A535" i="6"/>
  <c r="F534" i="6"/>
  <c r="E534" i="6"/>
  <c r="D534" i="6"/>
  <c r="C534" i="6"/>
  <c r="B534" i="6"/>
  <c r="A534" i="6"/>
  <c r="F533" i="6"/>
  <c r="E533" i="6"/>
  <c r="D533" i="6"/>
  <c r="C533" i="6"/>
  <c r="B533" i="6"/>
  <c r="A533" i="6"/>
  <c r="F532" i="6"/>
  <c r="E532" i="6"/>
  <c r="D532" i="6"/>
  <c r="C532" i="6"/>
  <c r="B532" i="6"/>
  <c r="A532" i="6"/>
  <c r="F531" i="6"/>
  <c r="E531" i="6"/>
  <c r="D531" i="6"/>
  <c r="C531" i="6"/>
  <c r="B531" i="6"/>
  <c r="A531" i="6"/>
  <c r="F530" i="6"/>
  <c r="E530" i="6"/>
  <c r="D530" i="6"/>
  <c r="C530" i="6"/>
  <c r="B530" i="6"/>
  <c r="A530" i="6"/>
  <c r="F529" i="6"/>
  <c r="E529" i="6"/>
  <c r="D529" i="6"/>
  <c r="C529" i="6"/>
  <c r="B529" i="6"/>
  <c r="A529" i="6"/>
  <c r="F528" i="6"/>
  <c r="E528" i="6"/>
  <c r="D528" i="6"/>
  <c r="C528" i="6"/>
  <c r="B528" i="6"/>
  <c r="A528" i="6"/>
  <c r="F527" i="6"/>
  <c r="E527" i="6"/>
  <c r="D527" i="6"/>
  <c r="C527" i="6"/>
  <c r="B527" i="6"/>
  <c r="A527" i="6"/>
  <c r="F526" i="6"/>
  <c r="E526" i="6"/>
  <c r="D526" i="6"/>
  <c r="C526" i="6"/>
  <c r="B526" i="6"/>
  <c r="A526" i="6"/>
  <c r="F525" i="6"/>
  <c r="E525" i="6"/>
  <c r="D525" i="6"/>
  <c r="C525" i="6"/>
  <c r="B525" i="6"/>
  <c r="A525" i="6"/>
  <c r="F524" i="6"/>
  <c r="E524" i="6"/>
  <c r="D524" i="6"/>
  <c r="C524" i="6"/>
  <c r="B524" i="6"/>
  <c r="A524" i="6"/>
  <c r="F523" i="6"/>
  <c r="E523" i="6"/>
  <c r="D523" i="6"/>
  <c r="C523" i="6"/>
  <c r="B523" i="6"/>
  <c r="A523" i="6"/>
  <c r="F522" i="6"/>
  <c r="E522" i="6"/>
  <c r="D522" i="6"/>
  <c r="C522" i="6"/>
  <c r="B522" i="6"/>
  <c r="A522" i="6"/>
  <c r="F521" i="6"/>
  <c r="E521" i="6"/>
  <c r="D521" i="6"/>
  <c r="C521" i="6"/>
  <c r="B521" i="6"/>
  <c r="A521" i="6"/>
  <c r="F520" i="6"/>
  <c r="E520" i="6"/>
  <c r="D520" i="6"/>
  <c r="C520" i="6"/>
  <c r="B520" i="6"/>
  <c r="A520" i="6"/>
  <c r="F519" i="6"/>
  <c r="E519" i="6"/>
  <c r="D519" i="6"/>
  <c r="C519" i="6"/>
  <c r="B519" i="6"/>
  <c r="A519" i="6"/>
  <c r="F518" i="6"/>
  <c r="E518" i="6"/>
  <c r="D518" i="6"/>
  <c r="C518" i="6"/>
  <c r="B518" i="6"/>
  <c r="A518" i="6"/>
  <c r="F517" i="6"/>
  <c r="E517" i="6"/>
  <c r="D517" i="6"/>
  <c r="C517" i="6"/>
  <c r="B517" i="6"/>
  <c r="A517" i="6"/>
  <c r="F516" i="6"/>
  <c r="E516" i="6"/>
  <c r="D516" i="6"/>
  <c r="C516" i="6"/>
  <c r="B516" i="6"/>
  <c r="A516" i="6"/>
  <c r="F515" i="6"/>
  <c r="E515" i="6"/>
  <c r="D515" i="6"/>
  <c r="C515" i="6"/>
  <c r="B515" i="6"/>
  <c r="A515" i="6"/>
  <c r="F514" i="6"/>
  <c r="E514" i="6"/>
  <c r="D514" i="6"/>
  <c r="C514" i="6"/>
  <c r="B514" i="6"/>
  <c r="A514" i="6"/>
  <c r="F513" i="6"/>
  <c r="E513" i="6"/>
  <c r="D513" i="6"/>
  <c r="C513" i="6"/>
  <c r="B513" i="6"/>
  <c r="A513" i="6"/>
  <c r="F512" i="6"/>
  <c r="E512" i="6"/>
  <c r="D512" i="6"/>
  <c r="C512" i="6"/>
  <c r="B512" i="6"/>
  <c r="A512" i="6"/>
  <c r="F511" i="6"/>
  <c r="E511" i="6"/>
  <c r="D511" i="6"/>
  <c r="C511" i="6"/>
  <c r="B511" i="6"/>
  <c r="A511" i="6"/>
  <c r="F510" i="6"/>
  <c r="E510" i="6"/>
  <c r="D510" i="6"/>
  <c r="C510" i="6"/>
  <c r="B510" i="6"/>
  <c r="A510" i="6"/>
  <c r="F509" i="6"/>
  <c r="E509" i="6"/>
  <c r="D509" i="6"/>
  <c r="C509" i="6"/>
  <c r="B509" i="6"/>
  <c r="A509" i="6"/>
  <c r="F508" i="6"/>
  <c r="E508" i="6"/>
  <c r="D508" i="6"/>
  <c r="C508" i="6"/>
  <c r="B508" i="6"/>
  <c r="A508" i="6"/>
  <c r="F507" i="6"/>
  <c r="E507" i="6"/>
  <c r="D507" i="6"/>
  <c r="C507" i="6"/>
  <c r="B507" i="6"/>
  <c r="A507" i="6"/>
  <c r="F506" i="6"/>
  <c r="E506" i="6"/>
  <c r="D506" i="6"/>
  <c r="C506" i="6"/>
  <c r="B506" i="6"/>
  <c r="A506" i="6"/>
  <c r="F505" i="6"/>
  <c r="E505" i="6"/>
  <c r="D505" i="6"/>
  <c r="C505" i="6"/>
  <c r="B505" i="6"/>
  <c r="A505" i="6"/>
  <c r="F504" i="6"/>
  <c r="E504" i="6"/>
  <c r="D504" i="6"/>
  <c r="C504" i="6"/>
  <c r="B504" i="6"/>
  <c r="A504" i="6"/>
  <c r="F503" i="6"/>
  <c r="E503" i="6"/>
  <c r="D503" i="6"/>
  <c r="C503" i="6"/>
  <c r="B503" i="6"/>
  <c r="A503" i="6"/>
  <c r="F502" i="6"/>
  <c r="E502" i="6"/>
  <c r="D502" i="6"/>
  <c r="C502" i="6"/>
  <c r="B502" i="6"/>
  <c r="A502" i="6"/>
  <c r="F501" i="6"/>
  <c r="E501" i="6"/>
  <c r="D501" i="6"/>
  <c r="C501" i="6"/>
  <c r="B501" i="6"/>
  <c r="A501" i="6"/>
  <c r="F500" i="6"/>
  <c r="E500" i="6"/>
  <c r="D500" i="6"/>
  <c r="C500" i="6"/>
  <c r="B500" i="6"/>
  <c r="A500" i="6"/>
  <c r="F499" i="6"/>
  <c r="E499" i="6"/>
  <c r="D499" i="6"/>
  <c r="C499" i="6"/>
  <c r="B499" i="6"/>
  <c r="A499" i="6"/>
  <c r="F498" i="6"/>
  <c r="E498" i="6"/>
  <c r="D498" i="6"/>
  <c r="C498" i="6"/>
  <c r="B498" i="6"/>
  <c r="A498" i="6"/>
  <c r="F497" i="6"/>
  <c r="E497" i="6"/>
  <c r="D497" i="6"/>
  <c r="C497" i="6"/>
  <c r="B497" i="6"/>
  <c r="A497" i="6"/>
  <c r="F496" i="6"/>
  <c r="E496" i="6"/>
  <c r="D496" i="6"/>
  <c r="C496" i="6"/>
  <c r="B496" i="6"/>
  <c r="A496" i="6"/>
  <c r="F495" i="6"/>
  <c r="E495" i="6"/>
  <c r="D495" i="6"/>
  <c r="C495" i="6"/>
  <c r="B495" i="6"/>
  <c r="A495" i="6"/>
  <c r="F494" i="6"/>
  <c r="E494" i="6"/>
  <c r="D494" i="6"/>
  <c r="C494" i="6"/>
  <c r="B494" i="6"/>
  <c r="A494" i="6"/>
  <c r="F493" i="6"/>
  <c r="E493" i="6"/>
  <c r="D493" i="6"/>
  <c r="C493" i="6"/>
  <c r="B493" i="6"/>
  <c r="A493" i="6"/>
  <c r="F492" i="6"/>
  <c r="E492" i="6"/>
  <c r="D492" i="6"/>
  <c r="C492" i="6"/>
  <c r="B492" i="6"/>
  <c r="A492" i="6"/>
  <c r="F491" i="6"/>
  <c r="E491" i="6"/>
  <c r="D491" i="6"/>
  <c r="C491" i="6"/>
  <c r="B491" i="6"/>
  <c r="A491" i="6"/>
  <c r="F490" i="6"/>
  <c r="E490" i="6"/>
  <c r="D490" i="6"/>
  <c r="C490" i="6"/>
  <c r="B490" i="6"/>
  <c r="A490" i="6"/>
  <c r="F489" i="6"/>
  <c r="E489" i="6"/>
  <c r="D489" i="6"/>
  <c r="C489" i="6"/>
  <c r="B489" i="6"/>
  <c r="A489" i="6"/>
  <c r="F488" i="6"/>
  <c r="E488" i="6"/>
  <c r="D488" i="6"/>
  <c r="C488" i="6"/>
  <c r="B488" i="6"/>
  <c r="A488" i="6"/>
  <c r="F487" i="6"/>
  <c r="E487" i="6"/>
  <c r="D487" i="6"/>
  <c r="C487" i="6"/>
  <c r="B487" i="6"/>
  <c r="A487" i="6"/>
  <c r="F486" i="6"/>
  <c r="E486" i="6"/>
  <c r="D486" i="6"/>
  <c r="C486" i="6"/>
  <c r="B486" i="6"/>
  <c r="A486" i="6"/>
  <c r="F485" i="6"/>
  <c r="E485" i="6"/>
  <c r="D485" i="6"/>
  <c r="C485" i="6"/>
  <c r="B485" i="6"/>
  <c r="A485" i="6"/>
  <c r="F484" i="6"/>
  <c r="E484" i="6"/>
  <c r="D484" i="6"/>
  <c r="C484" i="6"/>
  <c r="B484" i="6"/>
  <c r="A484" i="6"/>
  <c r="F483" i="6"/>
  <c r="E483" i="6"/>
  <c r="D483" i="6"/>
  <c r="C483" i="6"/>
  <c r="B483" i="6"/>
  <c r="A483" i="6"/>
  <c r="F482" i="6"/>
  <c r="E482" i="6"/>
  <c r="D482" i="6"/>
  <c r="C482" i="6"/>
  <c r="B482" i="6"/>
  <c r="A482" i="6"/>
  <c r="F481" i="6"/>
  <c r="E481" i="6"/>
  <c r="D481" i="6"/>
  <c r="C481" i="6"/>
  <c r="B481" i="6"/>
  <c r="A481" i="6"/>
  <c r="F480" i="6"/>
  <c r="E480" i="6"/>
  <c r="D480" i="6"/>
  <c r="C480" i="6"/>
  <c r="B480" i="6"/>
  <c r="A480" i="6"/>
  <c r="F479" i="6"/>
  <c r="E479" i="6"/>
  <c r="D479" i="6"/>
  <c r="C479" i="6"/>
  <c r="B479" i="6"/>
  <c r="A479" i="6"/>
  <c r="F478" i="6"/>
  <c r="E478" i="6"/>
  <c r="D478" i="6"/>
  <c r="C478" i="6"/>
  <c r="B478" i="6"/>
  <c r="A478" i="6"/>
  <c r="F477" i="6"/>
  <c r="E477" i="6"/>
  <c r="D477" i="6"/>
  <c r="C477" i="6"/>
  <c r="B477" i="6"/>
  <c r="A477" i="6"/>
  <c r="F476" i="6"/>
  <c r="E476" i="6"/>
  <c r="D476" i="6"/>
  <c r="C476" i="6"/>
  <c r="B476" i="6"/>
  <c r="A476" i="6"/>
  <c r="F475" i="6"/>
  <c r="E475" i="6"/>
  <c r="D475" i="6"/>
  <c r="C475" i="6"/>
  <c r="B475" i="6"/>
  <c r="A475" i="6"/>
  <c r="F474" i="6"/>
  <c r="E474" i="6"/>
  <c r="D474" i="6"/>
  <c r="C474" i="6"/>
  <c r="B474" i="6"/>
  <c r="A474" i="6"/>
  <c r="F473" i="6"/>
  <c r="E473" i="6"/>
  <c r="D473" i="6"/>
  <c r="C473" i="6"/>
  <c r="B473" i="6"/>
  <c r="A473" i="6"/>
  <c r="F472" i="6"/>
  <c r="E472" i="6"/>
  <c r="D472" i="6"/>
  <c r="C472" i="6"/>
  <c r="B472" i="6"/>
  <c r="A472" i="6"/>
  <c r="F471" i="6"/>
  <c r="E471" i="6"/>
  <c r="D471" i="6"/>
  <c r="C471" i="6"/>
  <c r="B471" i="6"/>
  <c r="A471" i="6"/>
  <c r="F470" i="6"/>
  <c r="E470" i="6"/>
  <c r="D470" i="6"/>
  <c r="C470" i="6"/>
  <c r="B470" i="6"/>
  <c r="A470" i="6"/>
  <c r="F469" i="6"/>
  <c r="E469" i="6"/>
  <c r="D469" i="6"/>
  <c r="C469" i="6"/>
  <c r="B469" i="6"/>
  <c r="A469" i="6"/>
  <c r="F468" i="6"/>
  <c r="E468" i="6"/>
  <c r="D468" i="6"/>
  <c r="C468" i="6"/>
  <c r="B468" i="6"/>
  <c r="A468" i="6"/>
  <c r="F467" i="6"/>
  <c r="E467" i="6"/>
  <c r="D467" i="6"/>
  <c r="C467" i="6"/>
  <c r="B467" i="6"/>
  <c r="A467" i="6"/>
  <c r="F466" i="6"/>
  <c r="E466" i="6"/>
  <c r="D466" i="6"/>
  <c r="C466" i="6"/>
  <c r="B466" i="6"/>
  <c r="A466" i="6"/>
  <c r="F465" i="6"/>
  <c r="E465" i="6"/>
  <c r="D465" i="6"/>
  <c r="C465" i="6"/>
  <c r="B465" i="6"/>
  <c r="A465" i="6"/>
  <c r="F464" i="6"/>
  <c r="E464" i="6"/>
  <c r="D464" i="6"/>
  <c r="C464" i="6"/>
  <c r="B464" i="6"/>
  <c r="A464" i="6"/>
  <c r="F463" i="6"/>
  <c r="E463" i="6"/>
  <c r="D463" i="6"/>
  <c r="C463" i="6"/>
  <c r="B463" i="6"/>
  <c r="A463" i="6"/>
  <c r="F462" i="6"/>
  <c r="E462" i="6"/>
  <c r="D462" i="6"/>
  <c r="C462" i="6"/>
  <c r="B462" i="6"/>
  <c r="A462" i="6"/>
  <c r="F461" i="6"/>
  <c r="E461" i="6"/>
  <c r="D461" i="6"/>
  <c r="C461" i="6"/>
  <c r="B461" i="6"/>
  <c r="A461" i="6"/>
  <c r="F460" i="6"/>
  <c r="E460" i="6"/>
  <c r="D460" i="6"/>
  <c r="C460" i="6"/>
  <c r="B460" i="6"/>
  <c r="A460" i="6"/>
  <c r="F459" i="6"/>
  <c r="E459" i="6"/>
  <c r="D459" i="6"/>
  <c r="C459" i="6"/>
  <c r="B459" i="6"/>
  <c r="A459" i="6"/>
  <c r="F458" i="6"/>
  <c r="E458" i="6"/>
  <c r="D458" i="6"/>
  <c r="C458" i="6"/>
  <c r="B458" i="6"/>
  <c r="A458" i="6"/>
  <c r="F457" i="6"/>
  <c r="E457" i="6"/>
  <c r="D457" i="6"/>
  <c r="C457" i="6"/>
  <c r="B457" i="6"/>
  <c r="A457" i="6"/>
  <c r="F456" i="6"/>
  <c r="E456" i="6"/>
  <c r="D456" i="6"/>
  <c r="C456" i="6"/>
  <c r="B456" i="6"/>
  <c r="A456" i="6"/>
  <c r="F455" i="6"/>
  <c r="E455" i="6"/>
  <c r="D455" i="6"/>
  <c r="C455" i="6"/>
  <c r="B455" i="6"/>
  <c r="A455" i="6"/>
  <c r="F454" i="6"/>
  <c r="E454" i="6"/>
  <c r="D454" i="6"/>
  <c r="C454" i="6"/>
  <c r="B454" i="6"/>
  <c r="A454" i="6"/>
  <c r="F453" i="6"/>
  <c r="E453" i="6"/>
  <c r="D453" i="6"/>
  <c r="C453" i="6"/>
  <c r="B453" i="6"/>
  <c r="A453" i="6"/>
  <c r="F452" i="6"/>
  <c r="E452" i="6"/>
  <c r="D452" i="6"/>
  <c r="C452" i="6"/>
  <c r="B452" i="6"/>
  <c r="A452" i="6"/>
  <c r="F451" i="6"/>
  <c r="E451" i="6"/>
  <c r="D451" i="6"/>
  <c r="C451" i="6"/>
  <c r="B451" i="6"/>
  <c r="A451" i="6"/>
  <c r="F450" i="6"/>
  <c r="E450" i="6"/>
  <c r="D450" i="6"/>
  <c r="C450" i="6"/>
  <c r="B450" i="6"/>
  <c r="A450" i="6"/>
  <c r="F449" i="6"/>
  <c r="E449" i="6"/>
  <c r="D449" i="6"/>
  <c r="C449" i="6"/>
  <c r="B449" i="6"/>
  <c r="A449" i="6"/>
  <c r="F448" i="6"/>
  <c r="E448" i="6"/>
  <c r="D448" i="6"/>
  <c r="C448" i="6"/>
  <c r="B448" i="6"/>
  <c r="A448" i="6"/>
  <c r="F447" i="6"/>
  <c r="E447" i="6"/>
  <c r="D447" i="6"/>
  <c r="C447" i="6"/>
  <c r="B447" i="6"/>
  <c r="A447" i="6"/>
  <c r="F446" i="6"/>
  <c r="E446" i="6"/>
  <c r="D446" i="6"/>
  <c r="C446" i="6"/>
  <c r="B446" i="6"/>
  <c r="A446" i="6"/>
  <c r="F445" i="6"/>
  <c r="E445" i="6"/>
  <c r="D445" i="6"/>
  <c r="C445" i="6"/>
  <c r="B445" i="6"/>
  <c r="A445" i="6"/>
  <c r="F444" i="6"/>
  <c r="E444" i="6"/>
  <c r="D444" i="6"/>
  <c r="C444" i="6"/>
  <c r="B444" i="6"/>
  <c r="A444" i="6"/>
  <c r="F443" i="6"/>
  <c r="E443" i="6"/>
  <c r="D443" i="6"/>
  <c r="C443" i="6"/>
  <c r="B443" i="6"/>
  <c r="A443" i="6"/>
  <c r="F442" i="6"/>
  <c r="E442" i="6"/>
  <c r="D442" i="6"/>
  <c r="C442" i="6"/>
  <c r="B442" i="6"/>
  <c r="A442" i="6"/>
  <c r="F441" i="6"/>
  <c r="E441" i="6"/>
  <c r="D441" i="6"/>
  <c r="C441" i="6"/>
  <c r="B441" i="6"/>
  <c r="A441" i="6"/>
  <c r="F440" i="6"/>
  <c r="E440" i="6"/>
  <c r="D440" i="6"/>
  <c r="C440" i="6"/>
  <c r="B440" i="6"/>
  <c r="A440" i="6"/>
  <c r="F439" i="6"/>
  <c r="E439" i="6"/>
  <c r="D439" i="6"/>
  <c r="C439" i="6"/>
  <c r="B439" i="6"/>
  <c r="A439" i="6"/>
  <c r="F438" i="6"/>
  <c r="E438" i="6"/>
  <c r="D438" i="6"/>
  <c r="C438" i="6"/>
  <c r="B438" i="6"/>
  <c r="A438" i="6"/>
  <c r="F437" i="6"/>
  <c r="E437" i="6"/>
  <c r="D437" i="6"/>
  <c r="C437" i="6"/>
  <c r="B437" i="6"/>
  <c r="A437" i="6"/>
  <c r="F436" i="6"/>
  <c r="E436" i="6"/>
  <c r="D436" i="6"/>
  <c r="C436" i="6"/>
  <c r="B436" i="6"/>
  <c r="A436" i="6"/>
  <c r="F435" i="6"/>
  <c r="E435" i="6"/>
  <c r="D435" i="6"/>
  <c r="C435" i="6"/>
  <c r="B435" i="6"/>
  <c r="A435" i="6"/>
  <c r="F434" i="6"/>
  <c r="E434" i="6"/>
  <c r="D434" i="6"/>
  <c r="C434" i="6"/>
  <c r="B434" i="6"/>
  <c r="A434" i="6"/>
  <c r="F433" i="6"/>
  <c r="E433" i="6"/>
  <c r="D433" i="6"/>
  <c r="C433" i="6"/>
  <c r="B433" i="6"/>
  <c r="A433" i="6"/>
  <c r="F432" i="6"/>
  <c r="E432" i="6"/>
  <c r="D432" i="6"/>
  <c r="C432" i="6"/>
  <c r="B432" i="6"/>
  <c r="A432" i="6"/>
  <c r="F431" i="6"/>
  <c r="E431" i="6"/>
  <c r="D431" i="6"/>
  <c r="C431" i="6"/>
  <c r="B431" i="6"/>
  <c r="A431" i="6"/>
  <c r="F430" i="6"/>
  <c r="E430" i="6"/>
  <c r="D430" i="6"/>
  <c r="C430" i="6"/>
  <c r="B430" i="6"/>
  <c r="A430" i="6"/>
  <c r="F429" i="6"/>
  <c r="E429" i="6"/>
  <c r="D429" i="6"/>
  <c r="C429" i="6"/>
  <c r="B429" i="6"/>
  <c r="A429" i="6"/>
  <c r="F428" i="6"/>
  <c r="E428" i="6"/>
  <c r="D428" i="6"/>
  <c r="C428" i="6"/>
  <c r="B428" i="6"/>
  <c r="A428" i="6"/>
  <c r="F427" i="6"/>
  <c r="E427" i="6"/>
  <c r="D427" i="6"/>
  <c r="C427" i="6"/>
  <c r="B427" i="6"/>
  <c r="A427" i="6"/>
  <c r="F426" i="6"/>
  <c r="E426" i="6"/>
  <c r="D426" i="6"/>
  <c r="C426" i="6"/>
  <c r="B426" i="6"/>
  <c r="A426" i="6"/>
  <c r="F425" i="6"/>
  <c r="E425" i="6"/>
  <c r="D425" i="6"/>
  <c r="C425" i="6"/>
  <c r="B425" i="6"/>
  <c r="A425" i="6"/>
  <c r="F424" i="6"/>
  <c r="E424" i="6"/>
  <c r="D424" i="6"/>
  <c r="C424" i="6"/>
  <c r="B424" i="6"/>
  <c r="A424" i="6"/>
  <c r="F423" i="6"/>
  <c r="E423" i="6"/>
  <c r="D423" i="6"/>
  <c r="C423" i="6"/>
  <c r="B423" i="6"/>
  <c r="A423" i="6"/>
  <c r="F422" i="6"/>
  <c r="E422" i="6"/>
  <c r="D422" i="6"/>
  <c r="C422" i="6"/>
  <c r="B422" i="6"/>
  <c r="A422" i="6"/>
  <c r="F421" i="6"/>
  <c r="E421" i="6"/>
  <c r="D421" i="6"/>
  <c r="C421" i="6"/>
  <c r="B421" i="6"/>
  <c r="A421" i="6"/>
  <c r="F420" i="6"/>
  <c r="E420" i="6"/>
  <c r="D420" i="6"/>
  <c r="C420" i="6"/>
  <c r="B420" i="6"/>
  <c r="A420" i="6"/>
  <c r="F419" i="6"/>
  <c r="E419" i="6"/>
  <c r="D419" i="6"/>
  <c r="C419" i="6"/>
  <c r="B419" i="6"/>
  <c r="A419" i="6"/>
  <c r="F418" i="6"/>
  <c r="E418" i="6"/>
  <c r="D418" i="6"/>
  <c r="C418" i="6"/>
  <c r="B418" i="6"/>
  <c r="A418" i="6"/>
  <c r="F417" i="6"/>
  <c r="E417" i="6"/>
  <c r="D417" i="6"/>
  <c r="C417" i="6"/>
  <c r="B417" i="6"/>
  <c r="A417" i="6"/>
  <c r="F416" i="6"/>
  <c r="E416" i="6"/>
  <c r="D416" i="6"/>
  <c r="C416" i="6"/>
  <c r="B416" i="6"/>
  <c r="A416" i="6"/>
  <c r="F415" i="6"/>
  <c r="E415" i="6"/>
  <c r="D415" i="6"/>
  <c r="C415" i="6"/>
  <c r="B415" i="6"/>
  <c r="A415" i="6"/>
  <c r="F414" i="6"/>
  <c r="E414" i="6"/>
  <c r="D414" i="6"/>
  <c r="C414" i="6"/>
  <c r="B414" i="6"/>
  <c r="A414" i="6"/>
  <c r="F413" i="6"/>
  <c r="E413" i="6"/>
  <c r="D413" i="6"/>
  <c r="C413" i="6"/>
  <c r="B413" i="6"/>
  <c r="A413" i="6"/>
  <c r="F412" i="6"/>
  <c r="E412" i="6"/>
  <c r="D412" i="6"/>
  <c r="C412" i="6"/>
  <c r="B412" i="6"/>
  <c r="A412" i="6"/>
  <c r="F411" i="6"/>
  <c r="E411" i="6"/>
  <c r="D411" i="6"/>
  <c r="C411" i="6"/>
  <c r="B411" i="6"/>
  <c r="A411" i="6"/>
  <c r="F410" i="6"/>
  <c r="E410" i="6"/>
  <c r="D410" i="6"/>
  <c r="C410" i="6"/>
  <c r="B410" i="6"/>
  <c r="A410" i="6"/>
  <c r="F409" i="6"/>
  <c r="E409" i="6"/>
  <c r="D409" i="6"/>
  <c r="C409" i="6"/>
  <c r="B409" i="6"/>
  <c r="A409" i="6"/>
  <c r="F408" i="6"/>
  <c r="E408" i="6"/>
  <c r="D408" i="6"/>
  <c r="C408" i="6"/>
  <c r="B408" i="6"/>
  <c r="A408" i="6"/>
  <c r="F407" i="6"/>
  <c r="E407" i="6"/>
  <c r="D407" i="6"/>
  <c r="C407" i="6"/>
  <c r="B407" i="6"/>
  <c r="A407" i="6"/>
  <c r="F406" i="6"/>
  <c r="E406" i="6"/>
  <c r="D406" i="6"/>
  <c r="C406" i="6"/>
  <c r="B406" i="6"/>
  <c r="A406" i="6"/>
  <c r="F405" i="6"/>
  <c r="E405" i="6"/>
  <c r="D405" i="6"/>
  <c r="C405" i="6"/>
  <c r="B405" i="6"/>
  <c r="A405" i="6"/>
  <c r="F404" i="6"/>
  <c r="E404" i="6"/>
  <c r="D404" i="6"/>
  <c r="C404" i="6"/>
  <c r="B404" i="6"/>
  <c r="A404" i="6"/>
  <c r="F403" i="6"/>
  <c r="E403" i="6"/>
  <c r="D403" i="6"/>
  <c r="C403" i="6"/>
  <c r="B403" i="6"/>
  <c r="A403" i="6"/>
  <c r="F402" i="6"/>
  <c r="E402" i="6"/>
  <c r="D402" i="6"/>
  <c r="C402" i="6"/>
  <c r="B402" i="6"/>
  <c r="A402" i="6"/>
  <c r="F401" i="6"/>
  <c r="E401" i="6"/>
  <c r="D401" i="6"/>
  <c r="C401" i="6"/>
  <c r="B401" i="6"/>
  <c r="A401" i="6"/>
  <c r="F400" i="6"/>
  <c r="E400" i="6"/>
  <c r="D400" i="6"/>
  <c r="C400" i="6"/>
  <c r="B400" i="6"/>
  <c r="A400" i="6"/>
  <c r="F399" i="6"/>
  <c r="E399" i="6"/>
  <c r="D399" i="6"/>
  <c r="C399" i="6"/>
  <c r="B399" i="6"/>
  <c r="A399" i="6"/>
  <c r="F398" i="6"/>
  <c r="E398" i="6"/>
  <c r="D398" i="6"/>
  <c r="C398" i="6"/>
  <c r="B398" i="6"/>
  <c r="A398" i="6"/>
  <c r="F397" i="6"/>
  <c r="E397" i="6"/>
  <c r="D397" i="6"/>
  <c r="C397" i="6"/>
  <c r="B397" i="6"/>
  <c r="A397" i="6"/>
  <c r="F396" i="6"/>
  <c r="E396" i="6"/>
  <c r="D396" i="6"/>
  <c r="C396" i="6"/>
  <c r="B396" i="6"/>
  <c r="A396" i="6"/>
  <c r="F395" i="6"/>
  <c r="E395" i="6"/>
  <c r="D395" i="6"/>
  <c r="C395" i="6"/>
  <c r="B395" i="6"/>
  <c r="A395" i="6"/>
  <c r="F394" i="6"/>
  <c r="E394" i="6"/>
  <c r="D394" i="6"/>
  <c r="C394" i="6"/>
  <c r="B394" i="6"/>
  <c r="A394" i="6"/>
  <c r="F393" i="6"/>
  <c r="E393" i="6"/>
  <c r="D393" i="6"/>
  <c r="C393" i="6"/>
  <c r="B393" i="6"/>
  <c r="A393" i="6"/>
  <c r="F392" i="6"/>
  <c r="E392" i="6"/>
  <c r="D392" i="6"/>
  <c r="C392" i="6"/>
  <c r="B392" i="6"/>
  <c r="A392" i="6"/>
  <c r="F391" i="6"/>
  <c r="E391" i="6"/>
  <c r="D391" i="6"/>
  <c r="C391" i="6"/>
  <c r="B391" i="6"/>
  <c r="A391" i="6"/>
  <c r="F390" i="6"/>
  <c r="E390" i="6"/>
  <c r="D390" i="6"/>
  <c r="C390" i="6"/>
  <c r="B390" i="6"/>
  <c r="A390" i="6"/>
  <c r="F389" i="6"/>
  <c r="E389" i="6"/>
  <c r="D389" i="6"/>
  <c r="C389" i="6"/>
  <c r="B389" i="6"/>
  <c r="A389" i="6"/>
  <c r="F388" i="6"/>
  <c r="E388" i="6"/>
  <c r="D388" i="6"/>
  <c r="C388" i="6"/>
  <c r="B388" i="6"/>
  <c r="A388" i="6"/>
  <c r="F387" i="6"/>
  <c r="E387" i="6"/>
  <c r="D387" i="6"/>
  <c r="C387" i="6"/>
  <c r="B387" i="6"/>
  <c r="A387" i="6"/>
  <c r="F386" i="6"/>
  <c r="E386" i="6"/>
  <c r="D386" i="6"/>
  <c r="C386" i="6"/>
  <c r="B386" i="6"/>
  <c r="A386" i="6"/>
  <c r="F385" i="6"/>
  <c r="E385" i="6"/>
  <c r="D385" i="6"/>
  <c r="C385" i="6"/>
  <c r="B385" i="6"/>
  <c r="A385" i="6"/>
  <c r="F384" i="6"/>
  <c r="E384" i="6"/>
  <c r="D384" i="6"/>
  <c r="C384" i="6"/>
  <c r="B384" i="6"/>
  <c r="A384" i="6"/>
  <c r="F383" i="6"/>
  <c r="E383" i="6"/>
  <c r="D383" i="6"/>
  <c r="C383" i="6"/>
  <c r="B383" i="6"/>
  <c r="A383" i="6"/>
  <c r="F382" i="6"/>
  <c r="E382" i="6"/>
  <c r="D382" i="6"/>
  <c r="C382" i="6"/>
  <c r="B382" i="6"/>
  <c r="A382" i="6"/>
  <c r="F381" i="6"/>
  <c r="E381" i="6"/>
  <c r="D381" i="6"/>
  <c r="C381" i="6"/>
  <c r="B381" i="6"/>
  <c r="A381" i="6"/>
  <c r="F380" i="6"/>
  <c r="E380" i="6"/>
  <c r="D380" i="6"/>
  <c r="C380" i="6"/>
  <c r="B380" i="6"/>
  <c r="A380" i="6"/>
  <c r="F379" i="6"/>
  <c r="E379" i="6"/>
  <c r="D379" i="6"/>
  <c r="C379" i="6"/>
  <c r="B379" i="6"/>
  <c r="A379" i="6"/>
  <c r="F378" i="6"/>
  <c r="E378" i="6"/>
  <c r="D378" i="6"/>
  <c r="C378" i="6"/>
  <c r="B378" i="6"/>
  <c r="A378" i="6"/>
  <c r="F377" i="6"/>
  <c r="E377" i="6"/>
  <c r="D377" i="6"/>
  <c r="C377" i="6"/>
  <c r="B377" i="6"/>
  <c r="A377" i="6"/>
  <c r="F376" i="6"/>
  <c r="E376" i="6"/>
  <c r="D376" i="6"/>
  <c r="C376" i="6"/>
  <c r="B376" i="6"/>
  <c r="A376" i="6"/>
  <c r="F375" i="6"/>
  <c r="E375" i="6"/>
  <c r="D375" i="6"/>
  <c r="C375" i="6"/>
  <c r="B375" i="6"/>
  <c r="A375" i="6"/>
  <c r="F374" i="6"/>
  <c r="E374" i="6"/>
  <c r="D374" i="6"/>
  <c r="C374" i="6"/>
  <c r="B374" i="6"/>
  <c r="A374" i="6"/>
  <c r="F373" i="6"/>
  <c r="E373" i="6"/>
  <c r="D373" i="6"/>
  <c r="C373" i="6"/>
  <c r="B373" i="6"/>
  <c r="A373" i="6"/>
  <c r="F372" i="6"/>
  <c r="E372" i="6"/>
  <c r="D372" i="6"/>
  <c r="C372" i="6"/>
  <c r="B372" i="6"/>
  <c r="A372" i="6"/>
  <c r="F371" i="6"/>
  <c r="E371" i="6"/>
  <c r="D371" i="6"/>
  <c r="C371" i="6"/>
  <c r="B371" i="6"/>
  <c r="A371" i="6"/>
  <c r="F370" i="6"/>
  <c r="E370" i="6"/>
  <c r="D370" i="6"/>
  <c r="C370" i="6"/>
  <c r="B370" i="6"/>
  <c r="A370" i="6"/>
  <c r="F369" i="6"/>
  <c r="E369" i="6"/>
  <c r="D369" i="6"/>
  <c r="C369" i="6"/>
  <c r="B369" i="6"/>
  <c r="A369" i="6"/>
  <c r="F368" i="6"/>
  <c r="E368" i="6"/>
  <c r="D368" i="6"/>
  <c r="C368" i="6"/>
  <c r="B368" i="6"/>
  <c r="A368" i="6"/>
  <c r="F367" i="6"/>
  <c r="E367" i="6"/>
  <c r="D367" i="6"/>
  <c r="C367" i="6"/>
  <c r="B367" i="6"/>
  <c r="A367" i="6"/>
  <c r="F366" i="6"/>
  <c r="E366" i="6"/>
  <c r="D366" i="6"/>
  <c r="C366" i="6"/>
  <c r="B366" i="6"/>
  <c r="A366" i="6"/>
  <c r="F365" i="6"/>
  <c r="E365" i="6"/>
  <c r="D365" i="6"/>
  <c r="C365" i="6"/>
  <c r="B365" i="6"/>
  <c r="A365" i="6"/>
  <c r="F364" i="6"/>
  <c r="E364" i="6"/>
  <c r="D364" i="6"/>
  <c r="C364" i="6"/>
  <c r="B364" i="6"/>
  <c r="A364" i="6"/>
  <c r="F363" i="6"/>
  <c r="E363" i="6"/>
  <c r="D363" i="6"/>
  <c r="C363" i="6"/>
  <c r="B363" i="6"/>
  <c r="A363" i="6"/>
  <c r="F362" i="6"/>
  <c r="E362" i="6"/>
  <c r="D362" i="6"/>
  <c r="C362" i="6"/>
  <c r="B362" i="6"/>
  <c r="A362" i="6"/>
  <c r="F361" i="6"/>
  <c r="E361" i="6"/>
  <c r="D361" i="6"/>
  <c r="C361" i="6"/>
  <c r="B361" i="6"/>
  <c r="A361" i="6"/>
  <c r="F360" i="6"/>
  <c r="E360" i="6"/>
  <c r="D360" i="6"/>
  <c r="C360" i="6"/>
  <c r="B360" i="6"/>
  <c r="A360" i="6"/>
  <c r="F359" i="6"/>
  <c r="E359" i="6"/>
  <c r="D359" i="6"/>
  <c r="C359" i="6"/>
  <c r="B359" i="6"/>
  <c r="A359" i="6"/>
  <c r="F358" i="6"/>
  <c r="E358" i="6"/>
  <c r="D358" i="6"/>
  <c r="C358" i="6"/>
  <c r="B358" i="6"/>
  <c r="A358" i="6"/>
  <c r="F357" i="6"/>
  <c r="E357" i="6"/>
  <c r="D357" i="6"/>
  <c r="C357" i="6"/>
  <c r="B357" i="6"/>
  <c r="A357" i="6"/>
  <c r="F356" i="6"/>
  <c r="E356" i="6"/>
  <c r="D356" i="6"/>
  <c r="C356" i="6"/>
  <c r="B356" i="6"/>
  <c r="A356" i="6"/>
  <c r="F355" i="6"/>
  <c r="E355" i="6"/>
  <c r="D355" i="6"/>
  <c r="C355" i="6"/>
  <c r="B355" i="6"/>
  <c r="A355" i="6"/>
  <c r="F354" i="6"/>
  <c r="E354" i="6"/>
  <c r="D354" i="6"/>
  <c r="C354" i="6"/>
  <c r="B354" i="6"/>
  <c r="A354" i="6"/>
  <c r="F353" i="6"/>
  <c r="E353" i="6"/>
  <c r="D353" i="6"/>
  <c r="C353" i="6"/>
  <c r="B353" i="6"/>
  <c r="A353" i="6"/>
  <c r="F352" i="6"/>
  <c r="E352" i="6"/>
  <c r="D352" i="6"/>
  <c r="C352" i="6"/>
  <c r="B352" i="6"/>
  <c r="A352" i="6"/>
  <c r="F351" i="6"/>
  <c r="E351" i="6"/>
  <c r="D351" i="6"/>
  <c r="C351" i="6"/>
  <c r="B351" i="6"/>
  <c r="A351" i="6"/>
  <c r="F350" i="6"/>
  <c r="E350" i="6"/>
  <c r="D350" i="6"/>
  <c r="C350" i="6"/>
  <c r="B350" i="6"/>
  <c r="A350" i="6"/>
  <c r="F349" i="6"/>
  <c r="E349" i="6"/>
  <c r="D349" i="6"/>
  <c r="C349" i="6"/>
  <c r="B349" i="6"/>
  <c r="A349" i="6"/>
  <c r="F348" i="6"/>
  <c r="E348" i="6"/>
  <c r="D348" i="6"/>
  <c r="C348" i="6"/>
  <c r="B348" i="6"/>
  <c r="A348" i="6"/>
  <c r="F347" i="6"/>
  <c r="E347" i="6"/>
  <c r="D347" i="6"/>
  <c r="C347" i="6"/>
  <c r="B347" i="6"/>
  <c r="A347" i="6"/>
  <c r="F346" i="6"/>
  <c r="E346" i="6"/>
  <c r="D346" i="6"/>
  <c r="C346" i="6"/>
  <c r="B346" i="6"/>
  <c r="A346" i="6"/>
  <c r="F345" i="6"/>
  <c r="E345" i="6"/>
  <c r="D345" i="6"/>
  <c r="C345" i="6"/>
  <c r="B345" i="6"/>
  <c r="A345" i="6"/>
  <c r="F344" i="6"/>
  <c r="E344" i="6"/>
  <c r="D344" i="6"/>
  <c r="C344" i="6"/>
  <c r="B344" i="6"/>
  <c r="A344" i="6"/>
  <c r="F343" i="6"/>
  <c r="E343" i="6"/>
  <c r="D343" i="6"/>
  <c r="C343" i="6"/>
  <c r="B343" i="6"/>
  <c r="A343" i="6"/>
  <c r="F342" i="6"/>
  <c r="E342" i="6"/>
  <c r="D342" i="6"/>
  <c r="C342" i="6"/>
  <c r="B342" i="6"/>
  <c r="A342" i="6"/>
  <c r="F341" i="6"/>
  <c r="E341" i="6"/>
  <c r="D341" i="6"/>
  <c r="C341" i="6"/>
  <c r="B341" i="6"/>
  <c r="A341" i="6"/>
  <c r="F340" i="6"/>
  <c r="E340" i="6"/>
  <c r="D340" i="6"/>
  <c r="C340" i="6"/>
  <c r="B340" i="6"/>
  <c r="A340" i="6"/>
  <c r="F339" i="6"/>
  <c r="E339" i="6"/>
  <c r="D339" i="6"/>
  <c r="C339" i="6"/>
  <c r="B339" i="6"/>
  <c r="A339" i="6"/>
  <c r="F338" i="6"/>
  <c r="E338" i="6"/>
  <c r="D338" i="6"/>
  <c r="C338" i="6"/>
  <c r="B338" i="6"/>
  <c r="A338" i="6"/>
  <c r="F337" i="6"/>
  <c r="E337" i="6"/>
  <c r="D337" i="6"/>
  <c r="C337" i="6"/>
  <c r="B337" i="6"/>
  <c r="A337" i="6"/>
  <c r="F336" i="6"/>
  <c r="E336" i="6"/>
  <c r="D336" i="6"/>
  <c r="C336" i="6"/>
  <c r="B336" i="6"/>
  <c r="A336" i="6"/>
  <c r="F335" i="6"/>
  <c r="E335" i="6"/>
  <c r="D335" i="6"/>
  <c r="C335" i="6"/>
  <c r="B335" i="6"/>
  <c r="A335" i="6"/>
  <c r="F334" i="6"/>
  <c r="E334" i="6"/>
  <c r="D334" i="6"/>
  <c r="C334" i="6"/>
  <c r="B334" i="6"/>
  <c r="A334" i="6"/>
  <c r="F333" i="6"/>
  <c r="E333" i="6"/>
  <c r="D333" i="6"/>
  <c r="C333" i="6"/>
  <c r="B333" i="6"/>
  <c r="A333" i="6"/>
  <c r="F332" i="6"/>
  <c r="E332" i="6"/>
  <c r="D332" i="6"/>
  <c r="C332" i="6"/>
  <c r="B332" i="6"/>
  <c r="A332" i="6"/>
  <c r="F331" i="6"/>
  <c r="E331" i="6"/>
  <c r="D331" i="6"/>
  <c r="C331" i="6"/>
  <c r="B331" i="6"/>
  <c r="A331" i="6"/>
  <c r="F330" i="6"/>
  <c r="E330" i="6"/>
  <c r="D330" i="6"/>
  <c r="C330" i="6"/>
  <c r="B330" i="6"/>
  <c r="A330" i="6"/>
  <c r="F329" i="6"/>
  <c r="E329" i="6"/>
  <c r="D329" i="6"/>
  <c r="C329" i="6"/>
  <c r="B329" i="6"/>
  <c r="A329" i="6"/>
  <c r="F328" i="6"/>
  <c r="E328" i="6"/>
  <c r="D328" i="6"/>
  <c r="C328" i="6"/>
  <c r="B328" i="6"/>
  <c r="A328" i="6"/>
  <c r="F327" i="6"/>
  <c r="E327" i="6"/>
  <c r="D327" i="6"/>
  <c r="C327" i="6"/>
  <c r="B327" i="6"/>
  <c r="A327" i="6"/>
  <c r="F326" i="6"/>
  <c r="E326" i="6"/>
  <c r="D326" i="6"/>
  <c r="C326" i="6"/>
  <c r="B326" i="6"/>
  <c r="A326" i="6"/>
  <c r="F325" i="6"/>
  <c r="E325" i="6"/>
  <c r="D325" i="6"/>
  <c r="C325" i="6"/>
  <c r="B325" i="6"/>
  <c r="A325" i="6"/>
  <c r="F324" i="6"/>
  <c r="E324" i="6"/>
  <c r="D324" i="6"/>
  <c r="C324" i="6"/>
  <c r="B324" i="6"/>
  <c r="A324" i="6"/>
  <c r="F323" i="6"/>
  <c r="E323" i="6"/>
  <c r="D323" i="6"/>
  <c r="C323" i="6"/>
  <c r="B323" i="6"/>
  <c r="A323" i="6"/>
  <c r="F322" i="6"/>
  <c r="E322" i="6"/>
  <c r="D322" i="6"/>
  <c r="C322" i="6"/>
  <c r="B322" i="6"/>
  <c r="A322" i="6"/>
  <c r="F321" i="6"/>
  <c r="E321" i="6"/>
  <c r="D321" i="6"/>
  <c r="C321" i="6"/>
  <c r="B321" i="6"/>
  <c r="A321" i="6"/>
  <c r="F320" i="6"/>
  <c r="E320" i="6"/>
  <c r="D320" i="6"/>
  <c r="C320" i="6"/>
  <c r="B320" i="6"/>
  <c r="A320" i="6"/>
  <c r="F319" i="6"/>
  <c r="E319" i="6"/>
  <c r="D319" i="6"/>
  <c r="C319" i="6"/>
  <c r="B319" i="6"/>
  <c r="A319" i="6"/>
  <c r="F318" i="6"/>
  <c r="E318" i="6"/>
  <c r="D318" i="6"/>
  <c r="C318" i="6"/>
  <c r="B318" i="6"/>
  <c r="A318" i="6"/>
  <c r="F317" i="6"/>
  <c r="E317" i="6"/>
  <c r="D317" i="6"/>
  <c r="C317" i="6"/>
  <c r="B317" i="6"/>
  <c r="A317" i="6"/>
  <c r="F316" i="6"/>
  <c r="E316" i="6"/>
  <c r="D316" i="6"/>
  <c r="C316" i="6"/>
  <c r="B316" i="6"/>
  <c r="A316" i="6"/>
  <c r="F315" i="6"/>
  <c r="E315" i="6"/>
  <c r="D315" i="6"/>
  <c r="C315" i="6"/>
  <c r="B315" i="6"/>
  <c r="A315" i="6"/>
  <c r="F314" i="6"/>
  <c r="E314" i="6"/>
  <c r="D314" i="6"/>
  <c r="C314" i="6"/>
  <c r="B314" i="6"/>
  <c r="A314" i="6"/>
  <c r="F313" i="6"/>
  <c r="E313" i="6"/>
  <c r="D313" i="6"/>
  <c r="C313" i="6"/>
  <c r="B313" i="6"/>
  <c r="A313" i="6"/>
  <c r="F312" i="6"/>
  <c r="E312" i="6"/>
  <c r="D312" i="6"/>
  <c r="C312" i="6"/>
  <c r="B312" i="6"/>
  <c r="A312" i="6"/>
  <c r="F311" i="6"/>
  <c r="E311" i="6"/>
  <c r="D311" i="6"/>
  <c r="C311" i="6"/>
  <c r="B311" i="6"/>
  <c r="A311" i="6"/>
  <c r="F310" i="6"/>
  <c r="E310" i="6"/>
  <c r="D310" i="6"/>
  <c r="C310" i="6"/>
  <c r="B310" i="6"/>
  <c r="A310" i="6"/>
  <c r="F309" i="6"/>
  <c r="E309" i="6"/>
  <c r="D309" i="6"/>
  <c r="C309" i="6"/>
  <c r="B309" i="6"/>
  <c r="A309" i="6"/>
  <c r="F308" i="6"/>
  <c r="E308" i="6"/>
  <c r="D308" i="6"/>
  <c r="C308" i="6"/>
  <c r="B308" i="6"/>
  <c r="A308" i="6"/>
  <c r="F307" i="6"/>
  <c r="E307" i="6"/>
  <c r="D307" i="6"/>
  <c r="C307" i="6"/>
  <c r="B307" i="6"/>
  <c r="A307" i="6"/>
  <c r="F306" i="6"/>
  <c r="E306" i="6"/>
  <c r="D306" i="6"/>
  <c r="C306" i="6"/>
  <c r="B306" i="6"/>
  <c r="A306" i="6"/>
  <c r="F305" i="6"/>
  <c r="E305" i="6"/>
  <c r="D305" i="6"/>
  <c r="C305" i="6"/>
  <c r="B305" i="6"/>
  <c r="A305" i="6"/>
  <c r="F304" i="6"/>
  <c r="E304" i="6"/>
  <c r="D304" i="6"/>
  <c r="C304" i="6"/>
  <c r="B304" i="6"/>
  <c r="A304" i="6"/>
  <c r="F303" i="6"/>
  <c r="E303" i="6"/>
  <c r="D303" i="6"/>
  <c r="C303" i="6"/>
  <c r="B303" i="6"/>
  <c r="A303" i="6"/>
  <c r="F302" i="6"/>
  <c r="E302" i="6"/>
  <c r="D302" i="6"/>
  <c r="C302" i="6"/>
  <c r="B302" i="6"/>
  <c r="A302" i="6"/>
  <c r="F301" i="6"/>
  <c r="E301" i="6"/>
  <c r="D301" i="6"/>
  <c r="C301" i="6"/>
  <c r="B301" i="6"/>
  <c r="A301" i="6"/>
  <c r="F300" i="6"/>
  <c r="E300" i="6"/>
  <c r="D300" i="6"/>
  <c r="C300" i="6"/>
  <c r="B300" i="6"/>
  <c r="A300" i="6"/>
  <c r="F299" i="6"/>
  <c r="E299" i="6"/>
  <c r="D299" i="6"/>
  <c r="C299" i="6"/>
  <c r="B299" i="6"/>
  <c r="A299" i="6"/>
  <c r="F298" i="6"/>
  <c r="E298" i="6"/>
  <c r="D298" i="6"/>
  <c r="C298" i="6"/>
  <c r="B298" i="6"/>
  <c r="A298" i="6"/>
  <c r="F297" i="6"/>
  <c r="E297" i="6"/>
  <c r="D297" i="6"/>
  <c r="C297" i="6"/>
  <c r="B297" i="6"/>
  <c r="A297" i="6"/>
  <c r="F296" i="6"/>
  <c r="E296" i="6"/>
  <c r="D296" i="6"/>
  <c r="C296" i="6"/>
  <c r="B296" i="6"/>
  <c r="A296" i="6"/>
  <c r="F295" i="6"/>
  <c r="E295" i="6"/>
  <c r="D295" i="6"/>
  <c r="C295" i="6"/>
  <c r="B295" i="6"/>
  <c r="A295" i="6"/>
  <c r="F294" i="6"/>
  <c r="E294" i="6"/>
  <c r="D294" i="6"/>
  <c r="C294" i="6"/>
  <c r="B294" i="6"/>
  <c r="A294" i="6"/>
  <c r="F293" i="6"/>
  <c r="E293" i="6"/>
  <c r="D293" i="6"/>
  <c r="C293" i="6"/>
  <c r="B293" i="6"/>
  <c r="A293" i="6"/>
  <c r="F292" i="6"/>
  <c r="E292" i="6"/>
  <c r="D292" i="6"/>
  <c r="C292" i="6"/>
  <c r="B292" i="6"/>
  <c r="A292" i="6"/>
  <c r="F291" i="6"/>
  <c r="E291" i="6"/>
  <c r="D291" i="6"/>
  <c r="C291" i="6"/>
  <c r="B291" i="6"/>
  <c r="A291" i="6"/>
  <c r="F290" i="6"/>
  <c r="E290" i="6"/>
  <c r="D290" i="6"/>
  <c r="C290" i="6"/>
  <c r="B290" i="6"/>
  <c r="A290" i="6"/>
  <c r="F289" i="6"/>
  <c r="E289" i="6"/>
  <c r="D289" i="6"/>
  <c r="C289" i="6"/>
  <c r="B289" i="6"/>
  <c r="A289" i="6"/>
  <c r="F288" i="6"/>
  <c r="E288" i="6"/>
  <c r="D288" i="6"/>
  <c r="C288" i="6"/>
  <c r="B288" i="6"/>
  <c r="A288" i="6"/>
  <c r="F287" i="6"/>
  <c r="E287" i="6"/>
  <c r="D287" i="6"/>
  <c r="C287" i="6"/>
  <c r="B287" i="6"/>
  <c r="A287" i="6"/>
  <c r="F286" i="6"/>
  <c r="E286" i="6"/>
  <c r="D286" i="6"/>
  <c r="C286" i="6"/>
  <c r="B286" i="6"/>
  <c r="A286" i="6"/>
  <c r="F285" i="6"/>
  <c r="E285" i="6"/>
  <c r="D285" i="6"/>
  <c r="C285" i="6"/>
  <c r="B285" i="6"/>
  <c r="A285" i="6"/>
  <c r="F284" i="6"/>
  <c r="E284" i="6"/>
  <c r="D284" i="6"/>
  <c r="C284" i="6"/>
  <c r="B284" i="6"/>
  <c r="A284" i="6"/>
  <c r="F283" i="6"/>
  <c r="E283" i="6"/>
  <c r="D283" i="6"/>
  <c r="C283" i="6"/>
  <c r="B283" i="6"/>
  <c r="A283" i="6"/>
  <c r="F282" i="6"/>
  <c r="E282" i="6"/>
  <c r="D282" i="6"/>
  <c r="C282" i="6"/>
  <c r="B282" i="6"/>
  <c r="A282" i="6"/>
  <c r="F281" i="6"/>
  <c r="E281" i="6"/>
  <c r="D281" i="6"/>
  <c r="C281" i="6"/>
  <c r="B281" i="6"/>
  <c r="A281" i="6"/>
  <c r="F280" i="6"/>
  <c r="E280" i="6"/>
  <c r="D280" i="6"/>
  <c r="C280" i="6"/>
  <c r="B280" i="6"/>
  <c r="A280" i="6"/>
  <c r="F279" i="6"/>
  <c r="E279" i="6"/>
  <c r="D279" i="6"/>
  <c r="C279" i="6"/>
  <c r="B279" i="6"/>
  <c r="A279" i="6"/>
  <c r="F278" i="6"/>
  <c r="E278" i="6"/>
  <c r="D278" i="6"/>
  <c r="C278" i="6"/>
  <c r="B278" i="6"/>
  <c r="A278" i="6"/>
  <c r="F277" i="6"/>
  <c r="E277" i="6"/>
  <c r="D277" i="6"/>
  <c r="C277" i="6"/>
  <c r="B277" i="6"/>
  <c r="A277" i="6"/>
  <c r="F276" i="6"/>
  <c r="E276" i="6"/>
  <c r="D276" i="6"/>
  <c r="C276" i="6"/>
  <c r="B276" i="6"/>
  <c r="A276" i="6"/>
  <c r="F275" i="6"/>
  <c r="E275" i="6"/>
  <c r="D275" i="6"/>
  <c r="C275" i="6"/>
  <c r="B275" i="6"/>
  <c r="A275" i="6"/>
  <c r="F274" i="6"/>
  <c r="E274" i="6"/>
  <c r="D274" i="6"/>
  <c r="C274" i="6"/>
  <c r="B274" i="6"/>
  <c r="A274" i="6"/>
  <c r="F273" i="6"/>
  <c r="E273" i="6"/>
  <c r="D273" i="6"/>
  <c r="C273" i="6"/>
  <c r="B273" i="6"/>
  <c r="A273" i="6"/>
  <c r="F272" i="6"/>
  <c r="E272" i="6"/>
  <c r="D272" i="6"/>
  <c r="C272" i="6"/>
  <c r="B272" i="6"/>
  <c r="A272" i="6"/>
  <c r="F271" i="6"/>
  <c r="E271" i="6"/>
  <c r="D271" i="6"/>
  <c r="C271" i="6"/>
  <c r="B271" i="6"/>
  <c r="A271" i="6"/>
  <c r="F270" i="6"/>
  <c r="E270" i="6"/>
  <c r="D270" i="6"/>
  <c r="C270" i="6"/>
  <c r="B270" i="6"/>
  <c r="A270" i="6"/>
  <c r="F269" i="6"/>
  <c r="E269" i="6"/>
  <c r="D269" i="6"/>
  <c r="C269" i="6"/>
  <c r="B269" i="6"/>
  <c r="A269" i="6"/>
  <c r="F268" i="6"/>
  <c r="E268" i="6"/>
  <c r="D268" i="6"/>
  <c r="C268" i="6"/>
  <c r="B268" i="6"/>
  <c r="A268" i="6"/>
  <c r="F267" i="6"/>
  <c r="E267" i="6"/>
  <c r="D267" i="6"/>
  <c r="C267" i="6"/>
  <c r="B267" i="6"/>
  <c r="A267" i="6"/>
  <c r="F266" i="6"/>
  <c r="E266" i="6"/>
  <c r="D266" i="6"/>
  <c r="C266" i="6"/>
  <c r="B266" i="6"/>
  <c r="A266" i="6"/>
  <c r="F265" i="6"/>
  <c r="E265" i="6"/>
  <c r="D265" i="6"/>
  <c r="C265" i="6"/>
  <c r="B265" i="6"/>
  <c r="A265" i="6"/>
  <c r="F264" i="6"/>
  <c r="E264" i="6"/>
  <c r="D264" i="6"/>
  <c r="C264" i="6"/>
  <c r="B264" i="6"/>
  <c r="A264" i="6"/>
  <c r="F263" i="6"/>
  <c r="E263" i="6"/>
  <c r="D263" i="6"/>
  <c r="C263" i="6"/>
  <c r="B263" i="6"/>
  <c r="A263" i="6"/>
  <c r="F262" i="6"/>
  <c r="E262" i="6"/>
  <c r="D262" i="6"/>
  <c r="C262" i="6"/>
  <c r="B262" i="6"/>
  <c r="A262" i="6"/>
  <c r="F261" i="6"/>
  <c r="E261" i="6"/>
  <c r="D261" i="6"/>
  <c r="C261" i="6"/>
  <c r="B261" i="6"/>
  <c r="A261" i="6"/>
  <c r="F260" i="6"/>
  <c r="E260" i="6"/>
  <c r="D260" i="6"/>
  <c r="C260" i="6"/>
  <c r="B260" i="6"/>
  <c r="A260" i="6"/>
  <c r="F259" i="6"/>
  <c r="E259" i="6"/>
  <c r="D259" i="6"/>
  <c r="C259" i="6"/>
  <c r="B259" i="6"/>
  <c r="A259" i="6"/>
  <c r="F258" i="6"/>
  <c r="E258" i="6"/>
  <c r="D258" i="6"/>
  <c r="C258" i="6"/>
  <c r="B258" i="6"/>
  <c r="A258" i="6"/>
  <c r="F257" i="6"/>
  <c r="E257" i="6"/>
  <c r="D257" i="6"/>
  <c r="C257" i="6"/>
  <c r="B257" i="6"/>
  <c r="A257" i="6"/>
  <c r="F256" i="6"/>
  <c r="E256" i="6"/>
  <c r="D256" i="6"/>
  <c r="C256" i="6"/>
  <c r="B256" i="6"/>
  <c r="A256" i="6"/>
  <c r="F255" i="6"/>
  <c r="E255" i="6"/>
  <c r="D255" i="6"/>
  <c r="C255" i="6"/>
  <c r="B255" i="6"/>
  <c r="A255" i="6"/>
  <c r="F254" i="6"/>
  <c r="E254" i="6"/>
  <c r="D254" i="6"/>
  <c r="C254" i="6"/>
  <c r="B254" i="6"/>
  <c r="A254" i="6"/>
  <c r="F253" i="6"/>
  <c r="E253" i="6"/>
  <c r="D253" i="6"/>
  <c r="C253" i="6"/>
  <c r="B253" i="6"/>
  <c r="A253" i="6"/>
  <c r="F252" i="6"/>
  <c r="E252" i="6"/>
  <c r="D252" i="6"/>
  <c r="C252" i="6"/>
  <c r="B252" i="6"/>
  <c r="A252" i="6"/>
  <c r="F251" i="6"/>
  <c r="E251" i="6"/>
  <c r="D251" i="6"/>
  <c r="C251" i="6"/>
  <c r="B251" i="6"/>
  <c r="A251" i="6"/>
  <c r="F250" i="6"/>
  <c r="E250" i="6"/>
  <c r="D250" i="6"/>
  <c r="C250" i="6"/>
  <c r="B250" i="6"/>
  <c r="A250" i="6"/>
  <c r="F249" i="6"/>
  <c r="E249" i="6"/>
  <c r="D249" i="6"/>
  <c r="C249" i="6"/>
  <c r="B249" i="6"/>
  <c r="A249" i="6"/>
  <c r="F248" i="6"/>
  <c r="E248" i="6"/>
  <c r="D248" i="6"/>
  <c r="C248" i="6"/>
  <c r="B248" i="6"/>
  <c r="A248" i="6"/>
  <c r="F247" i="6"/>
  <c r="E247" i="6"/>
  <c r="D247" i="6"/>
  <c r="C247" i="6"/>
  <c r="B247" i="6"/>
  <c r="A247" i="6"/>
  <c r="F246" i="6"/>
  <c r="E246" i="6"/>
  <c r="D246" i="6"/>
  <c r="C246" i="6"/>
  <c r="B246" i="6"/>
  <c r="A246" i="6"/>
  <c r="F245" i="6"/>
  <c r="E245" i="6"/>
  <c r="D245" i="6"/>
  <c r="C245" i="6"/>
  <c r="B245" i="6"/>
  <c r="A245" i="6"/>
  <c r="F244" i="6"/>
  <c r="E244" i="6"/>
  <c r="D244" i="6"/>
  <c r="C244" i="6"/>
  <c r="B244" i="6"/>
  <c r="A244" i="6"/>
  <c r="F243" i="6"/>
  <c r="E243" i="6"/>
  <c r="D243" i="6"/>
  <c r="C243" i="6"/>
  <c r="B243" i="6"/>
  <c r="A243" i="6"/>
  <c r="F242" i="6"/>
  <c r="E242" i="6"/>
  <c r="D242" i="6"/>
  <c r="C242" i="6"/>
  <c r="B242" i="6"/>
  <c r="A242" i="6"/>
  <c r="F241" i="6"/>
  <c r="E241" i="6"/>
  <c r="D241" i="6"/>
  <c r="C241" i="6"/>
  <c r="B241" i="6"/>
  <c r="A241" i="6"/>
  <c r="F240" i="6"/>
  <c r="E240" i="6"/>
  <c r="D240" i="6"/>
  <c r="C240" i="6"/>
  <c r="B240" i="6"/>
  <c r="A240" i="6"/>
  <c r="F239" i="6"/>
  <c r="E239" i="6"/>
  <c r="D239" i="6"/>
  <c r="C239" i="6"/>
  <c r="B239" i="6"/>
  <c r="A239" i="6"/>
  <c r="F238" i="6"/>
  <c r="E238" i="6"/>
  <c r="D238" i="6"/>
  <c r="C238" i="6"/>
  <c r="B238" i="6"/>
  <c r="A238" i="6"/>
  <c r="F237" i="6"/>
  <c r="E237" i="6"/>
  <c r="D237" i="6"/>
  <c r="C237" i="6"/>
  <c r="B237" i="6"/>
  <c r="A237" i="6"/>
  <c r="F236" i="6"/>
  <c r="E236" i="6"/>
  <c r="D236" i="6"/>
  <c r="C236" i="6"/>
  <c r="B236" i="6"/>
  <c r="A236" i="6"/>
  <c r="F235" i="6"/>
  <c r="E235" i="6"/>
  <c r="D235" i="6"/>
  <c r="C235" i="6"/>
  <c r="B235" i="6"/>
  <c r="A235" i="6"/>
  <c r="F234" i="6"/>
  <c r="E234" i="6"/>
  <c r="D234" i="6"/>
  <c r="C234" i="6"/>
  <c r="B234" i="6"/>
  <c r="A234" i="6"/>
  <c r="F233" i="6"/>
  <c r="E233" i="6"/>
  <c r="D233" i="6"/>
  <c r="C233" i="6"/>
  <c r="B233" i="6"/>
  <c r="A233" i="6"/>
  <c r="F232" i="6"/>
  <c r="E232" i="6"/>
  <c r="D232" i="6"/>
  <c r="C232" i="6"/>
  <c r="B232" i="6"/>
  <c r="A232" i="6"/>
  <c r="F231" i="6"/>
  <c r="E231" i="6"/>
  <c r="D231" i="6"/>
  <c r="C231" i="6"/>
  <c r="B231" i="6"/>
  <c r="A231" i="6"/>
  <c r="F230" i="6"/>
  <c r="E230" i="6"/>
  <c r="D230" i="6"/>
  <c r="C230" i="6"/>
  <c r="B230" i="6"/>
  <c r="A230" i="6"/>
  <c r="F229" i="6"/>
  <c r="E229" i="6"/>
  <c r="D229" i="6"/>
  <c r="C229" i="6"/>
  <c r="B229" i="6"/>
  <c r="A229" i="6"/>
  <c r="F228" i="6"/>
  <c r="E228" i="6"/>
  <c r="D228" i="6"/>
  <c r="C228" i="6"/>
  <c r="B228" i="6"/>
  <c r="A228" i="6"/>
  <c r="F227" i="6"/>
  <c r="E227" i="6"/>
  <c r="D227" i="6"/>
  <c r="C227" i="6"/>
  <c r="B227" i="6"/>
  <c r="A227" i="6"/>
  <c r="F226" i="6"/>
  <c r="E226" i="6"/>
  <c r="D226" i="6"/>
  <c r="C226" i="6"/>
  <c r="B226" i="6"/>
  <c r="A226" i="6"/>
  <c r="F225" i="6"/>
  <c r="E225" i="6"/>
  <c r="D225" i="6"/>
  <c r="C225" i="6"/>
  <c r="B225" i="6"/>
  <c r="A225" i="6"/>
  <c r="F224" i="6"/>
  <c r="E224" i="6"/>
  <c r="D224" i="6"/>
  <c r="C224" i="6"/>
  <c r="B224" i="6"/>
  <c r="A224" i="6"/>
  <c r="F223" i="6"/>
  <c r="E223" i="6"/>
  <c r="D223" i="6"/>
  <c r="C223" i="6"/>
  <c r="B223" i="6"/>
  <c r="A223" i="6"/>
  <c r="F222" i="6"/>
  <c r="E222" i="6"/>
  <c r="D222" i="6"/>
  <c r="C222" i="6"/>
  <c r="B222" i="6"/>
  <c r="A222" i="6"/>
  <c r="F221" i="6"/>
  <c r="E221" i="6"/>
  <c r="D221" i="6"/>
  <c r="C221" i="6"/>
  <c r="B221" i="6"/>
  <c r="A221" i="6"/>
  <c r="F220" i="6"/>
  <c r="E220" i="6"/>
  <c r="D220" i="6"/>
  <c r="C220" i="6"/>
  <c r="B220" i="6"/>
  <c r="A220" i="6"/>
  <c r="F219" i="6"/>
  <c r="E219" i="6"/>
  <c r="D219" i="6"/>
  <c r="C219" i="6"/>
  <c r="B219" i="6"/>
  <c r="A219" i="6"/>
  <c r="F218" i="6"/>
  <c r="E218" i="6"/>
  <c r="D218" i="6"/>
  <c r="C218" i="6"/>
  <c r="B218" i="6"/>
  <c r="A218" i="6"/>
  <c r="F217" i="6"/>
  <c r="E217" i="6"/>
  <c r="D217" i="6"/>
  <c r="C217" i="6"/>
  <c r="B217" i="6"/>
  <c r="A217" i="6"/>
  <c r="F216" i="6"/>
  <c r="E216" i="6"/>
  <c r="D216" i="6"/>
  <c r="C216" i="6"/>
  <c r="B216" i="6"/>
  <c r="A216" i="6"/>
  <c r="F215" i="6"/>
  <c r="E215" i="6"/>
  <c r="D215" i="6"/>
  <c r="C215" i="6"/>
  <c r="B215" i="6"/>
  <c r="A215" i="6"/>
  <c r="F214" i="6"/>
  <c r="E214" i="6"/>
  <c r="D214" i="6"/>
  <c r="C214" i="6"/>
  <c r="B214" i="6"/>
  <c r="A214" i="6"/>
  <c r="F213" i="6"/>
  <c r="E213" i="6"/>
  <c r="D213" i="6"/>
  <c r="C213" i="6"/>
  <c r="B213" i="6"/>
  <c r="A213" i="6"/>
  <c r="F212" i="6"/>
  <c r="E212" i="6"/>
  <c r="D212" i="6"/>
  <c r="C212" i="6"/>
  <c r="B212" i="6"/>
  <c r="A212" i="6"/>
  <c r="F211" i="6"/>
  <c r="E211" i="6"/>
  <c r="D211" i="6"/>
  <c r="C211" i="6"/>
  <c r="B211" i="6"/>
  <c r="A211" i="6"/>
  <c r="F210" i="6"/>
  <c r="E210" i="6"/>
  <c r="D210" i="6"/>
  <c r="C210" i="6"/>
  <c r="B210" i="6"/>
  <c r="A210" i="6"/>
  <c r="F209" i="6"/>
  <c r="E209" i="6"/>
  <c r="D209" i="6"/>
  <c r="C209" i="6"/>
  <c r="B209" i="6"/>
  <c r="A209" i="6"/>
  <c r="F208" i="6"/>
  <c r="E208" i="6"/>
  <c r="D208" i="6"/>
  <c r="C208" i="6"/>
  <c r="B208" i="6"/>
  <c r="A208" i="6"/>
  <c r="F207" i="6"/>
  <c r="E207" i="6"/>
  <c r="D207" i="6"/>
  <c r="C207" i="6"/>
  <c r="B207" i="6"/>
  <c r="A207" i="6"/>
  <c r="F206" i="6"/>
  <c r="E206" i="6"/>
  <c r="D206" i="6"/>
  <c r="C206" i="6"/>
  <c r="B206" i="6"/>
  <c r="A206" i="6"/>
  <c r="F205" i="6"/>
  <c r="E205" i="6"/>
  <c r="D205" i="6"/>
  <c r="C205" i="6"/>
  <c r="B205" i="6"/>
  <c r="A205" i="6"/>
  <c r="F204" i="6"/>
  <c r="E204" i="6"/>
  <c r="D204" i="6"/>
  <c r="C204" i="6"/>
  <c r="B204" i="6"/>
  <c r="A204" i="6"/>
  <c r="F203" i="6"/>
  <c r="E203" i="6"/>
  <c r="D203" i="6"/>
  <c r="C203" i="6"/>
  <c r="B203" i="6"/>
  <c r="A203" i="6"/>
  <c r="F202" i="6"/>
  <c r="E202" i="6"/>
  <c r="D202" i="6"/>
  <c r="C202" i="6"/>
  <c r="B202" i="6"/>
  <c r="A202" i="6"/>
  <c r="F201" i="6"/>
  <c r="E201" i="6"/>
  <c r="D201" i="6"/>
  <c r="C201" i="6"/>
  <c r="B201" i="6"/>
  <c r="A201" i="6"/>
  <c r="F200" i="6"/>
  <c r="E200" i="6"/>
  <c r="D200" i="6"/>
  <c r="C200" i="6"/>
  <c r="B200" i="6"/>
  <c r="A200" i="6"/>
  <c r="F199" i="6"/>
  <c r="E199" i="6"/>
  <c r="D199" i="6"/>
  <c r="C199" i="6"/>
  <c r="B199" i="6"/>
  <c r="A199" i="6"/>
  <c r="F198" i="6"/>
  <c r="E198" i="6"/>
  <c r="D198" i="6"/>
  <c r="C198" i="6"/>
  <c r="B198" i="6"/>
  <c r="A198" i="6"/>
  <c r="F197" i="6"/>
  <c r="E197" i="6"/>
  <c r="D197" i="6"/>
  <c r="C197" i="6"/>
  <c r="B197" i="6"/>
  <c r="A197" i="6"/>
  <c r="F196" i="6"/>
  <c r="E196" i="6"/>
  <c r="D196" i="6"/>
  <c r="C196" i="6"/>
  <c r="B196" i="6"/>
  <c r="A196" i="6"/>
  <c r="F195" i="6"/>
  <c r="E195" i="6"/>
  <c r="D195" i="6"/>
  <c r="C195" i="6"/>
  <c r="B195" i="6"/>
  <c r="A195" i="6"/>
  <c r="F194" i="6"/>
  <c r="E194" i="6"/>
  <c r="D194" i="6"/>
  <c r="C194" i="6"/>
  <c r="B194" i="6"/>
  <c r="A194" i="6"/>
  <c r="F193" i="6"/>
  <c r="E193" i="6"/>
  <c r="D193" i="6"/>
  <c r="C193" i="6"/>
  <c r="B193" i="6"/>
  <c r="A193" i="6"/>
  <c r="F192" i="6"/>
  <c r="E192" i="6"/>
  <c r="D192" i="6"/>
  <c r="C192" i="6"/>
  <c r="B192" i="6"/>
  <c r="A192" i="6"/>
  <c r="F191" i="6"/>
  <c r="E191" i="6"/>
  <c r="D191" i="6"/>
  <c r="C191" i="6"/>
  <c r="B191" i="6"/>
  <c r="A191" i="6"/>
  <c r="F190" i="6"/>
  <c r="E190" i="6"/>
  <c r="D190" i="6"/>
  <c r="C190" i="6"/>
  <c r="B190" i="6"/>
  <c r="A190" i="6"/>
  <c r="F189" i="6"/>
  <c r="E189" i="6"/>
  <c r="D189" i="6"/>
  <c r="C189" i="6"/>
  <c r="B189" i="6"/>
  <c r="A189" i="6"/>
  <c r="F188" i="6"/>
  <c r="E188" i="6"/>
  <c r="D188" i="6"/>
  <c r="C188" i="6"/>
  <c r="B188" i="6"/>
  <c r="A188" i="6"/>
  <c r="F187" i="6"/>
  <c r="E187" i="6"/>
  <c r="D187" i="6"/>
  <c r="C187" i="6"/>
  <c r="B187" i="6"/>
  <c r="A187" i="6"/>
  <c r="F186" i="6"/>
  <c r="E186" i="6"/>
  <c r="D186" i="6"/>
  <c r="C186" i="6"/>
  <c r="B186" i="6"/>
  <c r="A186" i="6"/>
  <c r="F185" i="6"/>
  <c r="E185" i="6"/>
  <c r="D185" i="6"/>
  <c r="C185" i="6"/>
  <c r="B185" i="6"/>
  <c r="A185" i="6"/>
  <c r="F184" i="6"/>
  <c r="E184" i="6"/>
  <c r="D184" i="6"/>
  <c r="C184" i="6"/>
  <c r="B184" i="6"/>
  <c r="A184" i="6"/>
  <c r="F183" i="6"/>
  <c r="E183" i="6"/>
  <c r="D183" i="6"/>
  <c r="C183" i="6"/>
  <c r="B183" i="6"/>
  <c r="A183" i="6"/>
  <c r="F182" i="6"/>
  <c r="E182" i="6"/>
  <c r="D182" i="6"/>
  <c r="C182" i="6"/>
  <c r="B182" i="6"/>
  <c r="A182" i="6"/>
  <c r="F181" i="6"/>
  <c r="E181" i="6"/>
  <c r="D181" i="6"/>
  <c r="C181" i="6"/>
  <c r="B181" i="6"/>
  <c r="A181" i="6"/>
  <c r="F180" i="6"/>
  <c r="E180" i="6"/>
  <c r="D180" i="6"/>
  <c r="C180" i="6"/>
  <c r="B180" i="6"/>
  <c r="A180" i="6"/>
  <c r="F179" i="6"/>
  <c r="E179" i="6"/>
  <c r="D179" i="6"/>
  <c r="C179" i="6"/>
  <c r="B179" i="6"/>
  <c r="A179" i="6"/>
  <c r="F178" i="6"/>
  <c r="E178" i="6"/>
  <c r="D178" i="6"/>
  <c r="C178" i="6"/>
  <c r="B178" i="6"/>
  <c r="A178" i="6"/>
  <c r="F177" i="6"/>
  <c r="E177" i="6"/>
  <c r="D177" i="6"/>
  <c r="C177" i="6"/>
  <c r="B177" i="6"/>
  <c r="A177" i="6"/>
  <c r="F176" i="6"/>
  <c r="E176" i="6"/>
  <c r="D176" i="6"/>
  <c r="C176" i="6"/>
  <c r="B176" i="6"/>
  <c r="A176" i="6"/>
  <c r="F175" i="6"/>
  <c r="E175" i="6"/>
  <c r="D175" i="6"/>
  <c r="C175" i="6"/>
  <c r="B175" i="6"/>
  <c r="A175" i="6"/>
  <c r="F174" i="6"/>
  <c r="E174" i="6"/>
  <c r="D174" i="6"/>
  <c r="C174" i="6"/>
  <c r="B174" i="6"/>
  <c r="A174" i="6"/>
  <c r="F173" i="6"/>
  <c r="E173" i="6"/>
  <c r="D173" i="6"/>
  <c r="C173" i="6"/>
  <c r="B173" i="6"/>
  <c r="A173" i="6"/>
  <c r="F172" i="6"/>
  <c r="E172" i="6"/>
  <c r="D172" i="6"/>
  <c r="C172" i="6"/>
  <c r="B172" i="6"/>
  <c r="A172" i="6"/>
  <c r="F171" i="6"/>
  <c r="E171" i="6"/>
  <c r="D171" i="6"/>
  <c r="C171" i="6"/>
  <c r="B171" i="6"/>
  <c r="A171" i="6"/>
  <c r="F170" i="6"/>
  <c r="E170" i="6"/>
  <c r="D170" i="6"/>
  <c r="C170" i="6"/>
  <c r="B170" i="6"/>
  <c r="A170" i="6"/>
  <c r="F169" i="6"/>
  <c r="E169" i="6"/>
  <c r="D169" i="6"/>
  <c r="C169" i="6"/>
  <c r="B169" i="6"/>
  <c r="A169" i="6"/>
  <c r="F168" i="6"/>
  <c r="E168" i="6"/>
  <c r="D168" i="6"/>
  <c r="C168" i="6"/>
  <c r="B168" i="6"/>
  <c r="A168" i="6"/>
  <c r="F167" i="6"/>
  <c r="E167" i="6"/>
  <c r="D167" i="6"/>
  <c r="C167" i="6"/>
  <c r="B167" i="6"/>
  <c r="A167" i="6"/>
  <c r="F166" i="6"/>
  <c r="E166" i="6"/>
  <c r="D166" i="6"/>
  <c r="C166" i="6"/>
  <c r="B166" i="6"/>
  <c r="A166" i="6"/>
  <c r="F165" i="6"/>
  <c r="E165" i="6"/>
  <c r="D165" i="6"/>
  <c r="C165" i="6"/>
  <c r="B165" i="6"/>
  <c r="A165" i="6"/>
  <c r="F164" i="6"/>
  <c r="E164" i="6"/>
  <c r="D164" i="6"/>
  <c r="C164" i="6"/>
  <c r="B164" i="6"/>
  <c r="A164" i="6"/>
  <c r="F163" i="6"/>
  <c r="E163" i="6"/>
  <c r="D163" i="6"/>
  <c r="C163" i="6"/>
  <c r="B163" i="6"/>
  <c r="A163" i="6"/>
  <c r="F162" i="6"/>
  <c r="E162" i="6"/>
  <c r="D162" i="6"/>
  <c r="C162" i="6"/>
  <c r="B162" i="6"/>
  <c r="A162" i="6"/>
  <c r="F161" i="6"/>
  <c r="E161" i="6"/>
  <c r="D161" i="6"/>
  <c r="C161" i="6"/>
  <c r="B161" i="6"/>
  <c r="A161" i="6"/>
  <c r="F160" i="6"/>
  <c r="E160" i="6"/>
  <c r="D160" i="6"/>
  <c r="C160" i="6"/>
  <c r="B160" i="6"/>
  <c r="A160" i="6"/>
  <c r="F159" i="6"/>
  <c r="E159" i="6"/>
  <c r="D159" i="6"/>
  <c r="C159" i="6"/>
  <c r="B159" i="6"/>
  <c r="A159" i="6"/>
  <c r="F158" i="6"/>
  <c r="E158" i="6"/>
  <c r="D158" i="6"/>
  <c r="C158" i="6"/>
  <c r="B158" i="6"/>
  <c r="A158" i="6"/>
  <c r="F157" i="6"/>
  <c r="E157" i="6"/>
  <c r="D157" i="6"/>
  <c r="C157" i="6"/>
  <c r="B157" i="6"/>
  <c r="A157" i="6"/>
  <c r="F156" i="6"/>
  <c r="E156" i="6"/>
  <c r="D156" i="6"/>
  <c r="C156" i="6"/>
  <c r="B156" i="6"/>
  <c r="A156" i="6"/>
  <c r="F155" i="6"/>
  <c r="E155" i="6"/>
  <c r="D155" i="6"/>
  <c r="C155" i="6"/>
  <c r="B155" i="6"/>
  <c r="A155" i="6"/>
  <c r="F154" i="6"/>
  <c r="E154" i="6"/>
  <c r="D154" i="6"/>
  <c r="C154" i="6"/>
  <c r="B154" i="6"/>
  <c r="A154" i="6"/>
  <c r="F153" i="6"/>
  <c r="E153" i="6"/>
  <c r="D153" i="6"/>
  <c r="C153" i="6"/>
  <c r="B153" i="6"/>
  <c r="A153" i="6"/>
  <c r="F152" i="6"/>
  <c r="E152" i="6"/>
  <c r="D152" i="6"/>
  <c r="C152" i="6"/>
  <c r="B152" i="6"/>
  <c r="A152" i="6"/>
  <c r="F151" i="6"/>
  <c r="E151" i="6"/>
  <c r="D151" i="6"/>
  <c r="C151" i="6"/>
  <c r="B151" i="6"/>
  <c r="A151" i="6"/>
  <c r="F150" i="6"/>
  <c r="E150" i="6"/>
  <c r="D150" i="6"/>
  <c r="C150" i="6"/>
  <c r="B150" i="6"/>
  <c r="A150" i="6"/>
  <c r="F149" i="6"/>
  <c r="E149" i="6"/>
  <c r="D149" i="6"/>
  <c r="C149" i="6"/>
  <c r="B149" i="6"/>
  <c r="A149" i="6"/>
  <c r="F148" i="6"/>
  <c r="E148" i="6"/>
  <c r="D148" i="6"/>
  <c r="C148" i="6"/>
  <c r="B148" i="6"/>
  <c r="A148" i="6"/>
  <c r="F147" i="6"/>
  <c r="E147" i="6"/>
  <c r="D147" i="6"/>
  <c r="C147" i="6"/>
  <c r="B147" i="6"/>
  <c r="A147" i="6"/>
  <c r="F146" i="6"/>
  <c r="E146" i="6"/>
  <c r="D146" i="6"/>
  <c r="C146" i="6"/>
  <c r="B146" i="6"/>
  <c r="A146" i="6"/>
  <c r="F145" i="6"/>
  <c r="E145" i="6"/>
  <c r="D145" i="6"/>
  <c r="C145" i="6"/>
  <c r="B145" i="6"/>
  <c r="A145" i="6"/>
  <c r="F144" i="6"/>
  <c r="E144" i="6"/>
  <c r="D144" i="6"/>
  <c r="C144" i="6"/>
  <c r="B144" i="6"/>
  <c r="A144" i="6"/>
  <c r="F143" i="6"/>
  <c r="E143" i="6"/>
  <c r="D143" i="6"/>
  <c r="C143" i="6"/>
  <c r="B143" i="6"/>
  <c r="A143" i="6"/>
  <c r="F142" i="6"/>
  <c r="E142" i="6"/>
  <c r="D142" i="6"/>
  <c r="C142" i="6"/>
  <c r="B142" i="6"/>
  <c r="A142" i="6"/>
  <c r="F141" i="6"/>
  <c r="E141" i="6"/>
  <c r="D141" i="6"/>
  <c r="C141" i="6"/>
  <c r="B141" i="6"/>
  <c r="A141" i="6"/>
  <c r="F140" i="6"/>
  <c r="E140" i="6"/>
  <c r="D140" i="6"/>
  <c r="C140" i="6"/>
  <c r="B140" i="6"/>
  <c r="A140" i="6"/>
  <c r="F139" i="6"/>
  <c r="E139" i="6"/>
  <c r="D139" i="6"/>
  <c r="C139" i="6"/>
  <c r="B139" i="6"/>
  <c r="A139" i="6"/>
  <c r="F138" i="6"/>
  <c r="E138" i="6"/>
  <c r="D138" i="6"/>
  <c r="C138" i="6"/>
  <c r="B138" i="6"/>
  <c r="A138" i="6"/>
  <c r="F137" i="6"/>
  <c r="E137" i="6"/>
  <c r="D137" i="6"/>
  <c r="C137" i="6"/>
  <c r="B137" i="6"/>
  <c r="A137" i="6"/>
  <c r="F136" i="6"/>
  <c r="E136" i="6"/>
  <c r="D136" i="6"/>
  <c r="C136" i="6"/>
  <c r="B136" i="6"/>
  <c r="A136" i="6"/>
  <c r="F135" i="6"/>
  <c r="E135" i="6"/>
  <c r="D135" i="6"/>
  <c r="C135" i="6"/>
  <c r="B135" i="6"/>
  <c r="A135" i="6"/>
  <c r="F134" i="6"/>
  <c r="E134" i="6"/>
  <c r="D134" i="6"/>
  <c r="C134" i="6"/>
  <c r="B134" i="6"/>
  <c r="A134" i="6"/>
  <c r="F133" i="6"/>
  <c r="E133" i="6"/>
  <c r="D133" i="6"/>
  <c r="C133" i="6"/>
  <c r="B133" i="6"/>
  <c r="A133" i="6"/>
  <c r="F132" i="6"/>
  <c r="E132" i="6"/>
  <c r="D132" i="6"/>
  <c r="C132" i="6"/>
  <c r="B132" i="6"/>
  <c r="A132" i="6"/>
  <c r="F131" i="6"/>
  <c r="E131" i="6"/>
  <c r="D131" i="6"/>
  <c r="C131" i="6"/>
  <c r="B131" i="6"/>
  <c r="A131" i="6"/>
  <c r="F130" i="6"/>
  <c r="E130" i="6"/>
  <c r="D130" i="6"/>
  <c r="C130" i="6"/>
  <c r="B130" i="6"/>
  <c r="A130" i="6"/>
  <c r="F129" i="6"/>
  <c r="E129" i="6"/>
  <c r="D129" i="6"/>
  <c r="C129" i="6"/>
  <c r="B129" i="6"/>
  <c r="A129" i="6"/>
  <c r="F128" i="6"/>
  <c r="E128" i="6"/>
  <c r="D128" i="6"/>
  <c r="C128" i="6"/>
  <c r="B128" i="6"/>
  <c r="A128" i="6"/>
  <c r="F127" i="6"/>
  <c r="E127" i="6"/>
  <c r="D127" i="6"/>
  <c r="C127" i="6"/>
  <c r="B127" i="6"/>
  <c r="A127" i="6"/>
  <c r="F126" i="6"/>
  <c r="E126" i="6"/>
  <c r="D126" i="6"/>
  <c r="C126" i="6"/>
  <c r="B126" i="6"/>
  <c r="A126" i="6"/>
  <c r="F125" i="6"/>
  <c r="E125" i="6"/>
  <c r="D125" i="6"/>
  <c r="C125" i="6"/>
  <c r="B125" i="6"/>
  <c r="A125" i="6"/>
  <c r="F124" i="6"/>
  <c r="E124" i="6"/>
  <c r="D124" i="6"/>
  <c r="C124" i="6"/>
  <c r="B124" i="6"/>
  <c r="A124" i="6"/>
  <c r="F123" i="6"/>
  <c r="E123" i="6"/>
  <c r="D123" i="6"/>
  <c r="C123" i="6"/>
  <c r="B123" i="6"/>
  <c r="A123" i="6"/>
  <c r="F122" i="6"/>
  <c r="E122" i="6"/>
  <c r="D122" i="6"/>
  <c r="C122" i="6"/>
  <c r="B122" i="6"/>
  <c r="A122" i="6"/>
  <c r="F121" i="6"/>
  <c r="E121" i="6"/>
  <c r="D121" i="6"/>
  <c r="C121" i="6"/>
  <c r="B121" i="6"/>
  <c r="A121" i="6"/>
  <c r="F120" i="6"/>
  <c r="E120" i="6"/>
  <c r="D120" i="6"/>
  <c r="C120" i="6"/>
  <c r="B120" i="6"/>
  <c r="A120" i="6"/>
  <c r="F119" i="6"/>
  <c r="E119" i="6"/>
  <c r="D119" i="6"/>
  <c r="C119" i="6"/>
  <c r="B119" i="6"/>
  <c r="A119" i="6"/>
  <c r="F118" i="6"/>
  <c r="E118" i="6"/>
  <c r="D118" i="6"/>
  <c r="C118" i="6"/>
  <c r="B118" i="6"/>
  <c r="A118" i="6"/>
  <c r="F117" i="6"/>
  <c r="E117" i="6"/>
  <c r="D117" i="6"/>
  <c r="C117" i="6"/>
  <c r="B117" i="6"/>
  <c r="A117" i="6"/>
  <c r="F116" i="6"/>
  <c r="E116" i="6"/>
  <c r="D116" i="6"/>
  <c r="C116" i="6"/>
  <c r="B116" i="6"/>
  <c r="A116" i="6"/>
  <c r="F115" i="6"/>
  <c r="E115" i="6"/>
  <c r="D115" i="6"/>
  <c r="C115" i="6"/>
  <c r="B115" i="6"/>
  <c r="A115" i="6"/>
  <c r="F114" i="6"/>
  <c r="E114" i="6"/>
  <c r="D114" i="6"/>
  <c r="C114" i="6"/>
  <c r="B114" i="6"/>
  <c r="A114" i="6"/>
  <c r="F113" i="6"/>
  <c r="E113" i="6"/>
  <c r="D113" i="6"/>
  <c r="C113" i="6"/>
  <c r="B113" i="6"/>
  <c r="A113" i="6"/>
  <c r="F112" i="6"/>
  <c r="E112" i="6"/>
  <c r="D112" i="6"/>
  <c r="C112" i="6"/>
  <c r="B112" i="6"/>
  <c r="A112" i="6"/>
  <c r="F111" i="6"/>
  <c r="E111" i="6"/>
  <c r="D111" i="6"/>
  <c r="C111" i="6"/>
  <c r="B111" i="6"/>
  <c r="A111" i="6"/>
  <c r="F110" i="6"/>
  <c r="E110" i="6"/>
  <c r="D110" i="6"/>
  <c r="C110" i="6"/>
  <c r="B110" i="6"/>
  <c r="A110" i="6"/>
  <c r="F109" i="6"/>
  <c r="E109" i="6"/>
  <c r="D109" i="6"/>
  <c r="C109" i="6"/>
  <c r="B109" i="6"/>
  <c r="A109" i="6"/>
  <c r="F108" i="6"/>
  <c r="E108" i="6"/>
  <c r="D108" i="6"/>
  <c r="C108" i="6"/>
  <c r="B108" i="6"/>
  <c r="A108" i="6"/>
  <c r="F107" i="6"/>
  <c r="E107" i="6"/>
  <c r="D107" i="6"/>
  <c r="C107" i="6"/>
  <c r="B107" i="6"/>
  <c r="A107" i="6"/>
  <c r="F106" i="6"/>
  <c r="E106" i="6"/>
  <c r="D106" i="6"/>
  <c r="C106" i="6"/>
  <c r="B106" i="6"/>
  <c r="A106" i="6"/>
  <c r="F105" i="6"/>
  <c r="E105" i="6"/>
  <c r="D105" i="6"/>
  <c r="C105" i="6"/>
  <c r="B105" i="6"/>
  <c r="A105" i="6"/>
  <c r="F104" i="6"/>
  <c r="E104" i="6"/>
  <c r="D104" i="6"/>
  <c r="C104" i="6"/>
  <c r="B104" i="6"/>
  <c r="A104" i="6"/>
  <c r="F103" i="6"/>
  <c r="E103" i="6"/>
  <c r="D103" i="6"/>
  <c r="C103" i="6"/>
  <c r="B103" i="6"/>
  <c r="A103" i="6"/>
  <c r="F102" i="6"/>
  <c r="E102" i="6"/>
  <c r="D102" i="6"/>
  <c r="C102" i="6"/>
  <c r="B102" i="6"/>
  <c r="A102" i="6"/>
  <c r="F101" i="6"/>
  <c r="E101" i="6"/>
  <c r="D101" i="6"/>
  <c r="C101" i="6"/>
  <c r="B101" i="6"/>
  <c r="A101" i="6"/>
  <c r="F100" i="6"/>
  <c r="E100" i="6"/>
  <c r="D100" i="6"/>
  <c r="C100" i="6"/>
  <c r="B100" i="6"/>
  <c r="A100" i="6"/>
  <c r="F99" i="6"/>
  <c r="E99" i="6"/>
  <c r="D99" i="6"/>
  <c r="C99" i="6"/>
  <c r="B99" i="6"/>
  <c r="A99" i="6"/>
  <c r="F98" i="6"/>
  <c r="E98" i="6"/>
  <c r="D98" i="6"/>
  <c r="C98" i="6"/>
  <c r="B98" i="6"/>
  <c r="A98" i="6"/>
  <c r="F97" i="6"/>
  <c r="E97" i="6"/>
  <c r="D97" i="6"/>
  <c r="C97" i="6"/>
  <c r="B97" i="6"/>
  <c r="A97" i="6"/>
  <c r="F96" i="6"/>
  <c r="E96" i="6"/>
  <c r="D96" i="6"/>
  <c r="C96" i="6"/>
  <c r="B96" i="6"/>
  <c r="A96" i="6"/>
  <c r="F95" i="6"/>
  <c r="E95" i="6"/>
  <c r="D95" i="6"/>
  <c r="C95" i="6"/>
  <c r="B95" i="6"/>
  <c r="A95" i="6"/>
  <c r="F94" i="6"/>
  <c r="E94" i="6"/>
  <c r="D94" i="6"/>
  <c r="C94" i="6"/>
  <c r="B94" i="6"/>
  <c r="A94" i="6"/>
  <c r="F93" i="6"/>
  <c r="E93" i="6"/>
  <c r="D93" i="6"/>
  <c r="C93" i="6"/>
  <c r="B93" i="6"/>
  <c r="A93" i="6"/>
  <c r="F92" i="6"/>
  <c r="E92" i="6"/>
  <c r="D92" i="6"/>
  <c r="C92" i="6"/>
  <c r="B92" i="6"/>
  <c r="A92" i="6"/>
  <c r="F91" i="6"/>
  <c r="E91" i="6"/>
  <c r="D91" i="6"/>
  <c r="C91" i="6"/>
  <c r="B91" i="6"/>
  <c r="A91" i="6"/>
  <c r="F90" i="6"/>
  <c r="E90" i="6"/>
  <c r="D90" i="6"/>
  <c r="C90" i="6"/>
  <c r="B90" i="6"/>
  <c r="A90" i="6"/>
  <c r="F89" i="6"/>
  <c r="E89" i="6"/>
  <c r="D89" i="6"/>
  <c r="C89" i="6"/>
  <c r="B89" i="6"/>
  <c r="A89" i="6"/>
  <c r="F88" i="6"/>
  <c r="E88" i="6"/>
  <c r="D88" i="6"/>
  <c r="C88" i="6"/>
  <c r="B88" i="6"/>
  <c r="A88" i="6"/>
  <c r="F87" i="6"/>
  <c r="E87" i="6"/>
  <c r="D87" i="6"/>
  <c r="C87" i="6"/>
  <c r="B87" i="6"/>
  <c r="A87" i="6"/>
  <c r="F86" i="6"/>
  <c r="E86" i="6"/>
  <c r="D86" i="6"/>
  <c r="C86" i="6"/>
  <c r="B86" i="6"/>
  <c r="A86" i="6"/>
  <c r="F85" i="6"/>
  <c r="E85" i="6"/>
  <c r="D85" i="6"/>
  <c r="C85" i="6"/>
  <c r="B85" i="6"/>
  <c r="A85" i="6"/>
  <c r="F84" i="6"/>
  <c r="E84" i="6"/>
  <c r="D84" i="6"/>
  <c r="C84" i="6"/>
  <c r="B84" i="6"/>
  <c r="A84" i="6"/>
  <c r="F83" i="6"/>
  <c r="E83" i="6"/>
  <c r="D83" i="6"/>
  <c r="C83" i="6"/>
  <c r="B83" i="6"/>
  <c r="A83" i="6"/>
  <c r="F82" i="6"/>
  <c r="E82" i="6"/>
  <c r="D82" i="6"/>
  <c r="C82" i="6"/>
  <c r="B82" i="6"/>
  <c r="A82" i="6"/>
  <c r="F81" i="6"/>
  <c r="E81" i="6"/>
  <c r="D81" i="6"/>
  <c r="C81" i="6"/>
  <c r="B81" i="6"/>
  <c r="A81" i="6"/>
  <c r="F80" i="6"/>
  <c r="E80" i="6"/>
  <c r="D80" i="6"/>
  <c r="C80" i="6"/>
  <c r="B80" i="6"/>
  <c r="A80" i="6"/>
  <c r="F79" i="6"/>
  <c r="E79" i="6"/>
  <c r="D79" i="6"/>
  <c r="C79" i="6"/>
  <c r="B79" i="6"/>
  <c r="A79" i="6"/>
  <c r="F78" i="6"/>
  <c r="E78" i="6"/>
  <c r="D78" i="6"/>
  <c r="C78" i="6"/>
  <c r="B78" i="6"/>
  <c r="A78" i="6"/>
  <c r="F77" i="6"/>
  <c r="E77" i="6"/>
  <c r="D77" i="6"/>
  <c r="C77" i="6"/>
  <c r="B77" i="6"/>
  <c r="A77" i="6"/>
  <c r="F76" i="6"/>
  <c r="E76" i="6"/>
  <c r="D76" i="6"/>
  <c r="C76" i="6"/>
  <c r="B76" i="6"/>
  <c r="A76" i="6"/>
  <c r="F75" i="6"/>
  <c r="E75" i="6"/>
  <c r="D75" i="6"/>
  <c r="C75" i="6"/>
  <c r="B75" i="6"/>
  <c r="A75" i="6"/>
  <c r="F74" i="6"/>
  <c r="E74" i="6"/>
  <c r="D74" i="6"/>
  <c r="C74" i="6"/>
  <c r="B74" i="6"/>
  <c r="A74" i="6"/>
  <c r="F73" i="6"/>
  <c r="E73" i="6"/>
  <c r="D73" i="6"/>
  <c r="C73" i="6"/>
  <c r="B73" i="6"/>
  <c r="A73" i="6"/>
  <c r="F72" i="6"/>
  <c r="E72" i="6"/>
  <c r="D72" i="6"/>
  <c r="C72" i="6"/>
  <c r="B72" i="6"/>
  <c r="A72" i="6"/>
  <c r="F71" i="6"/>
  <c r="E71" i="6"/>
  <c r="D71" i="6"/>
  <c r="C71" i="6"/>
  <c r="B71" i="6"/>
  <c r="A71" i="6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F61" i="6"/>
  <c r="E61" i="6"/>
  <c r="D61" i="6"/>
  <c r="C61" i="6"/>
  <c r="B61" i="6"/>
  <c r="A61" i="6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F50" i="6"/>
  <c r="E50" i="6"/>
  <c r="D50" i="6"/>
  <c r="C50" i="6"/>
  <c r="B50" i="6"/>
  <c r="A50" i="6"/>
  <c r="F49" i="6"/>
  <c r="E49" i="6"/>
  <c r="D49" i="6"/>
  <c r="C49" i="6"/>
  <c r="B49" i="6"/>
  <c r="A49" i="6"/>
  <c r="F48" i="6"/>
  <c r="E48" i="6"/>
  <c r="D48" i="6"/>
  <c r="C48" i="6"/>
  <c r="B48" i="6"/>
  <c r="A48" i="6"/>
  <c r="F47" i="6"/>
  <c r="E47" i="6"/>
  <c r="D47" i="6"/>
  <c r="C47" i="6"/>
  <c r="B47" i="6"/>
  <c r="A47" i="6"/>
  <c r="F46" i="6"/>
  <c r="E46" i="6"/>
  <c r="D46" i="6"/>
  <c r="C46" i="6"/>
  <c r="B46" i="6"/>
  <c r="A46" i="6"/>
  <c r="F45" i="6"/>
  <c r="E45" i="6"/>
  <c r="D45" i="6"/>
  <c r="C45" i="6"/>
  <c r="B45" i="6"/>
  <c r="A45" i="6"/>
  <c r="F44" i="6"/>
  <c r="E44" i="6"/>
  <c r="D44" i="6"/>
  <c r="C44" i="6"/>
  <c r="B44" i="6"/>
  <c r="A44" i="6"/>
  <c r="F43" i="6"/>
  <c r="E43" i="6"/>
  <c r="D43" i="6"/>
  <c r="C43" i="6"/>
  <c r="B43" i="6"/>
  <c r="A43" i="6"/>
  <c r="F42" i="6"/>
  <c r="E42" i="6"/>
  <c r="D42" i="6"/>
  <c r="C42" i="6"/>
  <c r="B42" i="6"/>
  <c r="A42" i="6"/>
  <c r="F41" i="6"/>
  <c r="E41" i="6"/>
  <c r="D41" i="6"/>
  <c r="C41" i="6"/>
  <c r="B41" i="6"/>
  <c r="A41" i="6"/>
  <c r="F40" i="6"/>
  <c r="E40" i="6"/>
  <c r="D40" i="6"/>
  <c r="C40" i="6"/>
  <c r="B40" i="6"/>
  <c r="A40" i="6"/>
  <c r="F39" i="6"/>
  <c r="E39" i="6"/>
  <c r="D39" i="6"/>
  <c r="C39" i="6"/>
  <c r="B39" i="6"/>
  <c r="A39" i="6"/>
  <c r="F38" i="6"/>
  <c r="E38" i="6"/>
  <c r="D38" i="6"/>
  <c r="C38" i="6"/>
  <c r="B38" i="6"/>
  <c r="A38" i="6"/>
  <c r="F37" i="6"/>
  <c r="E37" i="6"/>
  <c r="D37" i="6"/>
  <c r="C37" i="6"/>
  <c r="B37" i="6"/>
  <c r="A37" i="6"/>
  <c r="F36" i="6"/>
  <c r="E36" i="6"/>
  <c r="D36" i="6"/>
  <c r="C36" i="6"/>
  <c r="B36" i="6"/>
  <c r="A36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E33" i="6"/>
  <c r="D33" i="6"/>
  <c r="C33" i="6"/>
  <c r="B33" i="6"/>
  <c r="A33" i="6"/>
  <c r="F32" i="6"/>
  <c r="E32" i="6"/>
  <c r="D32" i="6"/>
  <c r="C32" i="6"/>
  <c r="B32" i="6"/>
  <c r="A32" i="6"/>
  <c r="F31" i="6"/>
  <c r="E31" i="6"/>
  <c r="D31" i="6"/>
  <c r="C31" i="6"/>
  <c r="B31" i="6"/>
  <c r="A31" i="6"/>
  <c r="F30" i="6"/>
  <c r="E30" i="6"/>
  <c r="D30" i="6"/>
  <c r="C30" i="6"/>
  <c r="B30" i="6"/>
  <c r="A30" i="6"/>
  <c r="F29" i="6"/>
  <c r="E29" i="6"/>
  <c r="D29" i="6"/>
  <c r="C29" i="6"/>
  <c r="B29" i="6"/>
  <c r="A29" i="6"/>
  <c r="F28" i="6"/>
  <c r="E28" i="6"/>
  <c r="D28" i="6"/>
  <c r="C28" i="6"/>
  <c r="B28" i="6"/>
  <c r="A28" i="6"/>
  <c r="F27" i="6"/>
  <c r="E27" i="6"/>
  <c r="D27" i="6"/>
  <c r="C27" i="6"/>
  <c r="B27" i="6"/>
  <c r="A27" i="6"/>
  <c r="F26" i="6"/>
  <c r="E26" i="6"/>
  <c r="D26" i="6"/>
  <c r="C26" i="6"/>
  <c r="B26" i="6"/>
  <c r="A26" i="6"/>
  <c r="F25" i="6"/>
  <c r="E25" i="6"/>
  <c r="D25" i="6"/>
  <c r="C25" i="6"/>
  <c r="B25" i="6"/>
  <c r="A25" i="6"/>
  <c r="F24" i="6"/>
  <c r="E24" i="6"/>
  <c r="D24" i="6"/>
  <c r="C24" i="6"/>
  <c r="B24" i="6"/>
  <c r="A24" i="6"/>
  <c r="F23" i="6"/>
  <c r="E23" i="6"/>
  <c r="D23" i="6"/>
  <c r="C23" i="6"/>
  <c r="B23" i="6"/>
  <c r="A23" i="6"/>
  <c r="F22" i="6"/>
  <c r="E22" i="6"/>
  <c r="D22" i="6"/>
  <c r="C22" i="6"/>
  <c r="B22" i="6"/>
  <c r="A22" i="6"/>
  <c r="F21" i="6"/>
  <c r="E21" i="6"/>
  <c r="D21" i="6"/>
  <c r="C21" i="6"/>
  <c r="B21" i="6"/>
  <c r="A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3" i="6"/>
  <c r="E3" i="6"/>
  <c r="D3" i="6"/>
  <c r="C3" i="6"/>
  <c r="B3" i="6"/>
  <c r="A3" i="6"/>
  <c r="F2" i="6"/>
  <c r="E2" i="6"/>
  <c r="D2" i="6"/>
  <c r="C2" i="6"/>
  <c r="B2" i="6"/>
  <c r="A2" i="6"/>
  <c r="F1" i="6"/>
  <c r="E1" i="6"/>
  <c r="D1" i="6"/>
  <c r="C1" i="6"/>
  <c r="B1" i="6"/>
  <c r="A1" i="6"/>
  <c r="F888" i="5"/>
  <c r="E888" i="5"/>
  <c r="D888" i="5"/>
  <c r="C888" i="5"/>
  <c r="B888" i="5"/>
  <c r="A888" i="5"/>
  <c r="F887" i="5"/>
  <c r="E887" i="5"/>
  <c r="D887" i="5"/>
  <c r="C887" i="5"/>
  <c r="B887" i="5"/>
  <c r="A887" i="5"/>
  <c r="F886" i="5"/>
  <c r="E886" i="5"/>
  <c r="D886" i="5"/>
  <c r="C886" i="5"/>
  <c r="B886" i="5"/>
  <c r="A886" i="5"/>
  <c r="F885" i="5"/>
  <c r="E885" i="5"/>
  <c r="D885" i="5"/>
  <c r="C885" i="5"/>
  <c r="B885" i="5"/>
  <c r="A885" i="5"/>
  <c r="F884" i="5"/>
  <c r="E884" i="5"/>
  <c r="D884" i="5"/>
  <c r="C884" i="5"/>
  <c r="B884" i="5"/>
  <c r="A884" i="5"/>
  <c r="F883" i="5"/>
  <c r="E883" i="5"/>
  <c r="D883" i="5"/>
  <c r="C883" i="5"/>
  <c r="B883" i="5"/>
  <c r="A883" i="5"/>
  <c r="F882" i="5"/>
  <c r="E882" i="5"/>
  <c r="D882" i="5"/>
  <c r="C882" i="5"/>
  <c r="B882" i="5"/>
  <c r="A882" i="5"/>
  <c r="F881" i="5"/>
  <c r="E881" i="5"/>
  <c r="D881" i="5"/>
  <c r="C881" i="5"/>
  <c r="B881" i="5"/>
  <c r="A881" i="5"/>
  <c r="F880" i="5"/>
  <c r="E880" i="5"/>
  <c r="D880" i="5"/>
  <c r="C880" i="5"/>
  <c r="B880" i="5"/>
  <c r="A880" i="5"/>
  <c r="F879" i="5"/>
  <c r="E879" i="5"/>
  <c r="D879" i="5"/>
  <c r="C879" i="5"/>
  <c r="B879" i="5"/>
  <c r="A879" i="5"/>
  <c r="F878" i="5"/>
  <c r="E878" i="5"/>
  <c r="D878" i="5"/>
  <c r="C878" i="5"/>
  <c r="B878" i="5"/>
  <c r="A878" i="5"/>
  <c r="F877" i="5"/>
  <c r="E877" i="5"/>
  <c r="D877" i="5"/>
  <c r="C877" i="5"/>
  <c r="B877" i="5"/>
  <c r="A877" i="5"/>
  <c r="F876" i="5"/>
  <c r="E876" i="5"/>
  <c r="D876" i="5"/>
  <c r="C876" i="5"/>
  <c r="B876" i="5"/>
  <c r="A876" i="5"/>
  <c r="F875" i="5"/>
  <c r="E875" i="5"/>
  <c r="D875" i="5"/>
  <c r="C875" i="5"/>
  <c r="B875" i="5"/>
  <c r="A875" i="5"/>
  <c r="F874" i="5"/>
  <c r="E874" i="5"/>
  <c r="D874" i="5"/>
  <c r="C874" i="5"/>
  <c r="B874" i="5"/>
  <c r="A874" i="5"/>
  <c r="F873" i="5"/>
  <c r="E873" i="5"/>
  <c r="D873" i="5"/>
  <c r="C873" i="5"/>
  <c r="B873" i="5"/>
  <c r="A873" i="5"/>
  <c r="F872" i="5"/>
  <c r="E872" i="5"/>
  <c r="D872" i="5"/>
  <c r="C872" i="5"/>
  <c r="B872" i="5"/>
  <c r="A872" i="5"/>
  <c r="F871" i="5"/>
  <c r="E871" i="5"/>
  <c r="D871" i="5"/>
  <c r="C871" i="5"/>
  <c r="B871" i="5"/>
  <c r="A871" i="5"/>
  <c r="F870" i="5"/>
  <c r="E870" i="5"/>
  <c r="D870" i="5"/>
  <c r="C870" i="5"/>
  <c r="B870" i="5"/>
  <c r="A870" i="5"/>
  <c r="F869" i="5"/>
  <c r="E869" i="5"/>
  <c r="D869" i="5"/>
  <c r="C869" i="5"/>
  <c r="B869" i="5"/>
  <c r="A869" i="5"/>
  <c r="F868" i="5"/>
  <c r="E868" i="5"/>
  <c r="D868" i="5"/>
  <c r="C868" i="5"/>
  <c r="B868" i="5"/>
  <c r="A868" i="5"/>
  <c r="F867" i="5"/>
  <c r="E867" i="5"/>
  <c r="D867" i="5"/>
  <c r="C867" i="5"/>
  <c r="B867" i="5"/>
  <c r="A867" i="5"/>
  <c r="F866" i="5"/>
  <c r="E866" i="5"/>
  <c r="D866" i="5"/>
  <c r="C866" i="5"/>
  <c r="B866" i="5"/>
  <c r="A866" i="5"/>
  <c r="F865" i="5"/>
  <c r="E865" i="5"/>
  <c r="D865" i="5"/>
  <c r="C865" i="5"/>
  <c r="B865" i="5"/>
  <c r="A865" i="5"/>
  <c r="F864" i="5"/>
  <c r="E864" i="5"/>
  <c r="D864" i="5"/>
  <c r="C864" i="5"/>
  <c r="B864" i="5"/>
  <c r="A864" i="5"/>
  <c r="F863" i="5"/>
  <c r="E863" i="5"/>
  <c r="D863" i="5"/>
  <c r="C863" i="5"/>
  <c r="B863" i="5"/>
  <c r="A863" i="5"/>
  <c r="F862" i="5"/>
  <c r="E862" i="5"/>
  <c r="D862" i="5"/>
  <c r="C862" i="5"/>
  <c r="B862" i="5"/>
  <c r="A862" i="5"/>
  <c r="F861" i="5"/>
  <c r="E861" i="5"/>
  <c r="D861" i="5"/>
  <c r="C861" i="5"/>
  <c r="B861" i="5"/>
  <c r="A861" i="5"/>
  <c r="F860" i="5"/>
  <c r="E860" i="5"/>
  <c r="D860" i="5"/>
  <c r="C860" i="5"/>
  <c r="B860" i="5"/>
  <c r="A860" i="5"/>
  <c r="F859" i="5"/>
  <c r="E859" i="5"/>
  <c r="D859" i="5"/>
  <c r="C859" i="5"/>
  <c r="B859" i="5"/>
  <c r="A859" i="5"/>
  <c r="F858" i="5"/>
  <c r="E858" i="5"/>
  <c r="D858" i="5"/>
  <c r="C858" i="5"/>
  <c r="B858" i="5"/>
  <c r="A858" i="5"/>
  <c r="F857" i="5"/>
  <c r="E857" i="5"/>
  <c r="D857" i="5"/>
  <c r="C857" i="5"/>
  <c r="B857" i="5"/>
  <c r="A857" i="5"/>
  <c r="F856" i="5"/>
  <c r="E856" i="5"/>
  <c r="D856" i="5"/>
  <c r="C856" i="5"/>
  <c r="B856" i="5"/>
  <c r="A856" i="5"/>
  <c r="F855" i="5"/>
  <c r="E855" i="5"/>
  <c r="D855" i="5"/>
  <c r="C855" i="5"/>
  <c r="B855" i="5"/>
  <c r="A855" i="5"/>
  <c r="F854" i="5"/>
  <c r="E854" i="5"/>
  <c r="D854" i="5"/>
  <c r="C854" i="5"/>
  <c r="B854" i="5"/>
  <c r="A854" i="5"/>
  <c r="F853" i="5"/>
  <c r="E853" i="5"/>
  <c r="D853" i="5"/>
  <c r="C853" i="5"/>
  <c r="B853" i="5"/>
  <c r="A853" i="5"/>
  <c r="F852" i="5"/>
  <c r="E852" i="5"/>
  <c r="D852" i="5"/>
  <c r="C852" i="5"/>
  <c r="B852" i="5"/>
  <c r="A852" i="5"/>
  <c r="F851" i="5"/>
  <c r="E851" i="5"/>
  <c r="D851" i="5"/>
  <c r="C851" i="5"/>
  <c r="B851" i="5"/>
  <c r="A851" i="5"/>
  <c r="F850" i="5"/>
  <c r="E850" i="5"/>
  <c r="D850" i="5"/>
  <c r="C850" i="5"/>
  <c r="B850" i="5"/>
  <c r="A850" i="5"/>
  <c r="F849" i="5"/>
  <c r="E849" i="5"/>
  <c r="D849" i="5"/>
  <c r="C849" i="5"/>
  <c r="B849" i="5"/>
  <c r="A849" i="5"/>
  <c r="F848" i="5"/>
  <c r="E848" i="5"/>
  <c r="D848" i="5"/>
  <c r="C848" i="5"/>
  <c r="B848" i="5"/>
  <c r="A848" i="5"/>
  <c r="F847" i="5"/>
  <c r="E847" i="5"/>
  <c r="D847" i="5"/>
  <c r="C847" i="5"/>
  <c r="B847" i="5"/>
  <c r="A847" i="5"/>
  <c r="F846" i="5"/>
  <c r="E846" i="5"/>
  <c r="D846" i="5"/>
  <c r="C846" i="5"/>
  <c r="B846" i="5"/>
  <c r="A846" i="5"/>
  <c r="F845" i="5"/>
  <c r="E845" i="5"/>
  <c r="D845" i="5"/>
  <c r="C845" i="5"/>
  <c r="B845" i="5"/>
  <c r="A845" i="5"/>
  <c r="F844" i="5"/>
  <c r="E844" i="5"/>
  <c r="D844" i="5"/>
  <c r="C844" i="5"/>
  <c r="B844" i="5"/>
  <c r="A844" i="5"/>
  <c r="F843" i="5"/>
  <c r="E843" i="5"/>
  <c r="D843" i="5"/>
  <c r="C843" i="5"/>
  <c r="B843" i="5"/>
  <c r="A843" i="5"/>
  <c r="F842" i="5"/>
  <c r="E842" i="5"/>
  <c r="D842" i="5"/>
  <c r="C842" i="5"/>
  <c r="B842" i="5"/>
  <c r="A842" i="5"/>
  <c r="F841" i="5"/>
  <c r="E841" i="5"/>
  <c r="D841" i="5"/>
  <c r="C841" i="5"/>
  <c r="B841" i="5"/>
  <c r="A841" i="5"/>
  <c r="F840" i="5"/>
  <c r="E840" i="5"/>
  <c r="D840" i="5"/>
  <c r="C840" i="5"/>
  <c r="B840" i="5"/>
  <c r="A840" i="5"/>
  <c r="F839" i="5"/>
  <c r="E839" i="5"/>
  <c r="D839" i="5"/>
  <c r="C839" i="5"/>
  <c r="B839" i="5"/>
  <c r="A839" i="5"/>
  <c r="F838" i="5"/>
  <c r="E838" i="5"/>
  <c r="D838" i="5"/>
  <c r="C838" i="5"/>
  <c r="B838" i="5"/>
  <c r="A838" i="5"/>
  <c r="F837" i="5"/>
  <c r="E837" i="5"/>
  <c r="D837" i="5"/>
  <c r="C837" i="5"/>
  <c r="B837" i="5"/>
  <c r="A837" i="5"/>
  <c r="F836" i="5"/>
  <c r="E836" i="5"/>
  <c r="D836" i="5"/>
  <c r="C836" i="5"/>
  <c r="B836" i="5"/>
  <c r="A836" i="5"/>
  <c r="F835" i="5"/>
  <c r="E835" i="5"/>
  <c r="D835" i="5"/>
  <c r="C835" i="5"/>
  <c r="B835" i="5"/>
  <c r="A835" i="5"/>
  <c r="F834" i="5"/>
  <c r="E834" i="5"/>
  <c r="D834" i="5"/>
  <c r="C834" i="5"/>
  <c r="B834" i="5"/>
  <c r="A834" i="5"/>
  <c r="F833" i="5"/>
  <c r="E833" i="5"/>
  <c r="D833" i="5"/>
  <c r="C833" i="5"/>
  <c r="B833" i="5"/>
  <c r="A833" i="5"/>
  <c r="F832" i="5"/>
  <c r="E832" i="5"/>
  <c r="D832" i="5"/>
  <c r="C832" i="5"/>
  <c r="B832" i="5"/>
  <c r="A832" i="5"/>
  <c r="F831" i="5"/>
  <c r="E831" i="5"/>
  <c r="D831" i="5"/>
  <c r="C831" i="5"/>
  <c r="B831" i="5"/>
  <c r="A831" i="5"/>
  <c r="F830" i="5"/>
  <c r="E830" i="5"/>
  <c r="D830" i="5"/>
  <c r="C830" i="5"/>
  <c r="B830" i="5"/>
  <c r="A830" i="5"/>
  <c r="F829" i="5"/>
  <c r="E829" i="5"/>
  <c r="D829" i="5"/>
  <c r="C829" i="5"/>
  <c r="B829" i="5"/>
  <c r="A829" i="5"/>
  <c r="F828" i="5"/>
  <c r="E828" i="5"/>
  <c r="D828" i="5"/>
  <c r="C828" i="5"/>
  <c r="B828" i="5"/>
  <c r="A828" i="5"/>
  <c r="F827" i="5"/>
  <c r="E827" i="5"/>
  <c r="D827" i="5"/>
  <c r="C827" i="5"/>
  <c r="B827" i="5"/>
  <c r="A827" i="5"/>
  <c r="F826" i="5"/>
  <c r="E826" i="5"/>
  <c r="D826" i="5"/>
  <c r="C826" i="5"/>
  <c r="B826" i="5"/>
  <c r="A826" i="5"/>
  <c r="F825" i="5"/>
  <c r="E825" i="5"/>
  <c r="D825" i="5"/>
  <c r="C825" i="5"/>
  <c r="B825" i="5"/>
  <c r="A825" i="5"/>
  <c r="F824" i="5"/>
  <c r="E824" i="5"/>
  <c r="D824" i="5"/>
  <c r="C824" i="5"/>
  <c r="B824" i="5"/>
  <c r="A824" i="5"/>
  <c r="F823" i="5"/>
  <c r="E823" i="5"/>
  <c r="D823" i="5"/>
  <c r="C823" i="5"/>
  <c r="B823" i="5"/>
  <c r="A823" i="5"/>
  <c r="F822" i="5"/>
  <c r="E822" i="5"/>
  <c r="D822" i="5"/>
  <c r="C822" i="5"/>
  <c r="B822" i="5"/>
  <c r="A822" i="5"/>
  <c r="F821" i="5"/>
  <c r="E821" i="5"/>
  <c r="D821" i="5"/>
  <c r="C821" i="5"/>
  <c r="B821" i="5"/>
  <c r="A821" i="5"/>
  <c r="F820" i="5"/>
  <c r="E820" i="5"/>
  <c r="D820" i="5"/>
  <c r="C820" i="5"/>
  <c r="B820" i="5"/>
  <c r="A820" i="5"/>
  <c r="F819" i="5"/>
  <c r="E819" i="5"/>
  <c r="D819" i="5"/>
  <c r="C819" i="5"/>
  <c r="B819" i="5"/>
  <c r="A819" i="5"/>
  <c r="F818" i="5"/>
  <c r="E818" i="5"/>
  <c r="D818" i="5"/>
  <c r="C818" i="5"/>
  <c r="B818" i="5"/>
  <c r="A818" i="5"/>
  <c r="F817" i="5"/>
  <c r="E817" i="5"/>
  <c r="D817" i="5"/>
  <c r="C817" i="5"/>
  <c r="B817" i="5"/>
  <c r="A817" i="5"/>
  <c r="F816" i="5"/>
  <c r="E816" i="5"/>
  <c r="D816" i="5"/>
  <c r="C816" i="5"/>
  <c r="B816" i="5"/>
  <c r="A816" i="5"/>
  <c r="F815" i="5"/>
  <c r="E815" i="5"/>
  <c r="D815" i="5"/>
  <c r="C815" i="5"/>
  <c r="B815" i="5"/>
  <c r="A815" i="5"/>
  <c r="F814" i="5"/>
  <c r="E814" i="5"/>
  <c r="D814" i="5"/>
  <c r="C814" i="5"/>
  <c r="B814" i="5"/>
  <c r="A814" i="5"/>
  <c r="F813" i="5"/>
  <c r="E813" i="5"/>
  <c r="D813" i="5"/>
  <c r="C813" i="5"/>
  <c r="B813" i="5"/>
  <c r="A813" i="5"/>
  <c r="F812" i="5"/>
  <c r="E812" i="5"/>
  <c r="D812" i="5"/>
  <c r="C812" i="5"/>
  <c r="B812" i="5"/>
  <c r="A812" i="5"/>
  <c r="F811" i="5"/>
  <c r="E811" i="5"/>
  <c r="D811" i="5"/>
  <c r="C811" i="5"/>
  <c r="B811" i="5"/>
  <c r="A811" i="5"/>
  <c r="F810" i="5"/>
  <c r="E810" i="5"/>
  <c r="D810" i="5"/>
  <c r="C810" i="5"/>
  <c r="B810" i="5"/>
  <c r="A810" i="5"/>
  <c r="F809" i="5"/>
  <c r="E809" i="5"/>
  <c r="D809" i="5"/>
  <c r="C809" i="5"/>
  <c r="B809" i="5"/>
  <c r="A809" i="5"/>
  <c r="F808" i="5"/>
  <c r="E808" i="5"/>
  <c r="D808" i="5"/>
  <c r="C808" i="5"/>
  <c r="B808" i="5"/>
  <c r="A808" i="5"/>
  <c r="F807" i="5"/>
  <c r="E807" i="5"/>
  <c r="D807" i="5"/>
  <c r="C807" i="5"/>
  <c r="B807" i="5"/>
  <c r="A807" i="5"/>
  <c r="F806" i="5"/>
  <c r="E806" i="5"/>
  <c r="D806" i="5"/>
  <c r="C806" i="5"/>
  <c r="B806" i="5"/>
  <c r="A806" i="5"/>
  <c r="F805" i="5"/>
  <c r="E805" i="5"/>
  <c r="D805" i="5"/>
  <c r="C805" i="5"/>
  <c r="B805" i="5"/>
  <c r="A805" i="5"/>
  <c r="F804" i="5"/>
  <c r="E804" i="5"/>
  <c r="D804" i="5"/>
  <c r="C804" i="5"/>
  <c r="B804" i="5"/>
  <c r="A804" i="5"/>
  <c r="F803" i="5"/>
  <c r="E803" i="5"/>
  <c r="D803" i="5"/>
  <c r="C803" i="5"/>
  <c r="B803" i="5"/>
  <c r="A803" i="5"/>
  <c r="F802" i="5"/>
  <c r="E802" i="5"/>
  <c r="D802" i="5"/>
  <c r="C802" i="5"/>
  <c r="B802" i="5"/>
  <c r="A802" i="5"/>
  <c r="F801" i="5"/>
  <c r="E801" i="5"/>
  <c r="D801" i="5"/>
  <c r="C801" i="5"/>
  <c r="B801" i="5"/>
  <c r="A801" i="5"/>
  <c r="F800" i="5"/>
  <c r="E800" i="5"/>
  <c r="D800" i="5"/>
  <c r="C800" i="5"/>
  <c r="B800" i="5"/>
  <c r="A800" i="5"/>
  <c r="F799" i="5"/>
  <c r="E799" i="5"/>
  <c r="D799" i="5"/>
  <c r="C799" i="5"/>
  <c r="B799" i="5"/>
  <c r="A799" i="5"/>
  <c r="F798" i="5"/>
  <c r="E798" i="5"/>
  <c r="D798" i="5"/>
  <c r="C798" i="5"/>
  <c r="B798" i="5"/>
  <c r="A798" i="5"/>
  <c r="F797" i="5"/>
  <c r="E797" i="5"/>
  <c r="D797" i="5"/>
  <c r="C797" i="5"/>
  <c r="B797" i="5"/>
  <c r="A797" i="5"/>
  <c r="F796" i="5"/>
  <c r="E796" i="5"/>
  <c r="D796" i="5"/>
  <c r="C796" i="5"/>
  <c r="B796" i="5"/>
  <c r="A796" i="5"/>
  <c r="F795" i="5"/>
  <c r="E795" i="5"/>
  <c r="D795" i="5"/>
  <c r="C795" i="5"/>
  <c r="B795" i="5"/>
  <c r="A795" i="5"/>
  <c r="F794" i="5"/>
  <c r="E794" i="5"/>
  <c r="D794" i="5"/>
  <c r="C794" i="5"/>
  <c r="B794" i="5"/>
  <c r="A794" i="5"/>
  <c r="F793" i="5"/>
  <c r="E793" i="5"/>
  <c r="D793" i="5"/>
  <c r="C793" i="5"/>
  <c r="B793" i="5"/>
  <c r="A793" i="5"/>
  <c r="F792" i="5"/>
  <c r="E792" i="5"/>
  <c r="D792" i="5"/>
  <c r="C792" i="5"/>
  <c r="B792" i="5"/>
  <c r="A792" i="5"/>
  <c r="F791" i="5"/>
  <c r="E791" i="5"/>
  <c r="D791" i="5"/>
  <c r="C791" i="5"/>
  <c r="B791" i="5"/>
  <c r="A791" i="5"/>
  <c r="F790" i="5"/>
  <c r="E790" i="5"/>
  <c r="D790" i="5"/>
  <c r="C790" i="5"/>
  <c r="B790" i="5"/>
  <c r="A790" i="5"/>
  <c r="F789" i="5"/>
  <c r="E789" i="5"/>
  <c r="D789" i="5"/>
  <c r="C789" i="5"/>
  <c r="B789" i="5"/>
  <c r="A789" i="5"/>
  <c r="F788" i="5"/>
  <c r="E788" i="5"/>
  <c r="D788" i="5"/>
  <c r="C788" i="5"/>
  <c r="B788" i="5"/>
  <c r="A788" i="5"/>
  <c r="F787" i="5"/>
  <c r="E787" i="5"/>
  <c r="D787" i="5"/>
  <c r="C787" i="5"/>
  <c r="B787" i="5"/>
  <c r="A787" i="5"/>
  <c r="F786" i="5"/>
  <c r="E786" i="5"/>
  <c r="D786" i="5"/>
  <c r="C786" i="5"/>
  <c r="B786" i="5"/>
  <c r="A786" i="5"/>
  <c r="F785" i="5"/>
  <c r="E785" i="5"/>
  <c r="D785" i="5"/>
  <c r="C785" i="5"/>
  <c r="B785" i="5"/>
  <c r="A785" i="5"/>
  <c r="F784" i="5"/>
  <c r="E784" i="5"/>
  <c r="D784" i="5"/>
  <c r="C784" i="5"/>
  <c r="B784" i="5"/>
  <c r="A784" i="5"/>
  <c r="F783" i="5"/>
  <c r="E783" i="5"/>
  <c r="D783" i="5"/>
  <c r="C783" i="5"/>
  <c r="B783" i="5"/>
  <c r="A783" i="5"/>
  <c r="F782" i="5"/>
  <c r="E782" i="5"/>
  <c r="D782" i="5"/>
  <c r="C782" i="5"/>
  <c r="B782" i="5"/>
  <c r="A782" i="5"/>
  <c r="F781" i="5"/>
  <c r="E781" i="5"/>
  <c r="D781" i="5"/>
  <c r="C781" i="5"/>
  <c r="B781" i="5"/>
  <c r="A781" i="5"/>
  <c r="F780" i="5"/>
  <c r="E780" i="5"/>
  <c r="D780" i="5"/>
  <c r="C780" i="5"/>
  <c r="B780" i="5"/>
  <c r="A780" i="5"/>
  <c r="F779" i="5"/>
  <c r="E779" i="5"/>
  <c r="D779" i="5"/>
  <c r="C779" i="5"/>
  <c r="B779" i="5"/>
  <c r="A779" i="5"/>
  <c r="F778" i="5"/>
  <c r="E778" i="5"/>
  <c r="D778" i="5"/>
  <c r="C778" i="5"/>
  <c r="B778" i="5"/>
  <c r="A778" i="5"/>
  <c r="F777" i="5"/>
  <c r="E777" i="5"/>
  <c r="D777" i="5"/>
  <c r="C777" i="5"/>
  <c r="B777" i="5"/>
  <c r="A777" i="5"/>
  <c r="F776" i="5"/>
  <c r="E776" i="5"/>
  <c r="D776" i="5"/>
  <c r="C776" i="5"/>
  <c r="B776" i="5"/>
  <c r="A776" i="5"/>
  <c r="F775" i="5"/>
  <c r="E775" i="5"/>
  <c r="D775" i="5"/>
  <c r="C775" i="5"/>
  <c r="B775" i="5"/>
  <c r="A775" i="5"/>
  <c r="F774" i="5"/>
  <c r="E774" i="5"/>
  <c r="D774" i="5"/>
  <c r="C774" i="5"/>
  <c r="B774" i="5"/>
  <c r="A774" i="5"/>
  <c r="F773" i="5"/>
  <c r="E773" i="5"/>
  <c r="D773" i="5"/>
  <c r="C773" i="5"/>
  <c r="B773" i="5"/>
  <c r="A773" i="5"/>
  <c r="F772" i="5"/>
  <c r="E772" i="5"/>
  <c r="D772" i="5"/>
  <c r="C772" i="5"/>
  <c r="B772" i="5"/>
  <c r="A772" i="5"/>
  <c r="F771" i="5"/>
  <c r="E771" i="5"/>
  <c r="D771" i="5"/>
  <c r="C771" i="5"/>
  <c r="B771" i="5"/>
  <c r="A771" i="5"/>
  <c r="F770" i="5"/>
  <c r="E770" i="5"/>
  <c r="D770" i="5"/>
  <c r="C770" i="5"/>
  <c r="B770" i="5"/>
  <c r="A770" i="5"/>
  <c r="F769" i="5"/>
  <c r="E769" i="5"/>
  <c r="D769" i="5"/>
  <c r="C769" i="5"/>
  <c r="B769" i="5"/>
  <c r="A769" i="5"/>
  <c r="F768" i="5"/>
  <c r="E768" i="5"/>
  <c r="D768" i="5"/>
  <c r="C768" i="5"/>
  <c r="B768" i="5"/>
  <c r="A768" i="5"/>
  <c r="F767" i="5"/>
  <c r="E767" i="5"/>
  <c r="D767" i="5"/>
  <c r="C767" i="5"/>
  <c r="B767" i="5"/>
  <c r="A767" i="5"/>
  <c r="F766" i="5"/>
  <c r="E766" i="5"/>
  <c r="D766" i="5"/>
  <c r="C766" i="5"/>
  <c r="B766" i="5"/>
  <c r="A766" i="5"/>
  <c r="F765" i="5"/>
  <c r="E765" i="5"/>
  <c r="D765" i="5"/>
  <c r="C765" i="5"/>
  <c r="B765" i="5"/>
  <c r="A765" i="5"/>
  <c r="F764" i="5"/>
  <c r="E764" i="5"/>
  <c r="D764" i="5"/>
  <c r="C764" i="5"/>
  <c r="B764" i="5"/>
  <c r="A764" i="5"/>
  <c r="F763" i="5"/>
  <c r="E763" i="5"/>
  <c r="D763" i="5"/>
  <c r="C763" i="5"/>
  <c r="B763" i="5"/>
  <c r="A763" i="5"/>
  <c r="F762" i="5"/>
  <c r="E762" i="5"/>
  <c r="D762" i="5"/>
  <c r="C762" i="5"/>
  <c r="B762" i="5"/>
  <c r="A762" i="5"/>
  <c r="F761" i="5"/>
  <c r="E761" i="5"/>
  <c r="D761" i="5"/>
  <c r="C761" i="5"/>
  <c r="B761" i="5"/>
  <c r="A761" i="5"/>
  <c r="F760" i="5"/>
  <c r="E760" i="5"/>
  <c r="D760" i="5"/>
  <c r="C760" i="5"/>
  <c r="B760" i="5"/>
  <c r="A760" i="5"/>
  <c r="F759" i="5"/>
  <c r="E759" i="5"/>
  <c r="D759" i="5"/>
  <c r="C759" i="5"/>
  <c r="B759" i="5"/>
  <c r="A759" i="5"/>
  <c r="F758" i="5"/>
  <c r="E758" i="5"/>
  <c r="D758" i="5"/>
  <c r="C758" i="5"/>
  <c r="B758" i="5"/>
  <c r="A758" i="5"/>
  <c r="F757" i="5"/>
  <c r="E757" i="5"/>
  <c r="D757" i="5"/>
  <c r="C757" i="5"/>
  <c r="B757" i="5"/>
  <c r="A757" i="5"/>
  <c r="F756" i="5"/>
  <c r="E756" i="5"/>
  <c r="D756" i="5"/>
  <c r="C756" i="5"/>
  <c r="B756" i="5"/>
  <c r="A756" i="5"/>
  <c r="F755" i="5"/>
  <c r="E755" i="5"/>
  <c r="D755" i="5"/>
  <c r="C755" i="5"/>
  <c r="B755" i="5"/>
  <c r="A755" i="5"/>
  <c r="F754" i="5"/>
  <c r="E754" i="5"/>
  <c r="D754" i="5"/>
  <c r="C754" i="5"/>
  <c r="B754" i="5"/>
  <c r="A754" i="5"/>
  <c r="F753" i="5"/>
  <c r="E753" i="5"/>
  <c r="D753" i="5"/>
  <c r="C753" i="5"/>
  <c r="B753" i="5"/>
  <c r="A753" i="5"/>
  <c r="F752" i="5"/>
  <c r="E752" i="5"/>
  <c r="D752" i="5"/>
  <c r="C752" i="5"/>
  <c r="B752" i="5"/>
  <c r="A752" i="5"/>
  <c r="F751" i="5"/>
  <c r="E751" i="5"/>
  <c r="D751" i="5"/>
  <c r="C751" i="5"/>
  <c r="B751" i="5"/>
  <c r="A751" i="5"/>
  <c r="F750" i="5"/>
  <c r="E750" i="5"/>
  <c r="D750" i="5"/>
  <c r="C750" i="5"/>
  <c r="B750" i="5"/>
  <c r="A750" i="5"/>
  <c r="F749" i="5"/>
  <c r="E749" i="5"/>
  <c r="D749" i="5"/>
  <c r="C749" i="5"/>
  <c r="B749" i="5"/>
  <c r="A749" i="5"/>
  <c r="F748" i="5"/>
  <c r="E748" i="5"/>
  <c r="D748" i="5"/>
  <c r="C748" i="5"/>
  <c r="B748" i="5"/>
  <c r="A748" i="5"/>
  <c r="F747" i="5"/>
  <c r="E747" i="5"/>
  <c r="D747" i="5"/>
  <c r="C747" i="5"/>
  <c r="B747" i="5"/>
  <c r="A747" i="5"/>
  <c r="F746" i="5"/>
  <c r="E746" i="5"/>
  <c r="D746" i="5"/>
  <c r="C746" i="5"/>
  <c r="B746" i="5"/>
  <c r="A746" i="5"/>
  <c r="F745" i="5"/>
  <c r="E745" i="5"/>
  <c r="D745" i="5"/>
  <c r="C745" i="5"/>
  <c r="B745" i="5"/>
  <c r="A745" i="5"/>
  <c r="F744" i="5"/>
  <c r="E744" i="5"/>
  <c r="D744" i="5"/>
  <c r="C744" i="5"/>
  <c r="B744" i="5"/>
  <c r="A744" i="5"/>
  <c r="F743" i="5"/>
  <c r="E743" i="5"/>
  <c r="D743" i="5"/>
  <c r="C743" i="5"/>
  <c r="B743" i="5"/>
  <c r="A743" i="5"/>
  <c r="F742" i="5"/>
  <c r="E742" i="5"/>
  <c r="D742" i="5"/>
  <c r="C742" i="5"/>
  <c r="B742" i="5"/>
  <c r="A742" i="5"/>
  <c r="F741" i="5"/>
  <c r="E741" i="5"/>
  <c r="D741" i="5"/>
  <c r="C741" i="5"/>
  <c r="B741" i="5"/>
  <c r="A741" i="5"/>
  <c r="F740" i="5"/>
  <c r="E740" i="5"/>
  <c r="D740" i="5"/>
  <c r="C740" i="5"/>
  <c r="B740" i="5"/>
  <c r="A740" i="5"/>
  <c r="F739" i="5"/>
  <c r="E739" i="5"/>
  <c r="D739" i="5"/>
  <c r="C739" i="5"/>
  <c r="B739" i="5"/>
  <c r="A739" i="5"/>
  <c r="F738" i="5"/>
  <c r="E738" i="5"/>
  <c r="D738" i="5"/>
  <c r="C738" i="5"/>
  <c r="B738" i="5"/>
  <c r="A738" i="5"/>
  <c r="F737" i="5"/>
  <c r="E737" i="5"/>
  <c r="D737" i="5"/>
  <c r="C737" i="5"/>
  <c r="B737" i="5"/>
  <c r="A737" i="5"/>
  <c r="F736" i="5"/>
  <c r="E736" i="5"/>
  <c r="D736" i="5"/>
  <c r="C736" i="5"/>
  <c r="B736" i="5"/>
  <c r="A736" i="5"/>
  <c r="F735" i="5"/>
  <c r="E735" i="5"/>
  <c r="D735" i="5"/>
  <c r="C735" i="5"/>
  <c r="B735" i="5"/>
  <c r="A735" i="5"/>
  <c r="F734" i="5"/>
  <c r="E734" i="5"/>
  <c r="D734" i="5"/>
  <c r="C734" i="5"/>
  <c r="B734" i="5"/>
  <c r="A734" i="5"/>
  <c r="F733" i="5"/>
  <c r="E733" i="5"/>
  <c r="D733" i="5"/>
  <c r="C733" i="5"/>
  <c r="B733" i="5"/>
  <c r="A733" i="5"/>
  <c r="F732" i="5"/>
  <c r="E732" i="5"/>
  <c r="D732" i="5"/>
  <c r="C732" i="5"/>
  <c r="B732" i="5"/>
  <c r="A732" i="5"/>
  <c r="F731" i="5"/>
  <c r="E731" i="5"/>
  <c r="D731" i="5"/>
  <c r="C731" i="5"/>
  <c r="B731" i="5"/>
  <c r="A731" i="5"/>
  <c r="F730" i="5"/>
  <c r="E730" i="5"/>
  <c r="D730" i="5"/>
  <c r="C730" i="5"/>
  <c r="B730" i="5"/>
  <c r="A730" i="5"/>
  <c r="F729" i="5"/>
  <c r="E729" i="5"/>
  <c r="D729" i="5"/>
  <c r="C729" i="5"/>
  <c r="B729" i="5"/>
  <c r="A729" i="5"/>
  <c r="F728" i="5"/>
  <c r="E728" i="5"/>
  <c r="D728" i="5"/>
  <c r="C728" i="5"/>
  <c r="B728" i="5"/>
  <c r="A728" i="5"/>
  <c r="F727" i="5"/>
  <c r="E727" i="5"/>
  <c r="D727" i="5"/>
  <c r="C727" i="5"/>
  <c r="B727" i="5"/>
  <c r="A727" i="5"/>
  <c r="F726" i="5"/>
  <c r="E726" i="5"/>
  <c r="D726" i="5"/>
  <c r="C726" i="5"/>
  <c r="B726" i="5"/>
  <c r="A726" i="5"/>
  <c r="F725" i="5"/>
  <c r="E725" i="5"/>
  <c r="D725" i="5"/>
  <c r="C725" i="5"/>
  <c r="B725" i="5"/>
  <c r="A725" i="5"/>
  <c r="F724" i="5"/>
  <c r="E724" i="5"/>
  <c r="D724" i="5"/>
  <c r="C724" i="5"/>
  <c r="B724" i="5"/>
  <c r="A724" i="5"/>
  <c r="F723" i="5"/>
  <c r="E723" i="5"/>
  <c r="D723" i="5"/>
  <c r="C723" i="5"/>
  <c r="B723" i="5"/>
  <c r="A723" i="5"/>
  <c r="F722" i="5"/>
  <c r="E722" i="5"/>
  <c r="D722" i="5"/>
  <c r="C722" i="5"/>
  <c r="B722" i="5"/>
  <c r="A722" i="5"/>
  <c r="F721" i="5"/>
  <c r="E721" i="5"/>
  <c r="D721" i="5"/>
  <c r="C721" i="5"/>
  <c r="B721" i="5"/>
  <c r="A721" i="5"/>
  <c r="F720" i="5"/>
  <c r="E720" i="5"/>
  <c r="D720" i="5"/>
  <c r="C720" i="5"/>
  <c r="B720" i="5"/>
  <c r="A720" i="5"/>
  <c r="F719" i="5"/>
  <c r="E719" i="5"/>
  <c r="D719" i="5"/>
  <c r="C719" i="5"/>
  <c r="B719" i="5"/>
  <c r="A719" i="5"/>
  <c r="F718" i="5"/>
  <c r="E718" i="5"/>
  <c r="D718" i="5"/>
  <c r="C718" i="5"/>
  <c r="B718" i="5"/>
  <c r="A718" i="5"/>
  <c r="F717" i="5"/>
  <c r="E717" i="5"/>
  <c r="D717" i="5"/>
  <c r="C717" i="5"/>
  <c r="B717" i="5"/>
  <c r="A717" i="5"/>
  <c r="F716" i="5"/>
  <c r="E716" i="5"/>
  <c r="D716" i="5"/>
  <c r="C716" i="5"/>
  <c r="B716" i="5"/>
  <c r="A716" i="5"/>
  <c r="F715" i="5"/>
  <c r="E715" i="5"/>
  <c r="D715" i="5"/>
  <c r="C715" i="5"/>
  <c r="B715" i="5"/>
  <c r="A715" i="5"/>
  <c r="F714" i="5"/>
  <c r="E714" i="5"/>
  <c r="D714" i="5"/>
  <c r="C714" i="5"/>
  <c r="B714" i="5"/>
  <c r="A714" i="5"/>
  <c r="F713" i="5"/>
  <c r="E713" i="5"/>
  <c r="D713" i="5"/>
  <c r="C713" i="5"/>
  <c r="B713" i="5"/>
  <c r="A713" i="5"/>
  <c r="F712" i="5"/>
  <c r="E712" i="5"/>
  <c r="D712" i="5"/>
  <c r="C712" i="5"/>
  <c r="B712" i="5"/>
  <c r="A712" i="5"/>
  <c r="F711" i="5"/>
  <c r="E711" i="5"/>
  <c r="D711" i="5"/>
  <c r="C711" i="5"/>
  <c r="B711" i="5"/>
  <c r="A711" i="5"/>
  <c r="F710" i="5"/>
  <c r="E710" i="5"/>
  <c r="D710" i="5"/>
  <c r="C710" i="5"/>
  <c r="B710" i="5"/>
  <c r="A710" i="5"/>
  <c r="F709" i="5"/>
  <c r="E709" i="5"/>
  <c r="D709" i="5"/>
  <c r="C709" i="5"/>
  <c r="B709" i="5"/>
  <c r="A709" i="5"/>
  <c r="F708" i="5"/>
  <c r="E708" i="5"/>
  <c r="D708" i="5"/>
  <c r="C708" i="5"/>
  <c r="B708" i="5"/>
  <c r="A708" i="5"/>
  <c r="F707" i="5"/>
  <c r="E707" i="5"/>
  <c r="D707" i="5"/>
  <c r="C707" i="5"/>
  <c r="B707" i="5"/>
  <c r="A707" i="5"/>
  <c r="F706" i="5"/>
  <c r="E706" i="5"/>
  <c r="D706" i="5"/>
  <c r="C706" i="5"/>
  <c r="B706" i="5"/>
  <c r="A706" i="5"/>
  <c r="F705" i="5"/>
  <c r="E705" i="5"/>
  <c r="D705" i="5"/>
  <c r="C705" i="5"/>
  <c r="B705" i="5"/>
  <c r="A705" i="5"/>
  <c r="F704" i="5"/>
  <c r="E704" i="5"/>
  <c r="D704" i="5"/>
  <c r="C704" i="5"/>
  <c r="B704" i="5"/>
  <c r="A704" i="5"/>
  <c r="F703" i="5"/>
  <c r="E703" i="5"/>
  <c r="D703" i="5"/>
  <c r="C703" i="5"/>
  <c r="B703" i="5"/>
  <c r="A703" i="5"/>
  <c r="F702" i="5"/>
  <c r="E702" i="5"/>
  <c r="D702" i="5"/>
  <c r="C702" i="5"/>
  <c r="B702" i="5"/>
  <c r="A702" i="5"/>
  <c r="F701" i="5"/>
  <c r="E701" i="5"/>
  <c r="D701" i="5"/>
  <c r="C701" i="5"/>
  <c r="B701" i="5"/>
  <c r="A701" i="5"/>
  <c r="F700" i="5"/>
  <c r="E700" i="5"/>
  <c r="D700" i="5"/>
  <c r="C700" i="5"/>
  <c r="B700" i="5"/>
  <c r="A700" i="5"/>
  <c r="F699" i="5"/>
  <c r="E699" i="5"/>
  <c r="D699" i="5"/>
  <c r="C699" i="5"/>
  <c r="B699" i="5"/>
  <c r="A699" i="5"/>
  <c r="F698" i="5"/>
  <c r="E698" i="5"/>
  <c r="D698" i="5"/>
  <c r="C698" i="5"/>
  <c r="B698" i="5"/>
  <c r="A698" i="5"/>
  <c r="F697" i="5"/>
  <c r="E697" i="5"/>
  <c r="D697" i="5"/>
  <c r="C697" i="5"/>
  <c r="B697" i="5"/>
  <c r="A697" i="5"/>
  <c r="F696" i="5"/>
  <c r="E696" i="5"/>
  <c r="D696" i="5"/>
  <c r="C696" i="5"/>
  <c r="B696" i="5"/>
  <c r="A696" i="5"/>
  <c r="F695" i="5"/>
  <c r="E695" i="5"/>
  <c r="D695" i="5"/>
  <c r="C695" i="5"/>
  <c r="B695" i="5"/>
  <c r="A695" i="5"/>
  <c r="F694" i="5"/>
  <c r="E694" i="5"/>
  <c r="D694" i="5"/>
  <c r="C694" i="5"/>
  <c r="B694" i="5"/>
  <c r="A694" i="5"/>
  <c r="F693" i="5"/>
  <c r="E693" i="5"/>
  <c r="D693" i="5"/>
  <c r="C693" i="5"/>
  <c r="B693" i="5"/>
  <c r="A693" i="5"/>
  <c r="F692" i="5"/>
  <c r="E692" i="5"/>
  <c r="D692" i="5"/>
  <c r="C692" i="5"/>
  <c r="B692" i="5"/>
  <c r="A692" i="5"/>
  <c r="F691" i="5"/>
  <c r="E691" i="5"/>
  <c r="D691" i="5"/>
  <c r="C691" i="5"/>
  <c r="B691" i="5"/>
  <c r="A691" i="5"/>
  <c r="F690" i="5"/>
  <c r="E690" i="5"/>
  <c r="D690" i="5"/>
  <c r="C690" i="5"/>
  <c r="B690" i="5"/>
  <c r="A690" i="5"/>
  <c r="F689" i="5"/>
  <c r="E689" i="5"/>
  <c r="D689" i="5"/>
  <c r="C689" i="5"/>
  <c r="B689" i="5"/>
  <c r="A689" i="5"/>
  <c r="F688" i="5"/>
  <c r="E688" i="5"/>
  <c r="D688" i="5"/>
  <c r="C688" i="5"/>
  <c r="B688" i="5"/>
  <c r="A688" i="5"/>
  <c r="F687" i="5"/>
  <c r="E687" i="5"/>
  <c r="D687" i="5"/>
  <c r="C687" i="5"/>
  <c r="B687" i="5"/>
  <c r="A687" i="5"/>
  <c r="F686" i="5"/>
  <c r="E686" i="5"/>
  <c r="D686" i="5"/>
  <c r="C686" i="5"/>
  <c r="B686" i="5"/>
  <c r="A686" i="5"/>
  <c r="F685" i="5"/>
  <c r="E685" i="5"/>
  <c r="D685" i="5"/>
  <c r="C685" i="5"/>
  <c r="B685" i="5"/>
  <c r="A685" i="5"/>
  <c r="F684" i="5"/>
  <c r="E684" i="5"/>
  <c r="D684" i="5"/>
  <c r="C684" i="5"/>
  <c r="B684" i="5"/>
  <c r="A684" i="5"/>
  <c r="F683" i="5"/>
  <c r="E683" i="5"/>
  <c r="D683" i="5"/>
  <c r="C683" i="5"/>
  <c r="B683" i="5"/>
  <c r="A683" i="5"/>
  <c r="F682" i="5"/>
  <c r="E682" i="5"/>
  <c r="D682" i="5"/>
  <c r="C682" i="5"/>
  <c r="B682" i="5"/>
  <c r="A682" i="5"/>
  <c r="F681" i="5"/>
  <c r="E681" i="5"/>
  <c r="D681" i="5"/>
  <c r="C681" i="5"/>
  <c r="B681" i="5"/>
  <c r="A681" i="5"/>
  <c r="F680" i="5"/>
  <c r="E680" i="5"/>
  <c r="D680" i="5"/>
  <c r="C680" i="5"/>
  <c r="B680" i="5"/>
  <c r="A680" i="5"/>
  <c r="F679" i="5"/>
  <c r="E679" i="5"/>
  <c r="D679" i="5"/>
  <c r="C679" i="5"/>
  <c r="B679" i="5"/>
  <c r="A679" i="5"/>
  <c r="F678" i="5"/>
  <c r="E678" i="5"/>
  <c r="D678" i="5"/>
  <c r="C678" i="5"/>
  <c r="B678" i="5"/>
  <c r="A678" i="5"/>
  <c r="F677" i="5"/>
  <c r="E677" i="5"/>
  <c r="D677" i="5"/>
  <c r="C677" i="5"/>
  <c r="B677" i="5"/>
  <c r="A677" i="5"/>
  <c r="F676" i="5"/>
  <c r="E676" i="5"/>
  <c r="D676" i="5"/>
  <c r="C676" i="5"/>
  <c r="B676" i="5"/>
  <c r="A676" i="5"/>
  <c r="F675" i="5"/>
  <c r="E675" i="5"/>
  <c r="D675" i="5"/>
  <c r="C675" i="5"/>
  <c r="B675" i="5"/>
  <c r="A675" i="5"/>
  <c r="F674" i="5"/>
  <c r="E674" i="5"/>
  <c r="D674" i="5"/>
  <c r="C674" i="5"/>
  <c r="B674" i="5"/>
  <c r="A674" i="5"/>
  <c r="F673" i="5"/>
  <c r="E673" i="5"/>
  <c r="D673" i="5"/>
  <c r="C673" i="5"/>
  <c r="B673" i="5"/>
  <c r="A673" i="5"/>
  <c r="F672" i="5"/>
  <c r="E672" i="5"/>
  <c r="D672" i="5"/>
  <c r="C672" i="5"/>
  <c r="B672" i="5"/>
  <c r="A672" i="5"/>
  <c r="F671" i="5"/>
  <c r="E671" i="5"/>
  <c r="D671" i="5"/>
  <c r="C671" i="5"/>
  <c r="B671" i="5"/>
  <c r="A671" i="5"/>
  <c r="F670" i="5"/>
  <c r="E670" i="5"/>
  <c r="D670" i="5"/>
  <c r="C670" i="5"/>
  <c r="B670" i="5"/>
  <c r="A670" i="5"/>
  <c r="F669" i="5"/>
  <c r="E669" i="5"/>
  <c r="D669" i="5"/>
  <c r="C669" i="5"/>
  <c r="B669" i="5"/>
  <c r="A669" i="5"/>
  <c r="F668" i="5"/>
  <c r="E668" i="5"/>
  <c r="D668" i="5"/>
  <c r="C668" i="5"/>
  <c r="B668" i="5"/>
  <c r="A668" i="5"/>
  <c r="F667" i="5"/>
  <c r="E667" i="5"/>
  <c r="D667" i="5"/>
  <c r="C667" i="5"/>
  <c r="B667" i="5"/>
  <c r="A667" i="5"/>
  <c r="F666" i="5"/>
  <c r="E666" i="5"/>
  <c r="D666" i="5"/>
  <c r="C666" i="5"/>
  <c r="B666" i="5"/>
  <c r="A666" i="5"/>
  <c r="F665" i="5"/>
  <c r="E665" i="5"/>
  <c r="D665" i="5"/>
  <c r="C665" i="5"/>
  <c r="B665" i="5"/>
  <c r="A665" i="5"/>
  <c r="F664" i="5"/>
  <c r="E664" i="5"/>
  <c r="D664" i="5"/>
  <c r="C664" i="5"/>
  <c r="B664" i="5"/>
  <c r="A664" i="5"/>
  <c r="F663" i="5"/>
  <c r="E663" i="5"/>
  <c r="D663" i="5"/>
  <c r="C663" i="5"/>
  <c r="B663" i="5"/>
  <c r="A663" i="5"/>
  <c r="F662" i="5"/>
  <c r="E662" i="5"/>
  <c r="D662" i="5"/>
  <c r="C662" i="5"/>
  <c r="B662" i="5"/>
  <c r="A662" i="5"/>
  <c r="F661" i="5"/>
  <c r="E661" i="5"/>
  <c r="D661" i="5"/>
  <c r="C661" i="5"/>
  <c r="B661" i="5"/>
  <c r="A661" i="5"/>
  <c r="F660" i="5"/>
  <c r="E660" i="5"/>
  <c r="D660" i="5"/>
  <c r="C660" i="5"/>
  <c r="B660" i="5"/>
  <c r="A660" i="5"/>
  <c r="F659" i="5"/>
  <c r="E659" i="5"/>
  <c r="D659" i="5"/>
  <c r="C659" i="5"/>
  <c r="B659" i="5"/>
  <c r="A659" i="5"/>
  <c r="F658" i="5"/>
  <c r="E658" i="5"/>
  <c r="D658" i="5"/>
  <c r="C658" i="5"/>
  <c r="B658" i="5"/>
  <c r="A658" i="5"/>
  <c r="F657" i="5"/>
  <c r="E657" i="5"/>
  <c r="D657" i="5"/>
  <c r="C657" i="5"/>
  <c r="B657" i="5"/>
  <c r="A657" i="5"/>
  <c r="F656" i="5"/>
  <c r="E656" i="5"/>
  <c r="D656" i="5"/>
  <c r="C656" i="5"/>
  <c r="B656" i="5"/>
  <c r="A656" i="5"/>
  <c r="F655" i="5"/>
  <c r="E655" i="5"/>
  <c r="D655" i="5"/>
  <c r="C655" i="5"/>
  <c r="B655" i="5"/>
  <c r="A655" i="5"/>
  <c r="F654" i="5"/>
  <c r="E654" i="5"/>
  <c r="D654" i="5"/>
  <c r="C654" i="5"/>
  <c r="B654" i="5"/>
  <c r="A654" i="5"/>
  <c r="F653" i="5"/>
  <c r="E653" i="5"/>
  <c r="D653" i="5"/>
  <c r="C653" i="5"/>
  <c r="B653" i="5"/>
  <c r="A653" i="5"/>
  <c r="F652" i="5"/>
  <c r="E652" i="5"/>
  <c r="D652" i="5"/>
  <c r="C652" i="5"/>
  <c r="B652" i="5"/>
  <c r="A652" i="5"/>
  <c r="F651" i="5"/>
  <c r="E651" i="5"/>
  <c r="D651" i="5"/>
  <c r="C651" i="5"/>
  <c r="B651" i="5"/>
  <c r="A651" i="5"/>
  <c r="F650" i="5"/>
  <c r="E650" i="5"/>
  <c r="D650" i="5"/>
  <c r="C650" i="5"/>
  <c r="B650" i="5"/>
  <c r="A650" i="5"/>
  <c r="F649" i="5"/>
  <c r="E649" i="5"/>
  <c r="D649" i="5"/>
  <c r="C649" i="5"/>
  <c r="B649" i="5"/>
  <c r="A649" i="5"/>
  <c r="F648" i="5"/>
  <c r="E648" i="5"/>
  <c r="D648" i="5"/>
  <c r="C648" i="5"/>
  <c r="B648" i="5"/>
  <c r="A648" i="5"/>
  <c r="F647" i="5"/>
  <c r="E647" i="5"/>
  <c r="D647" i="5"/>
  <c r="C647" i="5"/>
  <c r="B647" i="5"/>
  <c r="A647" i="5"/>
  <c r="F646" i="5"/>
  <c r="E646" i="5"/>
  <c r="D646" i="5"/>
  <c r="C646" i="5"/>
  <c r="B646" i="5"/>
  <c r="A646" i="5"/>
  <c r="F645" i="5"/>
  <c r="E645" i="5"/>
  <c r="D645" i="5"/>
  <c r="C645" i="5"/>
  <c r="B645" i="5"/>
  <c r="A645" i="5"/>
  <c r="F644" i="5"/>
  <c r="E644" i="5"/>
  <c r="D644" i="5"/>
  <c r="C644" i="5"/>
  <c r="B644" i="5"/>
  <c r="A644" i="5"/>
  <c r="F643" i="5"/>
  <c r="E643" i="5"/>
  <c r="D643" i="5"/>
  <c r="C643" i="5"/>
  <c r="B643" i="5"/>
  <c r="A643" i="5"/>
  <c r="F642" i="5"/>
  <c r="E642" i="5"/>
  <c r="D642" i="5"/>
  <c r="C642" i="5"/>
  <c r="B642" i="5"/>
  <c r="A642" i="5"/>
  <c r="F641" i="5"/>
  <c r="E641" i="5"/>
  <c r="D641" i="5"/>
  <c r="C641" i="5"/>
  <c r="B641" i="5"/>
  <c r="A641" i="5"/>
  <c r="F640" i="5"/>
  <c r="E640" i="5"/>
  <c r="D640" i="5"/>
  <c r="C640" i="5"/>
  <c r="B640" i="5"/>
  <c r="A640" i="5"/>
  <c r="F639" i="5"/>
  <c r="E639" i="5"/>
  <c r="D639" i="5"/>
  <c r="C639" i="5"/>
  <c r="B639" i="5"/>
  <c r="A639" i="5"/>
  <c r="F638" i="5"/>
  <c r="E638" i="5"/>
  <c r="D638" i="5"/>
  <c r="C638" i="5"/>
  <c r="B638" i="5"/>
  <c r="A638" i="5"/>
  <c r="F637" i="5"/>
  <c r="E637" i="5"/>
  <c r="D637" i="5"/>
  <c r="C637" i="5"/>
  <c r="B637" i="5"/>
  <c r="A637" i="5"/>
  <c r="F636" i="5"/>
  <c r="E636" i="5"/>
  <c r="D636" i="5"/>
  <c r="C636" i="5"/>
  <c r="B636" i="5"/>
  <c r="A636" i="5"/>
  <c r="F635" i="5"/>
  <c r="E635" i="5"/>
  <c r="D635" i="5"/>
  <c r="C635" i="5"/>
  <c r="B635" i="5"/>
  <c r="A635" i="5"/>
  <c r="F634" i="5"/>
  <c r="E634" i="5"/>
  <c r="D634" i="5"/>
  <c r="C634" i="5"/>
  <c r="B634" i="5"/>
  <c r="A634" i="5"/>
  <c r="F633" i="5"/>
  <c r="E633" i="5"/>
  <c r="D633" i="5"/>
  <c r="C633" i="5"/>
  <c r="B633" i="5"/>
  <c r="A633" i="5"/>
  <c r="F632" i="5"/>
  <c r="E632" i="5"/>
  <c r="D632" i="5"/>
  <c r="C632" i="5"/>
  <c r="B632" i="5"/>
  <c r="A632" i="5"/>
  <c r="F631" i="5"/>
  <c r="E631" i="5"/>
  <c r="D631" i="5"/>
  <c r="C631" i="5"/>
  <c r="B631" i="5"/>
  <c r="A631" i="5"/>
  <c r="F630" i="5"/>
  <c r="E630" i="5"/>
  <c r="D630" i="5"/>
  <c r="C630" i="5"/>
  <c r="B630" i="5"/>
  <c r="A630" i="5"/>
  <c r="F629" i="5"/>
  <c r="E629" i="5"/>
  <c r="D629" i="5"/>
  <c r="C629" i="5"/>
  <c r="B629" i="5"/>
  <c r="A629" i="5"/>
  <c r="F628" i="5"/>
  <c r="E628" i="5"/>
  <c r="D628" i="5"/>
  <c r="C628" i="5"/>
  <c r="B628" i="5"/>
  <c r="A628" i="5"/>
  <c r="F627" i="5"/>
  <c r="E627" i="5"/>
  <c r="D627" i="5"/>
  <c r="C627" i="5"/>
  <c r="B627" i="5"/>
  <c r="A627" i="5"/>
  <c r="F626" i="5"/>
  <c r="E626" i="5"/>
  <c r="D626" i="5"/>
  <c r="C626" i="5"/>
  <c r="B626" i="5"/>
  <c r="A626" i="5"/>
  <c r="F625" i="5"/>
  <c r="E625" i="5"/>
  <c r="D625" i="5"/>
  <c r="C625" i="5"/>
  <c r="B625" i="5"/>
  <c r="A625" i="5"/>
  <c r="F624" i="5"/>
  <c r="E624" i="5"/>
  <c r="D624" i="5"/>
  <c r="C624" i="5"/>
  <c r="B624" i="5"/>
  <c r="A624" i="5"/>
  <c r="F623" i="5"/>
  <c r="E623" i="5"/>
  <c r="D623" i="5"/>
  <c r="C623" i="5"/>
  <c r="B623" i="5"/>
  <c r="A623" i="5"/>
  <c r="F622" i="5"/>
  <c r="E622" i="5"/>
  <c r="D622" i="5"/>
  <c r="C622" i="5"/>
  <c r="B622" i="5"/>
  <c r="A622" i="5"/>
  <c r="F621" i="5"/>
  <c r="E621" i="5"/>
  <c r="D621" i="5"/>
  <c r="C621" i="5"/>
  <c r="B621" i="5"/>
  <c r="A621" i="5"/>
  <c r="F620" i="5"/>
  <c r="E620" i="5"/>
  <c r="D620" i="5"/>
  <c r="C620" i="5"/>
  <c r="B620" i="5"/>
  <c r="A620" i="5"/>
  <c r="F619" i="5"/>
  <c r="E619" i="5"/>
  <c r="D619" i="5"/>
  <c r="C619" i="5"/>
  <c r="B619" i="5"/>
  <c r="A619" i="5"/>
  <c r="F618" i="5"/>
  <c r="E618" i="5"/>
  <c r="D618" i="5"/>
  <c r="C618" i="5"/>
  <c r="B618" i="5"/>
  <c r="A618" i="5"/>
  <c r="F617" i="5"/>
  <c r="E617" i="5"/>
  <c r="D617" i="5"/>
  <c r="C617" i="5"/>
  <c r="B617" i="5"/>
  <c r="A617" i="5"/>
  <c r="F616" i="5"/>
  <c r="E616" i="5"/>
  <c r="D616" i="5"/>
  <c r="C616" i="5"/>
  <c r="B616" i="5"/>
  <c r="A616" i="5"/>
  <c r="F615" i="5"/>
  <c r="E615" i="5"/>
  <c r="D615" i="5"/>
  <c r="C615" i="5"/>
  <c r="B615" i="5"/>
  <c r="A615" i="5"/>
  <c r="F614" i="5"/>
  <c r="E614" i="5"/>
  <c r="D614" i="5"/>
  <c r="C614" i="5"/>
  <c r="B614" i="5"/>
  <c r="A614" i="5"/>
  <c r="F613" i="5"/>
  <c r="E613" i="5"/>
  <c r="D613" i="5"/>
  <c r="C613" i="5"/>
  <c r="B613" i="5"/>
  <c r="A613" i="5"/>
  <c r="F612" i="5"/>
  <c r="E612" i="5"/>
  <c r="D612" i="5"/>
  <c r="C612" i="5"/>
  <c r="B612" i="5"/>
  <c r="A612" i="5"/>
  <c r="F611" i="5"/>
  <c r="E611" i="5"/>
  <c r="D611" i="5"/>
  <c r="C611" i="5"/>
  <c r="B611" i="5"/>
  <c r="A611" i="5"/>
  <c r="F610" i="5"/>
  <c r="E610" i="5"/>
  <c r="D610" i="5"/>
  <c r="C610" i="5"/>
  <c r="B610" i="5"/>
  <c r="A610" i="5"/>
  <c r="F609" i="5"/>
  <c r="E609" i="5"/>
  <c r="D609" i="5"/>
  <c r="C609" i="5"/>
  <c r="B609" i="5"/>
  <c r="A609" i="5"/>
  <c r="F608" i="5"/>
  <c r="E608" i="5"/>
  <c r="D608" i="5"/>
  <c r="C608" i="5"/>
  <c r="B608" i="5"/>
  <c r="A608" i="5"/>
  <c r="F607" i="5"/>
  <c r="E607" i="5"/>
  <c r="D607" i="5"/>
  <c r="C607" i="5"/>
  <c r="B607" i="5"/>
  <c r="A607" i="5"/>
  <c r="F606" i="5"/>
  <c r="E606" i="5"/>
  <c r="D606" i="5"/>
  <c r="C606" i="5"/>
  <c r="B606" i="5"/>
  <c r="A606" i="5"/>
  <c r="F605" i="5"/>
  <c r="E605" i="5"/>
  <c r="D605" i="5"/>
  <c r="C605" i="5"/>
  <c r="B605" i="5"/>
  <c r="A605" i="5"/>
  <c r="F604" i="5"/>
  <c r="E604" i="5"/>
  <c r="D604" i="5"/>
  <c r="C604" i="5"/>
  <c r="B604" i="5"/>
  <c r="A604" i="5"/>
  <c r="F603" i="5"/>
  <c r="E603" i="5"/>
  <c r="D603" i="5"/>
  <c r="C603" i="5"/>
  <c r="B603" i="5"/>
  <c r="A603" i="5"/>
  <c r="F602" i="5"/>
  <c r="E602" i="5"/>
  <c r="D602" i="5"/>
  <c r="C602" i="5"/>
  <c r="B602" i="5"/>
  <c r="A602" i="5"/>
  <c r="F601" i="5"/>
  <c r="E601" i="5"/>
  <c r="D601" i="5"/>
  <c r="C601" i="5"/>
  <c r="B601" i="5"/>
  <c r="A601" i="5"/>
  <c r="F600" i="5"/>
  <c r="E600" i="5"/>
  <c r="D600" i="5"/>
  <c r="C600" i="5"/>
  <c r="B600" i="5"/>
  <c r="A600" i="5"/>
  <c r="F599" i="5"/>
  <c r="E599" i="5"/>
  <c r="D599" i="5"/>
  <c r="C599" i="5"/>
  <c r="B599" i="5"/>
  <c r="A599" i="5"/>
  <c r="F598" i="5"/>
  <c r="E598" i="5"/>
  <c r="D598" i="5"/>
  <c r="C598" i="5"/>
  <c r="B598" i="5"/>
  <c r="A598" i="5"/>
  <c r="F597" i="5"/>
  <c r="E597" i="5"/>
  <c r="D597" i="5"/>
  <c r="C597" i="5"/>
  <c r="B597" i="5"/>
  <c r="A597" i="5"/>
  <c r="F596" i="5"/>
  <c r="E596" i="5"/>
  <c r="D596" i="5"/>
  <c r="C596" i="5"/>
  <c r="B596" i="5"/>
  <c r="A596" i="5"/>
  <c r="F595" i="5"/>
  <c r="E595" i="5"/>
  <c r="D595" i="5"/>
  <c r="C595" i="5"/>
  <c r="B595" i="5"/>
  <c r="A595" i="5"/>
  <c r="F594" i="5"/>
  <c r="E594" i="5"/>
  <c r="D594" i="5"/>
  <c r="C594" i="5"/>
  <c r="B594" i="5"/>
  <c r="A594" i="5"/>
  <c r="F593" i="5"/>
  <c r="E593" i="5"/>
  <c r="D593" i="5"/>
  <c r="C593" i="5"/>
  <c r="B593" i="5"/>
  <c r="A593" i="5"/>
  <c r="F592" i="5"/>
  <c r="E592" i="5"/>
  <c r="D592" i="5"/>
  <c r="C592" i="5"/>
  <c r="B592" i="5"/>
  <c r="A592" i="5"/>
  <c r="F591" i="5"/>
  <c r="E591" i="5"/>
  <c r="D591" i="5"/>
  <c r="C591" i="5"/>
  <c r="B591" i="5"/>
  <c r="A591" i="5"/>
  <c r="F590" i="5"/>
  <c r="E590" i="5"/>
  <c r="D590" i="5"/>
  <c r="C590" i="5"/>
  <c r="B590" i="5"/>
  <c r="A590" i="5"/>
  <c r="F589" i="5"/>
  <c r="E589" i="5"/>
  <c r="D589" i="5"/>
  <c r="C589" i="5"/>
  <c r="B589" i="5"/>
  <c r="A589" i="5"/>
  <c r="F588" i="5"/>
  <c r="E588" i="5"/>
  <c r="D588" i="5"/>
  <c r="C588" i="5"/>
  <c r="B588" i="5"/>
  <c r="A588" i="5"/>
  <c r="F587" i="5"/>
  <c r="E587" i="5"/>
  <c r="D587" i="5"/>
  <c r="C587" i="5"/>
  <c r="B587" i="5"/>
  <c r="A587" i="5"/>
  <c r="F586" i="5"/>
  <c r="E586" i="5"/>
  <c r="D586" i="5"/>
  <c r="C586" i="5"/>
  <c r="B586" i="5"/>
  <c r="A586" i="5"/>
  <c r="F585" i="5"/>
  <c r="E585" i="5"/>
  <c r="D585" i="5"/>
  <c r="C585" i="5"/>
  <c r="B585" i="5"/>
  <c r="A585" i="5"/>
  <c r="F584" i="5"/>
  <c r="E584" i="5"/>
  <c r="D584" i="5"/>
  <c r="C584" i="5"/>
  <c r="B584" i="5"/>
  <c r="A584" i="5"/>
  <c r="F583" i="5"/>
  <c r="E583" i="5"/>
  <c r="D583" i="5"/>
  <c r="C583" i="5"/>
  <c r="B583" i="5"/>
  <c r="A583" i="5"/>
  <c r="F582" i="5"/>
  <c r="E582" i="5"/>
  <c r="D582" i="5"/>
  <c r="C582" i="5"/>
  <c r="B582" i="5"/>
  <c r="A582" i="5"/>
  <c r="F581" i="5"/>
  <c r="E581" i="5"/>
  <c r="D581" i="5"/>
  <c r="C581" i="5"/>
  <c r="B581" i="5"/>
  <c r="A581" i="5"/>
  <c r="F580" i="5"/>
  <c r="E580" i="5"/>
  <c r="D580" i="5"/>
  <c r="C580" i="5"/>
  <c r="B580" i="5"/>
  <c r="A580" i="5"/>
  <c r="F579" i="5"/>
  <c r="E579" i="5"/>
  <c r="D579" i="5"/>
  <c r="C579" i="5"/>
  <c r="B579" i="5"/>
  <c r="A579" i="5"/>
  <c r="F578" i="5"/>
  <c r="E578" i="5"/>
  <c r="D578" i="5"/>
  <c r="C578" i="5"/>
  <c r="B578" i="5"/>
  <c r="A578" i="5"/>
  <c r="F577" i="5"/>
  <c r="E577" i="5"/>
  <c r="D577" i="5"/>
  <c r="C577" i="5"/>
  <c r="B577" i="5"/>
  <c r="A577" i="5"/>
  <c r="F576" i="5"/>
  <c r="E576" i="5"/>
  <c r="D576" i="5"/>
  <c r="C576" i="5"/>
  <c r="B576" i="5"/>
  <c r="A576" i="5"/>
  <c r="F575" i="5"/>
  <c r="E575" i="5"/>
  <c r="D575" i="5"/>
  <c r="C575" i="5"/>
  <c r="B575" i="5"/>
  <c r="A575" i="5"/>
  <c r="F574" i="5"/>
  <c r="E574" i="5"/>
  <c r="D574" i="5"/>
  <c r="C574" i="5"/>
  <c r="B574" i="5"/>
  <c r="A574" i="5"/>
  <c r="F573" i="5"/>
  <c r="E573" i="5"/>
  <c r="D573" i="5"/>
  <c r="C573" i="5"/>
  <c r="B573" i="5"/>
  <c r="A573" i="5"/>
  <c r="F572" i="5"/>
  <c r="E572" i="5"/>
  <c r="D572" i="5"/>
  <c r="C572" i="5"/>
  <c r="B572" i="5"/>
  <c r="A572" i="5"/>
  <c r="F571" i="5"/>
  <c r="E571" i="5"/>
  <c r="D571" i="5"/>
  <c r="C571" i="5"/>
  <c r="B571" i="5"/>
  <c r="A571" i="5"/>
  <c r="F570" i="5"/>
  <c r="E570" i="5"/>
  <c r="D570" i="5"/>
  <c r="C570" i="5"/>
  <c r="B570" i="5"/>
  <c r="A570" i="5"/>
  <c r="F569" i="5"/>
  <c r="E569" i="5"/>
  <c r="D569" i="5"/>
  <c r="C569" i="5"/>
  <c r="B569" i="5"/>
  <c r="A569" i="5"/>
  <c r="F568" i="5"/>
  <c r="E568" i="5"/>
  <c r="D568" i="5"/>
  <c r="C568" i="5"/>
  <c r="B568" i="5"/>
  <c r="A568" i="5"/>
  <c r="F567" i="5"/>
  <c r="E567" i="5"/>
  <c r="D567" i="5"/>
  <c r="C567" i="5"/>
  <c r="B567" i="5"/>
  <c r="A567" i="5"/>
  <c r="F566" i="5"/>
  <c r="E566" i="5"/>
  <c r="D566" i="5"/>
  <c r="C566" i="5"/>
  <c r="B566" i="5"/>
  <c r="A566" i="5"/>
  <c r="F565" i="5"/>
  <c r="E565" i="5"/>
  <c r="D565" i="5"/>
  <c r="C565" i="5"/>
  <c r="B565" i="5"/>
  <c r="A565" i="5"/>
  <c r="F564" i="5"/>
  <c r="E564" i="5"/>
  <c r="D564" i="5"/>
  <c r="C564" i="5"/>
  <c r="B564" i="5"/>
  <c r="A564" i="5"/>
  <c r="F563" i="5"/>
  <c r="E563" i="5"/>
  <c r="D563" i="5"/>
  <c r="C563" i="5"/>
  <c r="B563" i="5"/>
  <c r="A563" i="5"/>
  <c r="F562" i="5"/>
  <c r="E562" i="5"/>
  <c r="D562" i="5"/>
  <c r="C562" i="5"/>
  <c r="B562" i="5"/>
  <c r="A562" i="5"/>
  <c r="F561" i="5"/>
  <c r="E561" i="5"/>
  <c r="D561" i="5"/>
  <c r="C561" i="5"/>
  <c r="B561" i="5"/>
  <c r="A561" i="5"/>
  <c r="F560" i="5"/>
  <c r="E560" i="5"/>
  <c r="D560" i="5"/>
  <c r="C560" i="5"/>
  <c r="B560" i="5"/>
  <c r="A560" i="5"/>
  <c r="F559" i="5"/>
  <c r="E559" i="5"/>
  <c r="D559" i="5"/>
  <c r="C559" i="5"/>
  <c r="B559" i="5"/>
  <c r="A559" i="5"/>
  <c r="F558" i="5"/>
  <c r="E558" i="5"/>
  <c r="D558" i="5"/>
  <c r="C558" i="5"/>
  <c r="B558" i="5"/>
  <c r="A558" i="5"/>
  <c r="F557" i="5"/>
  <c r="E557" i="5"/>
  <c r="D557" i="5"/>
  <c r="C557" i="5"/>
  <c r="B557" i="5"/>
  <c r="A557" i="5"/>
  <c r="F556" i="5"/>
  <c r="E556" i="5"/>
  <c r="D556" i="5"/>
  <c r="C556" i="5"/>
  <c r="B556" i="5"/>
  <c r="A556" i="5"/>
  <c r="F555" i="5"/>
  <c r="E555" i="5"/>
  <c r="D555" i="5"/>
  <c r="C555" i="5"/>
  <c r="B555" i="5"/>
  <c r="A555" i="5"/>
  <c r="F554" i="5"/>
  <c r="E554" i="5"/>
  <c r="D554" i="5"/>
  <c r="C554" i="5"/>
  <c r="B554" i="5"/>
  <c r="A554" i="5"/>
  <c r="F553" i="5"/>
  <c r="E553" i="5"/>
  <c r="D553" i="5"/>
  <c r="C553" i="5"/>
  <c r="B553" i="5"/>
  <c r="A553" i="5"/>
  <c r="F552" i="5"/>
  <c r="E552" i="5"/>
  <c r="D552" i="5"/>
  <c r="C552" i="5"/>
  <c r="B552" i="5"/>
  <c r="A552" i="5"/>
  <c r="F551" i="5"/>
  <c r="E551" i="5"/>
  <c r="D551" i="5"/>
  <c r="C551" i="5"/>
  <c r="B551" i="5"/>
  <c r="A551" i="5"/>
  <c r="F550" i="5"/>
  <c r="E550" i="5"/>
  <c r="D550" i="5"/>
  <c r="C550" i="5"/>
  <c r="B550" i="5"/>
  <c r="A550" i="5"/>
  <c r="F549" i="5"/>
  <c r="E549" i="5"/>
  <c r="D549" i="5"/>
  <c r="C549" i="5"/>
  <c r="B549" i="5"/>
  <c r="A549" i="5"/>
  <c r="F548" i="5"/>
  <c r="E548" i="5"/>
  <c r="D548" i="5"/>
  <c r="C548" i="5"/>
  <c r="B548" i="5"/>
  <c r="A548" i="5"/>
  <c r="F547" i="5"/>
  <c r="E547" i="5"/>
  <c r="D547" i="5"/>
  <c r="C547" i="5"/>
  <c r="B547" i="5"/>
  <c r="A547" i="5"/>
  <c r="F546" i="5"/>
  <c r="E546" i="5"/>
  <c r="D546" i="5"/>
  <c r="C546" i="5"/>
  <c r="B546" i="5"/>
  <c r="A546" i="5"/>
  <c r="F545" i="5"/>
  <c r="E545" i="5"/>
  <c r="D545" i="5"/>
  <c r="C545" i="5"/>
  <c r="B545" i="5"/>
  <c r="A545" i="5"/>
  <c r="F544" i="5"/>
  <c r="E544" i="5"/>
  <c r="D544" i="5"/>
  <c r="C544" i="5"/>
  <c r="B544" i="5"/>
  <c r="A544" i="5"/>
  <c r="F543" i="5"/>
  <c r="E543" i="5"/>
  <c r="D543" i="5"/>
  <c r="C543" i="5"/>
  <c r="B543" i="5"/>
  <c r="A543" i="5"/>
  <c r="F542" i="5"/>
  <c r="E542" i="5"/>
  <c r="D542" i="5"/>
  <c r="C542" i="5"/>
  <c r="B542" i="5"/>
  <c r="A542" i="5"/>
  <c r="F541" i="5"/>
  <c r="E541" i="5"/>
  <c r="D541" i="5"/>
  <c r="C541" i="5"/>
  <c r="B541" i="5"/>
  <c r="A541" i="5"/>
  <c r="F540" i="5"/>
  <c r="E540" i="5"/>
  <c r="D540" i="5"/>
  <c r="C540" i="5"/>
  <c r="B540" i="5"/>
  <c r="A540" i="5"/>
  <c r="F539" i="5"/>
  <c r="E539" i="5"/>
  <c r="D539" i="5"/>
  <c r="C539" i="5"/>
  <c r="B539" i="5"/>
  <c r="A539" i="5"/>
  <c r="F538" i="5"/>
  <c r="E538" i="5"/>
  <c r="D538" i="5"/>
  <c r="C538" i="5"/>
  <c r="B538" i="5"/>
  <c r="A538" i="5"/>
  <c r="F537" i="5"/>
  <c r="E537" i="5"/>
  <c r="D537" i="5"/>
  <c r="C537" i="5"/>
  <c r="B537" i="5"/>
  <c r="A537" i="5"/>
  <c r="F536" i="5"/>
  <c r="E536" i="5"/>
  <c r="D536" i="5"/>
  <c r="C536" i="5"/>
  <c r="B536" i="5"/>
  <c r="A536" i="5"/>
  <c r="F535" i="5"/>
  <c r="E535" i="5"/>
  <c r="D535" i="5"/>
  <c r="C535" i="5"/>
  <c r="B535" i="5"/>
  <c r="A535" i="5"/>
  <c r="F534" i="5"/>
  <c r="E534" i="5"/>
  <c r="D534" i="5"/>
  <c r="C534" i="5"/>
  <c r="B534" i="5"/>
  <c r="A534" i="5"/>
  <c r="F533" i="5"/>
  <c r="E533" i="5"/>
  <c r="D533" i="5"/>
  <c r="C533" i="5"/>
  <c r="B533" i="5"/>
  <c r="A533" i="5"/>
  <c r="F532" i="5"/>
  <c r="E532" i="5"/>
  <c r="D532" i="5"/>
  <c r="C532" i="5"/>
  <c r="B532" i="5"/>
  <c r="A532" i="5"/>
  <c r="F531" i="5"/>
  <c r="E531" i="5"/>
  <c r="D531" i="5"/>
  <c r="C531" i="5"/>
  <c r="B531" i="5"/>
  <c r="A531" i="5"/>
  <c r="F530" i="5"/>
  <c r="E530" i="5"/>
  <c r="D530" i="5"/>
  <c r="C530" i="5"/>
  <c r="B530" i="5"/>
  <c r="A530" i="5"/>
  <c r="F529" i="5"/>
  <c r="E529" i="5"/>
  <c r="D529" i="5"/>
  <c r="C529" i="5"/>
  <c r="B529" i="5"/>
  <c r="A529" i="5"/>
  <c r="F528" i="5"/>
  <c r="E528" i="5"/>
  <c r="D528" i="5"/>
  <c r="C528" i="5"/>
  <c r="B528" i="5"/>
  <c r="A528" i="5"/>
  <c r="F527" i="5"/>
  <c r="E527" i="5"/>
  <c r="D527" i="5"/>
  <c r="C527" i="5"/>
  <c r="B527" i="5"/>
  <c r="A527" i="5"/>
  <c r="F526" i="5"/>
  <c r="E526" i="5"/>
  <c r="D526" i="5"/>
  <c r="C526" i="5"/>
  <c r="B526" i="5"/>
  <c r="A526" i="5"/>
  <c r="F525" i="5"/>
  <c r="E525" i="5"/>
  <c r="D525" i="5"/>
  <c r="C525" i="5"/>
  <c r="B525" i="5"/>
  <c r="A525" i="5"/>
  <c r="F524" i="5"/>
  <c r="E524" i="5"/>
  <c r="D524" i="5"/>
  <c r="C524" i="5"/>
  <c r="B524" i="5"/>
  <c r="A524" i="5"/>
  <c r="F523" i="5"/>
  <c r="E523" i="5"/>
  <c r="D523" i="5"/>
  <c r="C523" i="5"/>
  <c r="B523" i="5"/>
  <c r="A523" i="5"/>
  <c r="F522" i="5"/>
  <c r="E522" i="5"/>
  <c r="D522" i="5"/>
  <c r="C522" i="5"/>
  <c r="B522" i="5"/>
  <c r="A522" i="5"/>
  <c r="F521" i="5"/>
  <c r="E521" i="5"/>
  <c r="D521" i="5"/>
  <c r="C521" i="5"/>
  <c r="B521" i="5"/>
  <c r="A521" i="5"/>
  <c r="F520" i="5"/>
  <c r="E520" i="5"/>
  <c r="D520" i="5"/>
  <c r="C520" i="5"/>
  <c r="B520" i="5"/>
  <c r="A520" i="5"/>
  <c r="F519" i="5"/>
  <c r="E519" i="5"/>
  <c r="D519" i="5"/>
  <c r="C519" i="5"/>
  <c r="B519" i="5"/>
  <c r="A519" i="5"/>
  <c r="F518" i="5"/>
  <c r="E518" i="5"/>
  <c r="D518" i="5"/>
  <c r="C518" i="5"/>
  <c r="B518" i="5"/>
  <c r="A518" i="5"/>
  <c r="F517" i="5"/>
  <c r="E517" i="5"/>
  <c r="D517" i="5"/>
  <c r="C517" i="5"/>
  <c r="B517" i="5"/>
  <c r="A517" i="5"/>
  <c r="F516" i="5"/>
  <c r="E516" i="5"/>
  <c r="D516" i="5"/>
  <c r="C516" i="5"/>
  <c r="B516" i="5"/>
  <c r="A516" i="5"/>
  <c r="F515" i="5"/>
  <c r="E515" i="5"/>
  <c r="D515" i="5"/>
  <c r="C515" i="5"/>
  <c r="B515" i="5"/>
  <c r="A515" i="5"/>
  <c r="F514" i="5"/>
  <c r="E514" i="5"/>
  <c r="D514" i="5"/>
  <c r="C514" i="5"/>
  <c r="B514" i="5"/>
  <c r="A514" i="5"/>
  <c r="F513" i="5"/>
  <c r="E513" i="5"/>
  <c r="D513" i="5"/>
  <c r="C513" i="5"/>
  <c r="B513" i="5"/>
  <c r="A513" i="5"/>
  <c r="F512" i="5"/>
  <c r="E512" i="5"/>
  <c r="D512" i="5"/>
  <c r="C512" i="5"/>
  <c r="B512" i="5"/>
  <c r="A512" i="5"/>
  <c r="F511" i="5"/>
  <c r="E511" i="5"/>
  <c r="D511" i="5"/>
  <c r="C511" i="5"/>
  <c r="B511" i="5"/>
  <c r="A511" i="5"/>
  <c r="F510" i="5"/>
  <c r="E510" i="5"/>
  <c r="D510" i="5"/>
  <c r="C510" i="5"/>
  <c r="B510" i="5"/>
  <c r="A510" i="5"/>
  <c r="F509" i="5"/>
  <c r="E509" i="5"/>
  <c r="D509" i="5"/>
  <c r="C509" i="5"/>
  <c r="B509" i="5"/>
  <c r="A509" i="5"/>
  <c r="F508" i="5"/>
  <c r="E508" i="5"/>
  <c r="D508" i="5"/>
  <c r="C508" i="5"/>
  <c r="B508" i="5"/>
  <c r="A508" i="5"/>
  <c r="F507" i="5"/>
  <c r="E507" i="5"/>
  <c r="D507" i="5"/>
  <c r="C507" i="5"/>
  <c r="B507" i="5"/>
  <c r="A507" i="5"/>
  <c r="F506" i="5"/>
  <c r="E506" i="5"/>
  <c r="D506" i="5"/>
  <c r="C506" i="5"/>
  <c r="B506" i="5"/>
  <c r="A506" i="5"/>
  <c r="F505" i="5"/>
  <c r="E505" i="5"/>
  <c r="D505" i="5"/>
  <c r="C505" i="5"/>
  <c r="B505" i="5"/>
  <c r="A505" i="5"/>
  <c r="F504" i="5"/>
  <c r="E504" i="5"/>
  <c r="D504" i="5"/>
  <c r="C504" i="5"/>
  <c r="B504" i="5"/>
  <c r="A504" i="5"/>
  <c r="F503" i="5"/>
  <c r="E503" i="5"/>
  <c r="D503" i="5"/>
  <c r="C503" i="5"/>
  <c r="B503" i="5"/>
  <c r="A503" i="5"/>
  <c r="F502" i="5"/>
  <c r="E502" i="5"/>
  <c r="D502" i="5"/>
  <c r="C502" i="5"/>
  <c r="B502" i="5"/>
  <c r="A502" i="5"/>
  <c r="F501" i="5"/>
  <c r="E501" i="5"/>
  <c r="D501" i="5"/>
  <c r="C501" i="5"/>
  <c r="B501" i="5"/>
  <c r="A501" i="5"/>
  <c r="F500" i="5"/>
  <c r="E500" i="5"/>
  <c r="D500" i="5"/>
  <c r="C500" i="5"/>
  <c r="B500" i="5"/>
  <c r="A500" i="5"/>
  <c r="F499" i="5"/>
  <c r="E499" i="5"/>
  <c r="D499" i="5"/>
  <c r="C499" i="5"/>
  <c r="B499" i="5"/>
  <c r="A499" i="5"/>
  <c r="F498" i="5"/>
  <c r="E498" i="5"/>
  <c r="D498" i="5"/>
  <c r="C498" i="5"/>
  <c r="B498" i="5"/>
  <c r="A498" i="5"/>
  <c r="F497" i="5"/>
  <c r="E497" i="5"/>
  <c r="D497" i="5"/>
  <c r="C497" i="5"/>
  <c r="B497" i="5"/>
  <c r="A497" i="5"/>
  <c r="F496" i="5"/>
  <c r="E496" i="5"/>
  <c r="D496" i="5"/>
  <c r="C496" i="5"/>
  <c r="B496" i="5"/>
  <c r="A496" i="5"/>
  <c r="F495" i="5"/>
  <c r="E495" i="5"/>
  <c r="D495" i="5"/>
  <c r="C495" i="5"/>
  <c r="B495" i="5"/>
  <c r="A495" i="5"/>
  <c r="F494" i="5"/>
  <c r="E494" i="5"/>
  <c r="D494" i="5"/>
  <c r="C494" i="5"/>
  <c r="B494" i="5"/>
  <c r="A494" i="5"/>
  <c r="F493" i="5"/>
  <c r="E493" i="5"/>
  <c r="D493" i="5"/>
  <c r="C493" i="5"/>
  <c r="B493" i="5"/>
  <c r="A493" i="5"/>
  <c r="F492" i="5"/>
  <c r="E492" i="5"/>
  <c r="D492" i="5"/>
  <c r="C492" i="5"/>
  <c r="B492" i="5"/>
  <c r="A492" i="5"/>
  <c r="F491" i="5"/>
  <c r="E491" i="5"/>
  <c r="D491" i="5"/>
  <c r="C491" i="5"/>
  <c r="B491" i="5"/>
  <c r="A491" i="5"/>
  <c r="F490" i="5"/>
  <c r="E490" i="5"/>
  <c r="D490" i="5"/>
  <c r="C490" i="5"/>
  <c r="B490" i="5"/>
  <c r="A490" i="5"/>
  <c r="F489" i="5"/>
  <c r="E489" i="5"/>
  <c r="D489" i="5"/>
  <c r="C489" i="5"/>
  <c r="B489" i="5"/>
  <c r="A489" i="5"/>
  <c r="F488" i="5"/>
  <c r="E488" i="5"/>
  <c r="D488" i="5"/>
  <c r="C488" i="5"/>
  <c r="B488" i="5"/>
  <c r="A488" i="5"/>
  <c r="F487" i="5"/>
  <c r="E487" i="5"/>
  <c r="D487" i="5"/>
  <c r="C487" i="5"/>
  <c r="B487" i="5"/>
  <c r="A487" i="5"/>
  <c r="F486" i="5"/>
  <c r="E486" i="5"/>
  <c r="D486" i="5"/>
  <c r="C486" i="5"/>
  <c r="B486" i="5"/>
  <c r="A486" i="5"/>
  <c r="F485" i="5"/>
  <c r="E485" i="5"/>
  <c r="D485" i="5"/>
  <c r="C485" i="5"/>
  <c r="B485" i="5"/>
  <c r="A485" i="5"/>
  <c r="F484" i="5"/>
  <c r="E484" i="5"/>
  <c r="D484" i="5"/>
  <c r="C484" i="5"/>
  <c r="B484" i="5"/>
  <c r="A484" i="5"/>
  <c r="F483" i="5"/>
  <c r="E483" i="5"/>
  <c r="D483" i="5"/>
  <c r="C483" i="5"/>
  <c r="B483" i="5"/>
  <c r="A483" i="5"/>
  <c r="F482" i="5"/>
  <c r="E482" i="5"/>
  <c r="D482" i="5"/>
  <c r="C482" i="5"/>
  <c r="B482" i="5"/>
  <c r="A482" i="5"/>
  <c r="F481" i="5"/>
  <c r="E481" i="5"/>
  <c r="D481" i="5"/>
  <c r="C481" i="5"/>
  <c r="B481" i="5"/>
  <c r="A481" i="5"/>
  <c r="F480" i="5"/>
  <c r="E480" i="5"/>
  <c r="D480" i="5"/>
  <c r="C480" i="5"/>
  <c r="B480" i="5"/>
  <c r="A480" i="5"/>
  <c r="F479" i="5"/>
  <c r="E479" i="5"/>
  <c r="D479" i="5"/>
  <c r="C479" i="5"/>
  <c r="B479" i="5"/>
  <c r="A479" i="5"/>
  <c r="F478" i="5"/>
  <c r="E478" i="5"/>
  <c r="D478" i="5"/>
  <c r="C478" i="5"/>
  <c r="B478" i="5"/>
  <c r="A478" i="5"/>
  <c r="F477" i="5"/>
  <c r="E477" i="5"/>
  <c r="D477" i="5"/>
  <c r="C477" i="5"/>
  <c r="B477" i="5"/>
  <c r="A477" i="5"/>
  <c r="F476" i="5"/>
  <c r="E476" i="5"/>
  <c r="D476" i="5"/>
  <c r="C476" i="5"/>
  <c r="B476" i="5"/>
  <c r="A476" i="5"/>
  <c r="F475" i="5"/>
  <c r="E475" i="5"/>
  <c r="D475" i="5"/>
  <c r="C475" i="5"/>
  <c r="B475" i="5"/>
  <c r="A475" i="5"/>
  <c r="F474" i="5"/>
  <c r="E474" i="5"/>
  <c r="D474" i="5"/>
  <c r="C474" i="5"/>
  <c r="B474" i="5"/>
  <c r="A474" i="5"/>
  <c r="F473" i="5"/>
  <c r="E473" i="5"/>
  <c r="D473" i="5"/>
  <c r="C473" i="5"/>
  <c r="B473" i="5"/>
  <c r="A473" i="5"/>
  <c r="F472" i="5"/>
  <c r="E472" i="5"/>
  <c r="D472" i="5"/>
  <c r="C472" i="5"/>
  <c r="B472" i="5"/>
  <c r="A472" i="5"/>
  <c r="F471" i="5"/>
  <c r="E471" i="5"/>
  <c r="D471" i="5"/>
  <c r="C471" i="5"/>
  <c r="B471" i="5"/>
  <c r="A471" i="5"/>
  <c r="F470" i="5"/>
  <c r="E470" i="5"/>
  <c r="D470" i="5"/>
  <c r="C470" i="5"/>
  <c r="B470" i="5"/>
  <c r="A470" i="5"/>
  <c r="F469" i="5"/>
  <c r="E469" i="5"/>
  <c r="D469" i="5"/>
  <c r="C469" i="5"/>
  <c r="B469" i="5"/>
  <c r="A469" i="5"/>
  <c r="F468" i="5"/>
  <c r="E468" i="5"/>
  <c r="D468" i="5"/>
  <c r="C468" i="5"/>
  <c r="B468" i="5"/>
  <c r="A468" i="5"/>
  <c r="F467" i="5"/>
  <c r="E467" i="5"/>
  <c r="D467" i="5"/>
  <c r="C467" i="5"/>
  <c r="B467" i="5"/>
  <c r="A467" i="5"/>
  <c r="F466" i="5"/>
  <c r="E466" i="5"/>
  <c r="D466" i="5"/>
  <c r="C466" i="5"/>
  <c r="B466" i="5"/>
  <c r="A466" i="5"/>
  <c r="F465" i="5"/>
  <c r="E465" i="5"/>
  <c r="D465" i="5"/>
  <c r="C465" i="5"/>
  <c r="B465" i="5"/>
  <c r="A465" i="5"/>
  <c r="F464" i="5"/>
  <c r="E464" i="5"/>
  <c r="D464" i="5"/>
  <c r="C464" i="5"/>
  <c r="B464" i="5"/>
  <c r="A464" i="5"/>
  <c r="F463" i="5"/>
  <c r="E463" i="5"/>
  <c r="D463" i="5"/>
  <c r="C463" i="5"/>
  <c r="B463" i="5"/>
  <c r="A463" i="5"/>
  <c r="F462" i="5"/>
  <c r="E462" i="5"/>
  <c r="D462" i="5"/>
  <c r="C462" i="5"/>
  <c r="B462" i="5"/>
  <c r="A462" i="5"/>
  <c r="F461" i="5"/>
  <c r="E461" i="5"/>
  <c r="D461" i="5"/>
  <c r="C461" i="5"/>
  <c r="B461" i="5"/>
  <c r="A461" i="5"/>
  <c r="F460" i="5"/>
  <c r="E460" i="5"/>
  <c r="D460" i="5"/>
  <c r="C460" i="5"/>
  <c r="B460" i="5"/>
  <c r="A460" i="5"/>
  <c r="F459" i="5"/>
  <c r="E459" i="5"/>
  <c r="D459" i="5"/>
  <c r="C459" i="5"/>
  <c r="B459" i="5"/>
  <c r="A459" i="5"/>
  <c r="F458" i="5"/>
  <c r="E458" i="5"/>
  <c r="D458" i="5"/>
  <c r="C458" i="5"/>
  <c r="B458" i="5"/>
  <c r="A458" i="5"/>
  <c r="F457" i="5"/>
  <c r="E457" i="5"/>
  <c r="D457" i="5"/>
  <c r="C457" i="5"/>
  <c r="B457" i="5"/>
  <c r="A457" i="5"/>
  <c r="F456" i="5"/>
  <c r="E456" i="5"/>
  <c r="D456" i="5"/>
  <c r="C456" i="5"/>
  <c r="B456" i="5"/>
  <c r="A456" i="5"/>
  <c r="F455" i="5"/>
  <c r="E455" i="5"/>
  <c r="D455" i="5"/>
  <c r="C455" i="5"/>
  <c r="B455" i="5"/>
  <c r="A455" i="5"/>
  <c r="F454" i="5"/>
  <c r="E454" i="5"/>
  <c r="D454" i="5"/>
  <c r="C454" i="5"/>
  <c r="B454" i="5"/>
  <c r="A454" i="5"/>
  <c r="F453" i="5"/>
  <c r="E453" i="5"/>
  <c r="D453" i="5"/>
  <c r="C453" i="5"/>
  <c r="B453" i="5"/>
  <c r="A453" i="5"/>
  <c r="F452" i="5"/>
  <c r="E452" i="5"/>
  <c r="D452" i="5"/>
  <c r="C452" i="5"/>
  <c r="B452" i="5"/>
  <c r="A452" i="5"/>
  <c r="F451" i="5"/>
  <c r="E451" i="5"/>
  <c r="D451" i="5"/>
  <c r="C451" i="5"/>
  <c r="B451" i="5"/>
  <c r="A451" i="5"/>
  <c r="F450" i="5"/>
  <c r="E450" i="5"/>
  <c r="D450" i="5"/>
  <c r="C450" i="5"/>
  <c r="B450" i="5"/>
  <c r="A450" i="5"/>
  <c r="F449" i="5"/>
  <c r="E449" i="5"/>
  <c r="D449" i="5"/>
  <c r="C449" i="5"/>
  <c r="B449" i="5"/>
  <c r="A449" i="5"/>
  <c r="F448" i="5"/>
  <c r="E448" i="5"/>
  <c r="D448" i="5"/>
  <c r="C448" i="5"/>
  <c r="B448" i="5"/>
  <c r="A448" i="5"/>
  <c r="F447" i="5"/>
  <c r="E447" i="5"/>
  <c r="D447" i="5"/>
  <c r="C447" i="5"/>
  <c r="B447" i="5"/>
  <c r="A447" i="5"/>
  <c r="F446" i="5"/>
  <c r="E446" i="5"/>
  <c r="D446" i="5"/>
  <c r="C446" i="5"/>
  <c r="B446" i="5"/>
  <c r="A446" i="5"/>
  <c r="F445" i="5"/>
  <c r="E445" i="5"/>
  <c r="D445" i="5"/>
  <c r="C445" i="5"/>
  <c r="B445" i="5"/>
  <c r="A445" i="5"/>
  <c r="F444" i="5"/>
  <c r="E444" i="5"/>
  <c r="D444" i="5"/>
  <c r="C444" i="5"/>
  <c r="B444" i="5"/>
  <c r="A444" i="5"/>
  <c r="F443" i="5"/>
  <c r="E443" i="5"/>
  <c r="D443" i="5"/>
  <c r="C443" i="5"/>
  <c r="B443" i="5"/>
  <c r="A443" i="5"/>
  <c r="F442" i="5"/>
  <c r="E442" i="5"/>
  <c r="D442" i="5"/>
  <c r="C442" i="5"/>
  <c r="B442" i="5"/>
  <c r="A442" i="5"/>
  <c r="F441" i="5"/>
  <c r="E441" i="5"/>
  <c r="D441" i="5"/>
  <c r="C441" i="5"/>
  <c r="B441" i="5"/>
  <c r="A441" i="5"/>
  <c r="F440" i="5"/>
  <c r="E440" i="5"/>
  <c r="D440" i="5"/>
  <c r="C440" i="5"/>
  <c r="B440" i="5"/>
  <c r="A440" i="5"/>
  <c r="F439" i="5"/>
  <c r="E439" i="5"/>
  <c r="D439" i="5"/>
  <c r="C439" i="5"/>
  <c r="B439" i="5"/>
  <c r="A439" i="5"/>
  <c r="F438" i="5"/>
  <c r="E438" i="5"/>
  <c r="D438" i="5"/>
  <c r="C438" i="5"/>
  <c r="B438" i="5"/>
  <c r="A438" i="5"/>
  <c r="F437" i="5"/>
  <c r="E437" i="5"/>
  <c r="D437" i="5"/>
  <c r="C437" i="5"/>
  <c r="B437" i="5"/>
  <c r="A437" i="5"/>
  <c r="F436" i="5"/>
  <c r="E436" i="5"/>
  <c r="D436" i="5"/>
  <c r="C436" i="5"/>
  <c r="B436" i="5"/>
  <c r="A436" i="5"/>
  <c r="F435" i="5"/>
  <c r="E435" i="5"/>
  <c r="D435" i="5"/>
  <c r="C435" i="5"/>
  <c r="B435" i="5"/>
  <c r="A435" i="5"/>
  <c r="F434" i="5"/>
  <c r="E434" i="5"/>
  <c r="D434" i="5"/>
  <c r="C434" i="5"/>
  <c r="B434" i="5"/>
  <c r="A434" i="5"/>
  <c r="F433" i="5"/>
  <c r="E433" i="5"/>
  <c r="D433" i="5"/>
  <c r="C433" i="5"/>
  <c r="B433" i="5"/>
  <c r="A433" i="5"/>
  <c r="F432" i="5"/>
  <c r="E432" i="5"/>
  <c r="D432" i="5"/>
  <c r="C432" i="5"/>
  <c r="B432" i="5"/>
  <c r="A432" i="5"/>
  <c r="F431" i="5"/>
  <c r="E431" i="5"/>
  <c r="D431" i="5"/>
  <c r="C431" i="5"/>
  <c r="B431" i="5"/>
  <c r="A431" i="5"/>
  <c r="F430" i="5"/>
  <c r="E430" i="5"/>
  <c r="D430" i="5"/>
  <c r="C430" i="5"/>
  <c r="B430" i="5"/>
  <c r="A430" i="5"/>
  <c r="F429" i="5"/>
  <c r="E429" i="5"/>
  <c r="D429" i="5"/>
  <c r="C429" i="5"/>
  <c r="B429" i="5"/>
  <c r="A429" i="5"/>
  <c r="F428" i="5"/>
  <c r="E428" i="5"/>
  <c r="D428" i="5"/>
  <c r="C428" i="5"/>
  <c r="B428" i="5"/>
  <c r="A428" i="5"/>
  <c r="F427" i="5"/>
  <c r="E427" i="5"/>
  <c r="D427" i="5"/>
  <c r="C427" i="5"/>
  <c r="B427" i="5"/>
  <c r="A427" i="5"/>
  <c r="F426" i="5"/>
  <c r="E426" i="5"/>
  <c r="D426" i="5"/>
  <c r="C426" i="5"/>
  <c r="B426" i="5"/>
  <c r="A426" i="5"/>
  <c r="F425" i="5"/>
  <c r="E425" i="5"/>
  <c r="D425" i="5"/>
  <c r="C425" i="5"/>
  <c r="B425" i="5"/>
  <c r="A425" i="5"/>
  <c r="F424" i="5"/>
  <c r="E424" i="5"/>
  <c r="D424" i="5"/>
  <c r="C424" i="5"/>
  <c r="B424" i="5"/>
  <c r="A424" i="5"/>
  <c r="F423" i="5"/>
  <c r="E423" i="5"/>
  <c r="D423" i="5"/>
  <c r="C423" i="5"/>
  <c r="B423" i="5"/>
  <c r="A423" i="5"/>
  <c r="F422" i="5"/>
  <c r="E422" i="5"/>
  <c r="D422" i="5"/>
  <c r="C422" i="5"/>
  <c r="B422" i="5"/>
  <c r="A422" i="5"/>
  <c r="F421" i="5"/>
  <c r="E421" i="5"/>
  <c r="D421" i="5"/>
  <c r="C421" i="5"/>
  <c r="B421" i="5"/>
  <c r="A421" i="5"/>
  <c r="F420" i="5"/>
  <c r="E420" i="5"/>
  <c r="D420" i="5"/>
  <c r="C420" i="5"/>
  <c r="B420" i="5"/>
  <c r="A420" i="5"/>
  <c r="F419" i="5"/>
  <c r="E419" i="5"/>
  <c r="D419" i="5"/>
  <c r="C419" i="5"/>
  <c r="B419" i="5"/>
  <c r="A419" i="5"/>
  <c r="F418" i="5"/>
  <c r="E418" i="5"/>
  <c r="D418" i="5"/>
  <c r="C418" i="5"/>
  <c r="B418" i="5"/>
  <c r="A418" i="5"/>
  <c r="F417" i="5"/>
  <c r="E417" i="5"/>
  <c r="D417" i="5"/>
  <c r="C417" i="5"/>
  <c r="B417" i="5"/>
  <c r="A417" i="5"/>
  <c r="F416" i="5"/>
  <c r="E416" i="5"/>
  <c r="D416" i="5"/>
  <c r="C416" i="5"/>
  <c r="B416" i="5"/>
  <c r="A416" i="5"/>
  <c r="F415" i="5"/>
  <c r="E415" i="5"/>
  <c r="D415" i="5"/>
  <c r="C415" i="5"/>
  <c r="B415" i="5"/>
  <c r="A415" i="5"/>
  <c r="F414" i="5"/>
  <c r="E414" i="5"/>
  <c r="D414" i="5"/>
  <c r="C414" i="5"/>
  <c r="B414" i="5"/>
  <c r="A414" i="5"/>
  <c r="F413" i="5"/>
  <c r="E413" i="5"/>
  <c r="D413" i="5"/>
  <c r="C413" i="5"/>
  <c r="B413" i="5"/>
  <c r="A413" i="5"/>
  <c r="F412" i="5"/>
  <c r="E412" i="5"/>
  <c r="D412" i="5"/>
  <c r="C412" i="5"/>
  <c r="B412" i="5"/>
  <c r="A412" i="5"/>
  <c r="F411" i="5"/>
  <c r="E411" i="5"/>
  <c r="D411" i="5"/>
  <c r="C411" i="5"/>
  <c r="B411" i="5"/>
  <c r="A411" i="5"/>
  <c r="F410" i="5"/>
  <c r="E410" i="5"/>
  <c r="D410" i="5"/>
  <c r="C410" i="5"/>
  <c r="B410" i="5"/>
  <c r="A410" i="5"/>
  <c r="F409" i="5"/>
  <c r="E409" i="5"/>
  <c r="D409" i="5"/>
  <c r="C409" i="5"/>
  <c r="B409" i="5"/>
  <c r="A409" i="5"/>
  <c r="F408" i="5"/>
  <c r="E408" i="5"/>
  <c r="D408" i="5"/>
  <c r="C408" i="5"/>
  <c r="B408" i="5"/>
  <c r="A408" i="5"/>
  <c r="F407" i="5"/>
  <c r="E407" i="5"/>
  <c r="D407" i="5"/>
  <c r="C407" i="5"/>
  <c r="B407" i="5"/>
  <c r="A407" i="5"/>
  <c r="F406" i="5"/>
  <c r="E406" i="5"/>
  <c r="D406" i="5"/>
  <c r="C406" i="5"/>
  <c r="B406" i="5"/>
  <c r="A406" i="5"/>
  <c r="F405" i="5"/>
  <c r="E405" i="5"/>
  <c r="D405" i="5"/>
  <c r="C405" i="5"/>
  <c r="B405" i="5"/>
  <c r="A405" i="5"/>
  <c r="F404" i="5"/>
  <c r="E404" i="5"/>
  <c r="D404" i="5"/>
  <c r="C404" i="5"/>
  <c r="B404" i="5"/>
  <c r="A404" i="5"/>
  <c r="F403" i="5"/>
  <c r="E403" i="5"/>
  <c r="D403" i="5"/>
  <c r="C403" i="5"/>
  <c r="B403" i="5"/>
  <c r="A403" i="5"/>
  <c r="F402" i="5"/>
  <c r="E402" i="5"/>
  <c r="D402" i="5"/>
  <c r="C402" i="5"/>
  <c r="B402" i="5"/>
  <c r="A402" i="5"/>
  <c r="F401" i="5"/>
  <c r="E401" i="5"/>
  <c r="D401" i="5"/>
  <c r="C401" i="5"/>
  <c r="B401" i="5"/>
  <c r="A401" i="5"/>
  <c r="F400" i="5"/>
  <c r="E400" i="5"/>
  <c r="D400" i="5"/>
  <c r="C400" i="5"/>
  <c r="B400" i="5"/>
  <c r="A400" i="5"/>
  <c r="F399" i="5"/>
  <c r="E399" i="5"/>
  <c r="D399" i="5"/>
  <c r="C399" i="5"/>
  <c r="B399" i="5"/>
  <c r="A399" i="5"/>
  <c r="F398" i="5"/>
  <c r="E398" i="5"/>
  <c r="D398" i="5"/>
  <c r="C398" i="5"/>
  <c r="B398" i="5"/>
  <c r="A398" i="5"/>
  <c r="F397" i="5"/>
  <c r="E397" i="5"/>
  <c r="D397" i="5"/>
  <c r="C397" i="5"/>
  <c r="B397" i="5"/>
  <c r="A397" i="5"/>
  <c r="F396" i="5"/>
  <c r="E396" i="5"/>
  <c r="D396" i="5"/>
  <c r="C396" i="5"/>
  <c r="B396" i="5"/>
  <c r="A396" i="5"/>
  <c r="F395" i="5"/>
  <c r="E395" i="5"/>
  <c r="D395" i="5"/>
  <c r="C395" i="5"/>
  <c r="B395" i="5"/>
  <c r="A395" i="5"/>
  <c r="F394" i="5"/>
  <c r="E394" i="5"/>
  <c r="D394" i="5"/>
  <c r="C394" i="5"/>
  <c r="B394" i="5"/>
  <c r="A394" i="5"/>
  <c r="F393" i="5"/>
  <c r="E393" i="5"/>
  <c r="D393" i="5"/>
  <c r="C393" i="5"/>
  <c r="B393" i="5"/>
  <c r="A393" i="5"/>
  <c r="F392" i="5"/>
  <c r="E392" i="5"/>
  <c r="D392" i="5"/>
  <c r="C392" i="5"/>
  <c r="B392" i="5"/>
  <c r="A392" i="5"/>
  <c r="F391" i="5"/>
  <c r="E391" i="5"/>
  <c r="D391" i="5"/>
  <c r="C391" i="5"/>
  <c r="B391" i="5"/>
  <c r="A391" i="5"/>
  <c r="F390" i="5"/>
  <c r="E390" i="5"/>
  <c r="D390" i="5"/>
  <c r="C390" i="5"/>
  <c r="B390" i="5"/>
  <c r="A390" i="5"/>
  <c r="F389" i="5"/>
  <c r="E389" i="5"/>
  <c r="D389" i="5"/>
  <c r="C389" i="5"/>
  <c r="B389" i="5"/>
  <c r="A389" i="5"/>
  <c r="F388" i="5"/>
  <c r="E388" i="5"/>
  <c r="D388" i="5"/>
  <c r="C388" i="5"/>
  <c r="B388" i="5"/>
  <c r="A388" i="5"/>
  <c r="F387" i="5"/>
  <c r="E387" i="5"/>
  <c r="D387" i="5"/>
  <c r="C387" i="5"/>
  <c r="B387" i="5"/>
  <c r="A387" i="5"/>
  <c r="F386" i="5"/>
  <c r="E386" i="5"/>
  <c r="D386" i="5"/>
  <c r="C386" i="5"/>
  <c r="B386" i="5"/>
  <c r="A386" i="5"/>
  <c r="F385" i="5"/>
  <c r="E385" i="5"/>
  <c r="D385" i="5"/>
  <c r="C385" i="5"/>
  <c r="B385" i="5"/>
  <c r="A385" i="5"/>
  <c r="F384" i="5"/>
  <c r="E384" i="5"/>
  <c r="D384" i="5"/>
  <c r="C384" i="5"/>
  <c r="B384" i="5"/>
  <c r="A384" i="5"/>
  <c r="F383" i="5"/>
  <c r="E383" i="5"/>
  <c r="D383" i="5"/>
  <c r="C383" i="5"/>
  <c r="B383" i="5"/>
  <c r="A383" i="5"/>
  <c r="F382" i="5"/>
  <c r="E382" i="5"/>
  <c r="D382" i="5"/>
  <c r="C382" i="5"/>
  <c r="B382" i="5"/>
  <c r="A382" i="5"/>
  <c r="F381" i="5"/>
  <c r="E381" i="5"/>
  <c r="D381" i="5"/>
  <c r="C381" i="5"/>
  <c r="B381" i="5"/>
  <c r="A381" i="5"/>
  <c r="F380" i="5"/>
  <c r="E380" i="5"/>
  <c r="D380" i="5"/>
  <c r="C380" i="5"/>
  <c r="B380" i="5"/>
  <c r="A380" i="5"/>
  <c r="F379" i="5"/>
  <c r="E379" i="5"/>
  <c r="D379" i="5"/>
  <c r="C379" i="5"/>
  <c r="B379" i="5"/>
  <c r="A379" i="5"/>
  <c r="F378" i="5"/>
  <c r="E378" i="5"/>
  <c r="D378" i="5"/>
  <c r="C378" i="5"/>
  <c r="B378" i="5"/>
  <c r="A378" i="5"/>
  <c r="F377" i="5"/>
  <c r="E377" i="5"/>
  <c r="D377" i="5"/>
  <c r="C377" i="5"/>
  <c r="B377" i="5"/>
  <c r="A377" i="5"/>
  <c r="F376" i="5"/>
  <c r="E376" i="5"/>
  <c r="D376" i="5"/>
  <c r="C376" i="5"/>
  <c r="B376" i="5"/>
  <c r="A376" i="5"/>
  <c r="F375" i="5"/>
  <c r="E375" i="5"/>
  <c r="D375" i="5"/>
  <c r="C375" i="5"/>
  <c r="B375" i="5"/>
  <c r="A375" i="5"/>
  <c r="F374" i="5"/>
  <c r="E374" i="5"/>
  <c r="D374" i="5"/>
  <c r="C374" i="5"/>
  <c r="B374" i="5"/>
  <c r="A374" i="5"/>
  <c r="F373" i="5"/>
  <c r="E373" i="5"/>
  <c r="D373" i="5"/>
  <c r="C373" i="5"/>
  <c r="B373" i="5"/>
  <c r="A373" i="5"/>
  <c r="F372" i="5"/>
  <c r="E372" i="5"/>
  <c r="D372" i="5"/>
  <c r="C372" i="5"/>
  <c r="B372" i="5"/>
  <c r="A372" i="5"/>
  <c r="F371" i="5"/>
  <c r="E371" i="5"/>
  <c r="D371" i="5"/>
  <c r="C371" i="5"/>
  <c r="B371" i="5"/>
  <c r="A371" i="5"/>
  <c r="F370" i="5"/>
  <c r="E370" i="5"/>
  <c r="D370" i="5"/>
  <c r="C370" i="5"/>
  <c r="B370" i="5"/>
  <c r="A370" i="5"/>
  <c r="F369" i="5"/>
  <c r="E369" i="5"/>
  <c r="D369" i="5"/>
  <c r="C369" i="5"/>
  <c r="B369" i="5"/>
  <c r="A369" i="5"/>
  <c r="F368" i="5"/>
  <c r="E368" i="5"/>
  <c r="D368" i="5"/>
  <c r="C368" i="5"/>
  <c r="B368" i="5"/>
  <c r="A368" i="5"/>
  <c r="F367" i="5"/>
  <c r="E367" i="5"/>
  <c r="D367" i="5"/>
  <c r="C367" i="5"/>
  <c r="B367" i="5"/>
  <c r="A367" i="5"/>
  <c r="F366" i="5"/>
  <c r="E366" i="5"/>
  <c r="D366" i="5"/>
  <c r="C366" i="5"/>
  <c r="B366" i="5"/>
  <c r="A366" i="5"/>
  <c r="F365" i="5"/>
  <c r="E365" i="5"/>
  <c r="D365" i="5"/>
  <c r="C365" i="5"/>
  <c r="B365" i="5"/>
  <c r="A365" i="5"/>
  <c r="F364" i="5"/>
  <c r="E364" i="5"/>
  <c r="D364" i="5"/>
  <c r="C364" i="5"/>
  <c r="B364" i="5"/>
  <c r="A364" i="5"/>
  <c r="F363" i="5"/>
  <c r="E363" i="5"/>
  <c r="D363" i="5"/>
  <c r="C363" i="5"/>
  <c r="B363" i="5"/>
  <c r="A363" i="5"/>
  <c r="F362" i="5"/>
  <c r="E362" i="5"/>
  <c r="D362" i="5"/>
  <c r="C362" i="5"/>
  <c r="B362" i="5"/>
  <c r="A362" i="5"/>
  <c r="F361" i="5"/>
  <c r="E361" i="5"/>
  <c r="D361" i="5"/>
  <c r="C361" i="5"/>
  <c r="B361" i="5"/>
  <c r="A361" i="5"/>
  <c r="F360" i="5"/>
  <c r="E360" i="5"/>
  <c r="D360" i="5"/>
  <c r="C360" i="5"/>
  <c r="B360" i="5"/>
  <c r="A360" i="5"/>
  <c r="F359" i="5"/>
  <c r="E359" i="5"/>
  <c r="D359" i="5"/>
  <c r="C359" i="5"/>
  <c r="B359" i="5"/>
  <c r="A359" i="5"/>
  <c r="F358" i="5"/>
  <c r="E358" i="5"/>
  <c r="D358" i="5"/>
  <c r="C358" i="5"/>
  <c r="B358" i="5"/>
  <c r="A358" i="5"/>
  <c r="F357" i="5"/>
  <c r="E357" i="5"/>
  <c r="D357" i="5"/>
  <c r="C357" i="5"/>
  <c r="B357" i="5"/>
  <c r="A357" i="5"/>
  <c r="F356" i="5"/>
  <c r="E356" i="5"/>
  <c r="D356" i="5"/>
  <c r="C356" i="5"/>
  <c r="B356" i="5"/>
  <c r="A356" i="5"/>
  <c r="F355" i="5"/>
  <c r="E355" i="5"/>
  <c r="D355" i="5"/>
  <c r="C355" i="5"/>
  <c r="B355" i="5"/>
  <c r="A355" i="5"/>
  <c r="F354" i="5"/>
  <c r="E354" i="5"/>
  <c r="D354" i="5"/>
  <c r="C354" i="5"/>
  <c r="B354" i="5"/>
  <c r="A354" i="5"/>
  <c r="F353" i="5"/>
  <c r="E353" i="5"/>
  <c r="D353" i="5"/>
  <c r="C353" i="5"/>
  <c r="B353" i="5"/>
  <c r="A353" i="5"/>
  <c r="F352" i="5"/>
  <c r="E352" i="5"/>
  <c r="D352" i="5"/>
  <c r="C352" i="5"/>
  <c r="B352" i="5"/>
  <c r="A352" i="5"/>
  <c r="F351" i="5"/>
  <c r="E351" i="5"/>
  <c r="D351" i="5"/>
  <c r="C351" i="5"/>
  <c r="B351" i="5"/>
  <c r="A351" i="5"/>
  <c r="F350" i="5"/>
  <c r="E350" i="5"/>
  <c r="D350" i="5"/>
  <c r="C350" i="5"/>
  <c r="B350" i="5"/>
  <c r="A350" i="5"/>
  <c r="F349" i="5"/>
  <c r="E349" i="5"/>
  <c r="D349" i="5"/>
  <c r="C349" i="5"/>
  <c r="B349" i="5"/>
  <c r="A349" i="5"/>
  <c r="F348" i="5"/>
  <c r="E348" i="5"/>
  <c r="D348" i="5"/>
  <c r="C348" i="5"/>
  <c r="B348" i="5"/>
  <c r="A348" i="5"/>
  <c r="F347" i="5"/>
  <c r="E347" i="5"/>
  <c r="D347" i="5"/>
  <c r="C347" i="5"/>
  <c r="B347" i="5"/>
  <c r="A347" i="5"/>
  <c r="F346" i="5"/>
  <c r="E346" i="5"/>
  <c r="D346" i="5"/>
  <c r="C346" i="5"/>
  <c r="B346" i="5"/>
  <c r="A346" i="5"/>
  <c r="F345" i="5"/>
  <c r="E345" i="5"/>
  <c r="D345" i="5"/>
  <c r="C345" i="5"/>
  <c r="B345" i="5"/>
  <c r="A345" i="5"/>
  <c r="F344" i="5"/>
  <c r="E344" i="5"/>
  <c r="D344" i="5"/>
  <c r="C344" i="5"/>
  <c r="B344" i="5"/>
  <c r="A344" i="5"/>
  <c r="F343" i="5"/>
  <c r="E343" i="5"/>
  <c r="D343" i="5"/>
  <c r="C343" i="5"/>
  <c r="B343" i="5"/>
  <c r="A343" i="5"/>
  <c r="F342" i="5"/>
  <c r="E342" i="5"/>
  <c r="D342" i="5"/>
  <c r="C342" i="5"/>
  <c r="B342" i="5"/>
  <c r="A342" i="5"/>
  <c r="F341" i="5"/>
  <c r="E341" i="5"/>
  <c r="D341" i="5"/>
  <c r="C341" i="5"/>
  <c r="B341" i="5"/>
  <c r="A341" i="5"/>
  <c r="F340" i="5"/>
  <c r="E340" i="5"/>
  <c r="D340" i="5"/>
  <c r="C340" i="5"/>
  <c r="B340" i="5"/>
  <c r="A340" i="5"/>
  <c r="F339" i="5"/>
  <c r="E339" i="5"/>
  <c r="D339" i="5"/>
  <c r="C339" i="5"/>
  <c r="B339" i="5"/>
  <c r="A339" i="5"/>
  <c r="F338" i="5"/>
  <c r="E338" i="5"/>
  <c r="D338" i="5"/>
  <c r="C338" i="5"/>
  <c r="B338" i="5"/>
  <c r="A338" i="5"/>
  <c r="F337" i="5"/>
  <c r="E337" i="5"/>
  <c r="D337" i="5"/>
  <c r="C337" i="5"/>
  <c r="B337" i="5"/>
  <c r="A337" i="5"/>
  <c r="F336" i="5"/>
  <c r="E336" i="5"/>
  <c r="D336" i="5"/>
  <c r="C336" i="5"/>
  <c r="B336" i="5"/>
  <c r="A336" i="5"/>
  <c r="F335" i="5"/>
  <c r="E335" i="5"/>
  <c r="D335" i="5"/>
  <c r="C335" i="5"/>
  <c r="B335" i="5"/>
  <c r="A335" i="5"/>
  <c r="F334" i="5"/>
  <c r="E334" i="5"/>
  <c r="D334" i="5"/>
  <c r="C334" i="5"/>
  <c r="B334" i="5"/>
  <c r="A334" i="5"/>
  <c r="F333" i="5"/>
  <c r="E333" i="5"/>
  <c r="D333" i="5"/>
  <c r="C333" i="5"/>
  <c r="B333" i="5"/>
  <c r="A333" i="5"/>
  <c r="F332" i="5"/>
  <c r="E332" i="5"/>
  <c r="D332" i="5"/>
  <c r="C332" i="5"/>
  <c r="B332" i="5"/>
  <c r="A332" i="5"/>
  <c r="F331" i="5"/>
  <c r="E331" i="5"/>
  <c r="D331" i="5"/>
  <c r="C331" i="5"/>
  <c r="B331" i="5"/>
  <c r="A331" i="5"/>
  <c r="F330" i="5"/>
  <c r="E330" i="5"/>
  <c r="D330" i="5"/>
  <c r="C330" i="5"/>
  <c r="B330" i="5"/>
  <c r="A330" i="5"/>
  <c r="F329" i="5"/>
  <c r="E329" i="5"/>
  <c r="D329" i="5"/>
  <c r="C329" i="5"/>
  <c r="B329" i="5"/>
  <c r="A329" i="5"/>
  <c r="F328" i="5"/>
  <c r="E328" i="5"/>
  <c r="D328" i="5"/>
  <c r="C328" i="5"/>
  <c r="B328" i="5"/>
  <c r="A328" i="5"/>
  <c r="F327" i="5"/>
  <c r="E327" i="5"/>
  <c r="D327" i="5"/>
  <c r="C327" i="5"/>
  <c r="B327" i="5"/>
  <c r="A327" i="5"/>
  <c r="F326" i="5"/>
  <c r="E326" i="5"/>
  <c r="D326" i="5"/>
  <c r="C326" i="5"/>
  <c r="B326" i="5"/>
  <c r="A326" i="5"/>
  <c r="F325" i="5"/>
  <c r="E325" i="5"/>
  <c r="D325" i="5"/>
  <c r="C325" i="5"/>
  <c r="B325" i="5"/>
  <c r="A325" i="5"/>
  <c r="F324" i="5"/>
  <c r="E324" i="5"/>
  <c r="D324" i="5"/>
  <c r="C324" i="5"/>
  <c r="B324" i="5"/>
  <c r="A324" i="5"/>
  <c r="F323" i="5"/>
  <c r="E323" i="5"/>
  <c r="D323" i="5"/>
  <c r="C323" i="5"/>
  <c r="B323" i="5"/>
  <c r="A323" i="5"/>
  <c r="F322" i="5"/>
  <c r="E322" i="5"/>
  <c r="D322" i="5"/>
  <c r="C322" i="5"/>
  <c r="B322" i="5"/>
  <c r="A322" i="5"/>
  <c r="F321" i="5"/>
  <c r="E321" i="5"/>
  <c r="D321" i="5"/>
  <c r="C321" i="5"/>
  <c r="B321" i="5"/>
  <c r="A321" i="5"/>
  <c r="F320" i="5"/>
  <c r="E320" i="5"/>
  <c r="D320" i="5"/>
  <c r="C320" i="5"/>
  <c r="B320" i="5"/>
  <c r="A320" i="5"/>
  <c r="F319" i="5"/>
  <c r="E319" i="5"/>
  <c r="D319" i="5"/>
  <c r="C319" i="5"/>
  <c r="B319" i="5"/>
  <c r="A319" i="5"/>
  <c r="F318" i="5"/>
  <c r="E318" i="5"/>
  <c r="D318" i="5"/>
  <c r="C318" i="5"/>
  <c r="B318" i="5"/>
  <c r="A318" i="5"/>
  <c r="F317" i="5"/>
  <c r="E317" i="5"/>
  <c r="D317" i="5"/>
  <c r="C317" i="5"/>
  <c r="B317" i="5"/>
  <c r="A317" i="5"/>
  <c r="F316" i="5"/>
  <c r="E316" i="5"/>
  <c r="D316" i="5"/>
  <c r="C316" i="5"/>
  <c r="B316" i="5"/>
  <c r="A316" i="5"/>
  <c r="F315" i="5"/>
  <c r="E315" i="5"/>
  <c r="D315" i="5"/>
  <c r="C315" i="5"/>
  <c r="B315" i="5"/>
  <c r="A315" i="5"/>
  <c r="F314" i="5"/>
  <c r="E314" i="5"/>
  <c r="D314" i="5"/>
  <c r="C314" i="5"/>
  <c r="B314" i="5"/>
  <c r="A314" i="5"/>
  <c r="F313" i="5"/>
  <c r="E313" i="5"/>
  <c r="D313" i="5"/>
  <c r="C313" i="5"/>
  <c r="B313" i="5"/>
  <c r="A313" i="5"/>
  <c r="F312" i="5"/>
  <c r="E312" i="5"/>
  <c r="D312" i="5"/>
  <c r="C312" i="5"/>
  <c r="B312" i="5"/>
  <c r="A312" i="5"/>
  <c r="F311" i="5"/>
  <c r="E311" i="5"/>
  <c r="D311" i="5"/>
  <c r="C311" i="5"/>
  <c r="B311" i="5"/>
  <c r="A311" i="5"/>
  <c r="F310" i="5"/>
  <c r="E310" i="5"/>
  <c r="D310" i="5"/>
  <c r="C310" i="5"/>
  <c r="B310" i="5"/>
  <c r="A310" i="5"/>
  <c r="F309" i="5"/>
  <c r="E309" i="5"/>
  <c r="D309" i="5"/>
  <c r="C309" i="5"/>
  <c r="B309" i="5"/>
  <c r="A309" i="5"/>
  <c r="F308" i="5"/>
  <c r="E308" i="5"/>
  <c r="D308" i="5"/>
  <c r="C308" i="5"/>
  <c r="B308" i="5"/>
  <c r="A308" i="5"/>
  <c r="F307" i="5"/>
  <c r="E307" i="5"/>
  <c r="D307" i="5"/>
  <c r="C307" i="5"/>
  <c r="B307" i="5"/>
  <c r="A307" i="5"/>
  <c r="F306" i="5"/>
  <c r="E306" i="5"/>
  <c r="D306" i="5"/>
  <c r="C306" i="5"/>
  <c r="B306" i="5"/>
  <c r="A306" i="5"/>
  <c r="F305" i="5"/>
  <c r="E305" i="5"/>
  <c r="D305" i="5"/>
  <c r="C305" i="5"/>
  <c r="B305" i="5"/>
  <c r="A305" i="5"/>
  <c r="F304" i="5"/>
  <c r="E304" i="5"/>
  <c r="D304" i="5"/>
  <c r="C304" i="5"/>
  <c r="B304" i="5"/>
  <c r="A304" i="5"/>
  <c r="F303" i="5"/>
  <c r="E303" i="5"/>
  <c r="D303" i="5"/>
  <c r="C303" i="5"/>
  <c r="B303" i="5"/>
  <c r="A303" i="5"/>
  <c r="F302" i="5"/>
  <c r="E302" i="5"/>
  <c r="D302" i="5"/>
  <c r="C302" i="5"/>
  <c r="B302" i="5"/>
  <c r="A302" i="5"/>
  <c r="F301" i="5"/>
  <c r="E301" i="5"/>
  <c r="D301" i="5"/>
  <c r="C301" i="5"/>
  <c r="B301" i="5"/>
  <c r="A301" i="5"/>
  <c r="F300" i="5"/>
  <c r="E300" i="5"/>
  <c r="D300" i="5"/>
  <c r="C300" i="5"/>
  <c r="B300" i="5"/>
  <c r="A300" i="5"/>
  <c r="F299" i="5"/>
  <c r="E299" i="5"/>
  <c r="D299" i="5"/>
  <c r="C299" i="5"/>
  <c r="B299" i="5"/>
  <c r="A299" i="5"/>
  <c r="F298" i="5"/>
  <c r="E298" i="5"/>
  <c r="D298" i="5"/>
  <c r="C298" i="5"/>
  <c r="B298" i="5"/>
  <c r="A298" i="5"/>
  <c r="F297" i="5"/>
  <c r="E297" i="5"/>
  <c r="D297" i="5"/>
  <c r="C297" i="5"/>
  <c r="B297" i="5"/>
  <c r="A297" i="5"/>
  <c r="F296" i="5"/>
  <c r="E296" i="5"/>
  <c r="D296" i="5"/>
  <c r="C296" i="5"/>
  <c r="B296" i="5"/>
  <c r="A296" i="5"/>
  <c r="F295" i="5"/>
  <c r="E295" i="5"/>
  <c r="D295" i="5"/>
  <c r="C295" i="5"/>
  <c r="B295" i="5"/>
  <c r="A295" i="5"/>
  <c r="F294" i="5"/>
  <c r="E294" i="5"/>
  <c r="D294" i="5"/>
  <c r="C294" i="5"/>
  <c r="B294" i="5"/>
  <c r="A294" i="5"/>
  <c r="F293" i="5"/>
  <c r="E293" i="5"/>
  <c r="D293" i="5"/>
  <c r="C293" i="5"/>
  <c r="B293" i="5"/>
  <c r="A293" i="5"/>
  <c r="F292" i="5"/>
  <c r="E292" i="5"/>
  <c r="D292" i="5"/>
  <c r="C292" i="5"/>
  <c r="B292" i="5"/>
  <c r="A292" i="5"/>
  <c r="F291" i="5"/>
  <c r="E291" i="5"/>
  <c r="D291" i="5"/>
  <c r="C291" i="5"/>
  <c r="B291" i="5"/>
  <c r="A291" i="5"/>
  <c r="F290" i="5"/>
  <c r="E290" i="5"/>
  <c r="D290" i="5"/>
  <c r="C290" i="5"/>
  <c r="B290" i="5"/>
  <c r="A290" i="5"/>
  <c r="F289" i="5"/>
  <c r="E289" i="5"/>
  <c r="D289" i="5"/>
  <c r="C289" i="5"/>
  <c r="B289" i="5"/>
  <c r="A289" i="5"/>
  <c r="F288" i="5"/>
  <c r="E288" i="5"/>
  <c r="D288" i="5"/>
  <c r="C288" i="5"/>
  <c r="B288" i="5"/>
  <c r="A288" i="5"/>
  <c r="F287" i="5"/>
  <c r="E287" i="5"/>
  <c r="D287" i="5"/>
  <c r="C287" i="5"/>
  <c r="B287" i="5"/>
  <c r="A287" i="5"/>
  <c r="F286" i="5"/>
  <c r="E286" i="5"/>
  <c r="D286" i="5"/>
  <c r="C286" i="5"/>
  <c r="B286" i="5"/>
  <c r="A286" i="5"/>
  <c r="F285" i="5"/>
  <c r="E285" i="5"/>
  <c r="D285" i="5"/>
  <c r="C285" i="5"/>
  <c r="B285" i="5"/>
  <c r="A285" i="5"/>
  <c r="F284" i="5"/>
  <c r="E284" i="5"/>
  <c r="D284" i="5"/>
  <c r="C284" i="5"/>
  <c r="B284" i="5"/>
  <c r="A284" i="5"/>
  <c r="F283" i="5"/>
  <c r="E283" i="5"/>
  <c r="D283" i="5"/>
  <c r="C283" i="5"/>
  <c r="B283" i="5"/>
  <c r="A283" i="5"/>
  <c r="F282" i="5"/>
  <c r="E282" i="5"/>
  <c r="D282" i="5"/>
  <c r="C282" i="5"/>
  <c r="B282" i="5"/>
  <c r="A282" i="5"/>
  <c r="F281" i="5"/>
  <c r="E281" i="5"/>
  <c r="D281" i="5"/>
  <c r="C281" i="5"/>
  <c r="B281" i="5"/>
  <c r="A281" i="5"/>
  <c r="F280" i="5"/>
  <c r="E280" i="5"/>
  <c r="D280" i="5"/>
  <c r="C280" i="5"/>
  <c r="B280" i="5"/>
  <c r="A280" i="5"/>
  <c r="F279" i="5"/>
  <c r="E279" i="5"/>
  <c r="D279" i="5"/>
  <c r="C279" i="5"/>
  <c r="B279" i="5"/>
  <c r="A279" i="5"/>
  <c r="F278" i="5"/>
  <c r="E278" i="5"/>
  <c r="D278" i="5"/>
  <c r="C278" i="5"/>
  <c r="B278" i="5"/>
  <c r="A278" i="5"/>
  <c r="F277" i="5"/>
  <c r="E277" i="5"/>
  <c r="D277" i="5"/>
  <c r="C277" i="5"/>
  <c r="B277" i="5"/>
  <c r="A277" i="5"/>
  <c r="F276" i="5"/>
  <c r="E276" i="5"/>
  <c r="D276" i="5"/>
  <c r="C276" i="5"/>
  <c r="B276" i="5"/>
  <c r="A276" i="5"/>
  <c r="F275" i="5"/>
  <c r="E275" i="5"/>
  <c r="D275" i="5"/>
  <c r="C275" i="5"/>
  <c r="B275" i="5"/>
  <c r="A275" i="5"/>
  <c r="F274" i="5"/>
  <c r="E274" i="5"/>
  <c r="D274" i="5"/>
  <c r="C274" i="5"/>
  <c r="B274" i="5"/>
  <c r="A274" i="5"/>
  <c r="F273" i="5"/>
  <c r="E273" i="5"/>
  <c r="D273" i="5"/>
  <c r="C273" i="5"/>
  <c r="B273" i="5"/>
  <c r="A273" i="5"/>
  <c r="F272" i="5"/>
  <c r="E272" i="5"/>
  <c r="D272" i="5"/>
  <c r="C272" i="5"/>
  <c r="B272" i="5"/>
  <c r="A272" i="5"/>
  <c r="F271" i="5"/>
  <c r="E271" i="5"/>
  <c r="D271" i="5"/>
  <c r="C271" i="5"/>
  <c r="B271" i="5"/>
  <c r="A271" i="5"/>
  <c r="F270" i="5"/>
  <c r="E270" i="5"/>
  <c r="D270" i="5"/>
  <c r="C270" i="5"/>
  <c r="B270" i="5"/>
  <c r="A270" i="5"/>
  <c r="F269" i="5"/>
  <c r="E269" i="5"/>
  <c r="D269" i="5"/>
  <c r="C269" i="5"/>
  <c r="B269" i="5"/>
  <c r="A269" i="5"/>
  <c r="F268" i="5"/>
  <c r="E268" i="5"/>
  <c r="D268" i="5"/>
  <c r="C268" i="5"/>
  <c r="B268" i="5"/>
  <c r="A268" i="5"/>
  <c r="F267" i="5"/>
  <c r="E267" i="5"/>
  <c r="D267" i="5"/>
  <c r="C267" i="5"/>
  <c r="B267" i="5"/>
  <c r="A267" i="5"/>
  <c r="F266" i="5"/>
  <c r="E266" i="5"/>
  <c r="D266" i="5"/>
  <c r="C266" i="5"/>
  <c r="B266" i="5"/>
  <c r="A266" i="5"/>
  <c r="F265" i="5"/>
  <c r="E265" i="5"/>
  <c r="D265" i="5"/>
  <c r="C265" i="5"/>
  <c r="B265" i="5"/>
  <c r="A265" i="5"/>
  <c r="F264" i="5"/>
  <c r="E264" i="5"/>
  <c r="D264" i="5"/>
  <c r="C264" i="5"/>
  <c r="B264" i="5"/>
  <c r="A264" i="5"/>
  <c r="F263" i="5"/>
  <c r="E263" i="5"/>
  <c r="D263" i="5"/>
  <c r="C263" i="5"/>
  <c r="B263" i="5"/>
  <c r="A263" i="5"/>
  <c r="F262" i="5"/>
  <c r="E262" i="5"/>
  <c r="D262" i="5"/>
  <c r="C262" i="5"/>
  <c r="B262" i="5"/>
  <c r="A262" i="5"/>
  <c r="F261" i="5"/>
  <c r="E261" i="5"/>
  <c r="D261" i="5"/>
  <c r="C261" i="5"/>
  <c r="B261" i="5"/>
  <c r="A261" i="5"/>
  <c r="F260" i="5"/>
  <c r="E260" i="5"/>
  <c r="D260" i="5"/>
  <c r="C260" i="5"/>
  <c r="B260" i="5"/>
  <c r="A260" i="5"/>
  <c r="F259" i="5"/>
  <c r="E259" i="5"/>
  <c r="D259" i="5"/>
  <c r="C259" i="5"/>
  <c r="B259" i="5"/>
  <c r="A259" i="5"/>
  <c r="F258" i="5"/>
  <c r="E258" i="5"/>
  <c r="D258" i="5"/>
  <c r="C258" i="5"/>
  <c r="B258" i="5"/>
  <c r="A258" i="5"/>
  <c r="F257" i="5"/>
  <c r="E257" i="5"/>
  <c r="D257" i="5"/>
  <c r="C257" i="5"/>
  <c r="B257" i="5"/>
  <c r="A257" i="5"/>
  <c r="F256" i="5"/>
  <c r="E256" i="5"/>
  <c r="D256" i="5"/>
  <c r="C256" i="5"/>
  <c r="B256" i="5"/>
  <c r="A256" i="5"/>
  <c r="F255" i="5"/>
  <c r="E255" i="5"/>
  <c r="D255" i="5"/>
  <c r="C255" i="5"/>
  <c r="B255" i="5"/>
  <c r="A255" i="5"/>
  <c r="F254" i="5"/>
  <c r="E254" i="5"/>
  <c r="D254" i="5"/>
  <c r="C254" i="5"/>
  <c r="B254" i="5"/>
  <c r="A254" i="5"/>
  <c r="F253" i="5"/>
  <c r="E253" i="5"/>
  <c r="D253" i="5"/>
  <c r="C253" i="5"/>
  <c r="B253" i="5"/>
  <c r="A253" i="5"/>
  <c r="F252" i="5"/>
  <c r="E252" i="5"/>
  <c r="D252" i="5"/>
  <c r="C252" i="5"/>
  <c r="B252" i="5"/>
  <c r="A252" i="5"/>
  <c r="F251" i="5"/>
  <c r="E251" i="5"/>
  <c r="D251" i="5"/>
  <c r="C251" i="5"/>
  <c r="B251" i="5"/>
  <c r="A251" i="5"/>
  <c r="F250" i="5"/>
  <c r="E250" i="5"/>
  <c r="D250" i="5"/>
  <c r="C250" i="5"/>
  <c r="B250" i="5"/>
  <c r="A250" i="5"/>
  <c r="F249" i="5"/>
  <c r="E249" i="5"/>
  <c r="D249" i="5"/>
  <c r="C249" i="5"/>
  <c r="B249" i="5"/>
  <c r="A249" i="5"/>
  <c r="F248" i="5"/>
  <c r="E248" i="5"/>
  <c r="D248" i="5"/>
  <c r="C248" i="5"/>
  <c r="B248" i="5"/>
  <c r="A248" i="5"/>
  <c r="F247" i="5"/>
  <c r="E247" i="5"/>
  <c r="D247" i="5"/>
  <c r="C247" i="5"/>
  <c r="B247" i="5"/>
  <c r="A247" i="5"/>
  <c r="F246" i="5"/>
  <c r="E246" i="5"/>
  <c r="D246" i="5"/>
  <c r="C246" i="5"/>
  <c r="B246" i="5"/>
  <c r="A246" i="5"/>
  <c r="F245" i="5"/>
  <c r="E245" i="5"/>
  <c r="D245" i="5"/>
  <c r="C245" i="5"/>
  <c r="B245" i="5"/>
  <c r="A245" i="5"/>
  <c r="F244" i="5"/>
  <c r="E244" i="5"/>
  <c r="D244" i="5"/>
  <c r="C244" i="5"/>
  <c r="B244" i="5"/>
  <c r="A244" i="5"/>
  <c r="F243" i="5"/>
  <c r="E243" i="5"/>
  <c r="D243" i="5"/>
  <c r="C243" i="5"/>
  <c r="B243" i="5"/>
  <c r="A243" i="5"/>
  <c r="F242" i="5"/>
  <c r="E242" i="5"/>
  <c r="D242" i="5"/>
  <c r="C242" i="5"/>
  <c r="B242" i="5"/>
  <c r="A242" i="5"/>
  <c r="F241" i="5"/>
  <c r="E241" i="5"/>
  <c r="D241" i="5"/>
  <c r="C241" i="5"/>
  <c r="B241" i="5"/>
  <c r="A241" i="5"/>
  <c r="F240" i="5"/>
  <c r="E240" i="5"/>
  <c r="D240" i="5"/>
  <c r="C240" i="5"/>
  <c r="B240" i="5"/>
  <c r="A240" i="5"/>
  <c r="F239" i="5"/>
  <c r="E239" i="5"/>
  <c r="D239" i="5"/>
  <c r="C239" i="5"/>
  <c r="B239" i="5"/>
  <c r="A239" i="5"/>
  <c r="F238" i="5"/>
  <c r="E238" i="5"/>
  <c r="D238" i="5"/>
  <c r="C238" i="5"/>
  <c r="B238" i="5"/>
  <c r="A238" i="5"/>
  <c r="F237" i="5"/>
  <c r="E237" i="5"/>
  <c r="D237" i="5"/>
  <c r="C237" i="5"/>
  <c r="B237" i="5"/>
  <c r="A237" i="5"/>
  <c r="F236" i="5"/>
  <c r="E236" i="5"/>
  <c r="D236" i="5"/>
  <c r="C236" i="5"/>
  <c r="B236" i="5"/>
  <c r="A236" i="5"/>
  <c r="F235" i="5"/>
  <c r="E235" i="5"/>
  <c r="D235" i="5"/>
  <c r="C235" i="5"/>
  <c r="B235" i="5"/>
  <c r="A235" i="5"/>
  <c r="F234" i="5"/>
  <c r="E234" i="5"/>
  <c r="D234" i="5"/>
  <c r="C234" i="5"/>
  <c r="B234" i="5"/>
  <c r="A234" i="5"/>
  <c r="F233" i="5"/>
  <c r="E233" i="5"/>
  <c r="D233" i="5"/>
  <c r="C233" i="5"/>
  <c r="B233" i="5"/>
  <c r="A233" i="5"/>
  <c r="F232" i="5"/>
  <c r="E232" i="5"/>
  <c r="D232" i="5"/>
  <c r="C232" i="5"/>
  <c r="B232" i="5"/>
  <c r="A232" i="5"/>
  <c r="F231" i="5"/>
  <c r="E231" i="5"/>
  <c r="D231" i="5"/>
  <c r="C231" i="5"/>
  <c r="B231" i="5"/>
  <c r="A231" i="5"/>
  <c r="F230" i="5"/>
  <c r="E230" i="5"/>
  <c r="D230" i="5"/>
  <c r="C230" i="5"/>
  <c r="B230" i="5"/>
  <c r="A230" i="5"/>
  <c r="F229" i="5"/>
  <c r="E229" i="5"/>
  <c r="D229" i="5"/>
  <c r="C229" i="5"/>
  <c r="B229" i="5"/>
  <c r="A229" i="5"/>
  <c r="F228" i="5"/>
  <c r="E228" i="5"/>
  <c r="D228" i="5"/>
  <c r="C228" i="5"/>
  <c r="B228" i="5"/>
  <c r="A228" i="5"/>
  <c r="F227" i="5"/>
  <c r="E227" i="5"/>
  <c r="D227" i="5"/>
  <c r="C227" i="5"/>
  <c r="B227" i="5"/>
  <c r="A227" i="5"/>
  <c r="F226" i="5"/>
  <c r="E226" i="5"/>
  <c r="D226" i="5"/>
  <c r="C226" i="5"/>
  <c r="B226" i="5"/>
  <c r="A226" i="5"/>
  <c r="F225" i="5"/>
  <c r="E225" i="5"/>
  <c r="D225" i="5"/>
  <c r="C225" i="5"/>
  <c r="B225" i="5"/>
  <c r="A225" i="5"/>
  <c r="F224" i="5"/>
  <c r="E224" i="5"/>
  <c r="D224" i="5"/>
  <c r="C224" i="5"/>
  <c r="B224" i="5"/>
  <c r="A224" i="5"/>
  <c r="F223" i="5"/>
  <c r="E223" i="5"/>
  <c r="D223" i="5"/>
  <c r="C223" i="5"/>
  <c r="B223" i="5"/>
  <c r="A223" i="5"/>
  <c r="F222" i="5"/>
  <c r="E222" i="5"/>
  <c r="D222" i="5"/>
  <c r="C222" i="5"/>
  <c r="B222" i="5"/>
  <c r="A222" i="5"/>
  <c r="F221" i="5"/>
  <c r="E221" i="5"/>
  <c r="D221" i="5"/>
  <c r="C221" i="5"/>
  <c r="B221" i="5"/>
  <c r="A221" i="5"/>
  <c r="F220" i="5"/>
  <c r="E220" i="5"/>
  <c r="D220" i="5"/>
  <c r="C220" i="5"/>
  <c r="B220" i="5"/>
  <c r="A220" i="5"/>
  <c r="F219" i="5"/>
  <c r="E219" i="5"/>
  <c r="D219" i="5"/>
  <c r="C219" i="5"/>
  <c r="B219" i="5"/>
  <c r="A219" i="5"/>
  <c r="F218" i="5"/>
  <c r="E218" i="5"/>
  <c r="D218" i="5"/>
  <c r="C218" i="5"/>
  <c r="B218" i="5"/>
  <c r="A218" i="5"/>
  <c r="F217" i="5"/>
  <c r="E217" i="5"/>
  <c r="D217" i="5"/>
  <c r="C217" i="5"/>
  <c r="B217" i="5"/>
  <c r="A217" i="5"/>
  <c r="F216" i="5"/>
  <c r="E216" i="5"/>
  <c r="D216" i="5"/>
  <c r="C216" i="5"/>
  <c r="B216" i="5"/>
  <c r="A216" i="5"/>
  <c r="F215" i="5"/>
  <c r="E215" i="5"/>
  <c r="D215" i="5"/>
  <c r="C215" i="5"/>
  <c r="B215" i="5"/>
  <c r="A215" i="5"/>
  <c r="F214" i="5"/>
  <c r="E214" i="5"/>
  <c r="D214" i="5"/>
  <c r="C214" i="5"/>
  <c r="B214" i="5"/>
  <c r="A214" i="5"/>
  <c r="F213" i="5"/>
  <c r="E213" i="5"/>
  <c r="D213" i="5"/>
  <c r="C213" i="5"/>
  <c r="B213" i="5"/>
  <c r="A213" i="5"/>
  <c r="F212" i="5"/>
  <c r="E212" i="5"/>
  <c r="D212" i="5"/>
  <c r="C212" i="5"/>
  <c r="B212" i="5"/>
  <c r="A212" i="5"/>
  <c r="F211" i="5"/>
  <c r="E211" i="5"/>
  <c r="D211" i="5"/>
  <c r="C211" i="5"/>
  <c r="B211" i="5"/>
  <c r="A211" i="5"/>
  <c r="F210" i="5"/>
  <c r="E210" i="5"/>
  <c r="D210" i="5"/>
  <c r="C210" i="5"/>
  <c r="B210" i="5"/>
  <c r="A210" i="5"/>
  <c r="F209" i="5"/>
  <c r="E209" i="5"/>
  <c r="D209" i="5"/>
  <c r="C209" i="5"/>
  <c r="B209" i="5"/>
  <c r="A209" i="5"/>
  <c r="F208" i="5"/>
  <c r="E208" i="5"/>
  <c r="D208" i="5"/>
  <c r="C208" i="5"/>
  <c r="B208" i="5"/>
  <c r="A208" i="5"/>
  <c r="F207" i="5"/>
  <c r="E207" i="5"/>
  <c r="D207" i="5"/>
  <c r="C207" i="5"/>
  <c r="B207" i="5"/>
  <c r="A207" i="5"/>
  <c r="F206" i="5"/>
  <c r="E206" i="5"/>
  <c r="D206" i="5"/>
  <c r="C206" i="5"/>
  <c r="B206" i="5"/>
  <c r="A206" i="5"/>
  <c r="F205" i="5"/>
  <c r="E205" i="5"/>
  <c r="D205" i="5"/>
  <c r="C205" i="5"/>
  <c r="B205" i="5"/>
  <c r="A205" i="5"/>
  <c r="F204" i="5"/>
  <c r="E204" i="5"/>
  <c r="D204" i="5"/>
  <c r="C204" i="5"/>
  <c r="B204" i="5"/>
  <c r="A204" i="5"/>
  <c r="F203" i="5"/>
  <c r="E203" i="5"/>
  <c r="D203" i="5"/>
  <c r="C203" i="5"/>
  <c r="B203" i="5"/>
  <c r="A203" i="5"/>
  <c r="F202" i="5"/>
  <c r="E202" i="5"/>
  <c r="D202" i="5"/>
  <c r="C202" i="5"/>
  <c r="B202" i="5"/>
  <c r="A202" i="5"/>
  <c r="F201" i="5"/>
  <c r="E201" i="5"/>
  <c r="D201" i="5"/>
  <c r="C201" i="5"/>
  <c r="B201" i="5"/>
  <c r="A201" i="5"/>
  <c r="F200" i="5"/>
  <c r="E200" i="5"/>
  <c r="D200" i="5"/>
  <c r="C200" i="5"/>
  <c r="B200" i="5"/>
  <c r="A200" i="5"/>
  <c r="F199" i="5"/>
  <c r="E199" i="5"/>
  <c r="D199" i="5"/>
  <c r="C199" i="5"/>
  <c r="B199" i="5"/>
  <c r="A199" i="5"/>
  <c r="F198" i="5"/>
  <c r="E198" i="5"/>
  <c r="D198" i="5"/>
  <c r="C198" i="5"/>
  <c r="B198" i="5"/>
  <c r="A198" i="5"/>
  <c r="F197" i="5"/>
  <c r="E197" i="5"/>
  <c r="D197" i="5"/>
  <c r="C197" i="5"/>
  <c r="B197" i="5"/>
  <c r="A197" i="5"/>
  <c r="F196" i="5"/>
  <c r="E196" i="5"/>
  <c r="D196" i="5"/>
  <c r="C196" i="5"/>
  <c r="B196" i="5"/>
  <c r="A196" i="5"/>
  <c r="F195" i="5"/>
  <c r="E195" i="5"/>
  <c r="D195" i="5"/>
  <c r="C195" i="5"/>
  <c r="B195" i="5"/>
  <c r="A195" i="5"/>
  <c r="F194" i="5"/>
  <c r="E194" i="5"/>
  <c r="D194" i="5"/>
  <c r="C194" i="5"/>
  <c r="B194" i="5"/>
  <c r="A194" i="5"/>
  <c r="F193" i="5"/>
  <c r="E193" i="5"/>
  <c r="D193" i="5"/>
  <c r="C193" i="5"/>
  <c r="B193" i="5"/>
  <c r="A193" i="5"/>
  <c r="F192" i="5"/>
  <c r="E192" i="5"/>
  <c r="D192" i="5"/>
  <c r="C192" i="5"/>
  <c r="B192" i="5"/>
  <c r="A192" i="5"/>
  <c r="F191" i="5"/>
  <c r="E191" i="5"/>
  <c r="D191" i="5"/>
  <c r="C191" i="5"/>
  <c r="B191" i="5"/>
  <c r="A191" i="5"/>
  <c r="F190" i="5"/>
  <c r="E190" i="5"/>
  <c r="D190" i="5"/>
  <c r="C190" i="5"/>
  <c r="B190" i="5"/>
  <c r="A190" i="5"/>
  <c r="F189" i="5"/>
  <c r="E189" i="5"/>
  <c r="D189" i="5"/>
  <c r="C189" i="5"/>
  <c r="B189" i="5"/>
  <c r="A189" i="5"/>
  <c r="F188" i="5"/>
  <c r="E188" i="5"/>
  <c r="D188" i="5"/>
  <c r="C188" i="5"/>
  <c r="B188" i="5"/>
  <c r="A188" i="5"/>
  <c r="F187" i="5"/>
  <c r="E187" i="5"/>
  <c r="D187" i="5"/>
  <c r="C187" i="5"/>
  <c r="B187" i="5"/>
  <c r="A187" i="5"/>
  <c r="F186" i="5"/>
  <c r="E186" i="5"/>
  <c r="D186" i="5"/>
  <c r="C186" i="5"/>
  <c r="B186" i="5"/>
  <c r="A186" i="5"/>
  <c r="F185" i="5"/>
  <c r="E185" i="5"/>
  <c r="D185" i="5"/>
  <c r="C185" i="5"/>
  <c r="B185" i="5"/>
  <c r="A185" i="5"/>
  <c r="F184" i="5"/>
  <c r="E184" i="5"/>
  <c r="D184" i="5"/>
  <c r="C184" i="5"/>
  <c r="B184" i="5"/>
  <c r="A184" i="5"/>
  <c r="F183" i="5"/>
  <c r="E183" i="5"/>
  <c r="D183" i="5"/>
  <c r="C183" i="5"/>
  <c r="B183" i="5"/>
  <c r="A183" i="5"/>
  <c r="F182" i="5"/>
  <c r="E182" i="5"/>
  <c r="D182" i="5"/>
  <c r="C182" i="5"/>
  <c r="B182" i="5"/>
  <c r="A182" i="5"/>
  <c r="F181" i="5"/>
  <c r="E181" i="5"/>
  <c r="D181" i="5"/>
  <c r="C181" i="5"/>
  <c r="B181" i="5"/>
  <c r="A181" i="5"/>
  <c r="F180" i="5"/>
  <c r="E180" i="5"/>
  <c r="D180" i="5"/>
  <c r="C180" i="5"/>
  <c r="B180" i="5"/>
  <c r="A180" i="5"/>
  <c r="F179" i="5"/>
  <c r="E179" i="5"/>
  <c r="D179" i="5"/>
  <c r="C179" i="5"/>
  <c r="B179" i="5"/>
  <c r="A179" i="5"/>
  <c r="F178" i="5"/>
  <c r="E178" i="5"/>
  <c r="D178" i="5"/>
  <c r="C178" i="5"/>
  <c r="B178" i="5"/>
  <c r="A178" i="5"/>
  <c r="F177" i="5"/>
  <c r="E177" i="5"/>
  <c r="D177" i="5"/>
  <c r="C177" i="5"/>
  <c r="B177" i="5"/>
  <c r="A177" i="5"/>
  <c r="F176" i="5"/>
  <c r="E176" i="5"/>
  <c r="D176" i="5"/>
  <c r="C176" i="5"/>
  <c r="B176" i="5"/>
  <c r="A176" i="5"/>
  <c r="F175" i="5"/>
  <c r="E175" i="5"/>
  <c r="D175" i="5"/>
  <c r="C175" i="5"/>
  <c r="B175" i="5"/>
  <c r="A175" i="5"/>
  <c r="F174" i="5"/>
  <c r="E174" i="5"/>
  <c r="D174" i="5"/>
  <c r="C174" i="5"/>
  <c r="B174" i="5"/>
  <c r="A174" i="5"/>
  <c r="F173" i="5"/>
  <c r="E173" i="5"/>
  <c r="D173" i="5"/>
  <c r="C173" i="5"/>
  <c r="B173" i="5"/>
  <c r="A173" i="5"/>
  <c r="F172" i="5"/>
  <c r="E172" i="5"/>
  <c r="D172" i="5"/>
  <c r="C172" i="5"/>
  <c r="B172" i="5"/>
  <c r="A172" i="5"/>
  <c r="F171" i="5"/>
  <c r="E171" i="5"/>
  <c r="D171" i="5"/>
  <c r="C171" i="5"/>
  <c r="B171" i="5"/>
  <c r="A171" i="5"/>
  <c r="F170" i="5"/>
  <c r="E170" i="5"/>
  <c r="D170" i="5"/>
  <c r="C170" i="5"/>
  <c r="B170" i="5"/>
  <c r="A170" i="5"/>
  <c r="F169" i="5"/>
  <c r="E169" i="5"/>
  <c r="D169" i="5"/>
  <c r="C169" i="5"/>
  <c r="B169" i="5"/>
  <c r="A169" i="5"/>
  <c r="F168" i="5"/>
  <c r="E168" i="5"/>
  <c r="D168" i="5"/>
  <c r="C168" i="5"/>
  <c r="B168" i="5"/>
  <c r="A168" i="5"/>
  <c r="F167" i="5"/>
  <c r="E167" i="5"/>
  <c r="D167" i="5"/>
  <c r="C167" i="5"/>
  <c r="B167" i="5"/>
  <c r="A167" i="5"/>
  <c r="F166" i="5"/>
  <c r="E166" i="5"/>
  <c r="D166" i="5"/>
  <c r="C166" i="5"/>
  <c r="B166" i="5"/>
  <c r="A166" i="5"/>
  <c r="F165" i="5"/>
  <c r="E165" i="5"/>
  <c r="D165" i="5"/>
  <c r="C165" i="5"/>
  <c r="B165" i="5"/>
  <c r="A165" i="5"/>
  <c r="F164" i="5"/>
  <c r="E164" i="5"/>
  <c r="D164" i="5"/>
  <c r="C164" i="5"/>
  <c r="B164" i="5"/>
  <c r="A164" i="5"/>
  <c r="F163" i="5"/>
  <c r="E163" i="5"/>
  <c r="D163" i="5"/>
  <c r="C163" i="5"/>
  <c r="B163" i="5"/>
  <c r="A163" i="5"/>
  <c r="F162" i="5"/>
  <c r="E162" i="5"/>
  <c r="D162" i="5"/>
  <c r="C162" i="5"/>
  <c r="B162" i="5"/>
  <c r="A162" i="5"/>
  <c r="F161" i="5"/>
  <c r="E161" i="5"/>
  <c r="D161" i="5"/>
  <c r="C161" i="5"/>
  <c r="B161" i="5"/>
  <c r="A161" i="5"/>
  <c r="F160" i="5"/>
  <c r="E160" i="5"/>
  <c r="D160" i="5"/>
  <c r="C160" i="5"/>
  <c r="B160" i="5"/>
  <c r="A160" i="5"/>
  <c r="F159" i="5"/>
  <c r="E159" i="5"/>
  <c r="D159" i="5"/>
  <c r="C159" i="5"/>
  <c r="B159" i="5"/>
  <c r="A159" i="5"/>
  <c r="F158" i="5"/>
  <c r="E158" i="5"/>
  <c r="D158" i="5"/>
  <c r="C158" i="5"/>
  <c r="B158" i="5"/>
  <c r="A158" i="5"/>
  <c r="F157" i="5"/>
  <c r="E157" i="5"/>
  <c r="D157" i="5"/>
  <c r="C157" i="5"/>
  <c r="B157" i="5"/>
  <c r="A157" i="5"/>
  <c r="F156" i="5"/>
  <c r="E156" i="5"/>
  <c r="D156" i="5"/>
  <c r="C156" i="5"/>
  <c r="B156" i="5"/>
  <c r="A156" i="5"/>
  <c r="F155" i="5"/>
  <c r="E155" i="5"/>
  <c r="D155" i="5"/>
  <c r="C155" i="5"/>
  <c r="B155" i="5"/>
  <c r="A155" i="5"/>
  <c r="F154" i="5"/>
  <c r="E154" i="5"/>
  <c r="D154" i="5"/>
  <c r="C154" i="5"/>
  <c r="B154" i="5"/>
  <c r="A154" i="5"/>
  <c r="F153" i="5"/>
  <c r="E153" i="5"/>
  <c r="D153" i="5"/>
  <c r="C153" i="5"/>
  <c r="B153" i="5"/>
  <c r="A153" i="5"/>
  <c r="F152" i="5"/>
  <c r="E152" i="5"/>
  <c r="D152" i="5"/>
  <c r="C152" i="5"/>
  <c r="B152" i="5"/>
  <c r="A152" i="5"/>
  <c r="F151" i="5"/>
  <c r="E151" i="5"/>
  <c r="D151" i="5"/>
  <c r="C151" i="5"/>
  <c r="B151" i="5"/>
  <c r="A151" i="5"/>
  <c r="F150" i="5"/>
  <c r="E150" i="5"/>
  <c r="D150" i="5"/>
  <c r="C150" i="5"/>
  <c r="B150" i="5"/>
  <c r="A150" i="5"/>
  <c r="F149" i="5"/>
  <c r="E149" i="5"/>
  <c r="D149" i="5"/>
  <c r="C149" i="5"/>
  <c r="B149" i="5"/>
  <c r="A149" i="5"/>
  <c r="F148" i="5"/>
  <c r="E148" i="5"/>
  <c r="D148" i="5"/>
  <c r="C148" i="5"/>
  <c r="B148" i="5"/>
  <c r="A148" i="5"/>
  <c r="F147" i="5"/>
  <c r="E147" i="5"/>
  <c r="D147" i="5"/>
  <c r="C147" i="5"/>
  <c r="B147" i="5"/>
  <c r="A147" i="5"/>
  <c r="F146" i="5"/>
  <c r="E146" i="5"/>
  <c r="D146" i="5"/>
  <c r="C146" i="5"/>
  <c r="B146" i="5"/>
  <c r="A146" i="5"/>
  <c r="F145" i="5"/>
  <c r="E145" i="5"/>
  <c r="D145" i="5"/>
  <c r="C145" i="5"/>
  <c r="B145" i="5"/>
  <c r="A145" i="5"/>
  <c r="F144" i="5"/>
  <c r="E144" i="5"/>
  <c r="D144" i="5"/>
  <c r="C144" i="5"/>
  <c r="B144" i="5"/>
  <c r="A144" i="5"/>
  <c r="F143" i="5"/>
  <c r="E143" i="5"/>
  <c r="D143" i="5"/>
  <c r="C143" i="5"/>
  <c r="B143" i="5"/>
  <c r="A143" i="5"/>
  <c r="F142" i="5"/>
  <c r="E142" i="5"/>
  <c r="D142" i="5"/>
  <c r="C142" i="5"/>
  <c r="B142" i="5"/>
  <c r="A142" i="5"/>
  <c r="F141" i="5"/>
  <c r="E141" i="5"/>
  <c r="D141" i="5"/>
  <c r="C141" i="5"/>
  <c r="B141" i="5"/>
  <c r="A141" i="5"/>
  <c r="F140" i="5"/>
  <c r="E140" i="5"/>
  <c r="D140" i="5"/>
  <c r="C140" i="5"/>
  <c r="B140" i="5"/>
  <c r="A140" i="5"/>
  <c r="F139" i="5"/>
  <c r="E139" i="5"/>
  <c r="D139" i="5"/>
  <c r="C139" i="5"/>
  <c r="B139" i="5"/>
  <c r="A139" i="5"/>
  <c r="F138" i="5"/>
  <c r="E138" i="5"/>
  <c r="D138" i="5"/>
  <c r="C138" i="5"/>
  <c r="B138" i="5"/>
  <c r="A138" i="5"/>
  <c r="F137" i="5"/>
  <c r="E137" i="5"/>
  <c r="D137" i="5"/>
  <c r="C137" i="5"/>
  <c r="B137" i="5"/>
  <c r="A137" i="5"/>
  <c r="F136" i="5"/>
  <c r="E136" i="5"/>
  <c r="D136" i="5"/>
  <c r="C136" i="5"/>
  <c r="B136" i="5"/>
  <c r="A136" i="5"/>
  <c r="F135" i="5"/>
  <c r="E135" i="5"/>
  <c r="D135" i="5"/>
  <c r="C135" i="5"/>
  <c r="B135" i="5"/>
  <c r="A135" i="5"/>
  <c r="F134" i="5"/>
  <c r="E134" i="5"/>
  <c r="D134" i="5"/>
  <c r="C134" i="5"/>
  <c r="B134" i="5"/>
  <c r="A134" i="5"/>
  <c r="F133" i="5"/>
  <c r="E133" i="5"/>
  <c r="D133" i="5"/>
  <c r="C133" i="5"/>
  <c r="B133" i="5"/>
  <c r="A133" i="5"/>
  <c r="F132" i="5"/>
  <c r="E132" i="5"/>
  <c r="D132" i="5"/>
  <c r="C132" i="5"/>
  <c r="B132" i="5"/>
  <c r="A132" i="5"/>
  <c r="F131" i="5"/>
  <c r="E131" i="5"/>
  <c r="D131" i="5"/>
  <c r="C131" i="5"/>
  <c r="B131" i="5"/>
  <c r="A131" i="5"/>
  <c r="F130" i="5"/>
  <c r="E130" i="5"/>
  <c r="D130" i="5"/>
  <c r="C130" i="5"/>
  <c r="B130" i="5"/>
  <c r="A130" i="5"/>
  <c r="F129" i="5"/>
  <c r="E129" i="5"/>
  <c r="D129" i="5"/>
  <c r="C129" i="5"/>
  <c r="B129" i="5"/>
  <c r="A129" i="5"/>
  <c r="F128" i="5"/>
  <c r="E128" i="5"/>
  <c r="D128" i="5"/>
  <c r="C128" i="5"/>
  <c r="B128" i="5"/>
  <c r="A128" i="5"/>
  <c r="F127" i="5"/>
  <c r="E127" i="5"/>
  <c r="D127" i="5"/>
  <c r="C127" i="5"/>
  <c r="B127" i="5"/>
  <c r="A127" i="5"/>
  <c r="F126" i="5"/>
  <c r="E126" i="5"/>
  <c r="D126" i="5"/>
  <c r="C126" i="5"/>
  <c r="B126" i="5"/>
  <c r="A126" i="5"/>
  <c r="F125" i="5"/>
  <c r="E125" i="5"/>
  <c r="D125" i="5"/>
  <c r="C125" i="5"/>
  <c r="B125" i="5"/>
  <c r="A125" i="5"/>
  <c r="F124" i="5"/>
  <c r="E124" i="5"/>
  <c r="D124" i="5"/>
  <c r="C124" i="5"/>
  <c r="B124" i="5"/>
  <c r="A124" i="5"/>
  <c r="F123" i="5"/>
  <c r="E123" i="5"/>
  <c r="D123" i="5"/>
  <c r="C123" i="5"/>
  <c r="B123" i="5"/>
  <c r="A123" i="5"/>
  <c r="F122" i="5"/>
  <c r="E122" i="5"/>
  <c r="D122" i="5"/>
  <c r="C122" i="5"/>
  <c r="B122" i="5"/>
  <c r="A122" i="5"/>
  <c r="F121" i="5"/>
  <c r="E121" i="5"/>
  <c r="D121" i="5"/>
  <c r="C121" i="5"/>
  <c r="B121" i="5"/>
  <c r="A121" i="5"/>
  <c r="F120" i="5"/>
  <c r="E120" i="5"/>
  <c r="D120" i="5"/>
  <c r="C120" i="5"/>
  <c r="B120" i="5"/>
  <c r="A120" i="5"/>
  <c r="F119" i="5"/>
  <c r="E119" i="5"/>
  <c r="D119" i="5"/>
  <c r="C119" i="5"/>
  <c r="B119" i="5"/>
  <c r="A119" i="5"/>
  <c r="F118" i="5"/>
  <c r="E118" i="5"/>
  <c r="D118" i="5"/>
  <c r="C118" i="5"/>
  <c r="B118" i="5"/>
  <c r="A118" i="5"/>
  <c r="F117" i="5"/>
  <c r="E117" i="5"/>
  <c r="D117" i="5"/>
  <c r="C117" i="5"/>
  <c r="B117" i="5"/>
  <c r="A117" i="5"/>
  <c r="F116" i="5"/>
  <c r="E116" i="5"/>
  <c r="D116" i="5"/>
  <c r="C116" i="5"/>
  <c r="B116" i="5"/>
  <c r="A116" i="5"/>
  <c r="F115" i="5"/>
  <c r="E115" i="5"/>
  <c r="D115" i="5"/>
  <c r="C115" i="5"/>
  <c r="B115" i="5"/>
  <c r="A115" i="5"/>
  <c r="F114" i="5"/>
  <c r="E114" i="5"/>
  <c r="D114" i="5"/>
  <c r="C114" i="5"/>
  <c r="B114" i="5"/>
  <c r="A114" i="5"/>
  <c r="F113" i="5"/>
  <c r="E113" i="5"/>
  <c r="D113" i="5"/>
  <c r="C113" i="5"/>
  <c r="B113" i="5"/>
  <c r="A113" i="5"/>
  <c r="F112" i="5"/>
  <c r="E112" i="5"/>
  <c r="D112" i="5"/>
  <c r="C112" i="5"/>
  <c r="B112" i="5"/>
  <c r="A112" i="5"/>
  <c r="F111" i="5"/>
  <c r="E111" i="5"/>
  <c r="D111" i="5"/>
  <c r="C111" i="5"/>
  <c r="B111" i="5"/>
  <c r="A111" i="5"/>
  <c r="F110" i="5"/>
  <c r="E110" i="5"/>
  <c r="D110" i="5"/>
  <c r="C110" i="5"/>
  <c r="B110" i="5"/>
  <c r="A110" i="5"/>
  <c r="F109" i="5"/>
  <c r="E109" i="5"/>
  <c r="D109" i="5"/>
  <c r="C109" i="5"/>
  <c r="B109" i="5"/>
  <c r="A109" i="5"/>
  <c r="F108" i="5"/>
  <c r="E108" i="5"/>
  <c r="D108" i="5"/>
  <c r="C108" i="5"/>
  <c r="B108" i="5"/>
  <c r="A108" i="5"/>
  <c r="F107" i="5"/>
  <c r="E107" i="5"/>
  <c r="D107" i="5"/>
  <c r="C107" i="5"/>
  <c r="B107" i="5"/>
  <c r="A107" i="5"/>
  <c r="F106" i="5"/>
  <c r="E106" i="5"/>
  <c r="D106" i="5"/>
  <c r="C106" i="5"/>
  <c r="B106" i="5"/>
  <c r="A106" i="5"/>
  <c r="F105" i="5"/>
  <c r="E105" i="5"/>
  <c r="D105" i="5"/>
  <c r="C105" i="5"/>
  <c r="B105" i="5"/>
  <c r="A105" i="5"/>
  <c r="F104" i="5"/>
  <c r="E104" i="5"/>
  <c r="D104" i="5"/>
  <c r="C104" i="5"/>
  <c r="B104" i="5"/>
  <c r="A104" i="5"/>
  <c r="F103" i="5"/>
  <c r="E103" i="5"/>
  <c r="D103" i="5"/>
  <c r="C103" i="5"/>
  <c r="B103" i="5"/>
  <c r="A103" i="5"/>
  <c r="F102" i="5"/>
  <c r="E102" i="5"/>
  <c r="D102" i="5"/>
  <c r="C102" i="5"/>
  <c r="B102" i="5"/>
  <c r="A102" i="5"/>
  <c r="F101" i="5"/>
  <c r="E101" i="5"/>
  <c r="D101" i="5"/>
  <c r="C101" i="5"/>
  <c r="B101" i="5"/>
  <c r="A101" i="5"/>
  <c r="F100" i="5"/>
  <c r="E100" i="5"/>
  <c r="D100" i="5"/>
  <c r="C100" i="5"/>
  <c r="B100" i="5"/>
  <c r="A100" i="5"/>
  <c r="F99" i="5"/>
  <c r="E99" i="5"/>
  <c r="D99" i="5"/>
  <c r="C99" i="5"/>
  <c r="B99" i="5"/>
  <c r="A99" i="5"/>
  <c r="F98" i="5"/>
  <c r="E98" i="5"/>
  <c r="D98" i="5"/>
  <c r="C98" i="5"/>
  <c r="B98" i="5"/>
  <c r="A98" i="5"/>
  <c r="F97" i="5"/>
  <c r="E97" i="5"/>
  <c r="D97" i="5"/>
  <c r="C97" i="5"/>
  <c r="B97" i="5"/>
  <c r="A97" i="5"/>
  <c r="F96" i="5"/>
  <c r="E96" i="5"/>
  <c r="D96" i="5"/>
  <c r="C96" i="5"/>
  <c r="B96" i="5"/>
  <c r="A96" i="5"/>
  <c r="F95" i="5"/>
  <c r="E95" i="5"/>
  <c r="D95" i="5"/>
  <c r="C95" i="5"/>
  <c r="B95" i="5"/>
  <c r="A95" i="5"/>
  <c r="F94" i="5"/>
  <c r="E94" i="5"/>
  <c r="D94" i="5"/>
  <c r="C94" i="5"/>
  <c r="B94" i="5"/>
  <c r="A94" i="5"/>
  <c r="F93" i="5"/>
  <c r="E93" i="5"/>
  <c r="D93" i="5"/>
  <c r="C93" i="5"/>
  <c r="B93" i="5"/>
  <c r="A93" i="5"/>
  <c r="F92" i="5"/>
  <c r="E92" i="5"/>
  <c r="D92" i="5"/>
  <c r="C92" i="5"/>
  <c r="B92" i="5"/>
  <c r="A92" i="5"/>
  <c r="F91" i="5"/>
  <c r="E91" i="5"/>
  <c r="D91" i="5"/>
  <c r="C91" i="5"/>
  <c r="B91" i="5"/>
  <c r="A91" i="5"/>
  <c r="F90" i="5"/>
  <c r="E90" i="5"/>
  <c r="D90" i="5"/>
  <c r="C90" i="5"/>
  <c r="B90" i="5"/>
  <c r="A90" i="5"/>
  <c r="F89" i="5"/>
  <c r="E89" i="5"/>
  <c r="D89" i="5"/>
  <c r="C89" i="5"/>
  <c r="B89" i="5"/>
  <c r="A89" i="5"/>
  <c r="F88" i="5"/>
  <c r="E88" i="5"/>
  <c r="D88" i="5"/>
  <c r="C88" i="5"/>
  <c r="B88" i="5"/>
  <c r="A88" i="5"/>
  <c r="F87" i="5"/>
  <c r="E87" i="5"/>
  <c r="D87" i="5"/>
  <c r="C87" i="5"/>
  <c r="B87" i="5"/>
  <c r="A87" i="5"/>
  <c r="F86" i="5"/>
  <c r="E86" i="5"/>
  <c r="D86" i="5"/>
  <c r="C86" i="5"/>
  <c r="B86" i="5"/>
  <c r="A86" i="5"/>
  <c r="F85" i="5"/>
  <c r="E85" i="5"/>
  <c r="D85" i="5"/>
  <c r="C85" i="5"/>
  <c r="B85" i="5"/>
  <c r="A85" i="5"/>
  <c r="F84" i="5"/>
  <c r="E84" i="5"/>
  <c r="D84" i="5"/>
  <c r="C84" i="5"/>
  <c r="B84" i="5"/>
  <c r="A84" i="5"/>
  <c r="F83" i="5"/>
  <c r="E83" i="5"/>
  <c r="D83" i="5"/>
  <c r="C83" i="5"/>
  <c r="B83" i="5"/>
  <c r="A83" i="5"/>
  <c r="F82" i="5"/>
  <c r="E82" i="5"/>
  <c r="D82" i="5"/>
  <c r="C82" i="5"/>
  <c r="B82" i="5"/>
  <c r="A82" i="5"/>
  <c r="F81" i="5"/>
  <c r="E81" i="5"/>
  <c r="D81" i="5"/>
  <c r="C81" i="5"/>
  <c r="B81" i="5"/>
  <c r="A81" i="5"/>
  <c r="F80" i="5"/>
  <c r="E80" i="5"/>
  <c r="D80" i="5"/>
  <c r="C80" i="5"/>
  <c r="B80" i="5"/>
  <c r="A80" i="5"/>
  <c r="F79" i="5"/>
  <c r="E79" i="5"/>
  <c r="D79" i="5"/>
  <c r="C79" i="5"/>
  <c r="B79" i="5"/>
  <c r="A79" i="5"/>
  <c r="F78" i="5"/>
  <c r="E78" i="5"/>
  <c r="D78" i="5"/>
  <c r="C78" i="5"/>
  <c r="B78" i="5"/>
  <c r="A78" i="5"/>
  <c r="F77" i="5"/>
  <c r="E77" i="5"/>
  <c r="D77" i="5"/>
  <c r="C77" i="5"/>
  <c r="B77" i="5"/>
  <c r="A77" i="5"/>
  <c r="F76" i="5"/>
  <c r="E76" i="5"/>
  <c r="D76" i="5"/>
  <c r="C76" i="5"/>
  <c r="B76" i="5"/>
  <c r="A76" i="5"/>
  <c r="F75" i="5"/>
  <c r="E75" i="5"/>
  <c r="D75" i="5"/>
  <c r="C75" i="5"/>
  <c r="B75" i="5"/>
  <c r="A75" i="5"/>
  <c r="F74" i="5"/>
  <c r="E74" i="5"/>
  <c r="D74" i="5"/>
  <c r="C74" i="5"/>
  <c r="B74" i="5"/>
  <c r="A74" i="5"/>
  <c r="F73" i="5"/>
  <c r="E73" i="5"/>
  <c r="D73" i="5"/>
  <c r="C73" i="5"/>
  <c r="B73" i="5"/>
  <c r="A73" i="5"/>
  <c r="F72" i="5"/>
  <c r="E72" i="5"/>
  <c r="D72" i="5"/>
  <c r="C72" i="5"/>
  <c r="B72" i="5"/>
  <c r="A72" i="5"/>
  <c r="F71" i="5"/>
  <c r="E71" i="5"/>
  <c r="D71" i="5"/>
  <c r="C71" i="5"/>
  <c r="B71" i="5"/>
  <c r="A71" i="5"/>
  <c r="F70" i="5"/>
  <c r="E70" i="5"/>
  <c r="D70" i="5"/>
  <c r="C70" i="5"/>
  <c r="B70" i="5"/>
  <c r="A70" i="5"/>
  <c r="F69" i="5"/>
  <c r="E69" i="5"/>
  <c r="D69" i="5"/>
  <c r="C69" i="5"/>
  <c r="B69" i="5"/>
  <c r="A69" i="5"/>
  <c r="F68" i="5"/>
  <c r="E68" i="5"/>
  <c r="D68" i="5"/>
  <c r="C68" i="5"/>
  <c r="B68" i="5"/>
  <c r="A68" i="5"/>
  <c r="F67" i="5"/>
  <c r="E67" i="5"/>
  <c r="D67" i="5"/>
  <c r="C67" i="5"/>
  <c r="B67" i="5"/>
  <c r="A67" i="5"/>
  <c r="F66" i="5"/>
  <c r="E66" i="5"/>
  <c r="D66" i="5"/>
  <c r="C66" i="5"/>
  <c r="B66" i="5"/>
  <c r="A66" i="5"/>
  <c r="F65" i="5"/>
  <c r="E65" i="5"/>
  <c r="D65" i="5"/>
  <c r="C65" i="5"/>
  <c r="B65" i="5"/>
  <c r="A65" i="5"/>
  <c r="F64" i="5"/>
  <c r="E64" i="5"/>
  <c r="D64" i="5"/>
  <c r="C64" i="5"/>
  <c r="B64" i="5"/>
  <c r="A64" i="5"/>
  <c r="F63" i="5"/>
  <c r="E63" i="5"/>
  <c r="D63" i="5"/>
  <c r="C63" i="5"/>
  <c r="B63" i="5"/>
  <c r="A63" i="5"/>
  <c r="F62" i="5"/>
  <c r="E62" i="5"/>
  <c r="D62" i="5"/>
  <c r="C62" i="5"/>
  <c r="B62" i="5"/>
  <c r="A62" i="5"/>
  <c r="F61" i="5"/>
  <c r="E61" i="5"/>
  <c r="D61" i="5"/>
  <c r="C61" i="5"/>
  <c r="B61" i="5"/>
  <c r="A61" i="5"/>
  <c r="F60" i="5"/>
  <c r="E60" i="5"/>
  <c r="D60" i="5"/>
  <c r="C60" i="5"/>
  <c r="B60" i="5"/>
  <c r="A60" i="5"/>
  <c r="F59" i="5"/>
  <c r="E59" i="5"/>
  <c r="D59" i="5"/>
  <c r="C59" i="5"/>
  <c r="B59" i="5"/>
  <c r="A59" i="5"/>
  <c r="F58" i="5"/>
  <c r="E58" i="5"/>
  <c r="D58" i="5"/>
  <c r="C58" i="5"/>
  <c r="B58" i="5"/>
  <c r="A58" i="5"/>
  <c r="F57" i="5"/>
  <c r="E57" i="5"/>
  <c r="D57" i="5"/>
  <c r="C57" i="5"/>
  <c r="B57" i="5"/>
  <c r="A57" i="5"/>
  <c r="F56" i="5"/>
  <c r="E56" i="5"/>
  <c r="D56" i="5"/>
  <c r="C56" i="5"/>
  <c r="B56" i="5"/>
  <c r="A56" i="5"/>
  <c r="F55" i="5"/>
  <c r="E55" i="5"/>
  <c r="D55" i="5"/>
  <c r="C55" i="5"/>
  <c r="B55" i="5"/>
  <c r="A55" i="5"/>
  <c r="F54" i="5"/>
  <c r="E54" i="5"/>
  <c r="D54" i="5"/>
  <c r="C54" i="5"/>
  <c r="B54" i="5"/>
  <c r="A54" i="5"/>
  <c r="F53" i="5"/>
  <c r="E53" i="5"/>
  <c r="D53" i="5"/>
  <c r="C53" i="5"/>
  <c r="B53" i="5"/>
  <c r="A53" i="5"/>
  <c r="F52" i="5"/>
  <c r="E52" i="5"/>
  <c r="D52" i="5"/>
  <c r="C52" i="5"/>
  <c r="B52" i="5"/>
  <c r="A52" i="5"/>
  <c r="F51" i="5"/>
  <c r="E51" i="5"/>
  <c r="D51" i="5"/>
  <c r="C51" i="5"/>
  <c r="B51" i="5"/>
  <c r="A51" i="5"/>
  <c r="F50" i="5"/>
  <c r="E50" i="5"/>
  <c r="D50" i="5"/>
  <c r="C50" i="5"/>
  <c r="B50" i="5"/>
  <c r="A50" i="5"/>
  <c r="F49" i="5"/>
  <c r="E49" i="5"/>
  <c r="D49" i="5"/>
  <c r="C49" i="5"/>
  <c r="B49" i="5"/>
  <c r="A49" i="5"/>
  <c r="F48" i="5"/>
  <c r="E48" i="5"/>
  <c r="D48" i="5"/>
  <c r="C48" i="5"/>
  <c r="B48" i="5"/>
  <c r="A48" i="5"/>
  <c r="F47" i="5"/>
  <c r="E47" i="5"/>
  <c r="D47" i="5"/>
  <c r="C47" i="5"/>
  <c r="B47" i="5"/>
  <c r="A47" i="5"/>
  <c r="F46" i="5"/>
  <c r="E46" i="5"/>
  <c r="D46" i="5"/>
  <c r="C46" i="5"/>
  <c r="B46" i="5"/>
  <c r="A46" i="5"/>
  <c r="F45" i="5"/>
  <c r="E45" i="5"/>
  <c r="D45" i="5"/>
  <c r="C45" i="5"/>
  <c r="B45" i="5"/>
  <c r="A45" i="5"/>
  <c r="F44" i="5"/>
  <c r="E44" i="5"/>
  <c r="D44" i="5"/>
  <c r="C44" i="5"/>
  <c r="B44" i="5"/>
  <c r="A44" i="5"/>
  <c r="F43" i="5"/>
  <c r="E43" i="5"/>
  <c r="D43" i="5"/>
  <c r="C43" i="5"/>
  <c r="B43" i="5"/>
  <c r="A43" i="5"/>
  <c r="F42" i="5"/>
  <c r="E42" i="5"/>
  <c r="D42" i="5"/>
  <c r="C42" i="5"/>
  <c r="B42" i="5"/>
  <c r="A42" i="5"/>
  <c r="F41" i="5"/>
  <c r="E41" i="5"/>
  <c r="D41" i="5"/>
  <c r="C41" i="5"/>
  <c r="B41" i="5"/>
  <c r="A41" i="5"/>
  <c r="F40" i="5"/>
  <c r="E40" i="5"/>
  <c r="D40" i="5"/>
  <c r="C40" i="5"/>
  <c r="B40" i="5"/>
  <c r="A40" i="5"/>
  <c r="F39" i="5"/>
  <c r="E39" i="5"/>
  <c r="D39" i="5"/>
  <c r="C39" i="5"/>
  <c r="B39" i="5"/>
  <c r="A39" i="5"/>
  <c r="F38" i="5"/>
  <c r="E38" i="5"/>
  <c r="D38" i="5"/>
  <c r="C38" i="5"/>
  <c r="B38" i="5"/>
  <c r="A38" i="5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F1" i="5"/>
  <c r="E1" i="5"/>
  <c r="D1" i="5"/>
  <c r="C1" i="5"/>
  <c r="B1" i="5"/>
  <c r="A1" i="5"/>
  <c r="F888" i="4"/>
  <c r="E888" i="4"/>
  <c r="D888" i="4"/>
  <c r="C888" i="4"/>
  <c r="B888" i="4"/>
  <c r="A888" i="4"/>
  <c r="F887" i="4"/>
  <c r="E887" i="4"/>
  <c r="D887" i="4"/>
  <c r="C887" i="4"/>
  <c r="B887" i="4"/>
  <c r="A887" i="4"/>
  <c r="F886" i="4"/>
  <c r="E886" i="4"/>
  <c r="D886" i="4"/>
  <c r="C886" i="4"/>
  <c r="B886" i="4"/>
  <c r="A886" i="4"/>
  <c r="F885" i="4"/>
  <c r="E885" i="4"/>
  <c r="D885" i="4"/>
  <c r="C885" i="4"/>
  <c r="B885" i="4"/>
  <c r="A885" i="4"/>
  <c r="F884" i="4"/>
  <c r="E884" i="4"/>
  <c r="D884" i="4"/>
  <c r="C884" i="4"/>
  <c r="B884" i="4"/>
  <c r="A884" i="4"/>
  <c r="F883" i="4"/>
  <c r="E883" i="4"/>
  <c r="D883" i="4"/>
  <c r="C883" i="4"/>
  <c r="B883" i="4"/>
  <c r="A883" i="4"/>
  <c r="F882" i="4"/>
  <c r="E882" i="4"/>
  <c r="D882" i="4"/>
  <c r="C882" i="4"/>
  <c r="B882" i="4"/>
  <c r="A882" i="4"/>
  <c r="F881" i="4"/>
  <c r="E881" i="4"/>
  <c r="D881" i="4"/>
  <c r="C881" i="4"/>
  <c r="B881" i="4"/>
  <c r="A881" i="4"/>
  <c r="F880" i="4"/>
  <c r="E880" i="4"/>
  <c r="D880" i="4"/>
  <c r="C880" i="4"/>
  <c r="B880" i="4"/>
  <c r="A880" i="4"/>
  <c r="F879" i="4"/>
  <c r="E879" i="4"/>
  <c r="D879" i="4"/>
  <c r="C879" i="4"/>
  <c r="B879" i="4"/>
  <c r="A879" i="4"/>
  <c r="F878" i="4"/>
  <c r="E878" i="4"/>
  <c r="D878" i="4"/>
  <c r="C878" i="4"/>
  <c r="B878" i="4"/>
  <c r="A878" i="4"/>
  <c r="F877" i="4"/>
  <c r="E877" i="4"/>
  <c r="D877" i="4"/>
  <c r="C877" i="4"/>
  <c r="B877" i="4"/>
  <c r="A877" i="4"/>
  <c r="F876" i="4"/>
  <c r="E876" i="4"/>
  <c r="D876" i="4"/>
  <c r="C876" i="4"/>
  <c r="B876" i="4"/>
  <c r="A876" i="4"/>
  <c r="F875" i="4"/>
  <c r="E875" i="4"/>
  <c r="D875" i="4"/>
  <c r="C875" i="4"/>
  <c r="B875" i="4"/>
  <c r="A875" i="4"/>
  <c r="F874" i="4"/>
  <c r="E874" i="4"/>
  <c r="D874" i="4"/>
  <c r="C874" i="4"/>
  <c r="B874" i="4"/>
  <c r="A874" i="4"/>
  <c r="F873" i="4"/>
  <c r="E873" i="4"/>
  <c r="D873" i="4"/>
  <c r="C873" i="4"/>
  <c r="B873" i="4"/>
  <c r="A873" i="4"/>
  <c r="F872" i="4"/>
  <c r="E872" i="4"/>
  <c r="D872" i="4"/>
  <c r="C872" i="4"/>
  <c r="B872" i="4"/>
  <c r="A872" i="4"/>
  <c r="F871" i="4"/>
  <c r="E871" i="4"/>
  <c r="D871" i="4"/>
  <c r="C871" i="4"/>
  <c r="B871" i="4"/>
  <c r="A871" i="4"/>
  <c r="F870" i="4"/>
  <c r="E870" i="4"/>
  <c r="D870" i="4"/>
  <c r="C870" i="4"/>
  <c r="B870" i="4"/>
  <c r="A870" i="4"/>
  <c r="F869" i="4"/>
  <c r="E869" i="4"/>
  <c r="D869" i="4"/>
  <c r="C869" i="4"/>
  <c r="B869" i="4"/>
  <c r="A869" i="4"/>
  <c r="F868" i="4"/>
  <c r="E868" i="4"/>
  <c r="D868" i="4"/>
  <c r="C868" i="4"/>
  <c r="B868" i="4"/>
  <c r="A868" i="4"/>
  <c r="F867" i="4"/>
  <c r="E867" i="4"/>
  <c r="D867" i="4"/>
  <c r="C867" i="4"/>
  <c r="B867" i="4"/>
  <c r="A867" i="4"/>
  <c r="F866" i="4"/>
  <c r="E866" i="4"/>
  <c r="D866" i="4"/>
  <c r="C866" i="4"/>
  <c r="B866" i="4"/>
  <c r="A866" i="4"/>
  <c r="F865" i="4"/>
  <c r="E865" i="4"/>
  <c r="D865" i="4"/>
  <c r="C865" i="4"/>
  <c r="B865" i="4"/>
  <c r="A865" i="4"/>
  <c r="F864" i="4"/>
  <c r="E864" i="4"/>
  <c r="D864" i="4"/>
  <c r="C864" i="4"/>
  <c r="B864" i="4"/>
  <c r="A864" i="4"/>
  <c r="F863" i="4"/>
  <c r="E863" i="4"/>
  <c r="D863" i="4"/>
  <c r="C863" i="4"/>
  <c r="B863" i="4"/>
  <c r="A863" i="4"/>
  <c r="F862" i="4"/>
  <c r="E862" i="4"/>
  <c r="D862" i="4"/>
  <c r="C862" i="4"/>
  <c r="B862" i="4"/>
  <c r="A862" i="4"/>
  <c r="F861" i="4"/>
  <c r="E861" i="4"/>
  <c r="D861" i="4"/>
  <c r="C861" i="4"/>
  <c r="B861" i="4"/>
  <c r="A861" i="4"/>
  <c r="F860" i="4"/>
  <c r="E860" i="4"/>
  <c r="D860" i="4"/>
  <c r="C860" i="4"/>
  <c r="B860" i="4"/>
  <c r="A860" i="4"/>
  <c r="F859" i="4"/>
  <c r="E859" i="4"/>
  <c r="D859" i="4"/>
  <c r="C859" i="4"/>
  <c r="B859" i="4"/>
  <c r="A859" i="4"/>
  <c r="F858" i="4"/>
  <c r="E858" i="4"/>
  <c r="D858" i="4"/>
  <c r="C858" i="4"/>
  <c r="B858" i="4"/>
  <c r="A858" i="4"/>
  <c r="F857" i="4"/>
  <c r="E857" i="4"/>
  <c r="D857" i="4"/>
  <c r="C857" i="4"/>
  <c r="B857" i="4"/>
  <c r="A857" i="4"/>
  <c r="F856" i="4"/>
  <c r="E856" i="4"/>
  <c r="D856" i="4"/>
  <c r="C856" i="4"/>
  <c r="B856" i="4"/>
  <c r="A856" i="4"/>
  <c r="F855" i="4"/>
  <c r="E855" i="4"/>
  <c r="D855" i="4"/>
  <c r="C855" i="4"/>
  <c r="B855" i="4"/>
  <c r="A855" i="4"/>
  <c r="F854" i="4"/>
  <c r="E854" i="4"/>
  <c r="D854" i="4"/>
  <c r="C854" i="4"/>
  <c r="B854" i="4"/>
  <c r="A854" i="4"/>
  <c r="F853" i="4"/>
  <c r="E853" i="4"/>
  <c r="D853" i="4"/>
  <c r="C853" i="4"/>
  <c r="B853" i="4"/>
  <c r="A853" i="4"/>
  <c r="F852" i="4"/>
  <c r="E852" i="4"/>
  <c r="D852" i="4"/>
  <c r="C852" i="4"/>
  <c r="B852" i="4"/>
  <c r="A852" i="4"/>
  <c r="F851" i="4"/>
  <c r="E851" i="4"/>
  <c r="D851" i="4"/>
  <c r="C851" i="4"/>
  <c r="B851" i="4"/>
  <c r="A851" i="4"/>
  <c r="F850" i="4"/>
  <c r="E850" i="4"/>
  <c r="D850" i="4"/>
  <c r="C850" i="4"/>
  <c r="B850" i="4"/>
  <c r="A850" i="4"/>
  <c r="F849" i="4"/>
  <c r="E849" i="4"/>
  <c r="D849" i="4"/>
  <c r="C849" i="4"/>
  <c r="B849" i="4"/>
  <c r="A849" i="4"/>
  <c r="F848" i="4"/>
  <c r="E848" i="4"/>
  <c r="D848" i="4"/>
  <c r="C848" i="4"/>
  <c r="B848" i="4"/>
  <c r="A848" i="4"/>
  <c r="F847" i="4"/>
  <c r="E847" i="4"/>
  <c r="D847" i="4"/>
  <c r="C847" i="4"/>
  <c r="B847" i="4"/>
  <c r="A847" i="4"/>
  <c r="F846" i="4"/>
  <c r="E846" i="4"/>
  <c r="D846" i="4"/>
  <c r="C846" i="4"/>
  <c r="B846" i="4"/>
  <c r="A846" i="4"/>
  <c r="F845" i="4"/>
  <c r="E845" i="4"/>
  <c r="D845" i="4"/>
  <c r="C845" i="4"/>
  <c r="B845" i="4"/>
  <c r="A845" i="4"/>
  <c r="F844" i="4"/>
  <c r="E844" i="4"/>
  <c r="D844" i="4"/>
  <c r="C844" i="4"/>
  <c r="B844" i="4"/>
  <c r="A844" i="4"/>
  <c r="F843" i="4"/>
  <c r="E843" i="4"/>
  <c r="D843" i="4"/>
  <c r="C843" i="4"/>
  <c r="B843" i="4"/>
  <c r="A843" i="4"/>
  <c r="F842" i="4"/>
  <c r="E842" i="4"/>
  <c r="D842" i="4"/>
  <c r="C842" i="4"/>
  <c r="B842" i="4"/>
  <c r="A842" i="4"/>
  <c r="F841" i="4"/>
  <c r="E841" i="4"/>
  <c r="D841" i="4"/>
  <c r="C841" i="4"/>
  <c r="B841" i="4"/>
  <c r="A841" i="4"/>
  <c r="F840" i="4"/>
  <c r="E840" i="4"/>
  <c r="D840" i="4"/>
  <c r="C840" i="4"/>
  <c r="B840" i="4"/>
  <c r="A840" i="4"/>
  <c r="F839" i="4"/>
  <c r="E839" i="4"/>
  <c r="D839" i="4"/>
  <c r="C839" i="4"/>
  <c r="B839" i="4"/>
  <c r="A839" i="4"/>
  <c r="F838" i="4"/>
  <c r="E838" i="4"/>
  <c r="D838" i="4"/>
  <c r="C838" i="4"/>
  <c r="B838" i="4"/>
  <c r="A838" i="4"/>
  <c r="F837" i="4"/>
  <c r="E837" i="4"/>
  <c r="D837" i="4"/>
  <c r="C837" i="4"/>
  <c r="B837" i="4"/>
  <c r="A837" i="4"/>
  <c r="F836" i="4"/>
  <c r="E836" i="4"/>
  <c r="D836" i="4"/>
  <c r="C836" i="4"/>
  <c r="B836" i="4"/>
  <c r="A836" i="4"/>
  <c r="F835" i="4"/>
  <c r="E835" i="4"/>
  <c r="D835" i="4"/>
  <c r="C835" i="4"/>
  <c r="B835" i="4"/>
  <c r="A835" i="4"/>
  <c r="F834" i="4"/>
  <c r="E834" i="4"/>
  <c r="D834" i="4"/>
  <c r="C834" i="4"/>
  <c r="B834" i="4"/>
  <c r="A834" i="4"/>
  <c r="F833" i="4"/>
  <c r="E833" i="4"/>
  <c r="D833" i="4"/>
  <c r="C833" i="4"/>
  <c r="B833" i="4"/>
  <c r="A833" i="4"/>
  <c r="F832" i="4"/>
  <c r="E832" i="4"/>
  <c r="D832" i="4"/>
  <c r="C832" i="4"/>
  <c r="B832" i="4"/>
  <c r="A832" i="4"/>
  <c r="F831" i="4"/>
  <c r="E831" i="4"/>
  <c r="D831" i="4"/>
  <c r="C831" i="4"/>
  <c r="B831" i="4"/>
  <c r="A831" i="4"/>
  <c r="F830" i="4"/>
  <c r="E830" i="4"/>
  <c r="D830" i="4"/>
  <c r="C830" i="4"/>
  <c r="B830" i="4"/>
  <c r="A830" i="4"/>
  <c r="F829" i="4"/>
  <c r="E829" i="4"/>
  <c r="D829" i="4"/>
  <c r="C829" i="4"/>
  <c r="B829" i="4"/>
  <c r="A829" i="4"/>
  <c r="F828" i="4"/>
  <c r="E828" i="4"/>
  <c r="D828" i="4"/>
  <c r="C828" i="4"/>
  <c r="B828" i="4"/>
  <c r="A828" i="4"/>
  <c r="F827" i="4"/>
  <c r="E827" i="4"/>
  <c r="D827" i="4"/>
  <c r="C827" i="4"/>
  <c r="B827" i="4"/>
  <c r="A827" i="4"/>
  <c r="F826" i="4"/>
  <c r="E826" i="4"/>
  <c r="D826" i="4"/>
  <c r="C826" i="4"/>
  <c r="B826" i="4"/>
  <c r="A826" i="4"/>
  <c r="F825" i="4"/>
  <c r="E825" i="4"/>
  <c r="D825" i="4"/>
  <c r="C825" i="4"/>
  <c r="B825" i="4"/>
  <c r="A825" i="4"/>
  <c r="F824" i="4"/>
  <c r="E824" i="4"/>
  <c r="D824" i="4"/>
  <c r="C824" i="4"/>
  <c r="B824" i="4"/>
  <c r="A824" i="4"/>
  <c r="F823" i="4"/>
  <c r="E823" i="4"/>
  <c r="D823" i="4"/>
  <c r="C823" i="4"/>
  <c r="B823" i="4"/>
  <c r="A823" i="4"/>
  <c r="F822" i="4"/>
  <c r="E822" i="4"/>
  <c r="D822" i="4"/>
  <c r="C822" i="4"/>
  <c r="B822" i="4"/>
  <c r="A822" i="4"/>
  <c r="F821" i="4"/>
  <c r="E821" i="4"/>
  <c r="D821" i="4"/>
  <c r="C821" i="4"/>
  <c r="B821" i="4"/>
  <c r="A821" i="4"/>
  <c r="F820" i="4"/>
  <c r="E820" i="4"/>
  <c r="D820" i="4"/>
  <c r="C820" i="4"/>
  <c r="B820" i="4"/>
  <c r="A820" i="4"/>
  <c r="F819" i="4"/>
  <c r="E819" i="4"/>
  <c r="D819" i="4"/>
  <c r="C819" i="4"/>
  <c r="B819" i="4"/>
  <c r="A819" i="4"/>
  <c r="F818" i="4"/>
  <c r="E818" i="4"/>
  <c r="D818" i="4"/>
  <c r="C818" i="4"/>
  <c r="B818" i="4"/>
  <c r="A818" i="4"/>
  <c r="F817" i="4"/>
  <c r="E817" i="4"/>
  <c r="D817" i="4"/>
  <c r="C817" i="4"/>
  <c r="B817" i="4"/>
  <c r="A817" i="4"/>
  <c r="F816" i="4"/>
  <c r="E816" i="4"/>
  <c r="D816" i="4"/>
  <c r="C816" i="4"/>
  <c r="B816" i="4"/>
  <c r="A816" i="4"/>
  <c r="F815" i="4"/>
  <c r="E815" i="4"/>
  <c r="D815" i="4"/>
  <c r="C815" i="4"/>
  <c r="B815" i="4"/>
  <c r="A815" i="4"/>
  <c r="F814" i="4"/>
  <c r="E814" i="4"/>
  <c r="D814" i="4"/>
  <c r="C814" i="4"/>
  <c r="B814" i="4"/>
  <c r="A814" i="4"/>
  <c r="F813" i="4"/>
  <c r="E813" i="4"/>
  <c r="D813" i="4"/>
  <c r="C813" i="4"/>
  <c r="B813" i="4"/>
  <c r="A813" i="4"/>
  <c r="F812" i="4"/>
  <c r="E812" i="4"/>
  <c r="D812" i="4"/>
  <c r="C812" i="4"/>
  <c r="B812" i="4"/>
  <c r="A812" i="4"/>
  <c r="F811" i="4"/>
  <c r="E811" i="4"/>
  <c r="D811" i="4"/>
  <c r="C811" i="4"/>
  <c r="B811" i="4"/>
  <c r="A811" i="4"/>
  <c r="F810" i="4"/>
  <c r="E810" i="4"/>
  <c r="D810" i="4"/>
  <c r="C810" i="4"/>
  <c r="B810" i="4"/>
  <c r="A810" i="4"/>
  <c r="F809" i="4"/>
  <c r="E809" i="4"/>
  <c r="D809" i="4"/>
  <c r="C809" i="4"/>
  <c r="B809" i="4"/>
  <c r="A809" i="4"/>
  <c r="F808" i="4"/>
  <c r="E808" i="4"/>
  <c r="D808" i="4"/>
  <c r="C808" i="4"/>
  <c r="B808" i="4"/>
  <c r="A808" i="4"/>
  <c r="F807" i="4"/>
  <c r="E807" i="4"/>
  <c r="D807" i="4"/>
  <c r="C807" i="4"/>
  <c r="B807" i="4"/>
  <c r="A807" i="4"/>
  <c r="F806" i="4"/>
  <c r="E806" i="4"/>
  <c r="D806" i="4"/>
  <c r="C806" i="4"/>
  <c r="B806" i="4"/>
  <c r="A806" i="4"/>
  <c r="F805" i="4"/>
  <c r="E805" i="4"/>
  <c r="D805" i="4"/>
  <c r="C805" i="4"/>
  <c r="B805" i="4"/>
  <c r="A805" i="4"/>
  <c r="F804" i="4"/>
  <c r="E804" i="4"/>
  <c r="D804" i="4"/>
  <c r="C804" i="4"/>
  <c r="B804" i="4"/>
  <c r="A804" i="4"/>
  <c r="F803" i="4"/>
  <c r="E803" i="4"/>
  <c r="D803" i="4"/>
  <c r="C803" i="4"/>
  <c r="B803" i="4"/>
  <c r="A803" i="4"/>
  <c r="F802" i="4"/>
  <c r="E802" i="4"/>
  <c r="D802" i="4"/>
  <c r="C802" i="4"/>
  <c r="B802" i="4"/>
  <c r="A802" i="4"/>
  <c r="F801" i="4"/>
  <c r="E801" i="4"/>
  <c r="D801" i="4"/>
  <c r="C801" i="4"/>
  <c r="B801" i="4"/>
  <c r="A801" i="4"/>
  <c r="F800" i="4"/>
  <c r="E800" i="4"/>
  <c r="D800" i="4"/>
  <c r="C800" i="4"/>
  <c r="B800" i="4"/>
  <c r="A800" i="4"/>
  <c r="F799" i="4"/>
  <c r="E799" i="4"/>
  <c r="D799" i="4"/>
  <c r="C799" i="4"/>
  <c r="B799" i="4"/>
  <c r="A799" i="4"/>
  <c r="F798" i="4"/>
  <c r="E798" i="4"/>
  <c r="D798" i="4"/>
  <c r="C798" i="4"/>
  <c r="B798" i="4"/>
  <c r="A798" i="4"/>
  <c r="F797" i="4"/>
  <c r="E797" i="4"/>
  <c r="D797" i="4"/>
  <c r="C797" i="4"/>
  <c r="B797" i="4"/>
  <c r="A797" i="4"/>
  <c r="F796" i="4"/>
  <c r="E796" i="4"/>
  <c r="D796" i="4"/>
  <c r="C796" i="4"/>
  <c r="B796" i="4"/>
  <c r="A796" i="4"/>
  <c r="F795" i="4"/>
  <c r="E795" i="4"/>
  <c r="D795" i="4"/>
  <c r="C795" i="4"/>
  <c r="B795" i="4"/>
  <c r="A795" i="4"/>
  <c r="F794" i="4"/>
  <c r="E794" i="4"/>
  <c r="D794" i="4"/>
  <c r="C794" i="4"/>
  <c r="B794" i="4"/>
  <c r="A794" i="4"/>
  <c r="F793" i="4"/>
  <c r="E793" i="4"/>
  <c r="D793" i="4"/>
  <c r="C793" i="4"/>
  <c r="B793" i="4"/>
  <c r="A793" i="4"/>
  <c r="F792" i="4"/>
  <c r="E792" i="4"/>
  <c r="D792" i="4"/>
  <c r="C792" i="4"/>
  <c r="B792" i="4"/>
  <c r="A792" i="4"/>
  <c r="F791" i="4"/>
  <c r="E791" i="4"/>
  <c r="D791" i="4"/>
  <c r="C791" i="4"/>
  <c r="B791" i="4"/>
  <c r="A791" i="4"/>
  <c r="F790" i="4"/>
  <c r="E790" i="4"/>
  <c r="D790" i="4"/>
  <c r="C790" i="4"/>
  <c r="B790" i="4"/>
  <c r="A790" i="4"/>
  <c r="F789" i="4"/>
  <c r="E789" i="4"/>
  <c r="D789" i="4"/>
  <c r="C789" i="4"/>
  <c r="B789" i="4"/>
  <c r="A789" i="4"/>
  <c r="F788" i="4"/>
  <c r="E788" i="4"/>
  <c r="D788" i="4"/>
  <c r="C788" i="4"/>
  <c r="B788" i="4"/>
  <c r="A788" i="4"/>
  <c r="F787" i="4"/>
  <c r="E787" i="4"/>
  <c r="D787" i="4"/>
  <c r="C787" i="4"/>
  <c r="B787" i="4"/>
  <c r="A787" i="4"/>
  <c r="F786" i="4"/>
  <c r="E786" i="4"/>
  <c r="D786" i="4"/>
  <c r="C786" i="4"/>
  <c r="B786" i="4"/>
  <c r="A786" i="4"/>
  <c r="F785" i="4"/>
  <c r="E785" i="4"/>
  <c r="D785" i="4"/>
  <c r="C785" i="4"/>
  <c r="B785" i="4"/>
  <c r="A785" i="4"/>
  <c r="F784" i="4"/>
  <c r="E784" i="4"/>
  <c r="D784" i="4"/>
  <c r="C784" i="4"/>
  <c r="B784" i="4"/>
  <c r="A784" i="4"/>
  <c r="F783" i="4"/>
  <c r="E783" i="4"/>
  <c r="D783" i="4"/>
  <c r="C783" i="4"/>
  <c r="B783" i="4"/>
  <c r="A783" i="4"/>
  <c r="F782" i="4"/>
  <c r="E782" i="4"/>
  <c r="D782" i="4"/>
  <c r="C782" i="4"/>
  <c r="B782" i="4"/>
  <c r="A782" i="4"/>
  <c r="F781" i="4"/>
  <c r="E781" i="4"/>
  <c r="D781" i="4"/>
  <c r="C781" i="4"/>
  <c r="B781" i="4"/>
  <c r="A781" i="4"/>
  <c r="F780" i="4"/>
  <c r="E780" i="4"/>
  <c r="D780" i="4"/>
  <c r="C780" i="4"/>
  <c r="B780" i="4"/>
  <c r="A780" i="4"/>
  <c r="F779" i="4"/>
  <c r="E779" i="4"/>
  <c r="D779" i="4"/>
  <c r="C779" i="4"/>
  <c r="B779" i="4"/>
  <c r="A779" i="4"/>
  <c r="F778" i="4"/>
  <c r="E778" i="4"/>
  <c r="D778" i="4"/>
  <c r="C778" i="4"/>
  <c r="B778" i="4"/>
  <c r="A778" i="4"/>
  <c r="F777" i="4"/>
  <c r="E777" i="4"/>
  <c r="D777" i="4"/>
  <c r="C777" i="4"/>
  <c r="B777" i="4"/>
  <c r="A777" i="4"/>
  <c r="F776" i="4"/>
  <c r="E776" i="4"/>
  <c r="D776" i="4"/>
  <c r="C776" i="4"/>
  <c r="B776" i="4"/>
  <c r="A776" i="4"/>
  <c r="F775" i="4"/>
  <c r="E775" i="4"/>
  <c r="D775" i="4"/>
  <c r="C775" i="4"/>
  <c r="B775" i="4"/>
  <c r="A775" i="4"/>
  <c r="F774" i="4"/>
  <c r="E774" i="4"/>
  <c r="D774" i="4"/>
  <c r="C774" i="4"/>
  <c r="B774" i="4"/>
  <c r="A774" i="4"/>
  <c r="F773" i="4"/>
  <c r="E773" i="4"/>
  <c r="D773" i="4"/>
  <c r="C773" i="4"/>
  <c r="B773" i="4"/>
  <c r="A773" i="4"/>
  <c r="F772" i="4"/>
  <c r="E772" i="4"/>
  <c r="D772" i="4"/>
  <c r="C772" i="4"/>
  <c r="B772" i="4"/>
  <c r="A772" i="4"/>
  <c r="F771" i="4"/>
  <c r="E771" i="4"/>
  <c r="D771" i="4"/>
  <c r="C771" i="4"/>
  <c r="B771" i="4"/>
  <c r="A771" i="4"/>
  <c r="F770" i="4"/>
  <c r="E770" i="4"/>
  <c r="D770" i="4"/>
  <c r="C770" i="4"/>
  <c r="B770" i="4"/>
  <c r="A770" i="4"/>
  <c r="F769" i="4"/>
  <c r="E769" i="4"/>
  <c r="D769" i="4"/>
  <c r="C769" i="4"/>
  <c r="B769" i="4"/>
  <c r="A769" i="4"/>
  <c r="F768" i="4"/>
  <c r="E768" i="4"/>
  <c r="D768" i="4"/>
  <c r="C768" i="4"/>
  <c r="B768" i="4"/>
  <c r="A768" i="4"/>
  <c r="F767" i="4"/>
  <c r="E767" i="4"/>
  <c r="D767" i="4"/>
  <c r="C767" i="4"/>
  <c r="B767" i="4"/>
  <c r="A767" i="4"/>
  <c r="F766" i="4"/>
  <c r="E766" i="4"/>
  <c r="D766" i="4"/>
  <c r="C766" i="4"/>
  <c r="B766" i="4"/>
  <c r="A766" i="4"/>
  <c r="F765" i="4"/>
  <c r="E765" i="4"/>
  <c r="D765" i="4"/>
  <c r="C765" i="4"/>
  <c r="B765" i="4"/>
  <c r="A765" i="4"/>
  <c r="F764" i="4"/>
  <c r="E764" i="4"/>
  <c r="D764" i="4"/>
  <c r="C764" i="4"/>
  <c r="B764" i="4"/>
  <c r="A764" i="4"/>
  <c r="F763" i="4"/>
  <c r="E763" i="4"/>
  <c r="D763" i="4"/>
  <c r="C763" i="4"/>
  <c r="B763" i="4"/>
  <c r="A763" i="4"/>
  <c r="F762" i="4"/>
  <c r="E762" i="4"/>
  <c r="D762" i="4"/>
  <c r="C762" i="4"/>
  <c r="B762" i="4"/>
  <c r="A762" i="4"/>
  <c r="F761" i="4"/>
  <c r="E761" i="4"/>
  <c r="D761" i="4"/>
  <c r="C761" i="4"/>
  <c r="B761" i="4"/>
  <c r="A761" i="4"/>
  <c r="F760" i="4"/>
  <c r="E760" i="4"/>
  <c r="D760" i="4"/>
  <c r="C760" i="4"/>
  <c r="B760" i="4"/>
  <c r="A760" i="4"/>
  <c r="F759" i="4"/>
  <c r="E759" i="4"/>
  <c r="D759" i="4"/>
  <c r="C759" i="4"/>
  <c r="B759" i="4"/>
  <c r="A759" i="4"/>
  <c r="F758" i="4"/>
  <c r="E758" i="4"/>
  <c r="D758" i="4"/>
  <c r="C758" i="4"/>
  <c r="B758" i="4"/>
  <c r="A758" i="4"/>
  <c r="F757" i="4"/>
  <c r="E757" i="4"/>
  <c r="D757" i="4"/>
  <c r="C757" i="4"/>
  <c r="B757" i="4"/>
  <c r="A757" i="4"/>
  <c r="F756" i="4"/>
  <c r="E756" i="4"/>
  <c r="D756" i="4"/>
  <c r="C756" i="4"/>
  <c r="B756" i="4"/>
  <c r="A756" i="4"/>
  <c r="F755" i="4"/>
  <c r="E755" i="4"/>
  <c r="D755" i="4"/>
  <c r="C755" i="4"/>
  <c r="B755" i="4"/>
  <c r="A755" i="4"/>
  <c r="F754" i="4"/>
  <c r="E754" i="4"/>
  <c r="D754" i="4"/>
  <c r="C754" i="4"/>
  <c r="B754" i="4"/>
  <c r="A754" i="4"/>
  <c r="F753" i="4"/>
  <c r="E753" i="4"/>
  <c r="D753" i="4"/>
  <c r="C753" i="4"/>
  <c r="B753" i="4"/>
  <c r="A753" i="4"/>
  <c r="F752" i="4"/>
  <c r="E752" i="4"/>
  <c r="D752" i="4"/>
  <c r="C752" i="4"/>
  <c r="B752" i="4"/>
  <c r="A752" i="4"/>
  <c r="F751" i="4"/>
  <c r="E751" i="4"/>
  <c r="D751" i="4"/>
  <c r="C751" i="4"/>
  <c r="B751" i="4"/>
  <c r="A751" i="4"/>
  <c r="F750" i="4"/>
  <c r="E750" i="4"/>
  <c r="D750" i="4"/>
  <c r="C750" i="4"/>
  <c r="B750" i="4"/>
  <c r="A750" i="4"/>
  <c r="F749" i="4"/>
  <c r="E749" i="4"/>
  <c r="D749" i="4"/>
  <c r="C749" i="4"/>
  <c r="B749" i="4"/>
  <c r="A749" i="4"/>
  <c r="F748" i="4"/>
  <c r="E748" i="4"/>
  <c r="D748" i="4"/>
  <c r="C748" i="4"/>
  <c r="B748" i="4"/>
  <c r="A748" i="4"/>
  <c r="F747" i="4"/>
  <c r="E747" i="4"/>
  <c r="D747" i="4"/>
  <c r="C747" i="4"/>
  <c r="B747" i="4"/>
  <c r="A747" i="4"/>
  <c r="F746" i="4"/>
  <c r="E746" i="4"/>
  <c r="D746" i="4"/>
  <c r="C746" i="4"/>
  <c r="B746" i="4"/>
  <c r="A746" i="4"/>
  <c r="F745" i="4"/>
  <c r="E745" i="4"/>
  <c r="D745" i="4"/>
  <c r="C745" i="4"/>
  <c r="B745" i="4"/>
  <c r="A745" i="4"/>
  <c r="F744" i="4"/>
  <c r="E744" i="4"/>
  <c r="D744" i="4"/>
  <c r="C744" i="4"/>
  <c r="B744" i="4"/>
  <c r="A744" i="4"/>
  <c r="F743" i="4"/>
  <c r="E743" i="4"/>
  <c r="D743" i="4"/>
  <c r="C743" i="4"/>
  <c r="B743" i="4"/>
  <c r="A743" i="4"/>
  <c r="F742" i="4"/>
  <c r="E742" i="4"/>
  <c r="D742" i="4"/>
  <c r="C742" i="4"/>
  <c r="B742" i="4"/>
  <c r="A742" i="4"/>
  <c r="F741" i="4"/>
  <c r="E741" i="4"/>
  <c r="D741" i="4"/>
  <c r="C741" i="4"/>
  <c r="B741" i="4"/>
  <c r="A741" i="4"/>
  <c r="F740" i="4"/>
  <c r="E740" i="4"/>
  <c r="D740" i="4"/>
  <c r="C740" i="4"/>
  <c r="B740" i="4"/>
  <c r="A740" i="4"/>
  <c r="F739" i="4"/>
  <c r="E739" i="4"/>
  <c r="D739" i="4"/>
  <c r="C739" i="4"/>
  <c r="B739" i="4"/>
  <c r="A739" i="4"/>
  <c r="F738" i="4"/>
  <c r="E738" i="4"/>
  <c r="D738" i="4"/>
  <c r="C738" i="4"/>
  <c r="B738" i="4"/>
  <c r="A738" i="4"/>
  <c r="F737" i="4"/>
  <c r="E737" i="4"/>
  <c r="D737" i="4"/>
  <c r="C737" i="4"/>
  <c r="B737" i="4"/>
  <c r="A737" i="4"/>
  <c r="F736" i="4"/>
  <c r="E736" i="4"/>
  <c r="D736" i="4"/>
  <c r="C736" i="4"/>
  <c r="B736" i="4"/>
  <c r="A736" i="4"/>
  <c r="F735" i="4"/>
  <c r="E735" i="4"/>
  <c r="D735" i="4"/>
  <c r="C735" i="4"/>
  <c r="B735" i="4"/>
  <c r="A735" i="4"/>
  <c r="F734" i="4"/>
  <c r="E734" i="4"/>
  <c r="D734" i="4"/>
  <c r="C734" i="4"/>
  <c r="B734" i="4"/>
  <c r="A734" i="4"/>
  <c r="F733" i="4"/>
  <c r="E733" i="4"/>
  <c r="D733" i="4"/>
  <c r="C733" i="4"/>
  <c r="B733" i="4"/>
  <c r="A733" i="4"/>
  <c r="F732" i="4"/>
  <c r="E732" i="4"/>
  <c r="D732" i="4"/>
  <c r="C732" i="4"/>
  <c r="B732" i="4"/>
  <c r="A732" i="4"/>
  <c r="F731" i="4"/>
  <c r="E731" i="4"/>
  <c r="D731" i="4"/>
  <c r="C731" i="4"/>
  <c r="B731" i="4"/>
  <c r="A731" i="4"/>
  <c r="F730" i="4"/>
  <c r="E730" i="4"/>
  <c r="D730" i="4"/>
  <c r="C730" i="4"/>
  <c r="B730" i="4"/>
  <c r="A730" i="4"/>
  <c r="F729" i="4"/>
  <c r="E729" i="4"/>
  <c r="D729" i="4"/>
  <c r="C729" i="4"/>
  <c r="B729" i="4"/>
  <c r="A729" i="4"/>
  <c r="F728" i="4"/>
  <c r="E728" i="4"/>
  <c r="D728" i="4"/>
  <c r="C728" i="4"/>
  <c r="B728" i="4"/>
  <c r="A728" i="4"/>
  <c r="F727" i="4"/>
  <c r="E727" i="4"/>
  <c r="D727" i="4"/>
  <c r="C727" i="4"/>
  <c r="B727" i="4"/>
  <c r="A727" i="4"/>
  <c r="F726" i="4"/>
  <c r="E726" i="4"/>
  <c r="D726" i="4"/>
  <c r="C726" i="4"/>
  <c r="B726" i="4"/>
  <c r="A726" i="4"/>
  <c r="F725" i="4"/>
  <c r="E725" i="4"/>
  <c r="D725" i="4"/>
  <c r="C725" i="4"/>
  <c r="B725" i="4"/>
  <c r="A725" i="4"/>
  <c r="F724" i="4"/>
  <c r="E724" i="4"/>
  <c r="D724" i="4"/>
  <c r="C724" i="4"/>
  <c r="B724" i="4"/>
  <c r="A724" i="4"/>
  <c r="F723" i="4"/>
  <c r="E723" i="4"/>
  <c r="D723" i="4"/>
  <c r="C723" i="4"/>
  <c r="B723" i="4"/>
  <c r="A723" i="4"/>
  <c r="F722" i="4"/>
  <c r="E722" i="4"/>
  <c r="D722" i="4"/>
  <c r="C722" i="4"/>
  <c r="B722" i="4"/>
  <c r="A722" i="4"/>
  <c r="F721" i="4"/>
  <c r="E721" i="4"/>
  <c r="D721" i="4"/>
  <c r="C721" i="4"/>
  <c r="B721" i="4"/>
  <c r="A721" i="4"/>
  <c r="F720" i="4"/>
  <c r="E720" i="4"/>
  <c r="D720" i="4"/>
  <c r="C720" i="4"/>
  <c r="B720" i="4"/>
  <c r="A720" i="4"/>
  <c r="F719" i="4"/>
  <c r="E719" i="4"/>
  <c r="D719" i="4"/>
  <c r="C719" i="4"/>
  <c r="B719" i="4"/>
  <c r="A719" i="4"/>
  <c r="F718" i="4"/>
  <c r="E718" i="4"/>
  <c r="D718" i="4"/>
  <c r="C718" i="4"/>
  <c r="B718" i="4"/>
  <c r="A718" i="4"/>
  <c r="F717" i="4"/>
  <c r="E717" i="4"/>
  <c r="D717" i="4"/>
  <c r="C717" i="4"/>
  <c r="B717" i="4"/>
  <c r="A717" i="4"/>
  <c r="F716" i="4"/>
  <c r="E716" i="4"/>
  <c r="D716" i="4"/>
  <c r="C716" i="4"/>
  <c r="B716" i="4"/>
  <c r="A716" i="4"/>
  <c r="F715" i="4"/>
  <c r="E715" i="4"/>
  <c r="D715" i="4"/>
  <c r="C715" i="4"/>
  <c r="B715" i="4"/>
  <c r="A715" i="4"/>
  <c r="F714" i="4"/>
  <c r="E714" i="4"/>
  <c r="D714" i="4"/>
  <c r="C714" i="4"/>
  <c r="B714" i="4"/>
  <c r="A714" i="4"/>
  <c r="F713" i="4"/>
  <c r="E713" i="4"/>
  <c r="D713" i="4"/>
  <c r="C713" i="4"/>
  <c r="B713" i="4"/>
  <c r="A713" i="4"/>
  <c r="F712" i="4"/>
  <c r="E712" i="4"/>
  <c r="D712" i="4"/>
  <c r="C712" i="4"/>
  <c r="B712" i="4"/>
  <c r="A712" i="4"/>
  <c r="F711" i="4"/>
  <c r="E711" i="4"/>
  <c r="D711" i="4"/>
  <c r="C711" i="4"/>
  <c r="B711" i="4"/>
  <c r="A711" i="4"/>
  <c r="F710" i="4"/>
  <c r="E710" i="4"/>
  <c r="D710" i="4"/>
  <c r="C710" i="4"/>
  <c r="B710" i="4"/>
  <c r="A710" i="4"/>
  <c r="F709" i="4"/>
  <c r="E709" i="4"/>
  <c r="D709" i="4"/>
  <c r="C709" i="4"/>
  <c r="B709" i="4"/>
  <c r="A709" i="4"/>
  <c r="F708" i="4"/>
  <c r="E708" i="4"/>
  <c r="D708" i="4"/>
  <c r="C708" i="4"/>
  <c r="B708" i="4"/>
  <c r="A708" i="4"/>
  <c r="F707" i="4"/>
  <c r="E707" i="4"/>
  <c r="D707" i="4"/>
  <c r="C707" i="4"/>
  <c r="B707" i="4"/>
  <c r="A707" i="4"/>
  <c r="F706" i="4"/>
  <c r="E706" i="4"/>
  <c r="D706" i="4"/>
  <c r="C706" i="4"/>
  <c r="B706" i="4"/>
  <c r="A706" i="4"/>
  <c r="F705" i="4"/>
  <c r="E705" i="4"/>
  <c r="D705" i="4"/>
  <c r="C705" i="4"/>
  <c r="B705" i="4"/>
  <c r="A705" i="4"/>
  <c r="F704" i="4"/>
  <c r="E704" i="4"/>
  <c r="D704" i="4"/>
  <c r="C704" i="4"/>
  <c r="B704" i="4"/>
  <c r="A704" i="4"/>
  <c r="F703" i="4"/>
  <c r="E703" i="4"/>
  <c r="D703" i="4"/>
  <c r="C703" i="4"/>
  <c r="B703" i="4"/>
  <c r="A703" i="4"/>
  <c r="F702" i="4"/>
  <c r="E702" i="4"/>
  <c r="D702" i="4"/>
  <c r="C702" i="4"/>
  <c r="B702" i="4"/>
  <c r="A702" i="4"/>
  <c r="F701" i="4"/>
  <c r="E701" i="4"/>
  <c r="D701" i="4"/>
  <c r="C701" i="4"/>
  <c r="B701" i="4"/>
  <c r="A701" i="4"/>
  <c r="F700" i="4"/>
  <c r="E700" i="4"/>
  <c r="D700" i="4"/>
  <c r="C700" i="4"/>
  <c r="B700" i="4"/>
  <c r="A700" i="4"/>
  <c r="F699" i="4"/>
  <c r="E699" i="4"/>
  <c r="D699" i="4"/>
  <c r="C699" i="4"/>
  <c r="B699" i="4"/>
  <c r="A699" i="4"/>
  <c r="F698" i="4"/>
  <c r="E698" i="4"/>
  <c r="D698" i="4"/>
  <c r="C698" i="4"/>
  <c r="B698" i="4"/>
  <c r="A698" i="4"/>
  <c r="F697" i="4"/>
  <c r="E697" i="4"/>
  <c r="D697" i="4"/>
  <c r="C697" i="4"/>
  <c r="B697" i="4"/>
  <c r="A697" i="4"/>
  <c r="F696" i="4"/>
  <c r="E696" i="4"/>
  <c r="D696" i="4"/>
  <c r="C696" i="4"/>
  <c r="B696" i="4"/>
  <c r="A696" i="4"/>
  <c r="F695" i="4"/>
  <c r="E695" i="4"/>
  <c r="D695" i="4"/>
  <c r="C695" i="4"/>
  <c r="B695" i="4"/>
  <c r="A695" i="4"/>
  <c r="F694" i="4"/>
  <c r="E694" i="4"/>
  <c r="D694" i="4"/>
  <c r="C694" i="4"/>
  <c r="B694" i="4"/>
  <c r="A694" i="4"/>
  <c r="F693" i="4"/>
  <c r="E693" i="4"/>
  <c r="D693" i="4"/>
  <c r="C693" i="4"/>
  <c r="B693" i="4"/>
  <c r="A693" i="4"/>
  <c r="F692" i="4"/>
  <c r="E692" i="4"/>
  <c r="D692" i="4"/>
  <c r="C692" i="4"/>
  <c r="B692" i="4"/>
  <c r="A692" i="4"/>
  <c r="F691" i="4"/>
  <c r="E691" i="4"/>
  <c r="D691" i="4"/>
  <c r="C691" i="4"/>
  <c r="B691" i="4"/>
  <c r="A691" i="4"/>
  <c r="F690" i="4"/>
  <c r="E690" i="4"/>
  <c r="D690" i="4"/>
  <c r="C690" i="4"/>
  <c r="B690" i="4"/>
  <c r="A690" i="4"/>
  <c r="F689" i="4"/>
  <c r="E689" i="4"/>
  <c r="D689" i="4"/>
  <c r="C689" i="4"/>
  <c r="B689" i="4"/>
  <c r="A689" i="4"/>
  <c r="F688" i="4"/>
  <c r="E688" i="4"/>
  <c r="D688" i="4"/>
  <c r="C688" i="4"/>
  <c r="B688" i="4"/>
  <c r="A688" i="4"/>
  <c r="F687" i="4"/>
  <c r="E687" i="4"/>
  <c r="D687" i="4"/>
  <c r="C687" i="4"/>
  <c r="B687" i="4"/>
  <c r="A687" i="4"/>
  <c r="F686" i="4"/>
  <c r="E686" i="4"/>
  <c r="D686" i="4"/>
  <c r="C686" i="4"/>
  <c r="B686" i="4"/>
  <c r="A686" i="4"/>
  <c r="F685" i="4"/>
  <c r="E685" i="4"/>
  <c r="D685" i="4"/>
  <c r="C685" i="4"/>
  <c r="B685" i="4"/>
  <c r="A685" i="4"/>
  <c r="F684" i="4"/>
  <c r="E684" i="4"/>
  <c r="D684" i="4"/>
  <c r="C684" i="4"/>
  <c r="B684" i="4"/>
  <c r="A684" i="4"/>
  <c r="F683" i="4"/>
  <c r="E683" i="4"/>
  <c r="D683" i="4"/>
  <c r="C683" i="4"/>
  <c r="B683" i="4"/>
  <c r="A683" i="4"/>
  <c r="F682" i="4"/>
  <c r="E682" i="4"/>
  <c r="D682" i="4"/>
  <c r="C682" i="4"/>
  <c r="B682" i="4"/>
  <c r="A682" i="4"/>
  <c r="F681" i="4"/>
  <c r="E681" i="4"/>
  <c r="D681" i="4"/>
  <c r="C681" i="4"/>
  <c r="B681" i="4"/>
  <c r="A681" i="4"/>
  <c r="F680" i="4"/>
  <c r="E680" i="4"/>
  <c r="D680" i="4"/>
  <c r="C680" i="4"/>
  <c r="B680" i="4"/>
  <c r="A680" i="4"/>
  <c r="F679" i="4"/>
  <c r="E679" i="4"/>
  <c r="D679" i="4"/>
  <c r="C679" i="4"/>
  <c r="B679" i="4"/>
  <c r="A679" i="4"/>
  <c r="F678" i="4"/>
  <c r="E678" i="4"/>
  <c r="D678" i="4"/>
  <c r="C678" i="4"/>
  <c r="B678" i="4"/>
  <c r="A678" i="4"/>
  <c r="F677" i="4"/>
  <c r="E677" i="4"/>
  <c r="D677" i="4"/>
  <c r="C677" i="4"/>
  <c r="B677" i="4"/>
  <c r="A677" i="4"/>
  <c r="F676" i="4"/>
  <c r="E676" i="4"/>
  <c r="D676" i="4"/>
  <c r="C676" i="4"/>
  <c r="B676" i="4"/>
  <c r="A676" i="4"/>
  <c r="F675" i="4"/>
  <c r="E675" i="4"/>
  <c r="D675" i="4"/>
  <c r="C675" i="4"/>
  <c r="B675" i="4"/>
  <c r="A675" i="4"/>
  <c r="F674" i="4"/>
  <c r="E674" i="4"/>
  <c r="D674" i="4"/>
  <c r="C674" i="4"/>
  <c r="B674" i="4"/>
  <c r="A674" i="4"/>
  <c r="F673" i="4"/>
  <c r="E673" i="4"/>
  <c r="D673" i="4"/>
  <c r="C673" i="4"/>
  <c r="B673" i="4"/>
  <c r="A673" i="4"/>
  <c r="F672" i="4"/>
  <c r="E672" i="4"/>
  <c r="D672" i="4"/>
  <c r="C672" i="4"/>
  <c r="B672" i="4"/>
  <c r="A672" i="4"/>
  <c r="F671" i="4"/>
  <c r="E671" i="4"/>
  <c r="D671" i="4"/>
  <c r="C671" i="4"/>
  <c r="B671" i="4"/>
  <c r="A671" i="4"/>
  <c r="F670" i="4"/>
  <c r="E670" i="4"/>
  <c r="D670" i="4"/>
  <c r="C670" i="4"/>
  <c r="B670" i="4"/>
  <c r="A670" i="4"/>
  <c r="F669" i="4"/>
  <c r="E669" i="4"/>
  <c r="D669" i="4"/>
  <c r="C669" i="4"/>
  <c r="B669" i="4"/>
  <c r="A669" i="4"/>
  <c r="F668" i="4"/>
  <c r="E668" i="4"/>
  <c r="D668" i="4"/>
  <c r="C668" i="4"/>
  <c r="B668" i="4"/>
  <c r="A668" i="4"/>
  <c r="F667" i="4"/>
  <c r="E667" i="4"/>
  <c r="D667" i="4"/>
  <c r="C667" i="4"/>
  <c r="B667" i="4"/>
  <c r="A667" i="4"/>
  <c r="F666" i="4"/>
  <c r="E666" i="4"/>
  <c r="D666" i="4"/>
  <c r="C666" i="4"/>
  <c r="B666" i="4"/>
  <c r="A666" i="4"/>
  <c r="F665" i="4"/>
  <c r="E665" i="4"/>
  <c r="D665" i="4"/>
  <c r="C665" i="4"/>
  <c r="B665" i="4"/>
  <c r="A665" i="4"/>
  <c r="F664" i="4"/>
  <c r="E664" i="4"/>
  <c r="D664" i="4"/>
  <c r="C664" i="4"/>
  <c r="B664" i="4"/>
  <c r="A664" i="4"/>
  <c r="F663" i="4"/>
  <c r="E663" i="4"/>
  <c r="D663" i="4"/>
  <c r="C663" i="4"/>
  <c r="B663" i="4"/>
  <c r="A663" i="4"/>
  <c r="F662" i="4"/>
  <c r="E662" i="4"/>
  <c r="D662" i="4"/>
  <c r="C662" i="4"/>
  <c r="B662" i="4"/>
  <c r="A662" i="4"/>
  <c r="F661" i="4"/>
  <c r="E661" i="4"/>
  <c r="D661" i="4"/>
  <c r="C661" i="4"/>
  <c r="B661" i="4"/>
  <c r="A661" i="4"/>
  <c r="F660" i="4"/>
  <c r="E660" i="4"/>
  <c r="D660" i="4"/>
  <c r="C660" i="4"/>
  <c r="B660" i="4"/>
  <c r="A660" i="4"/>
  <c r="F659" i="4"/>
  <c r="E659" i="4"/>
  <c r="D659" i="4"/>
  <c r="C659" i="4"/>
  <c r="B659" i="4"/>
  <c r="A659" i="4"/>
  <c r="F658" i="4"/>
  <c r="E658" i="4"/>
  <c r="D658" i="4"/>
  <c r="C658" i="4"/>
  <c r="B658" i="4"/>
  <c r="A658" i="4"/>
  <c r="F657" i="4"/>
  <c r="E657" i="4"/>
  <c r="D657" i="4"/>
  <c r="C657" i="4"/>
  <c r="B657" i="4"/>
  <c r="A657" i="4"/>
  <c r="F656" i="4"/>
  <c r="E656" i="4"/>
  <c r="D656" i="4"/>
  <c r="C656" i="4"/>
  <c r="B656" i="4"/>
  <c r="A656" i="4"/>
  <c r="F655" i="4"/>
  <c r="E655" i="4"/>
  <c r="D655" i="4"/>
  <c r="C655" i="4"/>
  <c r="B655" i="4"/>
  <c r="A655" i="4"/>
  <c r="F654" i="4"/>
  <c r="E654" i="4"/>
  <c r="D654" i="4"/>
  <c r="C654" i="4"/>
  <c r="B654" i="4"/>
  <c r="A654" i="4"/>
  <c r="F653" i="4"/>
  <c r="E653" i="4"/>
  <c r="D653" i="4"/>
  <c r="C653" i="4"/>
  <c r="B653" i="4"/>
  <c r="A653" i="4"/>
  <c r="F652" i="4"/>
  <c r="E652" i="4"/>
  <c r="D652" i="4"/>
  <c r="C652" i="4"/>
  <c r="B652" i="4"/>
  <c r="A652" i="4"/>
  <c r="F651" i="4"/>
  <c r="E651" i="4"/>
  <c r="D651" i="4"/>
  <c r="C651" i="4"/>
  <c r="B651" i="4"/>
  <c r="A651" i="4"/>
  <c r="F650" i="4"/>
  <c r="E650" i="4"/>
  <c r="D650" i="4"/>
  <c r="C650" i="4"/>
  <c r="B650" i="4"/>
  <c r="A650" i="4"/>
  <c r="F649" i="4"/>
  <c r="E649" i="4"/>
  <c r="D649" i="4"/>
  <c r="C649" i="4"/>
  <c r="B649" i="4"/>
  <c r="A649" i="4"/>
  <c r="F648" i="4"/>
  <c r="E648" i="4"/>
  <c r="D648" i="4"/>
  <c r="C648" i="4"/>
  <c r="B648" i="4"/>
  <c r="A648" i="4"/>
  <c r="F647" i="4"/>
  <c r="E647" i="4"/>
  <c r="D647" i="4"/>
  <c r="C647" i="4"/>
  <c r="B647" i="4"/>
  <c r="A647" i="4"/>
  <c r="F646" i="4"/>
  <c r="E646" i="4"/>
  <c r="D646" i="4"/>
  <c r="C646" i="4"/>
  <c r="B646" i="4"/>
  <c r="A646" i="4"/>
  <c r="F645" i="4"/>
  <c r="E645" i="4"/>
  <c r="D645" i="4"/>
  <c r="C645" i="4"/>
  <c r="B645" i="4"/>
  <c r="A645" i="4"/>
  <c r="F644" i="4"/>
  <c r="E644" i="4"/>
  <c r="D644" i="4"/>
  <c r="C644" i="4"/>
  <c r="B644" i="4"/>
  <c r="A644" i="4"/>
  <c r="F643" i="4"/>
  <c r="E643" i="4"/>
  <c r="D643" i="4"/>
  <c r="C643" i="4"/>
  <c r="B643" i="4"/>
  <c r="A643" i="4"/>
  <c r="F642" i="4"/>
  <c r="E642" i="4"/>
  <c r="D642" i="4"/>
  <c r="C642" i="4"/>
  <c r="B642" i="4"/>
  <c r="A642" i="4"/>
  <c r="F641" i="4"/>
  <c r="E641" i="4"/>
  <c r="D641" i="4"/>
  <c r="C641" i="4"/>
  <c r="B641" i="4"/>
  <c r="A641" i="4"/>
  <c r="F640" i="4"/>
  <c r="E640" i="4"/>
  <c r="D640" i="4"/>
  <c r="C640" i="4"/>
  <c r="B640" i="4"/>
  <c r="A640" i="4"/>
  <c r="F639" i="4"/>
  <c r="E639" i="4"/>
  <c r="D639" i="4"/>
  <c r="C639" i="4"/>
  <c r="B639" i="4"/>
  <c r="A639" i="4"/>
  <c r="F638" i="4"/>
  <c r="E638" i="4"/>
  <c r="D638" i="4"/>
  <c r="C638" i="4"/>
  <c r="B638" i="4"/>
  <c r="A638" i="4"/>
  <c r="F637" i="4"/>
  <c r="E637" i="4"/>
  <c r="D637" i="4"/>
  <c r="C637" i="4"/>
  <c r="B637" i="4"/>
  <c r="A637" i="4"/>
  <c r="F636" i="4"/>
  <c r="E636" i="4"/>
  <c r="D636" i="4"/>
  <c r="C636" i="4"/>
  <c r="B636" i="4"/>
  <c r="A636" i="4"/>
  <c r="F635" i="4"/>
  <c r="E635" i="4"/>
  <c r="D635" i="4"/>
  <c r="C635" i="4"/>
  <c r="B635" i="4"/>
  <c r="A635" i="4"/>
  <c r="F634" i="4"/>
  <c r="E634" i="4"/>
  <c r="D634" i="4"/>
  <c r="C634" i="4"/>
  <c r="B634" i="4"/>
  <c r="A634" i="4"/>
  <c r="F633" i="4"/>
  <c r="E633" i="4"/>
  <c r="D633" i="4"/>
  <c r="C633" i="4"/>
  <c r="B633" i="4"/>
  <c r="A633" i="4"/>
  <c r="F632" i="4"/>
  <c r="E632" i="4"/>
  <c r="D632" i="4"/>
  <c r="C632" i="4"/>
  <c r="B632" i="4"/>
  <c r="A632" i="4"/>
  <c r="F631" i="4"/>
  <c r="E631" i="4"/>
  <c r="D631" i="4"/>
  <c r="C631" i="4"/>
  <c r="B631" i="4"/>
  <c r="A631" i="4"/>
  <c r="F630" i="4"/>
  <c r="E630" i="4"/>
  <c r="D630" i="4"/>
  <c r="C630" i="4"/>
  <c r="B630" i="4"/>
  <c r="A630" i="4"/>
  <c r="F629" i="4"/>
  <c r="E629" i="4"/>
  <c r="D629" i="4"/>
  <c r="C629" i="4"/>
  <c r="B629" i="4"/>
  <c r="A629" i="4"/>
  <c r="F628" i="4"/>
  <c r="E628" i="4"/>
  <c r="D628" i="4"/>
  <c r="C628" i="4"/>
  <c r="B628" i="4"/>
  <c r="A628" i="4"/>
  <c r="F627" i="4"/>
  <c r="E627" i="4"/>
  <c r="D627" i="4"/>
  <c r="C627" i="4"/>
  <c r="B627" i="4"/>
  <c r="A627" i="4"/>
  <c r="F626" i="4"/>
  <c r="E626" i="4"/>
  <c r="D626" i="4"/>
  <c r="C626" i="4"/>
  <c r="B626" i="4"/>
  <c r="A626" i="4"/>
  <c r="F625" i="4"/>
  <c r="E625" i="4"/>
  <c r="D625" i="4"/>
  <c r="C625" i="4"/>
  <c r="B625" i="4"/>
  <c r="A625" i="4"/>
  <c r="F624" i="4"/>
  <c r="E624" i="4"/>
  <c r="D624" i="4"/>
  <c r="C624" i="4"/>
  <c r="B624" i="4"/>
  <c r="A624" i="4"/>
  <c r="F623" i="4"/>
  <c r="E623" i="4"/>
  <c r="D623" i="4"/>
  <c r="C623" i="4"/>
  <c r="B623" i="4"/>
  <c r="A623" i="4"/>
  <c r="F622" i="4"/>
  <c r="E622" i="4"/>
  <c r="D622" i="4"/>
  <c r="C622" i="4"/>
  <c r="B622" i="4"/>
  <c r="A622" i="4"/>
  <c r="F621" i="4"/>
  <c r="E621" i="4"/>
  <c r="D621" i="4"/>
  <c r="C621" i="4"/>
  <c r="B621" i="4"/>
  <c r="A621" i="4"/>
  <c r="F620" i="4"/>
  <c r="E620" i="4"/>
  <c r="D620" i="4"/>
  <c r="C620" i="4"/>
  <c r="B620" i="4"/>
  <c r="A620" i="4"/>
  <c r="F619" i="4"/>
  <c r="E619" i="4"/>
  <c r="D619" i="4"/>
  <c r="C619" i="4"/>
  <c r="B619" i="4"/>
  <c r="A619" i="4"/>
  <c r="F618" i="4"/>
  <c r="E618" i="4"/>
  <c r="D618" i="4"/>
  <c r="C618" i="4"/>
  <c r="B618" i="4"/>
  <c r="A618" i="4"/>
  <c r="F617" i="4"/>
  <c r="E617" i="4"/>
  <c r="D617" i="4"/>
  <c r="C617" i="4"/>
  <c r="B617" i="4"/>
  <c r="A617" i="4"/>
  <c r="F616" i="4"/>
  <c r="E616" i="4"/>
  <c r="D616" i="4"/>
  <c r="C616" i="4"/>
  <c r="B616" i="4"/>
  <c r="A616" i="4"/>
  <c r="F615" i="4"/>
  <c r="E615" i="4"/>
  <c r="D615" i="4"/>
  <c r="C615" i="4"/>
  <c r="B615" i="4"/>
  <c r="A615" i="4"/>
  <c r="F614" i="4"/>
  <c r="E614" i="4"/>
  <c r="D614" i="4"/>
  <c r="C614" i="4"/>
  <c r="B614" i="4"/>
  <c r="A614" i="4"/>
  <c r="F613" i="4"/>
  <c r="E613" i="4"/>
  <c r="D613" i="4"/>
  <c r="C613" i="4"/>
  <c r="B613" i="4"/>
  <c r="A613" i="4"/>
  <c r="F612" i="4"/>
  <c r="E612" i="4"/>
  <c r="D612" i="4"/>
  <c r="C612" i="4"/>
  <c r="B612" i="4"/>
  <c r="A612" i="4"/>
  <c r="F611" i="4"/>
  <c r="E611" i="4"/>
  <c r="D611" i="4"/>
  <c r="C611" i="4"/>
  <c r="B611" i="4"/>
  <c r="A611" i="4"/>
  <c r="F610" i="4"/>
  <c r="E610" i="4"/>
  <c r="D610" i="4"/>
  <c r="C610" i="4"/>
  <c r="B610" i="4"/>
  <c r="A610" i="4"/>
  <c r="F609" i="4"/>
  <c r="E609" i="4"/>
  <c r="D609" i="4"/>
  <c r="C609" i="4"/>
  <c r="B609" i="4"/>
  <c r="A609" i="4"/>
  <c r="F608" i="4"/>
  <c r="E608" i="4"/>
  <c r="D608" i="4"/>
  <c r="C608" i="4"/>
  <c r="B608" i="4"/>
  <c r="A608" i="4"/>
  <c r="F607" i="4"/>
  <c r="E607" i="4"/>
  <c r="D607" i="4"/>
  <c r="C607" i="4"/>
  <c r="B607" i="4"/>
  <c r="A607" i="4"/>
  <c r="F606" i="4"/>
  <c r="E606" i="4"/>
  <c r="D606" i="4"/>
  <c r="C606" i="4"/>
  <c r="B606" i="4"/>
  <c r="A606" i="4"/>
  <c r="F605" i="4"/>
  <c r="E605" i="4"/>
  <c r="D605" i="4"/>
  <c r="C605" i="4"/>
  <c r="B605" i="4"/>
  <c r="A605" i="4"/>
  <c r="F604" i="4"/>
  <c r="E604" i="4"/>
  <c r="D604" i="4"/>
  <c r="C604" i="4"/>
  <c r="B604" i="4"/>
  <c r="A604" i="4"/>
  <c r="F603" i="4"/>
  <c r="E603" i="4"/>
  <c r="D603" i="4"/>
  <c r="C603" i="4"/>
  <c r="B603" i="4"/>
  <c r="A603" i="4"/>
  <c r="F602" i="4"/>
  <c r="E602" i="4"/>
  <c r="D602" i="4"/>
  <c r="C602" i="4"/>
  <c r="B602" i="4"/>
  <c r="A602" i="4"/>
  <c r="F601" i="4"/>
  <c r="E601" i="4"/>
  <c r="D601" i="4"/>
  <c r="C601" i="4"/>
  <c r="B601" i="4"/>
  <c r="A601" i="4"/>
  <c r="F600" i="4"/>
  <c r="E600" i="4"/>
  <c r="D600" i="4"/>
  <c r="C600" i="4"/>
  <c r="B600" i="4"/>
  <c r="A600" i="4"/>
  <c r="F599" i="4"/>
  <c r="E599" i="4"/>
  <c r="D599" i="4"/>
  <c r="C599" i="4"/>
  <c r="B599" i="4"/>
  <c r="A599" i="4"/>
  <c r="F598" i="4"/>
  <c r="E598" i="4"/>
  <c r="D598" i="4"/>
  <c r="C598" i="4"/>
  <c r="B598" i="4"/>
  <c r="A598" i="4"/>
  <c r="F597" i="4"/>
  <c r="E597" i="4"/>
  <c r="D597" i="4"/>
  <c r="C597" i="4"/>
  <c r="B597" i="4"/>
  <c r="A597" i="4"/>
  <c r="F596" i="4"/>
  <c r="E596" i="4"/>
  <c r="D596" i="4"/>
  <c r="C596" i="4"/>
  <c r="B596" i="4"/>
  <c r="A596" i="4"/>
  <c r="F595" i="4"/>
  <c r="E595" i="4"/>
  <c r="D595" i="4"/>
  <c r="C595" i="4"/>
  <c r="B595" i="4"/>
  <c r="A595" i="4"/>
  <c r="F594" i="4"/>
  <c r="E594" i="4"/>
  <c r="D594" i="4"/>
  <c r="C594" i="4"/>
  <c r="B594" i="4"/>
  <c r="A594" i="4"/>
  <c r="F593" i="4"/>
  <c r="E593" i="4"/>
  <c r="D593" i="4"/>
  <c r="C593" i="4"/>
  <c r="B593" i="4"/>
  <c r="A593" i="4"/>
  <c r="F592" i="4"/>
  <c r="E592" i="4"/>
  <c r="D592" i="4"/>
  <c r="C592" i="4"/>
  <c r="B592" i="4"/>
  <c r="A592" i="4"/>
  <c r="F591" i="4"/>
  <c r="E591" i="4"/>
  <c r="D591" i="4"/>
  <c r="C591" i="4"/>
  <c r="B591" i="4"/>
  <c r="A591" i="4"/>
  <c r="F590" i="4"/>
  <c r="E590" i="4"/>
  <c r="D590" i="4"/>
  <c r="C590" i="4"/>
  <c r="B590" i="4"/>
  <c r="A590" i="4"/>
  <c r="F589" i="4"/>
  <c r="E589" i="4"/>
  <c r="D589" i="4"/>
  <c r="C589" i="4"/>
  <c r="B589" i="4"/>
  <c r="A589" i="4"/>
  <c r="F588" i="4"/>
  <c r="E588" i="4"/>
  <c r="D588" i="4"/>
  <c r="C588" i="4"/>
  <c r="B588" i="4"/>
  <c r="A588" i="4"/>
  <c r="F587" i="4"/>
  <c r="E587" i="4"/>
  <c r="D587" i="4"/>
  <c r="C587" i="4"/>
  <c r="B587" i="4"/>
  <c r="A587" i="4"/>
  <c r="F586" i="4"/>
  <c r="E586" i="4"/>
  <c r="D586" i="4"/>
  <c r="C586" i="4"/>
  <c r="B586" i="4"/>
  <c r="A586" i="4"/>
  <c r="F585" i="4"/>
  <c r="E585" i="4"/>
  <c r="D585" i="4"/>
  <c r="C585" i="4"/>
  <c r="B585" i="4"/>
  <c r="A585" i="4"/>
  <c r="F584" i="4"/>
  <c r="E584" i="4"/>
  <c r="D584" i="4"/>
  <c r="C584" i="4"/>
  <c r="B584" i="4"/>
  <c r="A584" i="4"/>
  <c r="F583" i="4"/>
  <c r="E583" i="4"/>
  <c r="D583" i="4"/>
  <c r="C583" i="4"/>
  <c r="B583" i="4"/>
  <c r="A583" i="4"/>
  <c r="F582" i="4"/>
  <c r="E582" i="4"/>
  <c r="D582" i="4"/>
  <c r="C582" i="4"/>
  <c r="B582" i="4"/>
  <c r="A582" i="4"/>
  <c r="F581" i="4"/>
  <c r="E581" i="4"/>
  <c r="D581" i="4"/>
  <c r="C581" i="4"/>
  <c r="B581" i="4"/>
  <c r="A581" i="4"/>
  <c r="F580" i="4"/>
  <c r="E580" i="4"/>
  <c r="D580" i="4"/>
  <c r="C580" i="4"/>
  <c r="B580" i="4"/>
  <c r="A580" i="4"/>
  <c r="F579" i="4"/>
  <c r="E579" i="4"/>
  <c r="D579" i="4"/>
  <c r="C579" i="4"/>
  <c r="B579" i="4"/>
  <c r="A579" i="4"/>
  <c r="F578" i="4"/>
  <c r="E578" i="4"/>
  <c r="D578" i="4"/>
  <c r="C578" i="4"/>
  <c r="B578" i="4"/>
  <c r="A578" i="4"/>
  <c r="F577" i="4"/>
  <c r="E577" i="4"/>
  <c r="D577" i="4"/>
  <c r="C577" i="4"/>
  <c r="B577" i="4"/>
  <c r="A577" i="4"/>
  <c r="F576" i="4"/>
  <c r="E576" i="4"/>
  <c r="D576" i="4"/>
  <c r="C576" i="4"/>
  <c r="B576" i="4"/>
  <c r="A576" i="4"/>
  <c r="F575" i="4"/>
  <c r="E575" i="4"/>
  <c r="D575" i="4"/>
  <c r="C575" i="4"/>
  <c r="B575" i="4"/>
  <c r="A575" i="4"/>
  <c r="F574" i="4"/>
  <c r="E574" i="4"/>
  <c r="D574" i="4"/>
  <c r="C574" i="4"/>
  <c r="B574" i="4"/>
  <c r="A574" i="4"/>
  <c r="F573" i="4"/>
  <c r="E573" i="4"/>
  <c r="D573" i="4"/>
  <c r="C573" i="4"/>
  <c r="B573" i="4"/>
  <c r="A573" i="4"/>
  <c r="F572" i="4"/>
  <c r="E572" i="4"/>
  <c r="D572" i="4"/>
  <c r="C572" i="4"/>
  <c r="B572" i="4"/>
  <c r="A572" i="4"/>
  <c r="F571" i="4"/>
  <c r="E571" i="4"/>
  <c r="D571" i="4"/>
  <c r="C571" i="4"/>
  <c r="B571" i="4"/>
  <c r="A571" i="4"/>
  <c r="F570" i="4"/>
  <c r="E570" i="4"/>
  <c r="D570" i="4"/>
  <c r="C570" i="4"/>
  <c r="B570" i="4"/>
  <c r="A570" i="4"/>
  <c r="F569" i="4"/>
  <c r="E569" i="4"/>
  <c r="D569" i="4"/>
  <c r="C569" i="4"/>
  <c r="B569" i="4"/>
  <c r="A569" i="4"/>
  <c r="F568" i="4"/>
  <c r="E568" i="4"/>
  <c r="D568" i="4"/>
  <c r="C568" i="4"/>
  <c r="B568" i="4"/>
  <c r="A568" i="4"/>
  <c r="F567" i="4"/>
  <c r="E567" i="4"/>
  <c r="D567" i="4"/>
  <c r="C567" i="4"/>
  <c r="B567" i="4"/>
  <c r="A567" i="4"/>
  <c r="F566" i="4"/>
  <c r="E566" i="4"/>
  <c r="D566" i="4"/>
  <c r="C566" i="4"/>
  <c r="B566" i="4"/>
  <c r="A566" i="4"/>
  <c r="F565" i="4"/>
  <c r="E565" i="4"/>
  <c r="D565" i="4"/>
  <c r="C565" i="4"/>
  <c r="B565" i="4"/>
  <c r="A565" i="4"/>
  <c r="F564" i="4"/>
  <c r="E564" i="4"/>
  <c r="D564" i="4"/>
  <c r="C564" i="4"/>
  <c r="B564" i="4"/>
  <c r="A564" i="4"/>
  <c r="F563" i="4"/>
  <c r="E563" i="4"/>
  <c r="D563" i="4"/>
  <c r="C563" i="4"/>
  <c r="B563" i="4"/>
  <c r="A563" i="4"/>
  <c r="F562" i="4"/>
  <c r="E562" i="4"/>
  <c r="D562" i="4"/>
  <c r="C562" i="4"/>
  <c r="B562" i="4"/>
  <c r="A562" i="4"/>
  <c r="F561" i="4"/>
  <c r="E561" i="4"/>
  <c r="D561" i="4"/>
  <c r="C561" i="4"/>
  <c r="B561" i="4"/>
  <c r="A561" i="4"/>
  <c r="F560" i="4"/>
  <c r="E560" i="4"/>
  <c r="D560" i="4"/>
  <c r="C560" i="4"/>
  <c r="B560" i="4"/>
  <c r="A560" i="4"/>
  <c r="F559" i="4"/>
  <c r="E559" i="4"/>
  <c r="D559" i="4"/>
  <c r="C559" i="4"/>
  <c r="B559" i="4"/>
  <c r="A559" i="4"/>
  <c r="F558" i="4"/>
  <c r="E558" i="4"/>
  <c r="D558" i="4"/>
  <c r="C558" i="4"/>
  <c r="B558" i="4"/>
  <c r="A558" i="4"/>
  <c r="F557" i="4"/>
  <c r="E557" i="4"/>
  <c r="D557" i="4"/>
  <c r="C557" i="4"/>
  <c r="B557" i="4"/>
  <c r="A557" i="4"/>
  <c r="F556" i="4"/>
  <c r="E556" i="4"/>
  <c r="D556" i="4"/>
  <c r="C556" i="4"/>
  <c r="B556" i="4"/>
  <c r="A556" i="4"/>
  <c r="F555" i="4"/>
  <c r="E555" i="4"/>
  <c r="D555" i="4"/>
  <c r="C555" i="4"/>
  <c r="B555" i="4"/>
  <c r="A555" i="4"/>
  <c r="F554" i="4"/>
  <c r="E554" i="4"/>
  <c r="D554" i="4"/>
  <c r="C554" i="4"/>
  <c r="B554" i="4"/>
  <c r="A554" i="4"/>
  <c r="F553" i="4"/>
  <c r="E553" i="4"/>
  <c r="D553" i="4"/>
  <c r="C553" i="4"/>
  <c r="B553" i="4"/>
  <c r="A553" i="4"/>
  <c r="F552" i="4"/>
  <c r="E552" i="4"/>
  <c r="D552" i="4"/>
  <c r="C552" i="4"/>
  <c r="B552" i="4"/>
  <c r="A552" i="4"/>
  <c r="F551" i="4"/>
  <c r="E551" i="4"/>
  <c r="D551" i="4"/>
  <c r="C551" i="4"/>
  <c r="B551" i="4"/>
  <c r="A551" i="4"/>
  <c r="F550" i="4"/>
  <c r="E550" i="4"/>
  <c r="D550" i="4"/>
  <c r="C550" i="4"/>
  <c r="B550" i="4"/>
  <c r="A550" i="4"/>
  <c r="F549" i="4"/>
  <c r="E549" i="4"/>
  <c r="D549" i="4"/>
  <c r="C549" i="4"/>
  <c r="B549" i="4"/>
  <c r="A549" i="4"/>
  <c r="F548" i="4"/>
  <c r="E548" i="4"/>
  <c r="D548" i="4"/>
  <c r="C548" i="4"/>
  <c r="B548" i="4"/>
  <c r="A548" i="4"/>
  <c r="F547" i="4"/>
  <c r="E547" i="4"/>
  <c r="D547" i="4"/>
  <c r="C547" i="4"/>
  <c r="B547" i="4"/>
  <c r="A547" i="4"/>
  <c r="F546" i="4"/>
  <c r="E546" i="4"/>
  <c r="D546" i="4"/>
  <c r="C546" i="4"/>
  <c r="B546" i="4"/>
  <c r="A546" i="4"/>
  <c r="F545" i="4"/>
  <c r="E545" i="4"/>
  <c r="D545" i="4"/>
  <c r="C545" i="4"/>
  <c r="B545" i="4"/>
  <c r="A545" i="4"/>
  <c r="F544" i="4"/>
  <c r="E544" i="4"/>
  <c r="D544" i="4"/>
  <c r="C544" i="4"/>
  <c r="B544" i="4"/>
  <c r="A544" i="4"/>
  <c r="F543" i="4"/>
  <c r="E543" i="4"/>
  <c r="D543" i="4"/>
  <c r="C543" i="4"/>
  <c r="B543" i="4"/>
  <c r="A543" i="4"/>
  <c r="F542" i="4"/>
  <c r="E542" i="4"/>
  <c r="D542" i="4"/>
  <c r="C542" i="4"/>
  <c r="B542" i="4"/>
  <c r="A542" i="4"/>
  <c r="F541" i="4"/>
  <c r="E541" i="4"/>
  <c r="D541" i="4"/>
  <c r="C541" i="4"/>
  <c r="B541" i="4"/>
  <c r="A541" i="4"/>
  <c r="F540" i="4"/>
  <c r="E540" i="4"/>
  <c r="D540" i="4"/>
  <c r="C540" i="4"/>
  <c r="B540" i="4"/>
  <c r="A540" i="4"/>
  <c r="F539" i="4"/>
  <c r="E539" i="4"/>
  <c r="D539" i="4"/>
  <c r="C539" i="4"/>
  <c r="B539" i="4"/>
  <c r="A539" i="4"/>
  <c r="F538" i="4"/>
  <c r="E538" i="4"/>
  <c r="D538" i="4"/>
  <c r="C538" i="4"/>
  <c r="B538" i="4"/>
  <c r="A538" i="4"/>
  <c r="F537" i="4"/>
  <c r="E537" i="4"/>
  <c r="D537" i="4"/>
  <c r="C537" i="4"/>
  <c r="B537" i="4"/>
  <c r="A537" i="4"/>
  <c r="F536" i="4"/>
  <c r="E536" i="4"/>
  <c r="D536" i="4"/>
  <c r="C536" i="4"/>
  <c r="B536" i="4"/>
  <c r="A536" i="4"/>
  <c r="F535" i="4"/>
  <c r="E535" i="4"/>
  <c r="D535" i="4"/>
  <c r="C535" i="4"/>
  <c r="B535" i="4"/>
  <c r="A535" i="4"/>
  <c r="F534" i="4"/>
  <c r="E534" i="4"/>
  <c r="D534" i="4"/>
  <c r="C534" i="4"/>
  <c r="B534" i="4"/>
  <c r="A534" i="4"/>
  <c r="F533" i="4"/>
  <c r="E533" i="4"/>
  <c r="D533" i="4"/>
  <c r="C533" i="4"/>
  <c r="B533" i="4"/>
  <c r="A533" i="4"/>
  <c r="F532" i="4"/>
  <c r="E532" i="4"/>
  <c r="D532" i="4"/>
  <c r="C532" i="4"/>
  <c r="B532" i="4"/>
  <c r="A532" i="4"/>
  <c r="F531" i="4"/>
  <c r="E531" i="4"/>
  <c r="D531" i="4"/>
  <c r="C531" i="4"/>
  <c r="B531" i="4"/>
  <c r="A531" i="4"/>
  <c r="F530" i="4"/>
  <c r="E530" i="4"/>
  <c r="D530" i="4"/>
  <c r="C530" i="4"/>
  <c r="B530" i="4"/>
  <c r="A530" i="4"/>
  <c r="F529" i="4"/>
  <c r="E529" i="4"/>
  <c r="D529" i="4"/>
  <c r="C529" i="4"/>
  <c r="B529" i="4"/>
  <c r="A529" i="4"/>
  <c r="F528" i="4"/>
  <c r="E528" i="4"/>
  <c r="D528" i="4"/>
  <c r="C528" i="4"/>
  <c r="B528" i="4"/>
  <c r="A528" i="4"/>
  <c r="F527" i="4"/>
  <c r="E527" i="4"/>
  <c r="D527" i="4"/>
  <c r="C527" i="4"/>
  <c r="B527" i="4"/>
  <c r="A527" i="4"/>
  <c r="F526" i="4"/>
  <c r="E526" i="4"/>
  <c r="D526" i="4"/>
  <c r="C526" i="4"/>
  <c r="B526" i="4"/>
  <c r="A526" i="4"/>
  <c r="F525" i="4"/>
  <c r="E525" i="4"/>
  <c r="D525" i="4"/>
  <c r="C525" i="4"/>
  <c r="B525" i="4"/>
  <c r="A525" i="4"/>
  <c r="F524" i="4"/>
  <c r="E524" i="4"/>
  <c r="D524" i="4"/>
  <c r="C524" i="4"/>
  <c r="B524" i="4"/>
  <c r="A524" i="4"/>
  <c r="F523" i="4"/>
  <c r="E523" i="4"/>
  <c r="D523" i="4"/>
  <c r="C523" i="4"/>
  <c r="B523" i="4"/>
  <c r="A523" i="4"/>
  <c r="F522" i="4"/>
  <c r="E522" i="4"/>
  <c r="D522" i="4"/>
  <c r="C522" i="4"/>
  <c r="B522" i="4"/>
  <c r="A522" i="4"/>
  <c r="F521" i="4"/>
  <c r="E521" i="4"/>
  <c r="D521" i="4"/>
  <c r="C521" i="4"/>
  <c r="B521" i="4"/>
  <c r="A521" i="4"/>
  <c r="F520" i="4"/>
  <c r="E520" i="4"/>
  <c r="D520" i="4"/>
  <c r="C520" i="4"/>
  <c r="B520" i="4"/>
  <c r="A520" i="4"/>
  <c r="F519" i="4"/>
  <c r="E519" i="4"/>
  <c r="D519" i="4"/>
  <c r="C519" i="4"/>
  <c r="B519" i="4"/>
  <c r="A519" i="4"/>
  <c r="F518" i="4"/>
  <c r="E518" i="4"/>
  <c r="D518" i="4"/>
  <c r="C518" i="4"/>
  <c r="B518" i="4"/>
  <c r="A518" i="4"/>
  <c r="F517" i="4"/>
  <c r="E517" i="4"/>
  <c r="D517" i="4"/>
  <c r="C517" i="4"/>
  <c r="B517" i="4"/>
  <c r="A517" i="4"/>
  <c r="F516" i="4"/>
  <c r="E516" i="4"/>
  <c r="D516" i="4"/>
  <c r="C516" i="4"/>
  <c r="B516" i="4"/>
  <c r="A516" i="4"/>
  <c r="F515" i="4"/>
  <c r="E515" i="4"/>
  <c r="D515" i="4"/>
  <c r="C515" i="4"/>
  <c r="B515" i="4"/>
  <c r="A515" i="4"/>
  <c r="F514" i="4"/>
  <c r="E514" i="4"/>
  <c r="D514" i="4"/>
  <c r="C514" i="4"/>
  <c r="B514" i="4"/>
  <c r="A514" i="4"/>
  <c r="F513" i="4"/>
  <c r="E513" i="4"/>
  <c r="D513" i="4"/>
  <c r="C513" i="4"/>
  <c r="B513" i="4"/>
  <c r="A513" i="4"/>
  <c r="F512" i="4"/>
  <c r="E512" i="4"/>
  <c r="D512" i="4"/>
  <c r="C512" i="4"/>
  <c r="B512" i="4"/>
  <c r="A512" i="4"/>
  <c r="F511" i="4"/>
  <c r="E511" i="4"/>
  <c r="D511" i="4"/>
  <c r="C511" i="4"/>
  <c r="B511" i="4"/>
  <c r="A511" i="4"/>
  <c r="F510" i="4"/>
  <c r="E510" i="4"/>
  <c r="D510" i="4"/>
  <c r="C510" i="4"/>
  <c r="B510" i="4"/>
  <c r="A510" i="4"/>
  <c r="F509" i="4"/>
  <c r="E509" i="4"/>
  <c r="D509" i="4"/>
  <c r="C509" i="4"/>
  <c r="B509" i="4"/>
  <c r="A509" i="4"/>
  <c r="F508" i="4"/>
  <c r="E508" i="4"/>
  <c r="D508" i="4"/>
  <c r="C508" i="4"/>
  <c r="B508" i="4"/>
  <c r="A508" i="4"/>
  <c r="F507" i="4"/>
  <c r="E507" i="4"/>
  <c r="D507" i="4"/>
  <c r="C507" i="4"/>
  <c r="B507" i="4"/>
  <c r="A507" i="4"/>
  <c r="F506" i="4"/>
  <c r="E506" i="4"/>
  <c r="D506" i="4"/>
  <c r="C506" i="4"/>
  <c r="B506" i="4"/>
  <c r="A506" i="4"/>
  <c r="F505" i="4"/>
  <c r="E505" i="4"/>
  <c r="D505" i="4"/>
  <c r="C505" i="4"/>
  <c r="B505" i="4"/>
  <c r="A505" i="4"/>
  <c r="F504" i="4"/>
  <c r="E504" i="4"/>
  <c r="D504" i="4"/>
  <c r="C504" i="4"/>
  <c r="B504" i="4"/>
  <c r="A504" i="4"/>
  <c r="F503" i="4"/>
  <c r="E503" i="4"/>
  <c r="D503" i="4"/>
  <c r="C503" i="4"/>
  <c r="B503" i="4"/>
  <c r="A503" i="4"/>
  <c r="F502" i="4"/>
  <c r="E502" i="4"/>
  <c r="D502" i="4"/>
  <c r="C502" i="4"/>
  <c r="B502" i="4"/>
  <c r="A502" i="4"/>
  <c r="F501" i="4"/>
  <c r="E501" i="4"/>
  <c r="D501" i="4"/>
  <c r="C501" i="4"/>
  <c r="B501" i="4"/>
  <c r="A501" i="4"/>
  <c r="F500" i="4"/>
  <c r="E500" i="4"/>
  <c r="D500" i="4"/>
  <c r="C500" i="4"/>
  <c r="B500" i="4"/>
  <c r="A500" i="4"/>
  <c r="F499" i="4"/>
  <c r="E499" i="4"/>
  <c r="D499" i="4"/>
  <c r="C499" i="4"/>
  <c r="B499" i="4"/>
  <c r="A499" i="4"/>
  <c r="F498" i="4"/>
  <c r="E498" i="4"/>
  <c r="D498" i="4"/>
  <c r="C498" i="4"/>
  <c r="B498" i="4"/>
  <c r="A498" i="4"/>
  <c r="F497" i="4"/>
  <c r="E497" i="4"/>
  <c r="D497" i="4"/>
  <c r="C497" i="4"/>
  <c r="B497" i="4"/>
  <c r="A497" i="4"/>
  <c r="F496" i="4"/>
  <c r="E496" i="4"/>
  <c r="D496" i="4"/>
  <c r="C496" i="4"/>
  <c r="B496" i="4"/>
  <c r="A496" i="4"/>
  <c r="F495" i="4"/>
  <c r="E495" i="4"/>
  <c r="D495" i="4"/>
  <c r="C495" i="4"/>
  <c r="B495" i="4"/>
  <c r="A495" i="4"/>
  <c r="F494" i="4"/>
  <c r="E494" i="4"/>
  <c r="D494" i="4"/>
  <c r="C494" i="4"/>
  <c r="B494" i="4"/>
  <c r="A494" i="4"/>
  <c r="F493" i="4"/>
  <c r="E493" i="4"/>
  <c r="D493" i="4"/>
  <c r="C493" i="4"/>
  <c r="B493" i="4"/>
  <c r="A493" i="4"/>
  <c r="F492" i="4"/>
  <c r="E492" i="4"/>
  <c r="D492" i="4"/>
  <c r="C492" i="4"/>
  <c r="B492" i="4"/>
  <c r="A492" i="4"/>
  <c r="F491" i="4"/>
  <c r="E491" i="4"/>
  <c r="D491" i="4"/>
  <c r="C491" i="4"/>
  <c r="B491" i="4"/>
  <c r="A491" i="4"/>
  <c r="F490" i="4"/>
  <c r="E490" i="4"/>
  <c r="D490" i="4"/>
  <c r="C490" i="4"/>
  <c r="B490" i="4"/>
  <c r="A490" i="4"/>
  <c r="F489" i="4"/>
  <c r="E489" i="4"/>
  <c r="D489" i="4"/>
  <c r="C489" i="4"/>
  <c r="B489" i="4"/>
  <c r="A489" i="4"/>
  <c r="F488" i="4"/>
  <c r="E488" i="4"/>
  <c r="D488" i="4"/>
  <c r="C488" i="4"/>
  <c r="B488" i="4"/>
  <c r="A488" i="4"/>
  <c r="F487" i="4"/>
  <c r="E487" i="4"/>
  <c r="D487" i="4"/>
  <c r="C487" i="4"/>
  <c r="B487" i="4"/>
  <c r="A487" i="4"/>
  <c r="F486" i="4"/>
  <c r="E486" i="4"/>
  <c r="D486" i="4"/>
  <c r="C486" i="4"/>
  <c r="B486" i="4"/>
  <c r="A486" i="4"/>
  <c r="F485" i="4"/>
  <c r="E485" i="4"/>
  <c r="D485" i="4"/>
  <c r="C485" i="4"/>
  <c r="B485" i="4"/>
  <c r="A485" i="4"/>
  <c r="F484" i="4"/>
  <c r="E484" i="4"/>
  <c r="D484" i="4"/>
  <c r="C484" i="4"/>
  <c r="B484" i="4"/>
  <c r="A484" i="4"/>
  <c r="F483" i="4"/>
  <c r="E483" i="4"/>
  <c r="D483" i="4"/>
  <c r="C483" i="4"/>
  <c r="B483" i="4"/>
  <c r="A483" i="4"/>
  <c r="F482" i="4"/>
  <c r="E482" i="4"/>
  <c r="D482" i="4"/>
  <c r="C482" i="4"/>
  <c r="B482" i="4"/>
  <c r="A482" i="4"/>
  <c r="F481" i="4"/>
  <c r="E481" i="4"/>
  <c r="D481" i="4"/>
  <c r="C481" i="4"/>
  <c r="B481" i="4"/>
  <c r="A481" i="4"/>
  <c r="F480" i="4"/>
  <c r="E480" i="4"/>
  <c r="D480" i="4"/>
  <c r="C480" i="4"/>
  <c r="B480" i="4"/>
  <c r="A480" i="4"/>
  <c r="F479" i="4"/>
  <c r="E479" i="4"/>
  <c r="D479" i="4"/>
  <c r="C479" i="4"/>
  <c r="B479" i="4"/>
  <c r="A479" i="4"/>
  <c r="F478" i="4"/>
  <c r="E478" i="4"/>
  <c r="D478" i="4"/>
  <c r="C478" i="4"/>
  <c r="B478" i="4"/>
  <c r="A478" i="4"/>
  <c r="F477" i="4"/>
  <c r="E477" i="4"/>
  <c r="D477" i="4"/>
  <c r="C477" i="4"/>
  <c r="B477" i="4"/>
  <c r="A477" i="4"/>
  <c r="F476" i="4"/>
  <c r="E476" i="4"/>
  <c r="D476" i="4"/>
  <c r="C476" i="4"/>
  <c r="B476" i="4"/>
  <c r="A476" i="4"/>
  <c r="F475" i="4"/>
  <c r="E475" i="4"/>
  <c r="D475" i="4"/>
  <c r="C475" i="4"/>
  <c r="B475" i="4"/>
  <c r="A475" i="4"/>
  <c r="F474" i="4"/>
  <c r="E474" i="4"/>
  <c r="D474" i="4"/>
  <c r="C474" i="4"/>
  <c r="B474" i="4"/>
  <c r="A474" i="4"/>
  <c r="F473" i="4"/>
  <c r="E473" i="4"/>
  <c r="D473" i="4"/>
  <c r="C473" i="4"/>
  <c r="B473" i="4"/>
  <c r="A473" i="4"/>
  <c r="F472" i="4"/>
  <c r="E472" i="4"/>
  <c r="D472" i="4"/>
  <c r="C472" i="4"/>
  <c r="B472" i="4"/>
  <c r="A472" i="4"/>
  <c r="F471" i="4"/>
  <c r="E471" i="4"/>
  <c r="D471" i="4"/>
  <c r="C471" i="4"/>
  <c r="B471" i="4"/>
  <c r="A471" i="4"/>
  <c r="F470" i="4"/>
  <c r="E470" i="4"/>
  <c r="D470" i="4"/>
  <c r="C470" i="4"/>
  <c r="B470" i="4"/>
  <c r="A470" i="4"/>
  <c r="F469" i="4"/>
  <c r="E469" i="4"/>
  <c r="D469" i="4"/>
  <c r="C469" i="4"/>
  <c r="B469" i="4"/>
  <c r="A469" i="4"/>
  <c r="F468" i="4"/>
  <c r="E468" i="4"/>
  <c r="D468" i="4"/>
  <c r="C468" i="4"/>
  <c r="B468" i="4"/>
  <c r="A468" i="4"/>
  <c r="F467" i="4"/>
  <c r="E467" i="4"/>
  <c r="D467" i="4"/>
  <c r="C467" i="4"/>
  <c r="B467" i="4"/>
  <c r="A467" i="4"/>
  <c r="F466" i="4"/>
  <c r="E466" i="4"/>
  <c r="D466" i="4"/>
  <c r="C466" i="4"/>
  <c r="B466" i="4"/>
  <c r="A466" i="4"/>
  <c r="F465" i="4"/>
  <c r="E465" i="4"/>
  <c r="D465" i="4"/>
  <c r="C465" i="4"/>
  <c r="B465" i="4"/>
  <c r="A465" i="4"/>
  <c r="F464" i="4"/>
  <c r="E464" i="4"/>
  <c r="D464" i="4"/>
  <c r="C464" i="4"/>
  <c r="B464" i="4"/>
  <c r="A464" i="4"/>
  <c r="F463" i="4"/>
  <c r="E463" i="4"/>
  <c r="D463" i="4"/>
  <c r="C463" i="4"/>
  <c r="B463" i="4"/>
  <c r="A463" i="4"/>
  <c r="F462" i="4"/>
  <c r="E462" i="4"/>
  <c r="D462" i="4"/>
  <c r="C462" i="4"/>
  <c r="B462" i="4"/>
  <c r="A462" i="4"/>
  <c r="F461" i="4"/>
  <c r="E461" i="4"/>
  <c r="D461" i="4"/>
  <c r="C461" i="4"/>
  <c r="B461" i="4"/>
  <c r="A461" i="4"/>
  <c r="F460" i="4"/>
  <c r="E460" i="4"/>
  <c r="D460" i="4"/>
  <c r="C460" i="4"/>
  <c r="B460" i="4"/>
  <c r="A460" i="4"/>
  <c r="F459" i="4"/>
  <c r="E459" i="4"/>
  <c r="D459" i="4"/>
  <c r="C459" i="4"/>
  <c r="B459" i="4"/>
  <c r="A459" i="4"/>
  <c r="F458" i="4"/>
  <c r="E458" i="4"/>
  <c r="D458" i="4"/>
  <c r="C458" i="4"/>
  <c r="B458" i="4"/>
  <c r="A458" i="4"/>
  <c r="F457" i="4"/>
  <c r="E457" i="4"/>
  <c r="D457" i="4"/>
  <c r="C457" i="4"/>
  <c r="B457" i="4"/>
  <c r="A457" i="4"/>
  <c r="F456" i="4"/>
  <c r="E456" i="4"/>
  <c r="D456" i="4"/>
  <c r="C456" i="4"/>
  <c r="B456" i="4"/>
  <c r="A456" i="4"/>
  <c r="F455" i="4"/>
  <c r="E455" i="4"/>
  <c r="D455" i="4"/>
  <c r="C455" i="4"/>
  <c r="B455" i="4"/>
  <c r="A455" i="4"/>
  <c r="F454" i="4"/>
  <c r="E454" i="4"/>
  <c r="D454" i="4"/>
  <c r="C454" i="4"/>
  <c r="B454" i="4"/>
  <c r="A454" i="4"/>
  <c r="F453" i="4"/>
  <c r="E453" i="4"/>
  <c r="D453" i="4"/>
  <c r="C453" i="4"/>
  <c r="B453" i="4"/>
  <c r="A453" i="4"/>
  <c r="F452" i="4"/>
  <c r="E452" i="4"/>
  <c r="D452" i="4"/>
  <c r="C452" i="4"/>
  <c r="B452" i="4"/>
  <c r="A452" i="4"/>
  <c r="F451" i="4"/>
  <c r="E451" i="4"/>
  <c r="D451" i="4"/>
  <c r="C451" i="4"/>
  <c r="B451" i="4"/>
  <c r="A451" i="4"/>
  <c r="F450" i="4"/>
  <c r="E450" i="4"/>
  <c r="D450" i="4"/>
  <c r="C450" i="4"/>
  <c r="B450" i="4"/>
  <c r="A450" i="4"/>
  <c r="F449" i="4"/>
  <c r="E449" i="4"/>
  <c r="D449" i="4"/>
  <c r="C449" i="4"/>
  <c r="B449" i="4"/>
  <c r="A449" i="4"/>
  <c r="F448" i="4"/>
  <c r="E448" i="4"/>
  <c r="D448" i="4"/>
  <c r="C448" i="4"/>
  <c r="B448" i="4"/>
  <c r="A448" i="4"/>
  <c r="F447" i="4"/>
  <c r="E447" i="4"/>
  <c r="D447" i="4"/>
  <c r="C447" i="4"/>
  <c r="B447" i="4"/>
  <c r="A447" i="4"/>
  <c r="F446" i="4"/>
  <c r="E446" i="4"/>
  <c r="D446" i="4"/>
  <c r="C446" i="4"/>
  <c r="B446" i="4"/>
  <c r="A446" i="4"/>
  <c r="F445" i="4"/>
  <c r="E445" i="4"/>
  <c r="D445" i="4"/>
  <c r="C445" i="4"/>
  <c r="B445" i="4"/>
  <c r="A445" i="4"/>
  <c r="F444" i="4"/>
  <c r="E444" i="4"/>
  <c r="D444" i="4"/>
  <c r="C444" i="4"/>
  <c r="B444" i="4"/>
  <c r="A444" i="4"/>
  <c r="F443" i="4"/>
  <c r="E443" i="4"/>
  <c r="D443" i="4"/>
  <c r="C443" i="4"/>
  <c r="B443" i="4"/>
  <c r="A443" i="4"/>
  <c r="F442" i="4"/>
  <c r="E442" i="4"/>
  <c r="D442" i="4"/>
  <c r="C442" i="4"/>
  <c r="B442" i="4"/>
  <c r="A442" i="4"/>
  <c r="F441" i="4"/>
  <c r="E441" i="4"/>
  <c r="D441" i="4"/>
  <c r="C441" i="4"/>
  <c r="B441" i="4"/>
  <c r="A441" i="4"/>
  <c r="F440" i="4"/>
  <c r="E440" i="4"/>
  <c r="D440" i="4"/>
  <c r="C440" i="4"/>
  <c r="B440" i="4"/>
  <c r="A440" i="4"/>
  <c r="F439" i="4"/>
  <c r="E439" i="4"/>
  <c r="D439" i="4"/>
  <c r="C439" i="4"/>
  <c r="B439" i="4"/>
  <c r="A439" i="4"/>
  <c r="F438" i="4"/>
  <c r="E438" i="4"/>
  <c r="D438" i="4"/>
  <c r="C438" i="4"/>
  <c r="B438" i="4"/>
  <c r="A438" i="4"/>
  <c r="F437" i="4"/>
  <c r="E437" i="4"/>
  <c r="D437" i="4"/>
  <c r="C437" i="4"/>
  <c r="B437" i="4"/>
  <c r="A437" i="4"/>
  <c r="F436" i="4"/>
  <c r="E436" i="4"/>
  <c r="D436" i="4"/>
  <c r="C436" i="4"/>
  <c r="B436" i="4"/>
  <c r="A436" i="4"/>
  <c r="F435" i="4"/>
  <c r="E435" i="4"/>
  <c r="D435" i="4"/>
  <c r="C435" i="4"/>
  <c r="B435" i="4"/>
  <c r="A435" i="4"/>
  <c r="F434" i="4"/>
  <c r="E434" i="4"/>
  <c r="D434" i="4"/>
  <c r="C434" i="4"/>
  <c r="B434" i="4"/>
  <c r="A434" i="4"/>
  <c r="F433" i="4"/>
  <c r="E433" i="4"/>
  <c r="D433" i="4"/>
  <c r="C433" i="4"/>
  <c r="B433" i="4"/>
  <c r="A433" i="4"/>
  <c r="F432" i="4"/>
  <c r="E432" i="4"/>
  <c r="D432" i="4"/>
  <c r="C432" i="4"/>
  <c r="B432" i="4"/>
  <c r="A432" i="4"/>
  <c r="F431" i="4"/>
  <c r="E431" i="4"/>
  <c r="D431" i="4"/>
  <c r="C431" i="4"/>
  <c r="B431" i="4"/>
  <c r="A431" i="4"/>
  <c r="F430" i="4"/>
  <c r="E430" i="4"/>
  <c r="D430" i="4"/>
  <c r="C430" i="4"/>
  <c r="B430" i="4"/>
  <c r="A430" i="4"/>
  <c r="F429" i="4"/>
  <c r="E429" i="4"/>
  <c r="D429" i="4"/>
  <c r="C429" i="4"/>
  <c r="B429" i="4"/>
  <c r="A429" i="4"/>
  <c r="F428" i="4"/>
  <c r="E428" i="4"/>
  <c r="D428" i="4"/>
  <c r="C428" i="4"/>
  <c r="B428" i="4"/>
  <c r="A428" i="4"/>
  <c r="F427" i="4"/>
  <c r="E427" i="4"/>
  <c r="D427" i="4"/>
  <c r="C427" i="4"/>
  <c r="B427" i="4"/>
  <c r="A427" i="4"/>
  <c r="F426" i="4"/>
  <c r="E426" i="4"/>
  <c r="D426" i="4"/>
  <c r="C426" i="4"/>
  <c r="B426" i="4"/>
  <c r="A426" i="4"/>
  <c r="F425" i="4"/>
  <c r="E425" i="4"/>
  <c r="D425" i="4"/>
  <c r="C425" i="4"/>
  <c r="B425" i="4"/>
  <c r="A425" i="4"/>
  <c r="F424" i="4"/>
  <c r="E424" i="4"/>
  <c r="D424" i="4"/>
  <c r="C424" i="4"/>
  <c r="B424" i="4"/>
  <c r="A424" i="4"/>
  <c r="F423" i="4"/>
  <c r="E423" i="4"/>
  <c r="D423" i="4"/>
  <c r="C423" i="4"/>
  <c r="B423" i="4"/>
  <c r="A423" i="4"/>
  <c r="F422" i="4"/>
  <c r="E422" i="4"/>
  <c r="D422" i="4"/>
  <c r="C422" i="4"/>
  <c r="B422" i="4"/>
  <c r="A422" i="4"/>
  <c r="F421" i="4"/>
  <c r="E421" i="4"/>
  <c r="D421" i="4"/>
  <c r="C421" i="4"/>
  <c r="B421" i="4"/>
  <c r="A421" i="4"/>
  <c r="F420" i="4"/>
  <c r="E420" i="4"/>
  <c r="D420" i="4"/>
  <c r="C420" i="4"/>
  <c r="B420" i="4"/>
  <c r="A420" i="4"/>
  <c r="F419" i="4"/>
  <c r="E419" i="4"/>
  <c r="D419" i="4"/>
  <c r="C419" i="4"/>
  <c r="B419" i="4"/>
  <c r="A419" i="4"/>
  <c r="F418" i="4"/>
  <c r="E418" i="4"/>
  <c r="D418" i="4"/>
  <c r="C418" i="4"/>
  <c r="B418" i="4"/>
  <c r="A418" i="4"/>
  <c r="F417" i="4"/>
  <c r="E417" i="4"/>
  <c r="D417" i="4"/>
  <c r="C417" i="4"/>
  <c r="B417" i="4"/>
  <c r="A417" i="4"/>
  <c r="F416" i="4"/>
  <c r="E416" i="4"/>
  <c r="D416" i="4"/>
  <c r="C416" i="4"/>
  <c r="B416" i="4"/>
  <c r="A416" i="4"/>
  <c r="F415" i="4"/>
  <c r="E415" i="4"/>
  <c r="D415" i="4"/>
  <c r="C415" i="4"/>
  <c r="B415" i="4"/>
  <c r="A415" i="4"/>
  <c r="F414" i="4"/>
  <c r="E414" i="4"/>
  <c r="D414" i="4"/>
  <c r="C414" i="4"/>
  <c r="B414" i="4"/>
  <c r="A414" i="4"/>
  <c r="F413" i="4"/>
  <c r="E413" i="4"/>
  <c r="D413" i="4"/>
  <c r="C413" i="4"/>
  <c r="B413" i="4"/>
  <c r="A413" i="4"/>
  <c r="F412" i="4"/>
  <c r="E412" i="4"/>
  <c r="D412" i="4"/>
  <c r="C412" i="4"/>
  <c r="B412" i="4"/>
  <c r="A412" i="4"/>
  <c r="F411" i="4"/>
  <c r="E411" i="4"/>
  <c r="D411" i="4"/>
  <c r="C411" i="4"/>
  <c r="B411" i="4"/>
  <c r="A411" i="4"/>
  <c r="F410" i="4"/>
  <c r="E410" i="4"/>
  <c r="D410" i="4"/>
  <c r="C410" i="4"/>
  <c r="B410" i="4"/>
  <c r="A410" i="4"/>
  <c r="F409" i="4"/>
  <c r="E409" i="4"/>
  <c r="D409" i="4"/>
  <c r="C409" i="4"/>
  <c r="B409" i="4"/>
  <c r="A409" i="4"/>
  <c r="F408" i="4"/>
  <c r="E408" i="4"/>
  <c r="D408" i="4"/>
  <c r="C408" i="4"/>
  <c r="B408" i="4"/>
  <c r="A408" i="4"/>
  <c r="F407" i="4"/>
  <c r="E407" i="4"/>
  <c r="D407" i="4"/>
  <c r="C407" i="4"/>
  <c r="B407" i="4"/>
  <c r="A407" i="4"/>
  <c r="F406" i="4"/>
  <c r="E406" i="4"/>
  <c r="D406" i="4"/>
  <c r="C406" i="4"/>
  <c r="B406" i="4"/>
  <c r="A406" i="4"/>
  <c r="F405" i="4"/>
  <c r="E405" i="4"/>
  <c r="D405" i="4"/>
  <c r="C405" i="4"/>
  <c r="B405" i="4"/>
  <c r="A405" i="4"/>
  <c r="F404" i="4"/>
  <c r="E404" i="4"/>
  <c r="D404" i="4"/>
  <c r="C404" i="4"/>
  <c r="B404" i="4"/>
  <c r="A404" i="4"/>
  <c r="F403" i="4"/>
  <c r="E403" i="4"/>
  <c r="D403" i="4"/>
  <c r="C403" i="4"/>
  <c r="B403" i="4"/>
  <c r="A403" i="4"/>
  <c r="F402" i="4"/>
  <c r="E402" i="4"/>
  <c r="D402" i="4"/>
  <c r="C402" i="4"/>
  <c r="B402" i="4"/>
  <c r="A402" i="4"/>
  <c r="F401" i="4"/>
  <c r="E401" i="4"/>
  <c r="D401" i="4"/>
  <c r="C401" i="4"/>
  <c r="B401" i="4"/>
  <c r="A401" i="4"/>
  <c r="F400" i="4"/>
  <c r="E400" i="4"/>
  <c r="D400" i="4"/>
  <c r="C400" i="4"/>
  <c r="B400" i="4"/>
  <c r="A400" i="4"/>
  <c r="F399" i="4"/>
  <c r="E399" i="4"/>
  <c r="D399" i="4"/>
  <c r="C399" i="4"/>
  <c r="B399" i="4"/>
  <c r="A399" i="4"/>
  <c r="F398" i="4"/>
  <c r="E398" i="4"/>
  <c r="D398" i="4"/>
  <c r="C398" i="4"/>
  <c r="B398" i="4"/>
  <c r="A398" i="4"/>
  <c r="F397" i="4"/>
  <c r="E397" i="4"/>
  <c r="D397" i="4"/>
  <c r="C397" i="4"/>
  <c r="B397" i="4"/>
  <c r="A397" i="4"/>
  <c r="F396" i="4"/>
  <c r="E396" i="4"/>
  <c r="D396" i="4"/>
  <c r="C396" i="4"/>
  <c r="B396" i="4"/>
  <c r="A396" i="4"/>
  <c r="F395" i="4"/>
  <c r="E395" i="4"/>
  <c r="D395" i="4"/>
  <c r="C395" i="4"/>
  <c r="B395" i="4"/>
  <c r="A395" i="4"/>
  <c r="F394" i="4"/>
  <c r="E394" i="4"/>
  <c r="D394" i="4"/>
  <c r="C394" i="4"/>
  <c r="B394" i="4"/>
  <c r="A394" i="4"/>
  <c r="F393" i="4"/>
  <c r="E393" i="4"/>
  <c r="D393" i="4"/>
  <c r="C393" i="4"/>
  <c r="B393" i="4"/>
  <c r="A393" i="4"/>
  <c r="F392" i="4"/>
  <c r="E392" i="4"/>
  <c r="D392" i="4"/>
  <c r="C392" i="4"/>
  <c r="B392" i="4"/>
  <c r="A392" i="4"/>
  <c r="F391" i="4"/>
  <c r="E391" i="4"/>
  <c r="D391" i="4"/>
  <c r="C391" i="4"/>
  <c r="B391" i="4"/>
  <c r="A391" i="4"/>
  <c r="F390" i="4"/>
  <c r="E390" i="4"/>
  <c r="D390" i="4"/>
  <c r="C390" i="4"/>
  <c r="B390" i="4"/>
  <c r="A390" i="4"/>
  <c r="F389" i="4"/>
  <c r="E389" i="4"/>
  <c r="D389" i="4"/>
  <c r="C389" i="4"/>
  <c r="B389" i="4"/>
  <c r="A389" i="4"/>
  <c r="F388" i="4"/>
  <c r="E388" i="4"/>
  <c r="D388" i="4"/>
  <c r="C388" i="4"/>
  <c r="B388" i="4"/>
  <c r="A388" i="4"/>
  <c r="F387" i="4"/>
  <c r="E387" i="4"/>
  <c r="D387" i="4"/>
  <c r="C387" i="4"/>
  <c r="B387" i="4"/>
  <c r="A387" i="4"/>
  <c r="F386" i="4"/>
  <c r="E386" i="4"/>
  <c r="D386" i="4"/>
  <c r="C386" i="4"/>
  <c r="B386" i="4"/>
  <c r="A386" i="4"/>
  <c r="F385" i="4"/>
  <c r="E385" i="4"/>
  <c r="D385" i="4"/>
  <c r="C385" i="4"/>
  <c r="B385" i="4"/>
  <c r="A385" i="4"/>
  <c r="F384" i="4"/>
  <c r="E384" i="4"/>
  <c r="D384" i="4"/>
  <c r="C384" i="4"/>
  <c r="B384" i="4"/>
  <c r="A384" i="4"/>
  <c r="F383" i="4"/>
  <c r="E383" i="4"/>
  <c r="D383" i="4"/>
  <c r="C383" i="4"/>
  <c r="B383" i="4"/>
  <c r="A383" i="4"/>
  <c r="F382" i="4"/>
  <c r="E382" i="4"/>
  <c r="D382" i="4"/>
  <c r="C382" i="4"/>
  <c r="B382" i="4"/>
  <c r="A382" i="4"/>
  <c r="F381" i="4"/>
  <c r="E381" i="4"/>
  <c r="D381" i="4"/>
  <c r="C381" i="4"/>
  <c r="B381" i="4"/>
  <c r="A381" i="4"/>
  <c r="F380" i="4"/>
  <c r="E380" i="4"/>
  <c r="D380" i="4"/>
  <c r="C380" i="4"/>
  <c r="B380" i="4"/>
  <c r="A380" i="4"/>
  <c r="F379" i="4"/>
  <c r="E379" i="4"/>
  <c r="D379" i="4"/>
  <c r="C379" i="4"/>
  <c r="B379" i="4"/>
  <c r="A379" i="4"/>
  <c r="F378" i="4"/>
  <c r="E378" i="4"/>
  <c r="D378" i="4"/>
  <c r="C378" i="4"/>
  <c r="B378" i="4"/>
  <c r="A378" i="4"/>
  <c r="F377" i="4"/>
  <c r="E377" i="4"/>
  <c r="D377" i="4"/>
  <c r="C377" i="4"/>
  <c r="B377" i="4"/>
  <c r="A377" i="4"/>
  <c r="F376" i="4"/>
  <c r="E376" i="4"/>
  <c r="D376" i="4"/>
  <c r="C376" i="4"/>
  <c r="B376" i="4"/>
  <c r="A376" i="4"/>
  <c r="F375" i="4"/>
  <c r="E375" i="4"/>
  <c r="D375" i="4"/>
  <c r="C375" i="4"/>
  <c r="B375" i="4"/>
  <c r="A375" i="4"/>
  <c r="F374" i="4"/>
  <c r="E374" i="4"/>
  <c r="D374" i="4"/>
  <c r="C374" i="4"/>
  <c r="B374" i="4"/>
  <c r="A374" i="4"/>
  <c r="F373" i="4"/>
  <c r="E373" i="4"/>
  <c r="D373" i="4"/>
  <c r="C373" i="4"/>
  <c r="B373" i="4"/>
  <c r="A373" i="4"/>
  <c r="F372" i="4"/>
  <c r="E372" i="4"/>
  <c r="D372" i="4"/>
  <c r="C372" i="4"/>
  <c r="B372" i="4"/>
  <c r="A372" i="4"/>
  <c r="F371" i="4"/>
  <c r="E371" i="4"/>
  <c r="D371" i="4"/>
  <c r="C371" i="4"/>
  <c r="B371" i="4"/>
  <c r="A371" i="4"/>
  <c r="F370" i="4"/>
  <c r="E370" i="4"/>
  <c r="D370" i="4"/>
  <c r="C370" i="4"/>
  <c r="B370" i="4"/>
  <c r="A370" i="4"/>
  <c r="F369" i="4"/>
  <c r="E369" i="4"/>
  <c r="D369" i="4"/>
  <c r="C369" i="4"/>
  <c r="B369" i="4"/>
  <c r="A369" i="4"/>
  <c r="F368" i="4"/>
  <c r="E368" i="4"/>
  <c r="D368" i="4"/>
  <c r="C368" i="4"/>
  <c r="B368" i="4"/>
  <c r="A368" i="4"/>
  <c r="F367" i="4"/>
  <c r="E367" i="4"/>
  <c r="D367" i="4"/>
  <c r="C367" i="4"/>
  <c r="B367" i="4"/>
  <c r="A367" i="4"/>
  <c r="F366" i="4"/>
  <c r="E366" i="4"/>
  <c r="D366" i="4"/>
  <c r="C366" i="4"/>
  <c r="B366" i="4"/>
  <c r="A366" i="4"/>
  <c r="F365" i="4"/>
  <c r="E365" i="4"/>
  <c r="D365" i="4"/>
  <c r="C365" i="4"/>
  <c r="B365" i="4"/>
  <c r="A365" i="4"/>
  <c r="F364" i="4"/>
  <c r="E364" i="4"/>
  <c r="D364" i="4"/>
  <c r="C364" i="4"/>
  <c r="B364" i="4"/>
  <c r="A364" i="4"/>
  <c r="F363" i="4"/>
  <c r="E363" i="4"/>
  <c r="D363" i="4"/>
  <c r="C363" i="4"/>
  <c r="B363" i="4"/>
  <c r="A363" i="4"/>
  <c r="F362" i="4"/>
  <c r="E362" i="4"/>
  <c r="D362" i="4"/>
  <c r="C362" i="4"/>
  <c r="B362" i="4"/>
  <c r="A362" i="4"/>
  <c r="F361" i="4"/>
  <c r="E361" i="4"/>
  <c r="D361" i="4"/>
  <c r="C361" i="4"/>
  <c r="B361" i="4"/>
  <c r="A361" i="4"/>
  <c r="F360" i="4"/>
  <c r="E360" i="4"/>
  <c r="D360" i="4"/>
  <c r="C360" i="4"/>
  <c r="B360" i="4"/>
  <c r="A360" i="4"/>
  <c r="F359" i="4"/>
  <c r="E359" i="4"/>
  <c r="D359" i="4"/>
  <c r="C359" i="4"/>
  <c r="B359" i="4"/>
  <c r="A359" i="4"/>
  <c r="F358" i="4"/>
  <c r="E358" i="4"/>
  <c r="D358" i="4"/>
  <c r="C358" i="4"/>
  <c r="B358" i="4"/>
  <c r="A358" i="4"/>
  <c r="F357" i="4"/>
  <c r="E357" i="4"/>
  <c r="D357" i="4"/>
  <c r="C357" i="4"/>
  <c r="B357" i="4"/>
  <c r="A357" i="4"/>
  <c r="F356" i="4"/>
  <c r="E356" i="4"/>
  <c r="D356" i="4"/>
  <c r="C356" i="4"/>
  <c r="B356" i="4"/>
  <c r="A356" i="4"/>
  <c r="F355" i="4"/>
  <c r="E355" i="4"/>
  <c r="D355" i="4"/>
  <c r="C355" i="4"/>
  <c r="B355" i="4"/>
  <c r="A355" i="4"/>
  <c r="F354" i="4"/>
  <c r="E354" i="4"/>
  <c r="D354" i="4"/>
  <c r="C354" i="4"/>
  <c r="B354" i="4"/>
  <c r="A354" i="4"/>
  <c r="F353" i="4"/>
  <c r="E353" i="4"/>
  <c r="D353" i="4"/>
  <c r="C353" i="4"/>
  <c r="B353" i="4"/>
  <c r="A353" i="4"/>
  <c r="F352" i="4"/>
  <c r="E352" i="4"/>
  <c r="D352" i="4"/>
  <c r="C352" i="4"/>
  <c r="B352" i="4"/>
  <c r="A352" i="4"/>
  <c r="F351" i="4"/>
  <c r="E351" i="4"/>
  <c r="D351" i="4"/>
  <c r="C351" i="4"/>
  <c r="B351" i="4"/>
  <c r="A351" i="4"/>
  <c r="F350" i="4"/>
  <c r="E350" i="4"/>
  <c r="D350" i="4"/>
  <c r="C350" i="4"/>
  <c r="B350" i="4"/>
  <c r="A350" i="4"/>
  <c r="F349" i="4"/>
  <c r="E349" i="4"/>
  <c r="D349" i="4"/>
  <c r="C349" i="4"/>
  <c r="B349" i="4"/>
  <c r="A349" i="4"/>
  <c r="F348" i="4"/>
  <c r="E348" i="4"/>
  <c r="D348" i="4"/>
  <c r="C348" i="4"/>
  <c r="B348" i="4"/>
  <c r="A348" i="4"/>
  <c r="F347" i="4"/>
  <c r="E347" i="4"/>
  <c r="D347" i="4"/>
  <c r="C347" i="4"/>
  <c r="B347" i="4"/>
  <c r="A347" i="4"/>
  <c r="F346" i="4"/>
  <c r="E346" i="4"/>
  <c r="D346" i="4"/>
  <c r="C346" i="4"/>
  <c r="B346" i="4"/>
  <c r="A346" i="4"/>
  <c r="F345" i="4"/>
  <c r="E345" i="4"/>
  <c r="D345" i="4"/>
  <c r="C345" i="4"/>
  <c r="B345" i="4"/>
  <c r="A345" i="4"/>
  <c r="F344" i="4"/>
  <c r="E344" i="4"/>
  <c r="D344" i="4"/>
  <c r="C344" i="4"/>
  <c r="B344" i="4"/>
  <c r="A344" i="4"/>
  <c r="F343" i="4"/>
  <c r="E343" i="4"/>
  <c r="D343" i="4"/>
  <c r="C343" i="4"/>
  <c r="B343" i="4"/>
  <c r="A343" i="4"/>
  <c r="F342" i="4"/>
  <c r="E342" i="4"/>
  <c r="D342" i="4"/>
  <c r="C342" i="4"/>
  <c r="B342" i="4"/>
  <c r="A342" i="4"/>
  <c r="F341" i="4"/>
  <c r="E341" i="4"/>
  <c r="D341" i="4"/>
  <c r="C341" i="4"/>
  <c r="B341" i="4"/>
  <c r="A341" i="4"/>
  <c r="F340" i="4"/>
  <c r="E340" i="4"/>
  <c r="D340" i="4"/>
  <c r="C340" i="4"/>
  <c r="B340" i="4"/>
  <c r="A340" i="4"/>
  <c r="F339" i="4"/>
  <c r="E339" i="4"/>
  <c r="D339" i="4"/>
  <c r="C339" i="4"/>
  <c r="B339" i="4"/>
  <c r="A339" i="4"/>
  <c r="F338" i="4"/>
  <c r="E338" i="4"/>
  <c r="D338" i="4"/>
  <c r="C338" i="4"/>
  <c r="B338" i="4"/>
  <c r="A338" i="4"/>
  <c r="F337" i="4"/>
  <c r="E337" i="4"/>
  <c r="D337" i="4"/>
  <c r="C337" i="4"/>
  <c r="B337" i="4"/>
  <c r="A337" i="4"/>
  <c r="F336" i="4"/>
  <c r="E336" i="4"/>
  <c r="D336" i="4"/>
  <c r="C336" i="4"/>
  <c r="B336" i="4"/>
  <c r="A336" i="4"/>
  <c r="F335" i="4"/>
  <c r="E335" i="4"/>
  <c r="D335" i="4"/>
  <c r="C335" i="4"/>
  <c r="B335" i="4"/>
  <c r="A335" i="4"/>
  <c r="F334" i="4"/>
  <c r="E334" i="4"/>
  <c r="D334" i="4"/>
  <c r="C334" i="4"/>
  <c r="B334" i="4"/>
  <c r="A334" i="4"/>
  <c r="F333" i="4"/>
  <c r="E333" i="4"/>
  <c r="D333" i="4"/>
  <c r="C333" i="4"/>
  <c r="B333" i="4"/>
  <c r="A333" i="4"/>
  <c r="F332" i="4"/>
  <c r="E332" i="4"/>
  <c r="D332" i="4"/>
  <c r="C332" i="4"/>
  <c r="B332" i="4"/>
  <c r="A332" i="4"/>
  <c r="F331" i="4"/>
  <c r="E331" i="4"/>
  <c r="D331" i="4"/>
  <c r="C331" i="4"/>
  <c r="B331" i="4"/>
  <c r="A331" i="4"/>
  <c r="F330" i="4"/>
  <c r="E330" i="4"/>
  <c r="D330" i="4"/>
  <c r="C330" i="4"/>
  <c r="B330" i="4"/>
  <c r="A330" i="4"/>
  <c r="F329" i="4"/>
  <c r="E329" i="4"/>
  <c r="D329" i="4"/>
  <c r="C329" i="4"/>
  <c r="B329" i="4"/>
  <c r="A329" i="4"/>
  <c r="F328" i="4"/>
  <c r="E328" i="4"/>
  <c r="D328" i="4"/>
  <c r="C328" i="4"/>
  <c r="B328" i="4"/>
  <c r="A328" i="4"/>
  <c r="F327" i="4"/>
  <c r="E327" i="4"/>
  <c r="D327" i="4"/>
  <c r="C327" i="4"/>
  <c r="B327" i="4"/>
  <c r="A327" i="4"/>
  <c r="F326" i="4"/>
  <c r="E326" i="4"/>
  <c r="D326" i="4"/>
  <c r="C326" i="4"/>
  <c r="B326" i="4"/>
  <c r="A326" i="4"/>
  <c r="F325" i="4"/>
  <c r="E325" i="4"/>
  <c r="D325" i="4"/>
  <c r="C325" i="4"/>
  <c r="B325" i="4"/>
  <c r="A325" i="4"/>
  <c r="F324" i="4"/>
  <c r="E324" i="4"/>
  <c r="D324" i="4"/>
  <c r="C324" i="4"/>
  <c r="B324" i="4"/>
  <c r="A324" i="4"/>
  <c r="F323" i="4"/>
  <c r="E323" i="4"/>
  <c r="D323" i="4"/>
  <c r="C323" i="4"/>
  <c r="B323" i="4"/>
  <c r="A323" i="4"/>
  <c r="F322" i="4"/>
  <c r="E322" i="4"/>
  <c r="D322" i="4"/>
  <c r="C322" i="4"/>
  <c r="B322" i="4"/>
  <c r="A322" i="4"/>
  <c r="F321" i="4"/>
  <c r="E321" i="4"/>
  <c r="D321" i="4"/>
  <c r="C321" i="4"/>
  <c r="B321" i="4"/>
  <c r="A321" i="4"/>
  <c r="F320" i="4"/>
  <c r="E320" i="4"/>
  <c r="D320" i="4"/>
  <c r="C320" i="4"/>
  <c r="B320" i="4"/>
  <c r="A320" i="4"/>
  <c r="F319" i="4"/>
  <c r="E319" i="4"/>
  <c r="D319" i="4"/>
  <c r="C319" i="4"/>
  <c r="B319" i="4"/>
  <c r="A319" i="4"/>
  <c r="F318" i="4"/>
  <c r="E318" i="4"/>
  <c r="D318" i="4"/>
  <c r="C318" i="4"/>
  <c r="B318" i="4"/>
  <c r="A318" i="4"/>
  <c r="F317" i="4"/>
  <c r="E317" i="4"/>
  <c r="D317" i="4"/>
  <c r="C317" i="4"/>
  <c r="B317" i="4"/>
  <c r="A317" i="4"/>
  <c r="F316" i="4"/>
  <c r="E316" i="4"/>
  <c r="D316" i="4"/>
  <c r="C316" i="4"/>
  <c r="B316" i="4"/>
  <c r="A316" i="4"/>
  <c r="F315" i="4"/>
  <c r="E315" i="4"/>
  <c r="D315" i="4"/>
  <c r="C315" i="4"/>
  <c r="B315" i="4"/>
  <c r="A315" i="4"/>
  <c r="F314" i="4"/>
  <c r="E314" i="4"/>
  <c r="D314" i="4"/>
  <c r="C314" i="4"/>
  <c r="B314" i="4"/>
  <c r="A314" i="4"/>
  <c r="F313" i="4"/>
  <c r="E313" i="4"/>
  <c r="D313" i="4"/>
  <c r="C313" i="4"/>
  <c r="B313" i="4"/>
  <c r="A313" i="4"/>
  <c r="F312" i="4"/>
  <c r="E312" i="4"/>
  <c r="D312" i="4"/>
  <c r="C312" i="4"/>
  <c r="B312" i="4"/>
  <c r="A312" i="4"/>
  <c r="F311" i="4"/>
  <c r="E311" i="4"/>
  <c r="D311" i="4"/>
  <c r="C311" i="4"/>
  <c r="B311" i="4"/>
  <c r="A311" i="4"/>
  <c r="F310" i="4"/>
  <c r="E310" i="4"/>
  <c r="D310" i="4"/>
  <c r="C310" i="4"/>
  <c r="B310" i="4"/>
  <c r="A310" i="4"/>
  <c r="F309" i="4"/>
  <c r="E309" i="4"/>
  <c r="D309" i="4"/>
  <c r="C309" i="4"/>
  <c r="B309" i="4"/>
  <c r="A309" i="4"/>
  <c r="F308" i="4"/>
  <c r="E308" i="4"/>
  <c r="D308" i="4"/>
  <c r="C308" i="4"/>
  <c r="B308" i="4"/>
  <c r="A308" i="4"/>
  <c r="F307" i="4"/>
  <c r="E307" i="4"/>
  <c r="D307" i="4"/>
  <c r="C307" i="4"/>
  <c r="B307" i="4"/>
  <c r="A307" i="4"/>
  <c r="F306" i="4"/>
  <c r="E306" i="4"/>
  <c r="D306" i="4"/>
  <c r="C306" i="4"/>
  <c r="B306" i="4"/>
  <c r="A306" i="4"/>
  <c r="F305" i="4"/>
  <c r="E305" i="4"/>
  <c r="D305" i="4"/>
  <c r="C305" i="4"/>
  <c r="B305" i="4"/>
  <c r="A305" i="4"/>
  <c r="F304" i="4"/>
  <c r="E304" i="4"/>
  <c r="D304" i="4"/>
  <c r="C304" i="4"/>
  <c r="B304" i="4"/>
  <c r="A304" i="4"/>
  <c r="F303" i="4"/>
  <c r="E303" i="4"/>
  <c r="D303" i="4"/>
  <c r="C303" i="4"/>
  <c r="B303" i="4"/>
  <c r="A303" i="4"/>
  <c r="F302" i="4"/>
  <c r="E302" i="4"/>
  <c r="D302" i="4"/>
  <c r="C302" i="4"/>
  <c r="B302" i="4"/>
  <c r="A302" i="4"/>
  <c r="F301" i="4"/>
  <c r="E301" i="4"/>
  <c r="D301" i="4"/>
  <c r="C301" i="4"/>
  <c r="B301" i="4"/>
  <c r="A301" i="4"/>
  <c r="F300" i="4"/>
  <c r="E300" i="4"/>
  <c r="D300" i="4"/>
  <c r="C300" i="4"/>
  <c r="B300" i="4"/>
  <c r="A300" i="4"/>
  <c r="F299" i="4"/>
  <c r="E299" i="4"/>
  <c r="D299" i="4"/>
  <c r="C299" i="4"/>
  <c r="B299" i="4"/>
  <c r="A299" i="4"/>
  <c r="F298" i="4"/>
  <c r="E298" i="4"/>
  <c r="D298" i="4"/>
  <c r="C298" i="4"/>
  <c r="B298" i="4"/>
  <c r="A298" i="4"/>
  <c r="F297" i="4"/>
  <c r="E297" i="4"/>
  <c r="D297" i="4"/>
  <c r="C297" i="4"/>
  <c r="B297" i="4"/>
  <c r="A297" i="4"/>
  <c r="F296" i="4"/>
  <c r="E296" i="4"/>
  <c r="D296" i="4"/>
  <c r="C296" i="4"/>
  <c r="B296" i="4"/>
  <c r="A296" i="4"/>
  <c r="F295" i="4"/>
  <c r="E295" i="4"/>
  <c r="D295" i="4"/>
  <c r="C295" i="4"/>
  <c r="B295" i="4"/>
  <c r="A295" i="4"/>
  <c r="F294" i="4"/>
  <c r="E294" i="4"/>
  <c r="D294" i="4"/>
  <c r="C294" i="4"/>
  <c r="B294" i="4"/>
  <c r="A294" i="4"/>
  <c r="F293" i="4"/>
  <c r="E293" i="4"/>
  <c r="D293" i="4"/>
  <c r="C293" i="4"/>
  <c r="B293" i="4"/>
  <c r="A293" i="4"/>
  <c r="F292" i="4"/>
  <c r="E292" i="4"/>
  <c r="D292" i="4"/>
  <c r="C292" i="4"/>
  <c r="B292" i="4"/>
  <c r="A292" i="4"/>
  <c r="F291" i="4"/>
  <c r="E291" i="4"/>
  <c r="D291" i="4"/>
  <c r="C291" i="4"/>
  <c r="B291" i="4"/>
  <c r="A291" i="4"/>
  <c r="F290" i="4"/>
  <c r="E290" i="4"/>
  <c r="D290" i="4"/>
  <c r="C290" i="4"/>
  <c r="B290" i="4"/>
  <c r="A290" i="4"/>
  <c r="F289" i="4"/>
  <c r="E289" i="4"/>
  <c r="D289" i="4"/>
  <c r="C289" i="4"/>
  <c r="B289" i="4"/>
  <c r="A289" i="4"/>
  <c r="F288" i="4"/>
  <c r="E288" i="4"/>
  <c r="D288" i="4"/>
  <c r="C288" i="4"/>
  <c r="B288" i="4"/>
  <c r="A288" i="4"/>
  <c r="F287" i="4"/>
  <c r="E287" i="4"/>
  <c r="D287" i="4"/>
  <c r="C287" i="4"/>
  <c r="B287" i="4"/>
  <c r="A287" i="4"/>
  <c r="F286" i="4"/>
  <c r="E286" i="4"/>
  <c r="D286" i="4"/>
  <c r="C286" i="4"/>
  <c r="B286" i="4"/>
  <c r="A286" i="4"/>
  <c r="F285" i="4"/>
  <c r="E285" i="4"/>
  <c r="D285" i="4"/>
  <c r="C285" i="4"/>
  <c r="B285" i="4"/>
  <c r="A285" i="4"/>
  <c r="F284" i="4"/>
  <c r="E284" i="4"/>
  <c r="D284" i="4"/>
  <c r="C284" i="4"/>
  <c r="B284" i="4"/>
  <c r="A284" i="4"/>
  <c r="F283" i="4"/>
  <c r="E283" i="4"/>
  <c r="D283" i="4"/>
  <c r="C283" i="4"/>
  <c r="B283" i="4"/>
  <c r="A283" i="4"/>
  <c r="F282" i="4"/>
  <c r="E282" i="4"/>
  <c r="D282" i="4"/>
  <c r="C282" i="4"/>
  <c r="B282" i="4"/>
  <c r="A282" i="4"/>
  <c r="F281" i="4"/>
  <c r="E281" i="4"/>
  <c r="D281" i="4"/>
  <c r="C281" i="4"/>
  <c r="B281" i="4"/>
  <c r="A281" i="4"/>
  <c r="F280" i="4"/>
  <c r="E280" i="4"/>
  <c r="D280" i="4"/>
  <c r="C280" i="4"/>
  <c r="B280" i="4"/>
  <c r="A280" i="4"/>
  <c r="F279" i="4"/>
  <c r="E279" i="4"/>
  <c r="D279" i="4"/>
  <c r="C279" i="4"/>
  <c r="B279" i="4"/>
  <c r="A279" i="4"/>
  <c r="F278" i="4"/>
  <c r="E278" i="4"/>
  <c r="D278" i="4"/>
  <c r="C278" i="4"/>
  <c r="B278" i="4"/>
  <c r="A278" i="4"/>
  <c r="F277" i="4"/>
  <c r="E277" i="4"/>
  <c r="D277" i="4"/>
  <c r="C277" i="4"/>
  <c r="B277" i="4"/>
  <c r="A277" i="4"/>
  <c r="F276" i="4"/>
  <c r="E276" i="4"/>
  <c r="D276" i="4"/>
  <c r="C276" i="4"/>
  <c r="B276" i="4"/>
  <c r="A276" i="4"/>
  <c r="F275" i="4"/>
  <c r="E275" i="4"/>
  <c r="D275" i="4"/>
  <c r="C275" i="4"/>
  <c r="B275" i="4"/>
  <c r="A275" i="4"/>
  <c r="F274" i="4"/>
  <c r="E274" i="4"/>
  <c r="D274" i="4"/>
  <c r="C274" i="4"/>
  <c r="B274" i="4"/>
  <c r="A274" i="4"/>
  <c r="F273" i="4"/>
  <c r="E273" i="4"/>
  <c r="D273" i="4"/>
  <c r="C273" i="4"/>
  <c r="B273" i="4"/>
  <c r="A273" i="4"/>
  <c r="F272" i="4"/>
  <c r="E272" i="4"/>
  <c r="D272" i="4"/>
  <c r="C272" i="4"/>
  <c r="B272" i="4"/>
  <c r="A272" i="4"/>
  <c r="F271" i="4"/>
  <c r="E271" i="4"/>
  <c r="D271" i="4"/>
  <c r="C271" i="4"/>
  <c r="B271" i="4"/>
  <c r="A271" i="4"/>
  <c r="F270" i="4"/>
  <c r="E270" i="4"/>
  <c r="D270" i="4"/>
  <c r="C270" i="4"/>
  <c r="B270" i="4"/>
  <c r="A270" i="4"/>
  <c r="F269" i="4"/>
  <c r="E269" i="4"/>
  <c r="D269" i="4"/>
  <c r="C269" i="4"/>
  <c r="B269" i="4"/>
  <c r="A269" i="4"/>
  <c r="F268" i="4"/>
  <c r="E268" i="4"/>
  <c r="D268" i="4"/>
  <c r="C268" i="4"/>
  <c r="B268" i="4"/>
  <c r="A268" i="4"/>
  <c r="F267" i="4"/>
  <c r="E267" i="4"/>
  <c r="D267" i="4"/>
  <c r="C267" i="4"/>
  <c r="B267" i="4"/>
  <c r="A267" i="4"/>
  <c r="F266" i="4"/>
  <c r="E266" i="4"/>
  <c r="D266" i="4"/>
  <c r="C266" i="4"/>
  <c r="B266" i="4"/>
  <c r="A266" i="4"/>
  <c r="F265" i="4"/>
  <c r="E265" i="4"/>
  <c r="D265" i="4"/>
  <c r="C265" i="4"/>
  <c r="B265" i="4"/>
  <c r="A265" i="4"/>
  <c r="F264" i="4"/>
  <c r="E264" i="4"/>
  <c r="D264" i="4"/>
  <c r="C264" i="4"/>
  <c r="B264" i="4"/>
  <c r="A264" i="4"/>
  <c r="F263" i="4"/>
  <c r="E263" i="4"/>
  <c r="D263" i="4"/>
  <c r="C263" i="4"/>
  <c r="B263" i="4"/>
  <c r="A263" i="4"/>
  <c r="F262" i="4"/>
  <c r="E262" i="4"/>
  <c r="D262" i="4"/>
  <c r="C262" i="4"/>
  <c r="B262" i="4"/>
  <c r="A262" i="4"/>
  <c r="F261" i="4"/>
  <c r="E261" i="4"/>
  <c r="D261" i="4"/>
  <c r="C261" i="4"/>
  <c r="B261" i="4"/>
  <c r="A261" i="4"/>
  <c r="F260" i="4"/>
  <c r="E260" i="4"/>
  <c r="D260" i="4"/>
  <c r="C260" i="4"/>
  <c r="B260" i="4"/>
  <c r="A260" i="4"/>
  <c r="F259" i="4"/>
  <c r="E259" i="4"/>
  <c r="D259" i="4"/>
  <c r="C259" i="4"/>
  <c r="B259" i="4"/>
  <c r="A259" i="4"/>
  <c r="F258" i="4"/>
  <c r="E258" i="4"/>
  <c r="D258" i="4"/>
  <c r="C258" i="4"/>
  <c r="B258" i="4"/>
  <c r="A258" i="4"/>
  <c r="F257" i="4"/>
  <c r="E257" i="4"/>
  <c r="D257" i="4"/>
  <c r="C257" i="4"/>
  <c r="B257" i="4"/>
  <c r="A257" i="4"/>
  <c r="F256" i="4"/>
  <c r="E256" i="4"/>
  <c r="D256" i="4"/>
  <c r="C256" i="4"/>
  <c r="B256" i="4"/>
  <c r="A256" i="4"/>
  <c r="F255" i="4"/>
  <c r="E255" i="4"/>
  <c r="D255" i="4"/>
  <c r="C255" i="4"/>
  <c r="B255" i="4"/>
  <c r="A255" i="4"/>
  <c r="F254" i="4"/>
  <c r="E254" i="4"/>
  <c r="D254" i="4"/>
  <c r="C254" i="4"/>
  <c r="B254" i="4"/>
  <c r="A254" i="4"/>
  <c r="F253" i="4"/>
  <c r="E253" i="4"/>
  <c r="D253" i="4"/>
  <c r="C253" i="4"/>
  <c r="B253" i="4"/>
  <c r="A253" i="4"/>
  <c r="F252" i="4"/>
  <c r="E252" i="4"/>
  <c r="D252" i="4"/>
  <c r="C252" i="4"/>
  <c r="B252" i="4"/>
  <c r="A252" i="4"/>
  <c r="F251" i="4"/>
  <c r="E251" i="4"/>
  <c r="D251" i="4"/>
  <c r="C251" i="4"/>
  <c r="B251" i="4"/>
  <c r="A251" i="4"/>
  <c r="F250" i="4"/>
  <c r="E250" i="4"/>
  <c r="D250" i="4"/>
  <c r="C250" i="4"/>
  <c r="B250" i="4"/>
  <c r="A250" i="4"/>
  <c r="F249" i="4"/>
  <c r="E249" i="4"/>
  <c r="D249" i="4"/>
  <c r="C249" i="4"/>
  <c r="B249" i="4"/>
  <c r="A249" i="4"/>
  <c r="F248" i="4"/>
  <c r="E248" i="4"/>
  <c r="D248" i="4"/>
  <c r="C248" i="4"/>
  <c r="B248" i="4"/>
  <c r="A248" i="4"/>
  <c r="F247" i="4"/>
  <c r="E247" i="4"/>
  <c r="D247" i="4"/>
  <c r="C247" i="4"/>
  <c r="B247" i="4"/>
  <c r="A247" i="4"/>
  <c r="F246" i="4"/>
  <c r="E246" i="4"/>
  <c r="D246" i="4"/>
  <c r="C246" i="4"/>
  <c r="B246" i="4"/>
  <c r="A246" i="4"/>
  <c r="F245" i="4"/>
  <c r="E245" i="4"/>
  <c r="D245" i="4"/>
  <c r="C245" i="4"/>
  <c r="B245" i="4"/>
  <c r="A245" i="4"/>
  <c r="F244" i="4"/>
  <c r="E244" i="4"/>
  <c r="D244" i="4"/>
  <c r="C244" i="4"/>
  <c r="B244" i="4"/>
  <c r="A244" i="4"/>
  <c r="F243" i="4"/>
  <c r="E243" i="4"/>
  <c r="D243" i="4"/>
  <c r="C243" i="4"/>
  <c r="B243" i="4"/>
  <c r="A243" i="4"/>
  <c r="F242" i="4"/>
  <c r="E242" i="4"/>
  <c r="D242" i="4"/>
  <c r="C242" i="4"/>
  <c r="B242" i="4"/>
  <c r="A242" i="4"/>
  <c r="F241" i="4"/>
  <c r="E241" i="4"/>
  <c r="D241" i="4"/>
  <c r="C241" i="4"/>
  <c r="B241" i="4"/>
  <c r="A241" i="4"/>
  <c r="F240" i="4"/>
  <c r="E240" i="4"/>
  <c r="D240" i="4"/>
  <c r="C240" i="4"/>
  <c r="B240" i="4"/>
  <c r="A240" i="4"/>
  <c r="F239" i="4"/>
  <c r="E239" i="4"/>
  <c r="D239" i="4"/>
  <c r="C239" i="4"/>
  <c r="B239" i="4"/>
  <c r="A239" i="4"/>
  <c r="F238" i="4"/>
  <c r="E238" i="4"/>
  <c r="D238" i="4"/>
  <c r="C238" i="4"/>
  <c r="B238" i="4"/>
  <c r="A238" i="4"/>
  <c r="F237" i="4"/>
  <c r="E237" i="4"/>
  <c r="D237" i="4"/>
  <c r="C237" i="4"/>
  <c r="B237" i="4"/>
  <c r="A237" i="4"/>
  <c r="F236" i="4"/>
  <c r="E236" i="4"/>
  <c r="D236" i="4"/>
  <c r="C236" i="4"/>
  <c r="B236" i="4"/>
  <c r="A236" i="4"/>
  <c r="F235" i="4"/>
  <c r="E235" i="4"/>
  <c r="D235" i="4"/>
  <c r="C235" i="4"/>
  <c r="B235" i="4"/>
  <c r="A235" i="4"/>
  <c r="F234" i="4"/>
  <c r="E234" i="4"/>
  <c r="D234" i="4"/>
  <c r="C234" i="4"/>
  <c r="B234" i="4"/>
  <c r="A234" i="4"/>
  <c r="F233" i="4"/>
  <c r="E233" i="4"/>
  <c r="D233" i="4"/>
  <c r="C233" i="4"/>
  <c r="B233" i="4"/>
  <c r="A233" i="4"/>
  <c r="F232" i="4"/>
  <c r="E232" i="4"/>
  <c r="D232" i="4"/>
  <c r="C232" i="4"/>
  <c r="B232" i="4"/>
  <c r="A232" i="4"/>
  <c r="F231" i="4"/>
  <c r="E231" i="4"/>
  <c r="D231" i="4"/>
  <c r="C231" i="4"/>
  <c r="B231" i="4"/>
  <c r="A231" i="4"/>
  <c r="F230" i="4"/>
  <c r="E230" i="4"/>
  <c r="D230" i="4"/>
  <c r="C230" i="4"/>
  <c r="B230" i="4"/>
  <c r="A230" i="4"/>
  <c r="F229" i="4"/>
  <c r="E229" i="4"/>
  <c r="D229" i="4"/>
  <c r="C229" i="4"/>
  <c r="B229" i="4"/>
  <c r="A229" i="4"/>
  <c r="F228" i="4"/>
  <c r="E228" i="4"/>
  <c r="D228" i="4"/>
  <c r="C228" i="4"/>
  <c r="B228" i="4"/>
  <c r="A228" i="4"/>
  <c r="F227" i="4"/>
  <c r="E227" i="4"/>
  <c r="D227" i="4"/>
  <c r="C227" i="4"/>
  <c r="B227" i="4"/>
  <c r="A227" i="4"/>
  <c r="F226" i="4"/>
  <c r="E226" i="4"/>
  <c r="D226" i="4"/>
  <c r="C226" i="4"/>
  <c r="B226" i="4"/>
  <c r="A226" i="4"/>
  <c r="F225" i="4"/>
  <c r="E225" i="4"/>
  <c r="D225" i="4"/>
  <c r="C225" i="4"/>
  <c r="B225" i="4"/>
  <c r="A225" i="4"/>
  <c r="F224" i="4"/>
  <c r="E224" i="4"/>
  <c r="D224" i="4"/>
  <c r="C224" i="4"/>
  <c r="B224" i="4"/>
  <c r="A224" i="4"/>
  <c r="F223" i="4"/>
  <c r="E223" i="4"/>
  <c r="D223" i="4"/>
  <c r="C223" i="4"/>
  <c r="B223" i="4"/>
  <c r="A223" i="4"/>
  <c r="F222" i="4"/>
  <c r="E222" i="4"/>
  <c r="D222" i="4"/>
  <c r="C222" i="4"/>
  <c r="B222" i="4"/>
  <c r="A222" i="4"/>
  <c r="F221" i="4"/>
  <c r="E221" i="4"/>
  <c r="D221" i="4"/>
  <c r="C221" i="4"/>
  <c r="B221" i="4"/>
  <c r="A221" i="4"/>
  <c r="F220" i="4"/>
  <c r="E220" i="4"/>
  <c r="D220" i="4"/>
  <c r="C220" i="4"/>
  <c r="B220" i="4"/>
  <c r="A220" i="4"/>
  <c r="F219" i="4"/>
  <c r="E219" i="4"/>
  <c r="D219" i="4"/>
  <c r="C219" i="4"/>
  <c r="B219" i="4"/>
  <c r="A219" i="4"/>
  <c r="F218" i="4"/>
  <c r="E218" i="4"/>
  <c r="D218" i="4"/>
  <c r="C218" i="4"/>
  <c r="B218" i="4"/>
  <c r="A218" i="4"/>
  <c r="F217" i="4"/>
  <c r="E217" i="4"/>
  <c r="D217" i="4"/>
  <c r="C217" i="4"/>
  <c r="B217" i="4"/>
  <c r="A217" i="4"/>
  <c r="F216" i="4"/>
  <c r="E216" i="4"/>
  <c r="D216" i="4"/>
  <c r="C216" i="4"/>
  <c r="B216" i="4"/>
  <c r="A216" i="4"/>
  <c r="F215" i="4"/>
  <c r="E215" i="4"/>
  <c r="D215" i="4"/>
  <c r="C215" i="4"/>
  <c r="B215" i="4"/>
  <c r="A215" i="4"/>
  <c r="F214" i="4"/>
  <c r="E214" i="4"/>
  <c r="D214" i="4"/>
  <c r="C214" i="4"/>
  <c r="B214" i="4"/>
  <c r="A214" i="4"/>
  <c r="F213" i="4"/>
  <c r="E213" i="4"/>
  <c r="D213" i="4"/>
  <c r="C213" i="4"/>
  <c r="B213" i="4"/>
  <c r="A213" i="4"/>
  <c r="F212" i="4"/>
  <c r="E212" i="4"/>
  <c r="D212" i="4"/>
  <c r="C212" i="4"/>
  <c r="B212" i="4"/>
  <c r="A212" i="4"/>
  <c r="F211" i="4"/>
  <c r="E211" i="4"/>
  <c r="D211" i="4"/>
  <c r="C211" i="4"/>
  <c r="B211" i="4"/>
  <c r="A211" i="4"/>
  <c r="F210" i="4"/>
  <c r="E210" i="4"/>
  <c r="D210" i="4"/>
  <c r="C210" i="4"/>
  <c r="B210" i="4"/>
  <c r="A210" i="4"/>
  <c r="F209" i="4"/>
  <c r="E209" i="4"/>
  <c r="D209" i="4"/>
  <c r="C209" i="4"/>
  <c r="B209" i="4"/>
  <c r="A209" i="4"/>
  <c r="F208" i="4"/>
  <c r="E208" i="4"/>
  <c r="D208" i="4"/>
  <c r="C208" i="4"/>
  <c r="B208" i="4"/>
  <c r="A208" i="4"/>
  <c r="F207" i="4"/>
  <c r="E207" i="4"/>
  <c r="D207" i="4"/>
  <c r="C207" i="4"/>
  <c r="B207" i="4"/>
  <c r="A207" i="4"/>
  <c r="F206" i="4"/>
  <c r="E206" i="4"/>
  <c r="D206" i="4"/>
  <c r="C206" i="4"/>
  <c r="B206" i="4"/>
  <c r="A206" i="4"/>
  <c r="F205" i="4"/>
  <c r="E205" i="4"/>
  <c r="D205" i="4"/>
  <c r="C205" i="4"/>
  <c r="B205" i="4"/>
  <c r="A205" i="4"/>
  <c r="F204" i="4"/>
  <c r="E204" i="4"/>
  <c r="D204" i="4"/>
  <c r="C204" i="4"/>
  <c r="B204" i="4"/>
  <c r="A204" i="4"/>
  <c r="F203" i="4"/>
  <c r="E203" i="4"/>
  <c r="D203" i="4"/>
  <c r="C203" i="4"/>
  <c r="B203" i="4"/>
  <c r="A203" i="4"/>
  <c r="F202" i="4"/>
  <c r="E202" i="4"/>
  <c r="D202" i="4"/>
  <c r="C202" i="4"/>
  <c r="B202" i="4"/>
  <c r="A202" i="4"/>
  <c r="F201" i="4"/>
  <c r="E201" i="4"/>
  <c r="D201" i="4"/>
  <c r="C201" i="4"/>
  <c r="B201" i="4"/>
  <c r="A201" i="4"/>
  <c r="F200" i="4"/>
  <c r="E200" i="4"/>
  <c r="D200" i="4"/>
  <c r="C200" i="4"/>
  <c r="B200" i="4"/>
  <c r="A200" i="4"/>
  <c r="F199" i="4"/>
  <c r="E199" i="4"/>
  <c r="D199" i="4"/>
  <c r="C199" i="4"/>
  <c r="B199" i="4"/>
  <c r="A199" i="4"/>
  <c r="F198" i="4"/>
  <c r="E198" i="4"/>
  <c r="D198" i="4"/>
  <c r="C198" i="4"/>
  <c r="B198" i="4"/>
  <c r="A198" i="4"/>
  <c r="F197" i="4"/>
  <c r="E197" i="4"/>
  <c r="D197" i="4"/>
  <c r="C197" i="4"/>
  <c r="B197" i="4"/>
  <c r="A197" i="4"/>
  <c r="F196" i="4"/>
  <c r="E196" i="4"/>
  <c r="D196" i="4"/>
  <c r="C196" i="4"/>
  <c r="B196" i="4"/>
  <c r="A196" i="4"/>
  <c r="F195" i="4"/>
  <c r="E195" i="4"/>
  <c r="D195" i="4"/>
  <c r="C195" i="4"/>
  <c r="B195" i="4"/>
  <c r="A195" i="4"/>
  <c r="F194" i="4"/>
  <c r="E194" i="4"/>
  <c r="D194" i="4"/>
  <c r="C194" i="4"/>
  <c r="B194" i="4"/>
  <c r="A194" i="4"/>
  <c r="F193" i="4"/>
  <c r="E193" i="4"/>
  <c r="D193" i="4"/>
  <c r="C193" i="4"/>
  <c r="B193" i="4"/>
  <c r="A193" i="4"/>
  <c r="F192" i="4"/>
  <c r="E192" i="4"/>
  <c r="D192" i="4"/>
  <c r="C192" i="4"/>
  <c r="B192" i="4"/>
  <c r="A192" i="4"/>
  <c r="F191" i="4"/>
  <c r="E191" i="4"/>
  <c r="D191" i="4"/>
  <c r="C191" i="4"/>
  <c r="B191" i="4"/>
  <c r="A191" i="4"/>
  <c r="F190" i="4"/>
  <c r="E190" i="4"/>
  <c r="D190" i="4"/>
  <c r="C190" i="4"/>
  <c r="B190" i="4"/>
  <c r="A190" i="4"/>
  <c r="F189" i="4"/>
  <c r="E189" i="4"/>
  <c r="D189" i="4"/>
  <c r="C189" i="4"/>
  <c r="B189" i="4"/>
  <c r="A189" i="4"/>
  <c r="F188" i="4"/>
  <c r="E188" i="4"/>
  <c r="D188" i="4"/>
  <c r="C188" i="4"/>
  <c r="B188" i="4"/>
  <c r="A188" i="4"/>
  <c r="F187" i="4"/>
  <c r="E187" i="4"/>
  <c r="D187" i="4"/>
  <c r="C187" i="4"/>
  <c r="B187" i="4"/>
  <c r="A187" i="4"/>
  <c r="F186" i="4"/>
  <c r="E186" i="4"/>
  <c r="D186" i="4"/>
  <c r="C186" i="4"/>
  <c r="B186" i="4"/>
  <c r="A186" i="4"/>
  <c r="F185" i="4"/>
  <c r="E185" i="4"/>
  <c r="D185" i="4"/>
  <c r="C185" i="4"/>
  <c r="B185" i="4"/>
  <c r="A185" i="4"/>
  <c r="F184" i="4"/>
  <c r="E184" i="4"/>
  <c r="D184" i="4"/>
  <c r="C184" i="4"/>
  <c r="B184" i="4"/>
  <c r="A184" i="4"/>
  <c r="F183" i="4"/>
  <c r="E183" i="4"/>
  <c r="D183" i="4"/>
  <c r="C183" i="4"/>
  <c r="B183" i="4"/>
  <c r="A183" i="4"/>
  <c r="F182" i="4"/>
  <c r="E182" i="4"/>
  <c r="D182" i="4"/>
  <c r="C182" i="4"/>
  <c r="B182" i="4"/>
  <c r="A182" i="4"/>
  <c r="F181" i="4"/>
  <c r="E181" i="4"/>
  <c r="D181" i="4"/>
  <c r="C181" i="4"/>
  <c r="B181" i="4"/>
  <c r="A181" i="4"/>
  <c r="F180" i="4"/>
  <c r="E180" i="4"/>
  <c r="D180" i="4"/>
  <c r="C180" i="4"/>
  <c r="B180" i="4"/>
  <c r="A180" i="4"/>
  <c r="F179" i="4"/>
  <c r="E179" i="4"/>
  <c r="D179" i="4"/>
  <c r="C179" i="4"/>
  <c r="B179" i="4"/>
  <c r="A179" i="4"/>
  <c r="F178" i="4"/>
  <c r="E178" i="4"/>
  <c r="D178" i="4"/>
  <c r="C178" i="4"/>
  <c r="B178" i="4"/>
  <c r="A178" i="4"/>
  <c r="F177" i="4"/>
  <c r="E177" i="4"/>
  <c r="D177" i="4"/>
  <c r="C177" i="4"/>
  <c r="B177" i="4"/>
  <c r="A177" i="4"/>
  <c r="F176" i="4"/>
  <c r="E176" i="4"/>
  <c r="D176" i="4"/>
  <c r="C176" i="4"/>
  <c r="B176" i="4"/>
  <c r="A176" i="4"/>
  <c r="F175" i="4"/>
  <c r="E175" i="4"/>
  <c r="D175" i="4"/>
  <c r="C175" i="4"/>
  <c r="B175" i="4"/>
  <c r="A175" i="4"/>
  <c r="F174" i="4"/>
  <c r="E174" i="4"/>
  <c r="D174" i="4"/>
  <c r="C174" i="4"/>
  <c r="B174" i="4"/>
  <c r="A174" i="4"/>
  <c r="F173" i="4"/>
  <c r="E173" i="4"/>
  <c r="D173" i="4"/>
  <c r="C173" i="4"/>
  <c r="B173" i="4"/>
  <c r="A173" i="4"/>
  <c r="F172" i="4"/>
  <c r="E172" i="4"/>
  <c r="D172" i="4"/>
  <c r="C172" i="4"/>
  <c r="B172" i="4"/>
  <c r="A172" i="4"/>
  <c r="F171" i="4"/>
  <c r="E171" i="4"/>
  <c r="D171" i="4"/>
  <c r="C171" i="4"/>
  <c r="B171" i="4"/>
  <c r="A171" i="4"/>
  <c r="F170" i="4"/>
  <c r="E170" i="4"/>
  <c r="D170" i="4"/>
  <c r="C170" i="4"/>
  <c r="B170" i="4"/>
  <c r="A170" i="4"/>
  <c r="F169" i="4"/>
  <c r="E169" i="4"/>
  <c r="D169" i="4"/>
  <c r="C169" i="4"/>
  <c r="B169" i="4"/>
  <c r="A169" i="4"/>
  <c r="F168" i="4"/>
  <c r="E168" i="4"/>
  <c r="D168" i="4"/>
  <c r="C168" i="4"/>
  <c r="B168" i="4"/>
  <c r="A168" i="4"/>
  <c r="F167" i="4"/>
  <c r="E167" i="4"/>
  <c r="D167" i="4"/>
  <c r="C167" i="4"/>
  <c r="B167" i="4"/>
  <c r="A167" i="4"/>
  <c r="F166" i="4"/>
  <c r="E166" i="4"/>
  <c r="D166" i="4"/>
  <c r="C166" i="4"/>
  <c r="B166" i="4"/>
  <c r="A166" i="4"/>
  <c r="F165" i="4"/>
  <c r="E165" i="4"/>
  <c r="D165" i="4"/>
  <c r="C165" i="4"/>
  <c r="B165" i="4"/>
  <c r="A165" i="4"/>
  <c r="F164" i="4"/>
  <c r="E164" i="4"/>
  <c r="D164" i="4"/>
  <c r="C164" i="4"/>
  <c r="B164" i="4"/>
  <c r="A164" i="4"/>
  <c r="F163" i="4"/>
  <c r="E163" i="4"/>
  <c r="D163" i="4"/>
  <c r="C163" i="4"/>
  <c r="B163" i="4"/>
  <c r="A163" i="4"/>
  <c r="F162" i="4"/>
  <c r="E162" i="4"/>
  <c r="D162" i="4"/>
  <c r="C162" i="4"/>
  <c r="B162" i="4"/>
  <c r="A162" i="4"/>
  <c r="F161" i="4"/>
  <c r="E161" i="4"/>
  <c r="D161" i="4"/>
  <c r="C161" i="4"/>
  <c r="B161" i="4"/>
  <c r="A161" i="4"/>
  <c r="F160" i="4"/>
  <c r="E160" i="4"/>
  <c r="D160" i="4"/>
  <c r="C160" i="4"/>
  <c r="B160" i="4"/>
  <c r="A160" i="4"/>
  <c r="F159" i="4"/>
  <c r="E159" i="4"/>
  <c r="D159" i="4"/>
  <c r="C159" i="4"/>
  <c r="B159" i="4"/>
  <c r="A159" i="4"/>
  <c r="F158" i="4"/>
  <c r="E158" i="4"/>
  <c r="D158" i="4"/>
  <c r="C158" i="4"/>
  <c r="B158" i="4"/>
  <c r="A158" i="4"/>
  <c r="F157" i="4"/>
  <c r="E157" i="4"/>
  <c r="D157" i="4"/>
  <c r="C157" i="4"/>
  <c r="B157" i="4"/>
  <c r="A157" i="4"/>
  <c r="F156" i="4"/>
  <c r="E156" i="4"/>
  <c r="D156" i="4"/>
  <c r="C156" i="4"/>
  <c r="B156" i="4"/>
  <c r="A156" i="4"/>
  <c r="F155" i="4"/>
  <c r="E155" i="4"/>
  <c r="D155" i="4"/>
  <c r="C155" i="4"/>
  <c r="B155" i="4"/>
  <c r="A155" i="4"/>
  <c r="F154" i="4"/>
  <c r="E154" i="4"/>
  <c r="D154" i="4"/>
  <c r="C154" i="4"/>
  <c r="B154" i="4"/>
  <c r="A154" i="4"/>
  <c r="F153" i="4"/>
  <c r="E153" i="4"/>
  <c r="D153" i="4"/>
  <c r="C153" i="4"/>
  <c r="B153" i="4"/>
  <c r="A153" i="4"/>
  <c r="F152" i="4"/>
  <c r="E152" i="4"/>
  <c r="D152" i="4"/>
  <c r="C152" i="4"/>
  <c r="B152" i="4"/>
  <c r="A152" i="4"/>
  <c r="F151" i="4"/>
  <c r="E151" i="4"/>
  <c r="D151" i="4"/>
  <c r="C151" i="4"/>
  <c r="B151" i="4"/>
  <c r="A151" i="4"/>
  <c r="F150" i="4"/>
  <c r="E150" i="4"/>
  <c r="D150" i="4"/>
  <c r="C150" i="4"/>
  <c r="B150" i="4"/>
  <c r="A150" i="4"/>
  <c r="F149" i="4"/>
  <c r="E149" i="4"/>
  <c r="D149" i="4"/>
  <c r="C149" i="4"/>
  <c r="B149" i="4"/>
  <c r="A149" i="4"/>
  <c r="F148" i="4"/>
  <c r="E148" i="4"/>
  <c r="D148" i="4"/>
  <c r="C148" i="4"/>
  <c r="B148" i="4"/>
  <c r="A148" i="4"/>
  <c r="F147" i="4"/>
  <c r="E147" i="4"/>
  <c r="D147" i="4"/>
  <c r="C147" i="4"/>
  <c r="B147" i="4"/>
  <c r="A147" i="4"/>
  <c r="F146" i="4"/>
  <c r="E146" i="4"/>
  <c r="D146" i="4"/>
  <c r="C146" i="4"/>
  <c r="B146" i="4"/>
  <c r="A146" i="4"/>
  <c r="F145" i="4"/>
  <c r="E145" i="4"/>
  <c r="D145" i="4"/>
  <c r="C145" i="4"/>
  <c r="B145" i="4"/>
  <c r="A145" i="4"/>
  <c r="F144" i="4"/>
  <c r="E144" i="4"/>
  <c r="D144" i="4"/>
  <c r="C144" i="4"/>
  <c r="B144" i="4"/>
  <c r="A144" i="4"/>
  <c r="F143" i="4"/>
  <c r="E143" i="4"/>
  <c r="D143" i="4"/>
  <c r="C143" i="4"/>
  <c r="B143" i="4"/>
  <c r="A143" i="4"/>
  <c r="F142" i="4"/>
  <c r="E142" i="4"/>
  <c r="D142" i="4"/>
  <c r="C142" i="4"/>
  <c r="B142" i="4"/>
  <c r="A142" i="4"/>
  <c r="F141" i="4"/>
  <c r="E141" i="4"/>
  <c r="D141" i="4"/>
  <c r="C141" i="4"/>
  <c r="B141" i="4"/>
  <c r="A141" i="4"/>
  <c r="F140" i="4"/>
  <c r="E140" i="4"/>
  <c r="D140" i="4"/>
  <c r="C140" i="4"/>
  <c r="B140" i="4"/>
  <c r="A140" i="4"/>
  <c r="F139" i="4"/>
  <c r="E139" i="4"/>
  <c r="D139" i="4"/>
  <c r="C139" i="4"/>
  <c r="B139" i="4"/>
  <c r="A139" i="4"/>
  <c r="F138" i="4"/>
  <c r="E138" i="4"/>
  <c r="D138" i="4"/>
  <c r="C138" i="4"/>
  <c r="B138" i="4"/>
  <c r="A138" i="4"/>
  <c r="F137" i="4"/>
  <c r="E137" i="4"/>
  <c r="D137" i="4"/>
  <c r="C137" i="4"/>
  <c r="B137" i="4"/>
  <c r="A137" i="4"/>
  <c r="F136" i="4"/>
  <c r="E136" i="4"/>
  <c r="D136" i="4"/>
  <c r="C136" i="4"/>
  <c r="B136" i="4"/>
  <c r="A136" i="4"/>
  <c r="F135" i="4"/>
  <c r="E135" i="4"/>
  <c r="D135" i="4"/>
  <c r="C135" i="4"/>
  <c r="B135" i="4"/>
  <c r="A135" i="4"/>
  <c r="F134" i="4"/>
  <c r="E134" i="4"/>
  <c r="D134" i="4"/>
  <c r="C134" i="4"/>
  <c r="B134" i="4"/>
  <c r="A134" i="4"/>
  <c r="F133" i="4"/>
  <c r="E133" i="4"/>
  <c r="D133" i="4"/>
  <c r="C133" i="4"/>
  <c r="B133" i="4"/>
  <c r="A133" i="4"/>
  <c r="F132" i="4"/>
  <c r="E132" i="4"/>
  <c r="D132" i="4"/>
  <c r="C132" i="4"/>
  <c r="B132" i="4"/>
  <c r="A132" i="4"/>
  <c r="F131" i="4"/>
  <c r="E131" i="4"/>
  <c r="D131" i="4"/>
  <c r="C131" i="4"/>
  <c r="B131" i="4"/>
  <c r="A131" i="4"/>
  <c r="F130" i="4"/>
  <c r="E130" i="4"/>
  <c r="D130" i="4"/>
  <c r="C130" i="4"/>
  <c r="B130" i="4"/>
  <c r="A130" i="4"/>
  <c r="F129" i="4"/>
  <c r="E129" i="4"/>
  <c r="D129" i="4"/>
  <c r="C129" i="4"/>
  <c r="B129" i="4"/>
  <c r="A129" i="4"/>
  <c r="F128" i="4"/>
  <c r="E128" i="4"/>
  <c r="D128" i="4"/>
  <c r="C128" i="4"/>
  <c r="B128" i="4"/>
  <c r="A128" i="4"/>
  <c r="F127" i="4"/>
  <c r="E127" i="4"/>
  <c r="D127" i="4"/>
  <c r="C127" i="4"/>
  <c r="B127" i="4"/>
  <c r="A127" i="4"/>
  <c r="F126" i="4"/>
  <c r="E126" i="4"/>
  <c r="D126" i="4"/>
  <c r="C126" i="4"/>
  <c r="B126" i="4"/>
  <c r="A126" i="4"/>
  <c r="F125" i="4"/>
  <c r="E125" i="4"/>
  <c r="D125" i="4"/>
  <c r="C125" i="4"/>
  <c r="B125" i="4"/>
  <c r="A125" i="4"/>
  <c r="F124" i="4"/>
  <c r="E124" i="4"/>
  <c r="D124" i="4"/>
  <c r="C124" i="4"/>
  <c r="B124" i="4"/>
  <c r="A124" i="4"/>
  <c r="F123" i="4"/>
  <c r="E123" i="4"/>
  <c r="D123" i="4"/>
  <c r="C123" i="4"/>
  <c r="B123" i="4"/>
  <c r="A123" i="4"/>
  <c r="F122" i="4"/>
  <c r="E122" i="4"/>
  <c r="D122" i="4"/>
  <c r="C122" i="4"/>
  <c r="B122" i="4"/>
  <c r="A122" i="4"/>
  <c r="F121" i="4"/>
  <c r="E121" i="4"/>
  <c r="D121" i="4"/>
  <c r="C121" i="4"/>
  <c r="B121" i="4"/>
  <c r="A121" i="4"/>
  <c r="F120" i="4"/>
  <c r="E120" i="4"/>
  <c r="D120" i="4"/>
  <c r="C120" i="4"/>
  <c r="B120" i="4"/>
  <c r="A120" i="4"/>
  <c r="F119" i="4"/>
  <c r="E119" i="4"/>
  <c r="D119" i="4"/>
  <c r="C119" i="4"/>
  <c r="B119" i="4"/>
  <c r="A119" i="4"/>
  <c r="F118" i="4"/>
  <c r="E118" i="4"/>
  <c r="D118" i="4"/>
  <c r="C118" i="4"/>
  <c r="B118" i="4"/>
  <c r="A118" i="4"/>
  <c r="F117" i="4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F887" i="3"/>
  <c r="E887" i="3"/>
  <c r="D887" i="3"/>
  <c r="C887" i="3"/>
  <c r="B887" i="3"/>
  <c r="A887" i="3"/>
  <c r="F886" i="3"/>
  <c r="E886" i="3"/>
  <c r="D886" i="3"/>
  <c r="C886" i="3"/>
  <c r="B886" i="3"/>
  <c r="A886" i="3"/>
  <c r="F885" i="3"/>
  <c r="E885" i="3"/>
  <c r="D885" i="3"/>
  <c r="C885" i="3"/>
  <c r="B885" i="3"/>
  <c r="A885" i="3"/>
  <c r="F884" i="3"/>
  <c r="E884" i="3"/>
  <c r="D884" i="3"/>
  <c r="C884" i="3"/>
  <c r="B884" i="3"/>
  <c r="A884" i="3"/>
  <c r="F883" i="3"/>
  <c r="E883" i="3"/>
  <c r="D883" i="3"/>
  <c r="C883" i="3"/>
  <c r="B883" i="3"/>
  <c r="A883" i="3"/>
  <c r="F882" i="3"/>
  <c r="E882" i="3"/>
  <c r="D882" i="3"/>
  <c r="C882" i="3"/>
  <c r="B882" i="3"/>
  <c r="A882" i="3"/>
  <c r="F881" i="3"/>
  <c r="E881" i="3"/>
  <c r="D881" i="3"/>
  <c r="C881" i="3"/>
  <c r="B881" i="3"/>
  <c r="A881" i="3"/>
  <c r="F880" i="3"/>
  <c r="E880" i="3"/>
  <c r="D880" i="3"/>
  <c r="C880" i="3"/>
  <c r="B880" i="3"/>
  <c r="A880" i="3"/>
  <c r="F879" i="3"/>
  <c r="E879" i="3"/>
  <c r="D879" i="3"/>
  <c r="C879" i="3"/>
  <c r="B879" i="3"/>
  <c r="A879" i="3"/>
  <c r="F878" i="3"/>
  <c r="E878" i="3"/>
  <c r="D878" i="3"/>
  <c r="C878" i="3"/>
  <c r="B878" i="3"/>
  <c r="A878" i="3"/>
  <c r="F877" i="3"/>
  <c r="E877" i="3"/>
  <c r="D877" i="3"/>
  <c r="C877" i="3"/>
  <c r="B877" i="3"/>
  <c r="A877" i="3"/>
  <c r="F876" i="3"/>
  <c r="E876" i="3"/>
  <c r="D876" i="3"/>
  <c r="C876" i="3"/>
  <c r="B876" i="3"/>
  <c r="A876" i="3"/>
  <c r="F875" i="3"/>
  <c r="E875" i="3"/>
  <c r="D875" i="3"/>
  <c r="C875" i="3"/>
  <c r="B875" i="3"/>
  <c r="A875" i="3"/>
  <c r="F874" i="3"/>
  <c r="E874" i="3"/>
  <c r="D874" i="3"/>
  <c r="C874" i="3"/>
  <c r="B874" i="3"/>
  <c r="A874" i="3"/>
  <c r="F873" i="3"/>
  <c r="E873" i="3"/>
  <c r="D873" i="3"/>
  <c r="C873" i="3"/>
  <c r="B873" i="3"/>
  <c r="A873" i="3"/>
  <c r="F872" i="3"/>
  <c r="E872" i="3"/>
  <c r="D872" i="3"/>
  <c r="C872" i="3"/>
  <c r="B872" i="3"/>
  <c r="A872" i="3"/>
  <c r="F871" i="3"/>
  <c r="E871" i="3"/>
  <c r="D871" i="3"/>
  <c r="C871" i="3"/>
  <c r="B871" i="3"/>
  <c r="A871" i="3"/>
  <c r="F870" i="3"/>
  <c r="E870" i="3"/>
  <c r="D870" i="3"/>
  <c r="C870" i="3"/>
  <c r="B870" i="3"/>
  <c r="A870" i="3"/>
  <c r="F869" i="3"/>
  <c r="E869" i="3"/>
  <c r="D869" i="3"/>
  <c r="C869" i="3"/>
  <c r="B869" i="3"/>
  <c r="A869" i="3"/>
  <c r="F868" i="3"/>
  <c r="E868" i="3"/>
  <c r="D868" i="3"/>
  <c r="C868" i="3"/>
  <c r="B868" i="3"/>
  <c r="A868" i="3"/>
  <c r="F867" i="3"/>
  <c r="E867" i="3"/>
  <c r="D867" i="3"/>
  <c r="C867" i="3"/>
  <c r="B867" i="3"/>
  <c r="A867" i="3"/>
  <c r="F866" i="3"/>
  <c r="E866" i="3"/>
  <c r="D866" i="3"/>
  <c r="C866" i="3"/>
  <c r="B866" i="3"/>
  <c r="A866" i="3"/>
  <c r="F865" i="3"/>
  <c r="E865" i="3"/>
  <c r="D865" i="3"/>
  <c r="C865" i="3"/>
  <c r="B865" i="3"/>
  <c r="A865" i="3"/>
  <c r="F864" i="3"/>
  <c r="E864" i="3"/>
  <c r="D864" i="3"/>
  <c r="C864" i="3"/>
  <c r="B864" i="3"/>
  <c r="A864" i="3"/>
  <c r="F863" i="3"/>
  <c r="E863" i="3"/>
  <c r="D863" i="3"/>
  <c r="C863" i="3"/>
  <c r="B863" i="3"/>
  <c r="A863" i="3"/>
  <c r="F862" i="3"/>
  <c r="E862" i="3"/>
  <c r="D862" i="3"/>
  <c r="C862" i="3"/>
  <c r="B862" i="3"/>
  <c r="A862" i="3"/>
  <c r="F861" i="3"/>
  <c r="E861" i="3"/>
  <c r="D861" i="3"/>
  <c r="C861" i="3"/>
  <c r="B861" i="3"/>
  <c r="A861" i="3"/>
  <c r="F860" i="3"/>
  <c r="E860" i="3"/>
  <c r="D860" i="3"/>
  <c r="C860" i="3"/>
  <c r="B860" i="3"/>
  <c r="A860" i="3"/>
  <c r="F859" i="3"/>
  <c r="E859" i="3"/>
  <c r="D859" i="3"/>
  <c r="C859" i="3"/>
  <c r="B859" i="3"/>
  <c r="A859" i="3"/>
  <c r="F858" i="3"/>
  <c r="E858" i="3"/>
  <c r="D858" i="3"/>
  <c r="C858" i="3"/>
  <c r="B858" i="3"/>
  <c r="A858" i="3"/>
  <c r="F857" i="3"/>
  <c r="E857" i="3"/>
  <c r="D857" i="3"/>
  <c r="C857" i="3"/>
  <c r="B857" i="3"/>
  <c r="A857" i="3"/>
  <c r="F856" i="3"/>
  <c r="E856" i="3"/>
  <c r="D856" i="3"/>
  <c r="C856" i="3"/>
  <c r="B856" i="3"/>
  <c r="A856" i="3"/>
  <c r="F855" i="3"/>
  <c r="E855" i="3"/>
  <c r="D855" i="3"/>
  <c r="C855" i="3"/>
  <c r="B855" i="3"/>
  <c r="A855" i="3"/>
  <c r="F854" i="3"/>
  <c r="E854" i="3"/>
  <c r="D854" i="3"/>
  <c r="C854" i="3"/>
  <c r="B854" i="3"/>
  <c r="A854" i="3"/>
  <c r="F853" i="3"/>
  <c r="E853" i="3"/>
  <c r="D853" i="3"/>
  <c r="C853" i="3"/>
  <c r="B853" i="3"/>
  <c r="A853" i="3"/>
  <c r="F852" i="3"/>
  <c r="E852" i="3"/>
  <c r="D852" i="3"/>
  <c r="C852" i="3"/>
  <c r="B852" i="3"/>
  <c r="A852" i="3"/>
  <c r="F851" i="3"/>
  <c r="E851" i="3"/>
  <c r="D851" i="3"/>
  <c r="C851" i="3"/>
  <c r="B851" i="3"/>
  <c r="A851" i="3"/>
  <c r="F850" i="3"/>
  <c r="E850" i="3"/>
  <c r="D850" i="3"/>
  <c r="C850" i="3"/>
  <c r="B850" i="3"/>
  <c r="A850" i="3"/>
  <c r="F849" i="3"/>
  <c r="E849" i="3"/>
  <c r="D849" i="3"/>
  <c r="C849" i="3"/>
  <c r="B849" i="3"/>
  <c r="A849" i="3"/>
  <c r="F848" i="3"/>
  <c r="E848" i="3"/>
  <c r="D848" i="3"/>
  <c r="C848" i="3"/>
  <c r="B848" i="3"/>
  <c r="A848" i="3"/>
  <c r="F847" i="3"/>
  <c r="E847" i="3"/>
  <c r="D847" i="3"/>
  <c r="C847" i="3"/>
  <c r="B847" i="3"/>
  <c r="A847" i="3"/>
  <c r="F846" i="3"/>
  <c r="E846" i="3"/>
  <c r="D846" i="3"/>
  <c r="C846" i="3"/>
  <c r="B846" i="3"/>
  <c r="A846" i="3"/>
  <c r="F845" i="3"/>
  <c r="E845" i="3"/>
  <c r="D845" i="3"/>
  <c r="C845" i="3"/>
  <c r="B845" i="3"/>
  <c r="A845" i="3"/>
  <c r="F844" i="3"/>
  <c r="E844" i="3"/>
  <c r="D844" i="3"/>
  <c r="C844" i="3"/>
  <c r="B844" i="3"/>
  <c r="A844" i="3"/>
  <c r="F843" i="3"/>
  <c r="E843" i="3"/>
  <c r="D843" i="3"/>
  <c r="C843" i="3"/>
  <c r="B843" i="3"/>
  <c r="A843" i="3"/>
  <c r="F842" i="3"/>
  <c r="E842" i="3"/>
  <c r="D842" i="3"/>
  <c r="C842" i="3"/>
  <c r="B842" i="3"/>
  <c r="A842" i="3"/>
  <c r="F841" i="3"/>
  <c r="E841" i="3"/>
  <c r="D841" i="3"/>
  <c r="C841" i="3"/>
  <c r="B841" i="3"/>
  <c r="A841" i="3"/>
  <c r="F840" i="3"/>
  <c r="E840" i="3"/>
  <c r="D840" i="3"/>
  <c r="C840" i="3"/>
  <c r="B840" i="3"/>
  <c r="A840" i="3"/>
  <c r="F839" i="3"/>
  <c r="E839" i="3"/>
  <c r="D839" i="3"/>
  <c r="C839" i="3"/>
  <c r="B839" i="3"/>
  <c r="A839" i="3"/>
  <c r="F838" i="3"/>
  <c r="E838" i="3"/>
  <c r="D838" i="3"/>
  <c r="C838" i="3"/>
  <c r="B838" i="3"/>
  <c r="A838" i="3"/>
  <c r="F837" i="3"/>
  <c r="E837" i="3"/>
  <c r="D837" i="3"/>
  <c r="C837" i="3"/>
  <c r="B837" i="3"/>
  <c r="A837" i="3"/>
  <c r="F836" i="3"/>
  <c r="E836" i="3"/>
  <c r="D836" i="3"/>
  <c r="C836" i="3"/>
  <c r="B836" i="3"/>
  <c r="A836" i="3"/>
  <c r="F835" i="3"/>
  <c r="E835" i="3"/>
  <c r="D835" i="3"/>
  <c r="C835" i="3"/>
  <c r="B835" i="3"/>
  <c r="A835" i="3"/>
  <c r="F834" i="3"/>
  <c r="E834" i="3"/>
  <c r="D834" i="3"/>
  <c r="C834" i="3"/>
  <c r="B834" i="3"/>
  <c r="A834" i="3"/>
  <c r="F833" i="3"/>
  <c r="E833" i="3"/>
  <c r="D833" i="3"/>
  <c r="C833" i="3"/>
  <c r="B833" i="3"/>
  <c r="A833" i="3"/>
  <c r="F832" i="3"/>
  <c r="E832" i="3"/>
  <c r="D832" i="3"/>
  <c r="C832" i="3"/>
  <c r="B832" i="3"/>
  <c r="A832" i="3"/>
  <c r="F831" i="3"/>
  <c r="E831" i="3"/>
  <c r="D831" i="3"/>
  <c r="C831" i="3"/>
  <c r="B831" i="3"/>
  <c r="A831" i="3"/>
  <c r="F830" i="3"/>
  <c r="E830" i="3"/>
  <c r="D830" i="3"/>
  <c r="C830" i="3"/>
  <c r="B830" i="3"/>
  <c r="A830" i="3"/>
  <c r="F829" i="3"/>
  <c r="E829" i="3"/>
  <c r="D829" i="3"/>
  <c r="C829" i="3"/>
  <c r="B829" i="3"/>
  <c r="A829" i="3"/>
  <c r="F828" i="3"/>
  <c r="E828" i="3"/>
  <c r="D828" i="3"/>
  <c r="C828" i="3"/>
  <c r="B828" i="3"/>
  <c r="A828" i="3"/>
  <c r="F827" i="3"/>
  <c r="E827" i="3"/>
  <c r="D827" i="3"/>
  <c r="C827" i="3"/>
  <c r="B827" i="3"/>
  <c r="A827" i="3"/>
  <c r="F826" i="3"/>
  <c r="E826" i="3"/>
  <c r="D826" i="3"/>
  <c r="C826" i="3"/>
  <c r="B826" i="3"/>
  <c r="A826" i="3"/>
  <c r="F825" i="3"/>
  <c r="E825" i="3"/>
  <c r="D825" i="3"/>
  <c r="C825" i="3"/>
  <c r="B825" i="3"/>
  <c r="A825" i="3"/>
  <c r="F824" i="3"/>
  <c r="E824" i="3"/>
  <c r="D824" i="3"/>
  <c r="C824" i="3"/>
  <c r="B824" i="3"/>
  <c r="A824" i="3"/>
  <c r="F823" i="3"/>
  <c r="E823" i="3"/>
  <c r="D823" i="3"/>
  <c r="C823" i="3"/>
  <c r="B823" i="3"/>
  <c r="A823" i="3"/>
  <c r="F822" i="3"/>
  <c r="E822" i="3"/>
  <c r="D822" i="3"/>
  <c r="C822" i="3"/>
  <c r="B822" i="3"/>
  <c r="A822" i="3"/>
  <c r="F821" i="3"/>
  <c r="E821" i="3"/>
  <c r="D821" i="3"/>
  <c r="C821" i="3"/>
  <c r="B821" i="3"/>
  <c r="A821" i="3"/>
  <c r="F820" i="3"/>
  <c r="E820" i="3"/>
  <c r="D820" i="3"/>
  <c r="C820" i="3"/>
  <c r="B820" i="3"/>
  <c r="A820" i="3"/>
  <c r="F819" i="3"/>
  <c r="E819" i="3"/>
  <c r="D819" i="3"/>
  <c r="C819" i="3"/>
  <c r="B819" i="3"/>
  <c r="A819" i="3"/>
  <c r="F818" i="3"/>
  <c r="E818" i="3"/>
  <c r="D818" i="3"/>
  <c r="C818" i="3"/>
  <c r="B818" i="3"/>
  <c r="A818" i="3"/>
  <c r="F817" i="3"/>
  <c r="E817" i="3"/>
  <c r="D817" i="3"/>
  <c r="C817" i="3"/>
  <c r="B817" i="3"/>
  <c r="A817" i="3"/>
  <c r="F816" i="3"/>
  <c r="E816" i="3"/>
  <c r="D816" i="3"/>
  <c r="C816" i="3"/>
  <c r="B816" i="3"/>
  <c r="A816" i="3"/>
  <c r="F815" i="3"/>
  <c r="E815" i="3"/>
  <c r="D815" i="3"/>
  <c r="C815" i="3"/>
  <c r="B815" i="3"/>
  <c r="A815" i="3"/>
  <c r="F814" i="3"/>
  <c r="E814" i="3"/>
  <c r="D814" i="3"/>
  <c r="C814" i="3"/>
  <c r="B814" i="3"/>
  <c r="A814" i="3"/>
  <c r="F813" i="3"/>
  <c r="E813" i="3"/>
  <c r="D813" i="3"/>
  <c r="C813" i="3"/>
  <c r="B813" i="3"/>
  <c r="A813" i="3"/>
  <c r="F812" i="3"/>
  <c r="E812" i="3"/>
  <c r="D812" i="3"/>
  <c r="C812" i="3"/>
  <c r="B812" i="3"/>
  <c r="A812" i="3"/>
  <c r="F811" i="3"/>
  <c r="E811" i="3"/>
  <c r="D811" i="3"/>
  <c r="C811" i="3"/>
  <c r="B811" i="3"/>
  <c r="A811" i="3"/>
  <c r="F810" i="3"/>
  <c r="E810" i="3"/>
  <c r="D810" i="3"/>
  <c r="C810" i="3"/>
  <c r="B810" i="3"/>
  <c r="A810" i="3"/>
  <c r="F809" i="3"/>
  <c r="E809" i="3"/>
  <c r="D809" i="3"/>
  <c r="C809" i="3"/>
  <c r="B809" i="3"/>
  <c r="A809" i="3"/>
  <c r="F808" i="3"/>
  <c r="E808" i="3"/>
  <c r="D808" i="3"/>
  <c r="C808" i="3"/>
  <c r="B808" i="3"/>
  <c r="A808" i="3"/>
  <c r="F807" i="3"/>
  <c r="E807" i="3"/>
  <c r="D807" i="3"/>
  <c r="C807" i="3"/>
  <c r="B807" i="3"/>
  <c r="A807" i="3"/>
  <c r="F806" i="3"/>
  <c r="E806" i="3"/>
  <c r="D806" i="3"/>
  <c r="C806" i="3"/>
  <c r="B806" i="3"/>
  <c r="A806" i="3"/>
  <c r="F805" i="3"/>
  <c r="E805" i="3"/>
  <c r="D805" i="3"/>
  <c r="C805" i="3"/>
  <c r="B805" i="3"/>
  <c r="A805" i="3"/>
  <c r="F804" i="3"/>
  <c r="E804" i="3"/>
  <c r="D804" i="3"/>
  <c r="C804" i="3"/>
  <c r="B804" i="3"/>
  <c r="A804" i="3"/>
  <c r="F803" i="3"/>
  <c r="E803" i="3"/>
  <c r="D803" i="3"/>
  <c r="C803" i="3"/>
  <c r="B803" i="3"/>
  <c r="A803" i="3"/>
  <c r="F802" i="3"/>
  <c r="E802" i="3"/>
  <c r="D802" i="3"/>
  <c r="C802" i="3"/>
  <c r="B802" i="3"/>
  <c r="A802" i="3"/>
  <c r="F801" i="3"/>
  <c r="E801" i="3"/>
  <c r="D801" i="3"/>
  <c r="C801" i="3"/>
  <c r="B801" i="3"/>
  <c r="A801" i="3"/>
  <c r="F800" i="3"/>
  <c r="E800" i="3"/>
  <c r="D800" i="3"/>
  <c r="C800" i="3"/>
  <c r="B800" i="3"/>
  <c r="A800" i="3"/>
  <c r="F799" i="3"/>
  <c r="E799" i="3"/>
  <c r="D799" i="3"/>
  <c r="C799" i="3"/>
  <c r="B799" i="3"/>
  <c r="A799" i="3"/>
  <c r="F798" i="3"/>
  <c r="E798" i="3"/>
  <c r="D798" i="3"/>
  <c r="C798" i="3"/>
  <c r="B798" i="3"/>
  <c r="A798" i="3"/>
  <c r="F797" i="3"/>
  <c r="E797" i="3"/>
  <c r="D797" i="3"/>
  <c r="C797" i="3"/>
  <c r="B797" i="3"/>
  <c r="A797" i="3"/>
  <c r="F796" i="3"/>
  <c r="E796" i="3"/>
  <c r="D796" i="3"/>
  <c r="C796" i="3"/>
  <c r="B796" i="3"/>
  <c r="A796" i="3"/>
  <c r="F795" i="3"/>
  <c r="E795" i="3"/>
  <c r="D795" i="3"/>
  <c r="C795" i="3"/>
  <c r="B795" i="3"/>
  <c r="A795" i="3"/>
  <c r="F794" i="3"/>
  <c r="E794" i="3"/>
  <c r="D794" i="3"/>
  <c r="C794" i="3"/>
  <c r="B794" i="3"/>
  <c r="A794" i="3"/>
  <c r="F793" i="3"/>
  <c r="E793" i="3"/>
  <c r="D793" i="3"/>
  <c r="C793" i="3"/>
  <c r="B793" i="3"/>
  <c r="A793" i="3"/>
  <c r="F792" i="3"/>
  <c r="E792" i="3"/>
  <c r="D792" i="3"/>
  <c r="C792" i="3"/>
  <c r="B792" i="3"/>
  <c r="A792" i="3"/>
  <c r="F791" i="3"/>
  <c r="E791" i="3"/>
  <c r="D791" i="3"/>
  <c r="C791" i="3"/>
  <c r="B791" i="3"/>
  <c r="A791" i="3"/>
  <c r="F790" i="3"/>
  <c r="E790" i="3"/>
  <c r="D790" i="3"/>
  <c r="C790" i="3"/>
  <c r="B790" i="3"/>
  <c r="A790" i="3"/>
  <c r="F789" i="3"/>
  <c r="E789" i="3"/>
  <c r="D789" i="3"/>
  <c r="C789" i="3"/>
  <c r="B789" i="3"/>
  <c r="A789" i="3"/>
  <c r="F788" i="3"/>
  <c r="E788" i="3"/>
  <c r="D788" i="3"/>
  <c r="C788" i="3"/>
  <c r="B788" i="3"/>
  <c r="A788" i="3"/>
  <c r="F787" i="3"/>
  <c r="E787" i="3"/>
  <c r="D787" i="3"/>
  <c r="C787" i="3"/>
  <c r="B787" i="3"/>
  <c r="A787" i="3"/>
  <c r="F786" i="3"/>
  <c r="E786" i="3"/>
  <c r="D786" i="3"/>
  <c r="C786" i="3"/>
  <c r="B786" i="3"/>
  <c r="A786" i="3"/>
  <c r="F785" i="3"/>
  <c r="E785" i="3"/>
  <c r="D785" i="3"/>
  <c r="C785" i="3"/>
  <c r="B785" i="3"/>
  <c r="A785" i="3"/>
  <c r="F784" i="3"/>
  <c r="E784" i="3"/>
  <c r="D784" i="3"/>
  <c r="C784" i="3"/>
  <c r="B784" i="3"/>
  <c r="A784" i="3"/>
  <c r="F783" i="3"/>
  <c r="E783" i="3"/>
  <c r="D783" i="3"/>
  <c r="C783" i="3"/>
  <c r="B783" i="3"/>
  <c r="A783" i="3"/>
  <c r="F782" i="3"/>
  <c r="E782" i="3"/>
  <c r="D782" i="3"/>
  <c r="C782" i="3"/>
  <c r="B782" i="3"/>
  <c r="A782" i="3"/>
  <c r="F781" i="3"/>
  <c r="E781" i="3"/>
  <c r="D781" i="3"/>
  <c r="C781" i="3"/>
  <c r="B781" i="3"/>
  <c r="A781" i="3"/>
  <c r="F780" i="3"/>
  <c r="E780" i="3"/>
  <c r="D780" i="3"/>
  <c r="C780" i="3"/>
  <c r="B780" i="3"/>
  <c r="A780" i="3"/>
  <c r="F779" i="3"/>
  <c r="E779" i="3"/>
  <c r="D779" i="3"/>
  <c r="C779" i="3"/>
  <c r="B779" i="3"/>
  <c r="A779" i="3"/>
  <c r="F778" i="3"/>
  <c r="E778" i="3"/>
  <c r="D778" i="3"/>
  <c r="C778" i="3"/>
  <c r="B778" i="3"/>
  <c r="A778" i="3"/>
  <c r="F777" i="3"/>
  <c r="E777" i="3"/>
  <c r="D777" i="3"/>
  <c r="C777" i="3"/>
  <c r="B777" i="3"/>
  <c r="A777" i="3"/>
  <c r="F776" i="3"/>
  <c r="E776" i="3"/>
  <c r="D776" i="3"/>
  <c r="C776" i="3"/>
  <c r="B776" i="3"/>
  <c r="A776" i="3"/>
  <c r="F775" i="3"/>
  <c r="E775" i="3"/>
  <c r="D775" i="3"/>
  <c r="C775" i="3"/>
  <c r="B775" i="3"/>
  <c r="A775" i="3"/>
  <c r="F774" i="3"/>
  <c r="E774" i="3"/>
  <c r="D774" i="3"/>
  <c r="C774" i="3"/>
  <c r="B774" i="3"/>
  <c r="A774" i="3"/>
  <c r="F773" i="3"/>
  <c r="E773" i="3"/>
  <c r="D773" i="3"/>
  <c r="C773" i="3"/>
  <c r="B773" i="3"/>
  <c r="A773" i="3"/>
  <c r="F772" i="3"/>
  <c r="E772" i="3"/>
  <c r="D772" i="3"/>
  <c r="C772" i="3"/>
  <c r="B772" i="3"/>
  <c r="A772" i="3"/>
  <c r="F771" i="3"/>
  <c r="E771" i="3"/>
  <c r="D771" i="3"/>
  <c r="C771" i="3"/>
  <c r="B771" i="3"/>
  <c r="A771" i="3"/>
  <c r="F770" i="3"/>
  <c r="E770" i="3"/>
  <c r="D770" i="3"/>
  <c r="C770" i="3"/>
  <c r="B770" i="3"/>
  <c r="A770" i="3"/>
  <c r="F769" i="3"/>
  <c r="E769" i="3"/>
  <c r="D769" i="3"/>
  <c r="C769" i="3"/>
  <c r="B769" i="3"/>
  <c r="A769" i="3"/>
  <c r="F768" i="3"/>
  <c r="E768" i="3"/>
  <c r="D768" i="3"/>
  <c r="C768" i="3"/>
  <c r="B768" i="3"/>
  <c r="A768" i="3"/>
  <c r="F767" i="3"/>
  <c r="E767" i="3"/>
  <c r="D767" i="3"/>
  <c r="C767" i="3"/>
  <c r="B767" i="3"/>
  <c r="A767" i="3"/>
  <c r="F766" i="3"/>
  <c r="E766" i="3"/>
  <c r="D766" i="3"/>
  <c r="C766" i="3"/>
  <c r="B766" i="3"/>
  <c r="A766" i="3"/>
  <c r="F765" i="3"/>
  <c r="E765" i="3"/>
  <c r="D765" i="3"/>
  <c r="C765" i="3"/>
  <c r="B765" i="3"/>
  <c r="A765" i="3"/>
  <c r="F764" i="3"/>
  <c r="E764" i="3"/>
  <c r="D764" i="3"/>
  <c r="C764" i="3"/>
  <c r="B764" i="3"/>
  <c r="A764" i="3"/>
  <c r="F763" i="3"/>
  <c r="E763" i="3"/>
  <c r="D763" i="3"/>
  <c r="C763" i="3"/>
  <c r="B763" i="3"/>
  <c r="A763" i="3"/>
  <c r="F762" i="3"/>
  <c r="E762" i="3"/>
  <c r="D762" i="3"/>
  <c r="C762" i="3"/>
  <c r="B762" i="3"/>
  <c r="A762" i="3"/>
  <c r="F761" i="3"/>
  <c r="E761" i="3"/>
  <c r="D761" i="3"/>
  <c r="C761" i="3"/>
  <c r="B761" i="3"/>
  <c r="A761" i="3"/>
  <c r="F760" i="3"/>
  <c r="E760" i="3"/>
  <c r="D760" i="3"/>
  <c r="C760" i="3"/>
  <c r="B760" i="3"/>
  <c r="A760" i="3"/>
  <c r="F759" i="3"/>
  <c r="E759" i="3"/>
  <c r="D759" i="3"/>
  <c r="C759" i="3"/>
  <c r="B759" i="3"/>
  <c r="A759" i="3"/>
  <c r="F758" i="3"/>
  <c r="E758" i="3"/>
  <c r="D758" i="3"/>
  <c r="C758" i="3"/>
  <c r="B758" i="3"/>
  <c r="A758" i="3"/>
  <c r="F757" i="3"/>
  <c r="E757" i="3"/>
  <c r="D757" i="3"/>
  <c r="C757" i="3"/>
  <c r="B757" i="3"/>
  <c r="A757" i="3"/>
  <c r="F756" i="3"/>
  <c r="E756" i="3"/>
  <c r="D756" i="3"/>
  <c r="C756" i="3"/>
  <c r="B756" i="3"/>
  <c r="A756" i="3"/>
  <c r="F755" i="3"/>
  <c r="E755" i="3"/>
  <c r="D755" i="3"/>
  <c r="C755" i="3"/>
  <c r="B755" i="3"/>
  <c r="A755" i="3"/>
  <c r="F754" i="3"/>
  <c r="E754" i="3"/>
  <c r="D754" i="3"/>
  <c r="C754" i="3"/>
  <c r="B754" i="3"/>
  <c r="A754" i="3"/>
  <c r="F753" i="3"/>
  <c r="E753" i="3"/>
  <c r="D753" i="3"/>
  <c r="C753" i="3"/>
  <c r="B753" i="3"/>
  <c r="A753" i="3"/>
  <c r="F752" i="3"/>
  <c r="E752" i="3"/>
  <c r="D752" i="3"/>
  <c r="C752" i="3"/>
  <c r="B752" i="3"/>
  <c r="A752" i="3"/>
  <c r="F751" i="3"/>
  <c r="E751" i="3"/>
  <c r="D751" i="3"/>
  <c r="C751" i="3"/>
  <c r="B751" i="3"/>
  <c r="A751" i="3"/>
  <c r="F750" i="3"/>
  <c r="E750" i="3"/>
  <c r="D750" i="3"/>
  <c r="C750" i="3"/>
  <c r="B750" i="3"/>
  <c r="A750" i="3"/>
  <c r="F749" i="3"/>
  <c r="E749" i="3"/>
  <c r="D749" i="3"/>
  <c r="C749" i="3"/>
  <c r="B749" i="3"/>
  <c r="A749" i="3"/>
  <c r="F748" i="3"/>
  <c r="E748" i="3"/>
  <c r="D748" i="3"/>
  <c r="C748" i="3"/>
  <c r="B748" i="3"/>
  <c r="A748" i="3"/>
  <c r="F747" i="3"/>
  <c r="E747" i="3"/>
  <c r="D747" i="3"/>
  <c r="C747" i="3"/>
  <c r="B747" i="3"/>
  <c r="A747" i="3"/>
  <c r="F746" i="3"/>
  <c r="E746" i="3"/>
  <c r="D746" i="3"/>
  <c r="C746" i="3"/>
  <c r="B746" i="3"/>
  <c r="A746" i="3"/>
  <c r="F745" i="3"/>
  <c r="E745" i="3"/>
  <c r="D745" i="3"/>
  <c r="C745" i="3"/>
  <c r="B745" i="3"/>
  <c r="A745" i="3"/>
  <c r="F744" i="3"/>
  <c r="E744" i="3"/>
  <c r="D744" i="3"/>
  <c r="C744" i="3"/>
  <c r="B744" i="3"/>
  <c r="A744" i="3"/>
  <c r="F743" i="3"/>
  <c r="E743" i="3"/>
  <c r="D743" i="3"/>
  <c r="C743" i="3"/>
  <c r="B743" i="3"/>
  <c r="A743" i="3"/>
  <c r="F742" i="3"/>
  <c r="E742" i="3"/>
  <c r="D742" i="3"/>
  <c r="C742" i="3"/>
  <c r="B742" i="3"/>
  <c r="A742" i="3"/>
  <c r="F741" i="3"/>
  <c r="E741" i="3"/>
  <c r="D741" i="3"/>
  <c r="C741" i="3"/>
  <c r="B741" i="3"/>
  <c r="A741" i="3"/>
  <c r="F740" i="3"/>
  <c r="E740" i="3"/>
  <c r="D740" i="3"/>
  <c r="C740" i="3"/>
  <c r="B740" i="3"/>
  <c r="A740" i="3"/>
  <c r="F739" i="3"/>
  <c r="E739" i="3"/>
  <c r="D739" i="3"/>
  <c r="C739" i="3"/>
  <c r="B739" i="3"/>
  <c r="A739" i="3"/>
  <c r="F738" i="3"/>
  <c r="E738" i="3"/>
  <c r="D738" i="3"/>
  <c r="C738" i="3"/>
  <c r="B738" i="3"/>
  <c r="A738" i="3"/>
  <c r="F737" i="3"/>
  <c r="E737" i="3"/>
  <c r="D737" i="3"/>
  <c r="C737" i="3"/>
  <c r="B737" i="3"/>
  <c r="A737" i="3"/>
  <c r="F736" i="3"/>
  <c r="E736" i="3"/>
  <c r="D736" i="3"/>
  <c r="C736" i="3"/>
  <c r="B736" i="3"/>
  <c r="A736" i="3"/>
  <c r="F735" i="3"/>
  <c r="E735" i="3"/>
  <c r="D735" i="3"/>
  <c r="C735" i="3"/>
  <c r="B735" i="3"/>
  <c r="A735" i="3"/>
  <c r="F734" i="3"/>
  <c r="E734" i="3"/>
  <c r="D734" i="3"/>
  <c r="C734" i="3"/>
  <c r="B734" i="3"/>
  <c r="A734" i="3"/>
  <c r="F733" i="3"/>
  <c r="E733" i="3"/>
  <c r="D733" i="3"/>
  <c r="C733" i="3"/>
  <c r="B733" i="3"/>
  <c r="A733" i="3"/>
  <c r="F732" i="3"/>
  <c r="E732" i="3"/>
  <c r="D732" i="3"/>
  <c r="C732" i="3"/>
  <c r="B732" i="3"/>
  <c r="A732" i="3"/>
  <c r="F731" i="3"/>
  <c r="E731" i="3"/>
  <c r="D731" i="3"/>
  <c r="C731" i="3"/>
  <c r="B731" i="3"/>
  <c r="A731" i="3"/>
  <c r="F730" i="3"/>
  <c r="E730" i="3"/>
  <c r="D730" i="3"/>
  <c r="C730" i="3"/>
  <c r="B730" i="3"/>
  <c r="A730" i="3"/>
  <c r="F729" i="3"/>
  <c r="E729" i="3"/>
  <c r="D729" i="3"/>
  <c r="C729" i="3"/>
  <c r="B729" i="3"/>
  <c r="A729" i="3"/>
  <c r="F728" i="3"/>
  <c r="E728" i="3"/>
  <c r="D728" i="3"/>
  <c r="C728" i="3"/>
  <c r="B728" i="3"/>
  <c r="A728" i="3"/>
  <c r="F727" i="3"/>
  <c r="E727" i="3"/>
  <c r="D727" i="3"/>
  <c r="C727" i="3"/>
  <c r="B727" i="3"/>
  <c r="A727" i="3"/>
  <c r="F726" i="3"/>
  <c r="E726" i="3"/>
  <c r="D726" i="3"/>
  <c r="C726" i="3"/>
  <c r="B726" i="3"/>
  <c r="A726" i="3"/>
  <c r="F725" i="3"/>
  <c r="E725" i="3"/>
  <c r="D725" i="3"/>
  <c r="C725" i="3"/>
  <c r="B725" i="3"/>
  <c r="A725" i="3"/>
  <c r="F724" i="3"/>
  <c r="E724" i="3"/>
  <c r="D724" i="3"/>
  <c r="C724" i="3"/>
  <c r="B724" i="3"/>
  <c r="A724" i="3"/>
  <c r="F723" i="3"/>
  <c r="E723" i="3"/>
  <c r="D723" i="3"/>
  <c r="C723" i="3"/>
  <c r="B723" i="3"/>
  <c r="A723" i="3"/>
  <c r="F722" i="3"/>
  <c r="E722" i="3"/>
  <c r="D722" i="3"/>
  <c r="C722" i="3"/>
  <c r="B722" i="3"/>
  <c r="A722" i="3"/>
  <c r="F721" i="3"/>
  <c r="E721" i="3"/>
  <c r="D721" i="3"/>
  <c r="C721" i="3"/>
  <c r="B721" i="3"/>
  <c r="A721" i="3"/>
  <c r="F720" i="3"/>
  <c r="E720" i="3"/>
  <c r="D720" i="3"/>
  <c r="C720" i="3"/>
  <c r="B720" i="3"/>
  <c r="A720" i="3"/>
  <c r="F719" i="3"/>
  <c r="E719" i="3"/>
  <c r="D719" i="3"/>
  <c r="C719" i="3"/>
  <c r="B719" i="3"/>
  <c r="A719" i="3"/>
  <c r="F718" i="3"/>
  <c r="E718" i="3"/>
  <c r="D718" i="3"/>
  <c r="C718" i="3"/>
  <c r="B718" i="3"/>
  <c r="A718" i="3"/>
  <c r="F717" i="3"/>
  <c r="E717" i="3"/>
  <c r="D717" i="3"/>
  <c r="C717" i="3"/>
  <c r="B717" i="3"/>
  <c r="A717" i="3"/>
  <c r="F716" i="3"/>
  <c r="E716" i="3"/>
  <c r="D716" i="3"/>
  <c r="C716" i="3"/>
  <c r="B716" i="3"/>
  <c r="A716" i="3"/>
  <c r="F715" i="3"/>
  <c r="E715" i="3"/>
  <c r="D715" i="3"/>
  <c r="C715" i="3"/>
  <c r="B715" i="3"/>
  <c r="A715" i="3"/>
  <c r="F714" i="3"/>
  <c r="E714" i="3"/>
  <c r="D714" i="3"/>
  <c r="C714" i="3"/>
  <c r="B714" i="3"/>
  <c r="A714" i="3"/>
  <c r="F713" i="3"/>
  <c r="E713" i="3"/>
  <c r="D713" i="3"/>
  <c r="C713" i="3"/>
  <c r="B713" i="3"/>
  <c r="A713" i="3"/>
  <c r="F712" i="3"/>
  <c r="E712" i="3"/>
  <c r="D712" i="3"/>
  <c r="C712" i="3"/>
  <c r="B712" i="3"/>
  <c r="A712" i="3"/>
  <c r="F711" i="3"/>
  <c r="E711" i="3"/>
  <c r="D711" i="3"/>
  <c r="C711" i="3"/>
  <c r="B711" i="3"/>
  <c r="A711" i="3"/>
  <c r="F710" i="3"/>
  <c r="E710" i="3"/>
  <c r="D710" i="3"/>
  <c r="C710" i="3"/>
  <c r="B710" i="3"/>
  <c r="A710" i="3"/>
  <c r="F709" i="3"/>
  <c r="E709" i="3"/>
  <c r="D709" i="3"/>
  <c r="C709" i="3"/>
  <c r="B709" i="3"/>
  <c r="A709" i="3"/>
  <c r="F708" i="3"/>
  <c r="E708" i="3"/>
  <c r="D708" i="3"/>
  <c r="C708" i="3"/>
  <c r="B708" i="3"/>
  <c r="A708" i="3"/>
  <c r="F707" i="3"/>
  <c r="E707" i="3"/>
  <c r="D707" i="3"/>
  <c r="C707" i="3"/>
  <c r="B707" i="3"/>
  <c r="A707" i="3"/>
  <c r="F706" i="3"/>
  <c r="E706" i="3"/>
  <c r="D706" i="3"/>
  <c r="C706" i="3"/>
  <c r="B706" i="3"/>
  <c r="A706" i="3"/>
  <c r="F705" i="3"/>
  <c r="E705" i="3"/>
  <c r="D705" i="3"/>
  <c r="C705" i="3"/>
  <c r="B705" i="3"/>
  <c r="A705" i="3"/>
  <c r="F704" i="3"/>
  <c r="E704" i="3"/>
  <c r="D704" i="3"/>
  <c r="C704" i="3"/>
  <c r="B704" i="3"/>
  <c r="A704" i="3"/>
  <c r="F703" i="3"/>
  <c r="E703" i="3"/>
  <c r="D703" i="3"/>
  <c r="C703" i="3"/>
  <c r="B703" i="3"/>
  <c r="A703" i="3"/>
  <c r="F702" i="3"/>
  <c r="E702" i="3"/>
  <c r="D702" i="3"/>
  <c r="C702" i="3"/>
  <c r="B702" i="3"/>
  <c r="A702" i="3"/>
  <c r="F701" i="3"/>
  <c r="E701" i="3"/>
  <c r="D701" i="3"/>
  <c r="C701" i="3"/>
  <c r="B701" i="3"/>
  <c r="A701" i="3"/>
  <c r="F700" i="3"/>
  <c r="E700" i="3"/>
  <c r="D700" i="3"/>
  <c r="C700" i="3"/>
  <c r="B700" i="3"/>
  <c r="A700" i="3"/>
  <c r="F699" i="3"/>
  <c r="E699" i="3"/>
  <c r="D699" i="3"/>
  <c r="C699" i="3"/>
  <c r="B699" i="3"/>
  <c r="A699" i="3"/>
  <c r="F698" i="3"/>
  <c r="E698" i="3"/>
  <c r="D698" i="3"/>
  <c r="C698" i="3"/>
  <c r="B698" i="3"/>
  <c r="A698" i="3"/>
  <c r="F697" i="3"/>
  <c r="E697" i="3"/>
  <c r="D697" i="3"/>
  <c r="C697" i="3"/>
  <c r="B697" i="3"/>
  <c r="A697" i="3"/>
  <c r="F696" i="3"/>
  <c r="E696" i="3"/>
  <c r="D696" i="3"/>
  <c r="C696" i="3"/>
  <c r="B696" i="3"/>
  <c r="A696" i="3"/>
  <c r="F695" i="3"/>
  <c r="E695" i="3"/>
  <c r="D695" i="3"/>
  <c r="C695" i="3"/>
  <c r="B695" i="3"/>
  <c r="A695" i="3"/>
  <c r="F694" i="3"/>
  <c r="E694" i="3"/>
  <c r="D694" i="3"/>
  <c r="C694" i="3"/>
  <c r="B694" i="3"/>
  <c r="A694" i="3"/>
  <c r="F693" i="3"/>
  <c r="E693" i="3"/>
  <c r="D693" i="3"/>
  <c r="C693" i="3"/>
  <c r="B693" i="3"/>
  <c r="A693" i="3"/>
  <c r="F692" i="3"/>
  <c r="E692" i="3"/>
  <c r="D692" i="3"/>
  <c r="C692" i="3"/>
  <c r="B692" i="3"/>
  <c r="A692" i="3"/>
  <c r="F691" i="3"/>
  <c r="E691" i="3"/>
  <c r="D691" i="3"/>
  <c r="C691" i="3"/>
  <c r="B691" i="3"/>
  <c r="A691" i="3"/>
  <c r="F690" i="3"/>
  <c r="E690" i="3"/>
  <c r="D690" i="3"/>
  <c r="C690" i="3"/>
  <c r="B690" i="3"/>
  <c r="A690" i="3"/>
  <c r="F689" i="3"/>
  <c r="E689" i="3"/>
  <c r="D689" i="3"/>
  <c r="C689" i="3"/>
  <c r="B689" i="3"/>
  <c r="A689" i="3"/>
  <c r="F688" i="3"/>
  <c r="E688" i="3"/>
  <c r="D688" i="3"/>
  <c r="C688" i="3"/>
  <c r="B688" i="3"/>
  <c r="A688" i="3"/>
  <c r="F687" i="3"/>
  <c r="E687" i="3"/>
  <c r="D687" i="3"/>
  <c r="C687" i="3"/>
  <c r="B687" i="3"/>
  <c r="A687" i="3"/>
  <c r="F686" i="3"/>
  <c r="E686" i="3"/>
  <c r="D686" i="3"/>
  <c r="C686" i="3"/>
  <c r="B686" i="3"/>
  <c r="A686" i="3"/>
  <c r="F685" i="3"/>
  <c r="E685" i="3"/>
  <c r="D685" i="3"/>
  <c r="C685" i="3"/>
  <c r="B685" i="3"/>
  <c r="A685" i="3"/>
  <c r="F684" i="3"/>
  <c r="E684" i="3"/>
  <c r="D684" i="3"/>
  <c r="C684" i="3"/>
  <c r="B684" i="3"/>
  <c r="A684" i="3"/>
  <c r="F683" i="3"/>
  <c r="E683" i="3"/>
  <c r="D683" i="3"/>
  <c r="C683" i="3"/>
  <c r="B683" i="3"/>
  <c r="A683" i="3"/>
  <c r="F682" i="3"/>
  <c r="E682" i="3"/>
  <c r="D682" i="3"/>
  <c r="C682" i="3"/>
  <c r="B682" i="3"/>
  <c r="A682" i="3"/>
  <c r="F681" i="3"/>
  <c r="E681" i="3"/>
  <c r="D681" i="3"/>
  <c r="C681" i="3"/>
  <c r="B681" i="3"/>
  <c r="A681" i="3"/>
  <c r="F680" i="3"/>
  <c r="E680" i="3"/>
  <c r="D680" i="3"/>
  <c r="C680" i="3"/>
  <c r="B680" i="3"/>
  <c r="A680" i="3"/>
  <c r="F679" i="3"/>
  <c r="E679" i="3"/>
  <c r="D679" i="3"/>
  <c r="C679" i="3"/>
  <c r="B679" i="3"/>
  <c r="A679" i="3"/>
  <c r="F678" i="3"/>
  <c r="E678" i="3"/>
  <c r="D678" i="3"/>
  <c r="C678" i="3"/>
  <c r="B678" i="3"/>
  <c r="A678" i="3"/>
  <c r="F677" i="3"/>
  <c r="E677" i="3"/>
  <c r="D677" i="3"/>
  <c r="C677" i="3"/>
  <c r="B677" i="3"/>
  <c r="A677" i="3"/>
  <c r="F676" i="3"/>
  <c r="E676" i="3"/>
  <c r="D676" i="3"/>
  <c r="C676" i="3"/>
  <c r="B676" i="3"/>
  <c r="A676" i="3"/>
  <c r="F675" i="3"/>
  <c r="E675" i="3"/>
  <c r="D675" i="3"/>
  <c r="C675" i="3"/>
  <c r="B675" i="3"/>
  <c r="A675" i="3"/>
  <c r="F674" i="3"/>
  <c r="E674" i="3"/>
  <c r="D674" i="3"/>
  <c r="C674" i="3"/>
  <c r="B674" i="3"/>
  <c r="A674" i="3"/>
  <c r="F673" i="3"/>
  <c r="E673" i="3"/>
  <c r="D673" i="3"/>
  <c r="C673" i="3"/>
  <c r="B673" i="3"/>
  <c r="A673" i="3"/>
  <c r="F672" i="3"/>
  <c r="E672" i="3"/>
  <c r="D672" i="3"/>
  <c r="C672" i="3"/>
  <c r="B672" i="3"/>
  <c r="A672" i="3"/>
  <c r="F671" i="3"/>
  <c r="E671" i="3"/>
  <c r="D671" i="3"/>
  <c r="C671" i="3"/>
  <c r="B671" i="3"/>
  <c r="A671" i="3"/>
  <c r="F670" i="3"/>
  <c r="E670" i="3"/>
  <c r="D670" i="3"/>
  <c r="C670" i="3"/>
  <c r="B670" i="3"/>
  <c r="A670" i="3"/>
  <c r="F669" i="3"/>
  <c r="E669" i="3"/>
  <c r="D669" i="3"/>
  <c r="C669" i="3"/>
  <c r="B669" i="3"/>
  <c r="A669" i="3"/>
  <c r="F668" i="3"/>
  <c r="E668" i="3"/>
  <c r="D668" i="3"/>
  <c r="C668" i="3"/>
  <c r="B668" i="3"/>
  <c r="A668" i="3"/>
  <c r="F667" i="3"/>
  <c r="E667" i="3"/>
  <c r="D667" i="3"/>
  <c r="C667" i="3"/>
  <c r="B667" i="3"/>
  <c r="A667" i="3"/>
  <c r="F666" i="3"/>
  <c r="E666" i="3"/>
  <c r="D666" i="3"/>
  <c r="C666" i="3"/>
  <c r="B666" i="3"/>
  <c r="A666" i="3"/>
  <c r="F665" i="3"/>
  <c r="E665" i="3"/>
  <c r="D665" i="3"/>
  <c r="C665" i="3"/>
  <c r="B665" i="3"/>
  <c r="A665" i="3"/>
  <c r="F664" i="3"/>
  <c r="E664" i="3"/>
  <c r="D664" i="3"/>
  <c r="C664" i="3"/>
  <c r="B664" i="3"/>
  <c r="A664" i="3"/>
  <c r="F663" i="3"/>
  <c r="E663" i="3"/>
  <c r="D663" i="3"/>
  <c r="C663" i="3"/>
  <c r="B663" i="3"/>
  <c r="A663" i="3"/>
  <c r="F662" i="3"/>
  <c r="E662" i="3"/>
  <c r="D662" i="3"/>
  <c r="C662" i="3"/>
  <c r="B662" i="3"/>
  <c r="A662" i="3"/>
  <c r="F661" i="3"/>
  <c r="E661" i="3"/>
  <c r="D661" i="3"/>
  <c r="C661" i="3"/>
  <c r="B661" i="3"/>
  <c r="A661" i="3"/>
  <c r="F660" i="3"/>
  <c r="E660" i="3"/>
  <c r="D660" i="3"/>
  <c r="C660" i="3"/>
  <c r="B660" i="3"/>
  <c r="A660" i="3"/>
  <c r="F659" i="3"/>
  <c r="E659" i="3"/>
  <c r="D659" i="3"/>
  <c r="C659" i="3"/>
  <c r="B659" i="3"/>
  <c r="A659" i="3"/>
  <c r="F658" i="3"/>
  <c r="E658" i="3"/>
  <c r="D658" i="3"/>
  <c r="C658" i="3"/>
  <c r="B658" i="3"/>
  <c r="A658" i="3"/>
  <c r="F657" i="3"/>
  <c r="E657" i="3"/>
  <c r="D657" i="3"/>
  <c r="C657" i="3"/>
  <c r="B657" i="3"/>
  <c r="A657" i="3"/>
  <c r="F656" i="3"/>
  <c r="E656" i="3"/>
  <c r="D656" i="3"/>
  <c r="C656" i="3"/>
  <c r="B656" i="3"/>
  <c r="A656" i="3"/>
  <c r="F655" i="3"/>
  <c r="E655" i="3"/>
  <c r="D655" i="3"/>
  <c r="C655" i="3"/>
  <c r="B655" i="3"/>
  <c r="A655" i="3"/>
  <c r="F654" i="3"/>
  <c r="E654" i="3"/>
  <c r="D654" i="3"/>
  <c r="C654" i="3"/>
  <c r="B654" i="3"/>
  <c r="A654" i="3"/>
  <c r="F653" i="3"/>
  <c r="E653" i="3"/>
  <c r="D653" i="3"/>
  <c r="C653" i="3"/>
  <c r="B653" i="3"/>
  <c r="A653" i="3"/>
  <c r="F652" i="3"/>
  <c r="E652" i="3"/>
  <c r="D652" i="3"/>
  <c r="C652" i="3"/>
  <c r="B652" i="3"/>
  <c r="A652" i="3"/>
  <c r="F651" i="3"/>
  <c r="E651" i="3"/>
  <c r="D651" i="3"/>
  <c r="C651" i="3"/>
  <c r="B651" i="3"/>
  <c r="A651" i="3"/>
  <c r="F650" i="3"/>
  <c r="E650" i="3"/>
  <c r="D650" i="3"/>
  <c r="C650" i="3"/>
  <c r="B650" i="3"/>
  <c r="A650" i="3"/>
  <c r="F649" i="3"/>
  <c r="E649" i="3"/>
  <c r="D649" i="3"/>
  <c r="C649" i="3"/>
  <c r="B649" i="3"/>
  <c r="A649" i="3"/>
  <c r="F648" i="3"/>
  <c r="E648" i="3"/>
  <c r="D648" i="3"/>
  <c r="C648" i="3"/>
  <c r="B648" i="3"/>
  <c r="A648" i="3"/>
  <c r="F647" i="3"/>
  <c r="E647" i="3"/>
  <c r="D647" i="3"/>
  <c r="C647" i="3"/>
  <c r="B647" i="3"/>
  <c r="A647" i="3"/>
  <c r="F646" i="3"/>
  <c r="E646" i="3"/>
  <c r="D646" i="3"/>
  <c r="C646" i="3"/>
  <c r="B646" i="3"/>
  <c r="A646" i="3"/>
  <c r="F645" i="3"/>
  <c r="E645" i="3"/>
  <c r="D645" i="3"/>
  <c r="C645" i="3"/>
  <c r="B645" i="3"/>
  <c r="A645" i="3"/>
  <c r="F644" i="3"/>
  <c r="E644" i="3"/>
  <c r="D644" i="3"/>
  <c r="C644" i="3"/>
  <c r="B644" i="3"/>
  <c r="A644" i="3"/>
  <c r="F643" i="3"/>
  <c r="E643" i="3"/>
  <c r="D643" i="3"/>
  <c r="C643" i="3"/>
  <c r="B643" i="3"/>
  <c r="A643" i="3"/>
  <c r="F642" i="3"/>
  <c r="E642" i="3"/>
  <c r="D642" i="3"/>
  <c r="C642" i="3"/>
  <c r="B642" i="3"/>
  <c r="A642" i="3"/>
  <c r="F641" i="3"/>
  <c r="E641" i="3"/>
  <c r="D641" i="3"/>
  <c r="C641" i="3"/>
  <c r="B641" i="3"/>
  <c r="A641" i="3"/>
  <c r="F640" i="3"/>
  <c r="E640" i="3"/>
  <c r="D640" i="3"/>
  <c r="C640" i="3"/>
  <c r="B640" i="3"/>
  <c r="A640" i="3"/>
  <c r="F639" i="3"/>
  <c r="E639" i="3"/>
  <c r="D639" i="3"/>
  <c r="C639" i="3"/>
  <c r="B639" i="3"/>
  <c r="A639" i="3"/>
  <c r="F638" i="3"/>
  <c r="E638" i="3"/>
  <c r="D638" i="3"/>
  <c r="C638" i="3"/>
  <c r="B638" i="3"/>
  <c r="A638" i="3"/>
  <c r="F637" i="3"/>
  <c r="E637" i="3"/>
  <c r="D637" i="3"/>
  <c r="C637" i="3"/>
  <c r="B637" i="3"/>
  <c r="A637" i="3"/>
  <c r="F636" i="3"/>
  <c r="E636" i="3"/>
  <c r="D636" i="3"/>
  <c r="C636" i="3"/>
  <c r="B636" i="3"/>
  <c r="A636" i="3"/>
  <c r="F635" i="3"/>
  <c r="E635" i="3"/>
  <c r="D635" i="3"/>
  <c r="C635" i="3"/>
  <c r="B635" i="3"/>
  <c r="A635" i="3"/>
  <c r="F634" i="3"/>
  <c r="E634" i="3"/>
  <c r="D634" i="3"/>
  <c r="C634" i="3"/>
  <c r="B634" i="3"/>
  <c r="A634" i="3"/>
  <c r="F633" i="3"/>
  <c r="E633" i="3"/>
  <c r="D633" i="3"/>
  <c r="C633" i="3"/>
  <c r="B633" i="3"/>
  <c r="A633" i="3"/>
  <c r="F632" i="3"/>
  <c r="E632" i="3"/>
  <c r="D632" i="3"/>
  <c r="C632" i="3"/>
  <c r="B632" i="3"/>
  <c r="A632" i="3"/>
  <c r="F631" i="3"/>
  <c r="E631" i="3"/>
  <c r="D631" i="3"/>
  <c r="C631" i="3"/>
  <c r="B631" i="3"/>
  <c r="A631" i="3"/>
  <c r="F630" i="3"/>
  <c r="E630" i="3"/>
  <c r="D630" i="3"/>
  <c r="C630" i="3"/>
  <c r="B630" i="3"/>
  <c r="A630" i="3"/>
  <c r="F629" i="3"/>
  <c r="E629" i="3"/>
  <c r="D629" i="3"/>
  <c r="C629" i="3"/>
  <c r="B629" i="3"/>
  <c r="A629" i="3"/>
  <c r="F628" i="3"/>
  <c r="E628" i="3"/>
  <c r="D628" i="3"/>
  <c r="C628" i="3"/>
  <c r="B628" i="3"/>
  <c r="A628" i="3"/>
  <c r="F627" i="3"/>
  <c r="E627" i="3"/>
  <c r="D627" i="3"/>
  <c r="C627" i="3"/>
  <c r="B627" i="3"/>
  <c r="A627" i="3"/>
  <c r="F626" i="3"/>
  <c r="E626" i="3"/>
  <c r="D626" i="3"/>
  <c r="C626" i="3"/>
  <c r="B626" i="3"/>
  <c r="A626" i="3"/>
  <c r="F625" i="3"/>
  <c r="E625" i="3"/>
  <c r="D625" i="3"/>
  <c r="C625" i="3"/>
  <c r="B625" i="3"/>
  <c r="A625" i="3"/>
  <c r="F624" i="3"/>
  <c r="E624" i="3"/>
  <c r="D624" i="3"/>
  <c r="C624" i="3"/>
  <c r="B624" i="3"/>
  <c r="A624" i="3"/>
  <c r="F623" i="3"/>
  <c r="E623" i="3"/>
  <c r="D623" i="3"/>
  <c r="C623" i="3"/>
  <c r="B623" i="3"/>
  <c r="A623" i="3"/>
  <c r="F622" i="3"/>
  <c r="E622" i="3"/>
  <c r="D622" i="3"/>
  <c r="C622" i="3"/>
  <c r="B622" i="3"/>
  <c r="A622" i="3"/>
  <c r="F621" i="3"/>
  <c r="E621" i="3"/>
  <c r="D621" i="3"/>
  <c r="C621" i="3"/>
  <c r="B621" i="3"/>
  <c r="A621" i="3"/>
  <c r="F620" i="3"/>
  <c r="E620" i="3"/>
  <c r="D620" i="3"/>
  <c r="C620" i="3"/>
  <c r="B620" i="3"/>
  <c r="A620" i="3"/>
  <c r="F619" i="3"/>
  <c r="E619" i="3"/>
  <c r="D619" i="3"/>
  <c r="C619" i="3"/>
  <c r="B619" i="3"/>
  <c r="A619" i="3"/>
  <c r="F618" i="3"/>
  <c r="E618" i="3"/>
  <c r="D618" i="3"/>
  <c r="C618" i="3"/>
  <c r="B618" i="3"/>
  <c r="A618" i="3"/>
  <c r="F617" i="3"/>
  <c r="E617" i="3"/>
  <c r="D617" i="3"/>
  <c r="C617" i="3"/>
  <c r="B617" i="3"/>
  <c r="A617" i="3"/>
  <c r="F616" i="3"/>
  <c r="E616" i="3"/>
  <c r="D616" i="3"/>
  <c r="C616" i="3"/>
  <c r="B616" i="3"/>
  <c r="A616" i="3"/>
  <c r="F615" i="3"/>
  <c r="E615" i="3"/>
  <c r="D615" i="3"/>
  <c r="C615" i="3"/>
  <c r="B615" i="3"/>
  <c r="A615" i="3"/>
  <c r="F614" i="3"/>
  <c r="E614" i="3"/>
  <c r="D614" i="3"/>
  <c r="C614" i="3"/>
  <c r="B614" i="3"/>
  <c r="A614" i="3"/>
  <c r="F613" i="3"/>
  <c r="E613" i="3"/>
  <c r="D613" i="3"/>
  <c r="C613" i="3"/>
  <c r="B613" i="3"/>
  <c r="A613" i="3"/>
  <c r="F612" i="3"/>
  <c r="E612" i="3"/>
  <c r="D612" i="3"/>
  <c r="C612" i="3"/>
  <c r="B612" i="3"/>
  <c r="A612" i="3"/>
  <c r="F611" i="3"/>
  <c r="E611" i="3"/>
  <c r="D611" i="3"/>
  <c r="C611" i="3"/>
  <c r="B611" i="3"/>
  <c r="A611" i="3"/>
  <c r="F610" i="3"/>
  <c r="E610" i="3"/>
  <c r="D610" i="3"/>
  <c r="C610" i="3"/>
  <c r="B610" i="3"/>
  <c r="A610" i="3"/>
  <c r="F609" i="3"/>
  <c r="E609" i="3"/>
  <c r="D609" i="3"/>
  <c r="C609" i="3"/>
  <c r="B609" i="3"/>
  <c r="A609" i="3"/>
  <c r="F608" i="3"/>
  <c r="E608" i="3"/>
  <c r="D608" i="3"/>
  <c r="C608" i="3"/>
  <c r="B608" i="3"/>
  <c r="A608" i="3"/>
  <c r="F607" i="3"/>
  <c r="E607" i="3"/>
  <c r="D607" i="3"/>
  <c r="C607" i="3"/>
  <c r="B607" i="3"/>
  <c r="A607" i="3"/>
  <c r="F606" i="3"/>
  <c r="E606" i="3"/>
  <c r="D606" i="3"/>
  <c r="C606" i="3"/>
  <c r="B606" i="3"/>
  <c r="A606" i="3"/>
  <c r="F605" i="3"/>
  <c r="E605" i="3"/>
  <c r="D605" i="3"/>
  <c r="C605" i="3"/>
  <c r="B605" i="3"/>
  <c r="A605" i="3"/>
  <c r="F604" i="3"/>
  <c r="E604" i="3"/>
  <c r="D604" i="3"/>
  <c r="C604" i="3"/>
  <c r="B604" i="3"/>
  <c r="A604" i="3"/>
  <c r="F603" i="3"/>
  <c r="E603" i="3"/>
  <c r="D603" i="3"/>
  <c r="C603" i="3"/>
  <c r="B603" i="3"/>
  <c r="A603" i="3"/>
  <c r="F602" i="3"/>
  <c r="E602" i="3"/>
  <c r="D602" i="3"/>
  <c r="C602" i="3"/>
  <c r="B602" i="3"/>
  <c r="A602" i="3"/>
  <c r="F601" i="3"/>
  <c r="E601" i="3"/>
  <c r="D601" i="3"/>
  <c r="C601" i="3"/>
  <c r="B601" i="3"/>
  <c r="A601" i="3"/>
  <c r="F600" i="3"/>
  <c r="E600" i="3"/>
  <c r="D600" i="3"/>
  <c r="C600" i="3"/>
  <c r="B600" i="3"/>
  <c r="A600" i="3"/>
  <c r="F599" i="3"/>
  <c r="E599" i="3"/>
  <c r="D599" i="3"/>
  <c r="C599" i="3"/>
  <c r="B599" i="3"/>
  <c r="A599" i="3"/>
  <c r="F598" i="3"/>
  <c r="E598" i="3"/>
  <c r="D598" i="3"/>
  <c r="C598" i="3"/>
  <c r="B598" i="3"/>
  <c r="A598" i="3"/>
  <c r="F597" i="3"/>
  <c r="E597" i="3"/>
  <c r="D597" i="3"/>
  <c r="C597" i="3"/>
  <c r="B597" i="3"/>
  <c r="A597" i="3"/>
  <c r="F596" i="3"/>
  <c r="E596" i="3"/>
  <c r="D596" i="3"/>
  <c r="C596" i="3"/>
  <c r="B596" i="3"/>
  <c r="A596" i="3"/>
  <c r="F595" i="3"/>
  <c r="E595" i="3"/>
  <c r="D595" i="3"/>
  <c r="C595" i="3"/>
  <c r="B595" i="3"/>
  <c r="A595" i="3"/>
  <c r="F594" i="3"/>
  <c r="E594" i="3"/>
  <c r="D594" i="3"/>
  <c r="C594" i="3"/>
  <c r="B594" i="3"/>
  <c r="A594" i="3"/>
  <c r="F593" i="3"/>
  <c r="E593" i="3"/>
  <c r="D593" i="3"/>
  <c r="C593" i="3"/>
  <c r="B593" i="3"/>
  <c r="A593" i="3"/>
  <c r="F592" i="3"/>
  <c r="E592" i="3"/>
  <c r="D592" i="3"/>
  <c r="C592" i="3"/>
  <c r="B592" i="3"/>
  <c r="A592" i="3"/>
  <c r="F591" i="3"/>
  <c r="E591" i="3"/>
  <c r="D591" i="3"/>
  <c r="C591" i="3"/>
  <c r="B591" i="3"/>
  <c r="A591" i="3"/>
  <c r="F590" i="3"/>
  <c r="E590" i="3"/>
  <c r="D590" i="3"/>
  <c r="C590" i="3"/>
  <c r="B590" i="3"/>
  <c r="A590" i="3"/>
  <c r="F589" i="3"/>
  <c r="E589" i="3"/>
  <c r="D589" i="3"/>
  <c r="C589" i="3"/>
  <c r="B589" i="3"/>
  <c r="A589" i="3"/>
  <c r="F588" i="3"/>
  <c r="E588" i="3"/>
  <c r="D588" i="3"/>
  <c r="C588" i="3"/>
  <c r="B588" i="3"/>
  <c r="A588" i="3"/>
  <c r="F587" i="3"/>
  <c r="E587" i="3"/>
  <c r="D587" i="3"/>
  <c r="C587" i="3"/>
  <c r="B587" i="3"/>
  <c r="A587" i="3"/>
  <c r="F586" i="3"/>
  <c r="E586" i="3"/>
  <c r="D586" i="3"/>
  <c r="C586" i="3"/>
  <c r="B586" i="3"/>
  <c r="A586" i="3"/>
  <c r="F585" i="3"/>
  <c r="E585" i="3"/>
  <c r="D585" i="3"/>
  <c r="C585" i="3"/>
  <c r="B585" i="3"/>
  <c r="A585" i="3"/>
  <c r="F584" i="3"/>
  <c r="E584" i="3"/>
  <c r="D584" i="3"/>
  <c r="C584" i="3"/>
  <c r="B584" i="3"/>
  <c r="A584" i="3"/>
  <c r="F583" i="3"/>
  <c r="E583" i="3"/>
  <c r="D583" i="3"/>
  <c r="C583" i="3"/>
  <c r="B583" i="3"/>
  <c r="A583" i="3"/>
  <c r="F582" i="3"/>
  <c r="E582" i="3"/>
  <c r="D582" i="3"/>
  <c r="C582" i="3"/>
  <c r="B582" i="3"/>
  <c r="A582" i="3"/>
  <c r="F581" i="3"/>
  <c r="E581" i="3"/>
  <c r="D581" i="3"/>
  <c r="C581" i="3"/>
  <c r="B581" i="3"/>
  <c r="A581" i="3"/>
  <c r="F580" i="3"/>
  <c r="E580" i="3"/>
  <c r="D580" i="3"/>
  <c r="C580" i="3"/>
  <c r="B580" i="3"/>
  <c r="A580" i="3"/>
  <c r="F579" i="3"/>
  <c r="E579" i="3"/>
  <c r="D579" i="3"/>
  <c r="C579" i="3"/>
  <c r="B579" i="3"/>
  <c r="A579" i="3"/>
  <c r="F578" i="3"/>
  <c r="E578" i="3"/>
  <c r="D578" i="3"/>
  <c r="C578" i="3"/>
  <c r="B578" i="3"/>
  <c r="A578" i="3"/>
  <c r="F577" i="3"/>
  <c r="E577" i="3"/>
  <c r="D577" i="3"/>
  <c r="C577" i="3"/>
  <c r="B577" i="3"/>
  <c r="A577" i="3"/>
  <c r="F576" i="3"/>
  <c r="E576" i="3"/>
  <c r="D576" i="3"/>
  <c r="C576" i="3"/>
  <c r="B576" i="3"/>
  <c r="A576" i="3"/>
  <c r="F575" i="3"/>
  <c r="E575" i="3"/>
  <c r="D575" i="3"/>
  <c r="C575" i="3"/>
  <c r="B575" i="3"/>
  <c r="A575" i="3"/>
  <c r="F574" i="3"/>
  <c r="E574" i="3"/>
  <c r="D574" i="3"/>
  <c r="C574" i="3"/>
  <c r="B574" i="3"/>
  <c r="A574" i="3"/>
  <c r="F573" i="3"/>
  <c r="E573" i="3"/>
  <c r="D573" i="3"/>
  <c r="C573" i="3"/>
  <c r="B573" i="3"/>
  <c r="A573" i="3"/>
  <c r="F572" i="3"/>
  <c r="E572" i="3"/>
  <c r="D572" i="3"/>
  <c r="C572" i="3"/>
  <c r="B572" i="3"/>
  <c r="A572" i="3"/>
  <c r="F571" i="3"/>
  <c r="E571" i="3"/>
  <c r="D571" i="3"/>
  <c r="C571" i="3"/>
  <c r="B571" i="3"/>
  <c r="A571" i="3"/>
  <c r="F570" i="3"/>
  <c r="E570" i="3"/>
  <c r="D570" i="3"/>
  <c r="C570" i="3"/>
  <c r="B570" i="3"/>
  <c r="A570" i="3"/>
  <c r="F569" i="3"/>
  <c r="E569" i="3"/>
  <c r="D569" i="3"/>
  <c r="C569" i="3"/>
  <c r="B569" i="3"/>
  <c r="A569" i="3"/>
  <c r="F568" i="3"/>
  <c r="E568" i="3"/>
  <c r="D568" i="3"/>
  <c r="C568" i="3"/>
  <c r="B568" i="3"/>
  <c r="A568" i="3"/>
  <c r="F567" i="3"/>
  <c r="E567" i="3"/>
  <c r="D567" i="3"/>
  <c r="C567" i="3"/>
  <c r="B567" i="3"/>
  <c r="A567" i="3"/>
  <c r="F566" i="3"/>
  <c r="E566" i="3"/>
  <c r="D566" i="3"/>
  <c r="C566" i="3"/>
  <c r="B566" i="3"/>
  <c r="A566" i="3"/>
  <c r="F565" i="3"/>
  <c r="E565" i="3"/>
  <c r="D565" i="3"/>
  <c r="C565" i="3"/>
  <c r="B565" i="3"/>
  <c r="A565" i="3"/>
  <c r="F564" i="3"/>
  <c r="E564" i="3"/>
  <c r="D564" i="3"/>
  <c r="C564" i="3"/>
  <c r="B564" i="3"/>
  <c r="A564" i="3"/>
  <c r="F563" i="3"/>
  <c r="E563" i="3"/>
  <c r="D563" i="3"/>
  <c r="C563" i="3"/>
  <c r="B563" i="3"/>
  <c r="A563" i="3"/>
  <c r="F562" i="3"/>
  <c r="E562" i="3"/>
  <c r="D562" i="3"/>
  <c r="C562" i="3"/>
  <c r="B562" i="3"/>
  <c r="A562" i="3"/>
  <c r="F561" i="3"/>
  <c r="E561" i="3"/>
  <c r="D561" i="3"/>
  <c r="C561" i="3"/>
  <c r="B561" i="3"/>
  <c r="A561" i="3"/>
  <c r="F560" i="3"/>
  <c r="E560" i="3"/>
  <c r="D560" i="3"/>
  <c r="C560" i="3"/>
  <c r="B560" i="3"/>
  <c r="A560" i="3"/>
  <c r="F559" i="3"/>
  <c r="E559" i="3"/>
  <c r="D559" i="3"/>
  <c r="C559" i="3"/>
  <c r="B559" i="3"/>
  <c r="A559" i="3"/>
  <c r="F558" i="3"/>
  <c r="E558" i="3"/>
  <c r="D558" i="3"/>
  <c r="C558" i="3"/>
  <c r="B558" i="3"/>
  <c r="A558" i="3"/>
  <c r="F557" i="3"/>
  <c r="E557" i="3"/>
  <c r="D557" i="3"/>
  <c r="C557" i="3"/>
  <c r="B557" i="3"/>
  <c r="A557" i="3"/>
  <c r="F556" i="3"/>
  <c r="E556" i="3"/>
  <c r="D556" i="3"/>
  <c r="C556" i="3"/>
  <c r="B556" i="3"/>
  <c r="A556" i="3"/>
  <c r="F555" i="3"/>
  <c r="E555" i="3"/>
  <c r="D555" i="3"/>
  <c r="C555" i="3"/>
  <c r="B555" i="3"/>
  <c r="A555" i="3"/>
  <c r="F554" i="3"/>
  <c r="E554" i="3"/>
  <c r="D554" i="3"/>
  <c r="C554" i="3"/>
  <c r="B554" i="3"/>
  <c r="A554" i="3"/>
  <c r="F553" i="3"/>
  <c r="E553" i="3"/>
  <c r="D553" i="3"/>
  <c r="C553" i="3"/>
  <c r="B553" i="3"/>
  <c r="A553" i="3"/>
  <c r="F552" i="3"/>
  <c r="E552" i="3"/>
  <c r="D552" i="3"/>
  <c r="C552" i="3"/>
  <c r="B552" i="3"/>
  <c r="A552" i="3"/>
  <c r="F551" i="3"/>
  <c r="E551" i="3"/>
  <c r="D551" i="3"/>
  <c r="C551" i="3"/>
  <c r="B551" i="3"/>
  <c r="A551" i="3"/>
  <c r="F550" i="3"/>
  <c r="E550" i="3"/>
  <c r="D550" i="3"/>
  <c r="C550" i="3"/>
  <c r="B550" i="3"/>
  <c r="A550" i="3"/>
  <c r="F549" i="3"/>
  <c r="E549" i="3"/>
  <c r="D549" i="3"/>
  <c r="C549" i="3"/>
  <c r="B549" i="3"/>
  <c r="A549" i="3"/>
  <c r="F548" i="3"/>
  <c r="E548" i="3"/>
  <c r="D548" i="3"/>
  <c r="C548" i="3"/>
  <c r="B548" i="3"/>
  <c r="A548" i="3"/>
  <c r="F547" i="3"/>
  <c r="E547" i="3"/>
  <c r="D547" i="3"/>
  <c r="C547" i="3"/>
  <c r="B547" i="3"/>
  <c r="A547" i="3"/>
  <c r="F546" i="3"/>
  <c r="E546" i="3"/>
  <c r="D546" i="3"/>
  <c r="C546" i="3"/>
  <c r="B546" i="3"/>
  <c r="A546" i="3"/>
  <c r="F545" i="3"/>
  <c r="E545" i="3"/>
  <c r="D545" i="3"/>
  <c r="C545" i="3"/>
  <c r="B545" i="3"/>
  <c r="A545" i="3"/>
  <c r="F544" i="3"/>
  <c r="E544" i="3"/>
  <c r="D544" i="3"/>
  <c r="C544" i="3"/>
  <c r="B544" i="3"/>
  <c r="A544" i="3"/>
  <c r="F543" i="3"/>
  <c r="E543" i="3"/>
  <c r="D543" i="3"/>
  <c r="C543" i="3"/>
  <c r="B543" i="3"/>
  <c r="A543" i="3"/>
  <c r="F542" i="3"/>
  <c r="E542" i="3"/>
  <c r="D542" i="3"/>
  <c r="C542" i="3"/>
  <c r="B542" i="3"/>
  <c r="A542" i="3"/>
  <c r="F541" i="3"/>
  <c r="E541" i="3"/>
  <c r="D541" i="3"/>
  <c r="C541" i="3"/>
  <c r="B541" i="3"/>
  <c r="A541" i="3"/>
  <c r="F540" i="3"/>
  <c r="E540" i="3"/>
  <c r="D540" i="3"/>
  <c r="C540" i="3"/>
  <c r="B540" i="3"/>
  <c r="A540" i="3"/>
  <c r="F539" i="3"/>
  <c r="E539" i="3"/>
  <c r="D539" i="3"/>
  <c r="C539" i="3"/>
  <c r="B539" i="3"/>
  <c r="A539" i="3"/>
  <c r="F538" i="3"/>
  <c r="E538" i="3"/>
  <c r="D538" i="3"/>
  <c r="C538" i="3"/>
  <c r="B538" i="3"/>
  <c r="A538" i="3"/>
  <c r="F537" i="3"/>
  <c r="E537" i="3"/>
  <c r="D537" i="3"/>
  <c r="C537" i="3"/>
  <c r="B537" i="3"/>
  <c r="A537" i="3"/>
  <c r="F536" i="3"/>
  <c r="E536" i="3"/>
  <c r="D536" i="3"/>
  <c r="C536" i="3"/>
  <c r="B536" i="3"/>
  <c r="A536" i="3"/>
  <c r="F535" i="3"/>
  <c r="E535" i="3"/>
  <c r="D535" i="3"/>
  <c r="C535" i="3"/>
  <c r="B535" i="3"/>
  <c r="A535" i="3"/>
  <c r="F534" i="3"/>
  <c r="E534" i="3"/>
  <c r="D534" i="3"/>
  <c r="C534" i="3"/>
  <c r="B534" i="3"/>
  <c r="A534" i="3"/>
  <c r="F533" i="3"/>
  <c r="E533" i="3"/>
  <c r="D533" i="3"/>
  <c r="C533" i="3"/>
  <c r="B533" i="3"/>
  <c r="A533" i="3"/>
  <c r="F532" i="3"/>
  <c r="E532" i="3"/>
  <c r="D532" i="3"/>
  <c r="C532" i="3"/>
  <c r="B532" i="3"/>
  <c r="A532" i="3"/>
  <c r="F531" i="3"/>
  <c r="E531" i="3"/>
  <c r="D531" i="3"/>
  <c r="C531" i="3"/>
  <c r="B531" i="3"/>
  <c r="A531" i="3"/>
  <c r="F530" i="3"/>
  <c r="E530" i="3"/>
  <c r="D530" i="3"/>
  <c r="C530" i="3"/>
  <c r="B530" i="3"/>
  <c r="A530" i="3"/>
  <c r="F529" i="3"/>
  <c r="E529" i="3"/>
  <c r="D529" i="3"/>
  <c r="C529" i="3"/>
  <c r="B529" i="3"/>
  <c r="A529" i="3"/>
  <c r="F528" i="3"/>
  <c r="E528" i="3"/>
  <c r="D528" i="3"/>
  <c r="C528" i="3"/>
  <c r="B528" i="3"/>
  <c r="A528" i="3"/>
  <c r="F527" i="3"/>
  <c r="E527" i="3"/>
  <c r="D527" i="3"/>
  <c r="C527" i="3"/>
  <c r="B527" i="3"/>
  <c r="A527" i="3"/>
  <c r="F526" i="3"/>
  <c r="E526" i="3"/>
  <c r="D526" i="3"/>
  <c r="C526" i="3"/>
  <c r="B526" i="3"/>
  <c r="A526" i="3"/>
  <c r="F525" i="3"/>
  <c r="E525" i="3"/>
  <c r="D525" i="3"/>
  <c r="C525" i="3"/>
  <c r="B525" i="3"/>
  <c r="A525" i="3"/>
  <c r="F524" i="3"/>
  <c r="E524" i="3"/>
  <c r="D524" i="3"/>
  <c r="C524" i="3"/>
  <c r="B524" i="3"/>
  <c r="A524" i="3"/>
  <c r="F523" i="3"/>
  <c r="E523" i="3"/>
  <c r="D523" i="3"/>
  <c r="C523" i="3"/>
  <c r="B523" i="3"/>
  <c r="A523" i="3"/>
  <c r="F522" i="3"/>
  <c r="E522" i="3"/>
  <c r="D522" i="3"/>
  <c r="C522" i="3"/>
  <c r="B522" i="3"/>
  <c r="A522" i="3"/>
  <c r="F521" i="3"/>
  <c r="E521" i="3"/>
  <c r="D521" i="3"/>
  <c r="C521" i="3"/>
  <c r="B521" i="3"/>
  <c r="A521" i="3"/>
  <c r="F520" i="3"/>
  <c r="E520" i="3"/>
  <c r="D520" i="3"/>
  <c r="C520" i="3"/>
  <c r="B520" i="3"/>
  <c r="A520" i="3"/>
  <c r="F519" i="3"/>
  <c r="E519" i="3"/>
  <c r="D519" i="3"/>
  <c r="C519" i="3"/>
  <c r="B519" i="3"/>
  <c r="A519" i="3"/>
  <c r="F518" i="3"/>
  <c r="E518" i="3"/>
  <c r="D518" i="3"/>
  <c r="C518" i="3"/>
  <c r="B518" i="3"/>
  <c r="A518" i="3"/>
  <c r="F517" i="3"/>
  <c r="E517" i="3"/>
  <c r="D517" i="3"/>
  <c r="C517" i="3"/>
  <c r="B517" i="3"/>
  <c r="A517" i="3"/>
  <c r="F516" i="3"/>
  <c r="E516" i="3"/>
  <c r="D516" i="3"/>
  <c r="C516" i="3"/>
  <c r="B516" i="3"/>
  <c r="A516" i="3"/>
  <c r="F515" i="3"/>
  <c r="E515" i="3"/>
  <c r="D515" i="3"/>
  <c r="C515" i="3"/>
  <c r="B515" i="3"/>
  <c r="A515" i="3"/>
  <c r="F514" i="3"/>
  <c r="E514" i="3"/>
  <c r="D514" i="3"/>
  <c r="C514" i="3"/>
  <c r="B514" i="3"/>
  <c r="A514" i="3"/>
  <c r="F513" i="3"/>
  <c r="E513" i="3"/>
  <c r="D513" i="3"/>
  <c r="C513" i="3"/>
  <c r="B513" i="3"/>
  <c r="A513" i="3"/>
  <c r="F512" i="3"/>
  <c r="E512" i="3"/>
  <c r="D512" i="3"/>
  <c r="C512" i="3"/>
  <c r="B512" i="3"/>
  <c r="A512" i="3"/>
  <c r="F511" i="3"/>
  <c r="E511" i="3"/>
  <c r="D511" i="3"/>
  <c r="C511" i="3"/>
  <c r="B511" i="3"/>
  <c r="A511" i="3"/>
  <c r="F510" i="3"/>
  <c r="E510" i="3"/>
  <c r="D510" i="3"/>
  <c r="C510" i="3"/>
  <c r="B510" i="3"/>
  <c r="A510" i="3"/>
  <c r="F509" i="3"/>
  <c r="E509" i="3"/>
  <c r="D509" i="3"/>
  <c r="C509" i="3"/>
  <c r="B509" i="3"/>
  <c r="A509" i="3"/>
  <c r="F508" i="3"/>
  <c r="E508" i="3"/>
  <c r="D508" i="3"/>
  <c r="C508" i="3"/>
  <c r="B508" i="3"/>
  <c r="A508" i="3"/>
  <c r="F507" i="3"/>
  <c r="E507" i="3"/>
  <c r="D507" i="3"/>
  <c r="C507" i="3"/>
  <c r="B507" i="3"/>
  <c r="A507" i="3"/>
  <c r="F506" i="3"/>
  <c r="E506" i="3"/>
  <c r="D506" i="3"/>
  <c r="C506" i="3"/>
  <c r="B506" i="3"/>
  <c r="A506" i="3"/>
  <c r="F505" i="3"/>
  <c r="E505" i="3"/>
  <c r="D505" i="3"/>
  <c r="C505" i="3"/>
  <c r="B505" i="3"/>
  <c r="A505" i="3"/>
  <c r="F504" i="3"/>
  <c r="E504" i="3"/>
  <c r="D504" i="3"/>
  <c r="C504" i="3"/>
  <c r="B504" i="3"/>
  <c r="A504" i="3"/>
  <c r="F503" i="3"/>
  <c r="E503" i="3"/>
  <c r="D503" i="3"/>
  <c r="C503" i="3"/>
  <c r="B503" i="3"/>
  <c r="A503" i="3"/>
  <c r="F502" i="3"/>
  <c r="E502" i="3"/>
  <c r="D502" i="3"/>
  <c r="C502" i="3"/>
  <c r="B502" i="3"/>
  <c r="A502" i="3"/>
  <c r="F501" i="3"/>
  <c r="E501" i="3"/>
  <c r="D501" i="3"/>
  <c r="C501" i="3"/>
  <c r="B501" i="3"/>
  <c r="A501" i="3"/>
  <c r="F500" i="3"/>
  <c r="E500" i="3"/>
  <c r="D500" i="3"/>
  <c r="C500" i="3"/>
  <c r="B500" i="3"/>
  <c r="A500" i="3"/>
  <c r="F499" i="3"/>
  <c r="E499" i="3"/>
  <c r="D499" i="3"/>
  <c r="C499" i="3"/>
  <c r="B499" i="3"/>
  <c r="A499" i="3"/>
  <c r="F498" i="3"/>
  <c r="E498" i="3"/>
  <c r="D498" i="3"/>
  <c r="C498" i="3"/>
  <c r="B498" i="3"/>
  <c r="A498" i="3"/>
  <c r="F497" i="3"/>
  <c r="E497" i="3"/>
  <c r="D497" i="3"/>
  <c r="C497" i="3"/>
  <c r="B497" i="3"/>
  <c r="A497" i="3"/>
  <c r="F496" i="3"/>
  <c r="E496" i="3"/>
  <c r="D496" i="3"/>
  <c r="C496" i="3"/>
  <c r="B496" i="3"/>
  <c r="A496" i="3"/>
  <c r="F495" i="3"/>
  <c r="E495" i="3"/>
  <c r="D495" i="3"/>
  <c r="C495" i="3"/>
  <c r="B495" i="3"/>
  <c r="A495" i="3"/>
  <c r="F494" i="3"/>
  <c r="E494" i="3"/>
  <c r="D494" i="3"/>
  <c r="C494" i="3"/>
  <c r="B494" i="3"/>
  <c r="A494" i="3"/>
  <c r="F493" i="3"/>
  <c r="E493" i="3"/>
  <c r="D493" i="3"/>
  <c r="C493" i="3"/>
  <c r="B493" i="3"/>
  <c r="A493" i="3"/>
  <c r="F492" i="3"/>
  <c r="E492" i="3"/>
  <c r="D492" i="3"/>
  <c r="C492" i="3"/>
  <c r="B492" i="3"/>
  <c r="A492" i="3"/>
  <c r="F491" i="3"/>
  <c r="E491" i="3"/>
  <c r="D491" i="3"/>
  <c r="C491" i="3"/>
  <c r="B491" i="3"/>
  <c r="A491" i="3"/>
  <c r="F490" i="3"/>
  <c r="E490" i="3"/>
  <c r="D490" i="3"/>
  <c r="C490" i="3"/>
  <c r="B490" i="3"/>
  <c r="A490" i="3"/>
  <c r="F489" i="3"/>
  <c r="E489" i="3"/>
  <c r="D489" i="3"/>
  <c r="C489" i="3"/>
  <c r="B489" i="3"/>
  <c r="A489" i="3"/>
  <c r="F488" i="3"/>
  <c r="E488" i="3"/>
  <c r="D488" i="3"/>
  <c r="C488" i="3"/>
  <c r="B488" i="3"/>
  <c r="A488" i="3"/>
  <c r="F487" i="3"/>
  <c r="E487" i="3"/>
  <c r="D487" i="3"/>
  <c r="C487" i="3"/>
  <c r="B487" i="3"/>
  <c r="A487" i="3"/>
  <c r="F486" i="3"/>
  <c r="E486" i="3"/>
  <c r="D486" i="3"/>
  <c r="C486" i="3"/>
  <c r="B486" i="3"/>
  <c r="A486" i="3"/>
  <c r="F485" i="3"/>
  <c r="E485" i="3"/>
  <c r="D485" i="3"/>
  <c r="C485" i="3"/>
  <c r="B485" i="3"/>
  <c r="A485" i="3"/>
  <c r="F484" i="3"/>
  <c r="E484" i="3"/>
  <c r="D484" i="3"/>
  <c r="C484" i="3"/>
  <c r="B484" i="3"/>
  <c r="A484" i="3"/>
  <c r="F483" i="3"/>
  <c r="E483" i="3"/>
  <c r="D483" i="3"/>
  <c r="C483" i="3"/>
  <c r="B483" i="3"/>
  <c r="A483" i="3"/>
  <c r="F482" i="3"/>
  <c r="E482" i="3"/>
  <c r="D482" i="3"/>
  <c r="C482" i="3"/>
  <c r="B482" i="3"/>
  <c r="A482" i="3"/>
  <c r="F481" i="3"/>
  <c r="E481" i="3"/>
  <c r="D481" i="3"/>
  <c r="C481" i="3"/>
  <c r="B481" i="3"/>
  <c r="A481" i="3"/>
  <c r="F480" i="3"/>
  <c r="E480" i="3"/>
  <c r="D480" i="3"/>
  <c r="C480" i="3"/>
  <c r="B480" i="3"/>
  <c r="A480" i="3"/>
  <c r="F479" i="3"/>
  <c r="E479" i="3"/>
  <c r="D479" i="3"/>
  <c r="C479" i="3"/>
  <c r="B479" i="3"/>
  <c r="A479" i="3"/>
  <c r="F478" i="3"/>
  <c r="E478" i="3"/>
  <c r="D478" i="3"/>
  <c r="C478" i="3"/>
  <c r="B478" i="3"/>
  <c r="A478" i="3"/>
  <c r="F477" i="3"/>
  <c r="E477" i="3"/>
  <c r="D477" i="3"/>
  <c r="C477" i="3"/>
  <c r="B477" i="3"/>
  <c r="A477" i="3"/>
  <c r="F476" i="3"/>
  <c r="E476" i="3"/>
  <c r="D476" i="3"/>
  <c r="C476" i="3"/>
  <c r="B476" i="3"/>
  <c r="A476" i="3"/>
  <c r="F475" i="3"/>
  <c r="E475" i="3"/>
  <c r="D475" i="3"/>
  <c r="C475" i="3"/>
  <c r="B475" i="3"/>
  <c r="A475" i="3"/>
  <c r="F474" i="3"/>
  <c r="E474" i="3"/>
  <c r="D474" i="3"/>
  <c r="C474" i="3"/>
  <c r="B474" i="3"/>
  <c r="A474" i="3"/>
  <c r="F473" i="3"/>
  <c r="E473" i="3"/>
  <c r="D473" i="3"/>
  <c r="C473" i="3"/>
  <c r="B473" i="3"/>
  <c r="A473" i="3"/>
  <c r="F472" i="3"/>
  <c r="E472" i="3"/>
  <c r="D472" i="3"/>
  <c r="C472" i="3"/>
  <c r="B472" i="3"/>
  <c r="A472" i="3"/>
  <c r="F471" i="3"/>
  <c r="E471" i="3"/>
  <c r="D471" i="3"/>
  <c r="C471" i="3"/>
  <c r="B471" i="3"/>
  <c r="A471" i="3"/>
  <c r="F470" i="3"/>
  <c r="E470" i="3"/>
  <c r="D470" i="3"/>
  <c r="C470" i="3"/>
  <c r="B470" i="3"/>
  <c r="A470" i="3"/>
  <c r="F469" i="3"/>
  <c r="E469" i="3"/>
  <c r="D469" i="3"/>
  <c r="C469" i="3"/>
  <c r="B469" i="3"/>
  <c r="A469" i="3"/>
  <c r="F468" i="3"/>
  <c r="E468" i="3"/>
  <c r="D468" i="3"/>
  <c r="C468" i="3"/>
  <c r="B468" i="3"/>
  <c r="A468" i="3"/>
  <c r="F467" i="3"/>
  <c r="E467" i="3"/>
  <c r="D467" i="3"/>
  <c r="C467" i="3"/>
  <c r="B467" i="3"/>
  <c r="A467" i="3"/>
  <c r="F466" i="3"/>
  <c r="E466" i="3"/>
  <c r="D466" i="3"/>
  <c r="C466" i="3"/>
  <c r="B466" i="3"/>
  <c r="A466" i="3"/>
  <c r="F465" i="3"/>
  <c r="E465" i="3"/>
  <c r="D465" i="3"/>
  <c r="C465" i="3"/>
  <c r="B465" i="3"/>
  <c r="A465" i="3"/>
  <c r="F464" i="3"/>
  <c r="E464" i="3"/>
  <c r="D464" i="3"/>
  <c r="C464" i="3"/>
  <c r="B464" i="3"/>
  <c r="A464" i="3"/>
  <c r="F463" i="3"/>
  <c r="E463" i="3"/>
  <c r="D463" i="3"/>
  <c r="C463" i="3"/>
  <c r="B463" i="3"/>
  <c r="A463" i="3"/>
  <c r="F462" i="3"/>
  <c r="E462" i="3"/>
  <c r="D462" i="3"/>
  <c r="C462" i="3"/>
  <c r="B462" i="3"/>
  <c r="A462" i="3"/>
  <c r="F461" i="3"/>
  <c r="E461" i="3"/>
  <c r="D461" i="3"/>
  <c r="C461" i="3"/>
  <c r="B461" i="3"/>
  <c r="A461" i="3"/>
  <c r="F460" i="3"/>
  <c r="E460" i="3"/>
  <c r="D460" i="3"/>
  <c r="C460" i="3"/>
  <c r="B460" i="3"/>
  <c r="A460" i="3"/>
  <c r="F459" i="3"/>
  <c r="E459" i="3"/>
  <c r="D459" i="3"/>
  <c r="C459" i="3"/>
  <c r="B459" i="3"/>
  <c r="A459" i="3"/>
  <c r="F458" i="3"/>
  <c r="E458" i="3"/>
  <c r="D458" i="3"/>
  <c r="C458" i="3"/>
  <c r="B458" i="3"/>
  <c r="A458" i="3"/>
  <c r="F457" i="3"/>
  <c r="E457" i="3"/>
  <c r="D457" i="3"/>
  <c r="C457" i="3"/>
  <c r="B457" i="3"/>
  <c r="A457" i="3"/>
  <c r="F456" i="3"/>
  <c r="E456" i="3"/>
  <c r="D456" i="3"/>
  <c r="C456" i="3"/>
  <c r="B456" i="3"/>
  <c r="A456" i="3"/>
  <c r="F455" i="3"/>
  <c r="E455" i="3"/>
  <c r="D455" i="3"/>
  <c r="C455" i="3"/>
  <c r="B455" i="3"/>
  <c r="A455" i="3"/>
  <c r="F454" i="3"/>
  <c r="E454" i="3"/>
  <c r="D454" i="3"/>
  <c r="C454" i="3"/>
  <c r="B454" i="3"/>
  <c r="A454" i="3"/>
  <c r="F453" i="3"/>
  <c r="E453" i="3"/>
  <c r="D453" i="3"/>
  <c r="C453" i="3"/>
  <c r="B453" i="3"/>
  <c r="A453" i="3"/>
  <c r="F452" i="3"/>
  <c r="E452" i="3"/>
  <c r="D452" i="3"/>
  <c r="C452" i="3"/>
  <c r="B452" i="3"/>
  <c r="A452" i="3"/>
  <c r="F451" i="3"/>
  <c r="E451" i="3"/>
  <c r="D451" i="3"/>
  <c r="C451" i="3"/>
  <c r="B451" i="3"/>
  <c r="A451" i="3"/>
  <c r="F450" i="3"/>
  <c r="E450" i="3"/>
  <c r="D450" i="3"/>
  <c r="C450" i="3"/>
  <c r="B450" i="3"/>
  <c r="A450" i="3"/>
  <c r="F449" i="3"/>
  <c r="E449" i="3"/>
  <c r="D449" i="3"/>
  <c r="C449" i="3"/>
  <c r="B449" i="3"/>
  <c r="A449" i="3"/>
  <c r="F448" i="3"/>
  <c r="E448" i="3"/>
  <c r="D448" i="3"/>
  <c r="C448" i="3"/>
  <c r="B448" i="3"/>
  <c r="A448" i="3"/>
  <c r="F447" i="3"/>
  <c r="E447" i="3"/>
  <c r="D447" i="3"/>
  <c r="C447" i="3"/>
  <c r="B447" i="3"/>
  <c r="A447" i="3"/>
  <c r="F446" i="3"/>
  <c r="E446" i="3"/>
  <c r="D446" i="3"/>
  <c r="C446" i="3"/>
  <c r="B446" i="3"/>
  <c r="A446" i="3"/>
  <c r="F445" i="3"/>
  <c r="E445" i="3"/>
  <c r="D445" i="3"/>
  <c r="C445" i="3"/>
  <c r="B445" i="3"/>
  <c r="A445" i="3"/>
  <c r="F444" i="3"/>
  <c r="E444" i="3"/>
  <c r="D444" i="3"/>
  <c r="C444" i="3"/>
  <c r="B444" i="3"/>
  <c r="A444" i="3"/>
  <c r="F443" i="3"/>
  <c r="E443" i="3"/>
  <c r="D443" i="3"/>
  <c r="C443" i="3"/>
  <c r="B443" i="3"/>
  <c r="A443" i="3"/>
  <c r="F442" i="3"/>
  <c r="E442" i="3"/>
  <c r="D442" i="3"/>
  <c r="C442" i="3"/>
  <c r="B442" i="3"/>
  <c r="A442" i="3"/>
  <c r="F441" i="3"/>
  <c r="E441" i="3"/>
  <c r="D441" i="3"/>
  <c r="C441" i="3"/>
  <c r="B441" i="3"/>
  <c r="A441" i="3"/>
  <c r="F440" i="3"/>
  <c r="E440" i="3"/>
  <c r="D440" i="3"/>
  <c r="C440" i="3"/>
  <c r="B440" i="3"/>
  <c r="A440" i="3"/>
  <c r="F439" i="3"/>
  <c r="E439" i="3"/>
  <c r="D439" i="3"/>
  <c r="C439" i="3"/>
  <c r="B439" i="3"/>
  <c r="A439" i="3"/>
  <c r="F438" i="3"/>
  <c r="E438" i="3"/>
  <c r="D438" i="3"/>
  <c r="C438" i="3"/>
  <c r="B438" i="3"/>
  <c r="A438" i="3"/>
  <c r="F437" i="3"/>
  <c r="E437" i="3"/>
  <c r="D437" i="3"/>
  <c r="C437" i="3"/>
  <c r="B437" i="3"/>
  <c r="A437" i="3"/>
  <c r="F436" i="3"/>
  <c r="E436" i="3"/>
  <c r="D436" i="3"/>
  <c r="C436" i="3"/>
  <c r="B436" i="3"/>
  <c r="A436" i="3"/>
  <c r="F435" i="3"/>
  <c r="E435" i="3"/>
  <c r="D435" i="3"/>
  <c r="C435" i="3"/>
  <c r="B435" i="3"/>
  <c r="A435" i="3"/>
  <c r="F434" i="3"/>
  <c r="E434" i="3"/>
  <c r="D434" i="3"/>
  <c r="C434" i="3"/>
  <c r="B434" i="3"/>
  <c r="A434" i="3"/>
  <c r="F433" i="3"/>
  <c r="E433" i="3"/>
  <c r="D433" i="3"/>
  <c r="C433" i="3"/>
  <c r="B433" i="3"/>
  <c r="A433" i="3"/>
  <c r="F432" i="3"/>
  <c r="E432" i="3"/>
  <c r="D432" i="3"/>
  <c r="C432" i="3"/>
  <c r="B432" i="3"/>
  <c r="A432" i="3"/>
  <c r="F431" i="3"/>
  <c r="E431" i="3"/>
  <c r="D431" i="3"/>
  <c r="C431" i="3"/>
  <c r="B431" i="3"/>
  <c r="A431" i="3"/>
  <c r="F430" i="3"/>
  <c r="E430" i="3"/>
  <c r="D430" i="3"/>
  <c r="C430" i="3"/>
  <c r="B430" i="3"/>
  <c r="A430" i="3"/>
  <c r="F429" i="3"/>
  <c r="E429" i="3"/>
  <c r="D429" i="3"/>
  <c r="C429" i="3"/>
  <c r="B429" i="3"/>
  <c r="A429" i="3"/>
  <c r="F428" i="3"/>
  <c r="E428" i="3"/>
  <c r="D428" i="3"/>
  <c r="C428" i="3"/>
  <c r="B428" i="3"/>
  <c r="A428" i="3"/>
  <c r="F427" i="3"/>
  <c r="E427" i="3"/>
  <c r="D427" i="3"/>
  <c r="C427" i="3"/>
  <c r="B427" i="3"/>
  <c r="A427" i="3"/>
  <c r="F426" i="3"/>
  <c r="E426" i="3"/>
  <c r="D426" i="3"/>
  <c r="C426" i="3"/>
  <c r="B426" i="3"/>
  <c r="A426" i="3"/>
  <c r="F425" i="3"/>
  <c r="E425" i="3"/>
  <c r="D425" i="3"/>
  <c r="C425" i="3"/>
  <c r="B425" i="3"/>
  <c r="A425" i="3"/>
  <c r="F424" i="3"/>
  <c r="E424" i="3"/>
  <c r="D424" i="3"/>
  <c r="C424" i="3"/>
  <c r="B424" i="3"/>
  <c r="A424" i="3"/>
  <c r="F423" i="3"/>
  <c r="E423" i="3"/>
  <c r="D423" i="3"/>
  <c r="C423" i="3"/>
  <c r="B423" i="3"/>
  <c r="A423" i="3"/>
  <c r="F422" i="3"/>
  <c r="E422" i="3"/>
  <c r="D422" i="3"/>
  <c r="C422" i="3"/>
  <c r="B422" i="3"/>
  <c r="A422" i="3"/>
  <c r="F421" i="3"/>
  <c r="E421" i="3"/>
  <c r="D421" i="3"/>
  <c r="C421" i="3"/>
  <c r="B421" i="3"/>
  <c r="A421" i="3"/>
  <c r="F420" i="3"/>
  <c r="E420" i="3"/>
  <c r="D420" i="3"/>
  <c r="C420" i="3"/>
  <c r="B420" i="3"/>
  <c r="A420" i="3"/>
  <c r="F419" i="3"/>
  <c r="E419" i="3"/>
  <c r="D419" i="3"/>
  <c r="C419" i="3"/>
  <c r="B419" i="3"/>
  <c r="A419" i="3"/>
  <c r="F418" i="3"/>
  <c r="E418" i="3"/>
  <c r="D418" i="3"/>
  <c r="C418" i="3"/>
  <c r="B418" i="3"/>
  <c r="A418" i="3"/>
  <c r="F417" i="3"/>
  <c r="E417" i="3"/>
  <c r="D417" i="3"/>
  <c r="C417" i="3"/>
  <c r="B417" i="3"/>
  <c r="A417" i="3"/>
  <c r="F416" i="3"/>
  <c r="E416" i="3"/>
  <c r="D416" i="3"/>
  <c r="C416" i="3"/>
  <c r="B416" i="3"/>
  <c r="A416" i="3"/>
  <c r="F415" i="3"/>
  <c r="E415" i="3"/>
  <c r="D415" i="3"/>
  <c r="C415" i="3"/>
  <c r="B415" i="3"/>
  <c r="A415" i="3"/>
  <c r="F414" i="3"/>
  <c r="E414" i="3"/>
  <c r="D414" i="3"/>
  <c r="C414" i="3"/>
  <c r="B414" i="3"/>
  <c r="A414" i="3"/>
  <c r="F413" i="3"/>
  <c r="E413" i="3"/>
  <c r="D413" i="3"/>
  <c r="C413" i="3"/>
  <c r="B413" i="3"/>
  <c r="A413" i="3"/>
  <c r="F412" i="3"/>
  <c r="E412" i="3"/>
  <c r="D412" i="3"/>
  <c r="C412" i="3"/>
  <c r="B412" i="3"/>
  <c r="A412" i="3"/>
  <c r="F411" i="3"/>
  <c r="E411" i="3"/>
  <c r="D411" i="3"/>
  <c r="C411" i="3"/>
  <c r="B411" i="3"/>
  <c r="A411" i="3"/>
  <c r="F410" i="3"/>
  <c r="E410" i="3"/>
  <c r="D410" i="3"/>
  <c r="C410" i="3"/>
  <c r="B410" i="3"/>
  <c r="A410" i="3"/>
  <c r="F409" i="3"/>
  <c r="E409" i="3"/>
  <c r="D409" i="3"/>
  <c r="C409" i="3"/>
  <c r="B409" i="3"/>
  <c r="A409" i="3"/>
  <c r="F408" i="3"/>
  <c r="E408" i="3"/>
  <c r="D408" i="3"/>
  <c r="C408" i="3"/>
  <c r="B408" i="3"/>
  <c r="A408" i="3"/>
  <c r="F407" i="3"/>
  <c r="E407" i="3"/>
  <c r="D407" i="3"/>
  <c r="C407" i="3"/>
  <c r="B407" i="3"/>
  <c r="A407" i="3"/>
  <c r="F406" i="3"/>
  <c r="E406" i="3"/>
  <c r="D406" i="3"/>
  <c r="C406" i="3"/>
  <c r="B406" i="3"/>
  <c r="A406" i="3"/>
  <c r="F405" i="3"/>
  <c r="E405" i="3"/>
  <c r="D405" i="3"/>
  <c r="C405" i="3"/>
  <c r="B405" i="3"/>
  <c r="A405" i="3"/>
  <c r="F404" i="3"/>
  <c r="E404" i="3"/>
  <c r="D404" i="3"/>
  <c r="C404" i="3"/>
  <c r="B404" i="3"/>
  <c r="A404" i="3"/>
  <c r="F403" i="3"/>
  <c r="E403" i="3"/>
  <c r="D403" i="3"/>
  <c r="C403" i="3"/>
  <c r="B403" i="3"/>
  <c r="A403" i="3"/>
  <c r="F402" i="3"/>
  <c r="E402" i="3"/>
  <c r="D402" i="3"/>
  <c r="C402" i="3"/>
  <c r="B402" i="3"/>
  <c r="A402" i="3"/>
  <c r="F401" i="3"/>
  <c r="E401" i="3"/>
  <c r="D401" i="3"/>
  <c r="C401" i="3"/>
  <c r="B401" i="3"/>
  <c r="A401" i="3"/>
  <c r="F400" i="3"/>
  <c r="E400" i="3"/>
  <c r="D400" i="3"/>
  <c r="C400" i="3"/>
  <c r="B400" i="3"/>
  <c r="A400" i="3"/>
  <c r="F399" i="3"/>
  <c r="E399" i="3"/>
  <c r="D399" i="3"/>
  <c r="C399" i="3"/>
  <c r="B399" i="3"/>
  <c r="A399" i="3"/>
  <c r="F398" i="3"/>
  <c r="E398" i="3"/>
  <c r="D398" i="3"/>
  <c r="C398" i="3"/>
  <c r="B398" i="3"/>
  <c r="A398" i="3"/>
  <c r="F397" i="3"/>
  <c r="E397" i="3"/>
  <c r="D397" i="3"/>
  <c r="C397" i="3"/>
  <c r="B397" i="3"/>
  <c r="A397" i="3"/>
  <c r="F396" i="3"/>
  <c r="E396" i="3"/>
  <c r="D396" i="3"/>
  <c r="C396" i="3"/>
  <c r="B396" i="3"/>
  <c r="A396" i="3"/>
  <c r="F395" i="3"/>
  <c r="E395" i="3"/>
  <c r="D395" i="3"/>
  <c r="C395" i="3"/>
  <c r="B395" i="3"/>
  <c r="A395" i="3"/>
  <c r="F394" i="3"/>
  <c r="E394" i="3"/>
  <c r="D394" i="3"/>
  <c r="C394" i="3"/>
  <c r="B394" i="3"/>
  <c r="A394" i="3"/>
  <c r="F393" i="3"/>
  <c r="E393" i="3"/>
  <c r="D393" i="3"/>
  <c r="C393" i="3"/>
  <c r="B393" i="3"/>
  <c r="A393" i="3"/>
  <c r="F392" i="3"/>
  <c r="E392" i="3"/>
  <c r="D392" i="3"/>
  <c r="C392" i="3"/>
  <c r="B392" i="3"/>
  <c r="A392" i="3"/>
  <c r="F391" i="3"/>
  <c r="E391" i="3"/>
  <c r="D391" i="3"/>
  <c r="C391" i="3"/>
  <c r="B391" i="3"/>
  <c r="A391" i="3"/>
  <c r="F390" i="3"/>
  <c r="E390" i="3"/>
  <c r="D390" i="3"/>
  <c r="C390" i="3"/>
  <c r="B390" i="3"/>
  <c r="A390" i="3"/>
  <c r="F389" i="3"/>
  <c r="E389" i="3"/>
  <c r="D389" i="3"/>
  <c r="C389" i="3"/>
  <c r="B389" i="3"/>
  <c r="A389" i="3"/>
  <c r="F388" i="3"/>
  <c r="E388" i="3"/>
  <c r="D388" i="3"/>
  <c r="C388" i="3"/>
  <c r="B388" i="3"/>
  <c r="A388" i="3"/>
  <c r="F387" i="3"/>
  <c r="E387" i="3"/>
  <c r="D387" i="3"/>
  <c r="C387" i="3"/>
  <c r="B387" i="3"/>
  <c r="A387" i="3"/>
  <c r="F386" i="3"/>
  <c r="E386" i="3"/>
  <c r="D386" i="3"/>
  <c r="C386" i="3"/>
  <c r="B386" i="3"/>
  <c r="A386" i="3"/>
  <c r="F385" i="3"/>
  <c r="E385" i="3"/>
  <c r="D385" i="3"/>
  <c r="C385" i="3"/>
  <c r="B385" i="3"/>
  <c r="A385" i="3"/>
  <c r="F384" i="3"/>
  <c r="E384" i="3"/>
  <c r="D384" i="3"/>
  <c r="C384" i="3"/>
  <c r="B384" i="3"/>
  <c r="A384" i="3"/>
  <c r="F383" i="3"/>
  <c r="E383" i="3"/>
  <c r="D383" i="3"/>
  <c r="C383" i="3"/>
  <c r="B383" i="3"/>
  <c r="A383" i="3"/>
  <c r="F382" i="3"/>
  <c r="E382" i="3"/>
  <c r="D382" i="3"/>
  <c r="C382" i="3"/>
  <c r="B382" i="3"/>
  <c r="A382" i="3"/>
  <c r="F381" i="3"/>
  <c r="E381" i="3"/>
  <c r="D381" i="3"/>
  <c r="C381" i="3"/>
  <c r="B381" i="3"/>
  <c r="A381" i="3"/>
  <c r="F380" i="3"/>
  <c r="E380" i="3"/>
  <c r="D380" i="3"/>
  <c r="C380" i="3"/>
  <c r="B380" i="3"/>
  <c r="A380" i="3"/>
  <c r="F379" i="3"/>
  <c r="E379" i="3"/>
  <c r="D379" i="3"/>
  <c r="C379" i="3"/>
  <c r="B379" i="3"/>
  <c r="A379" i="3"/>
  <c r="F378" i="3"/>
  <c r="E378" i="3"/>
  <c r="D378" i="3"/>
  <c r="C378" i="3"/>
  <c r="B378" i="3"/>
  <c r="A378" i="3"/>
  <c r="F377" i="3"/>
  <c r="E377" i="3"/>
  <c r="D377" i="3"/>
  <c r="C377" i="3"/>
  <c r="B377" i="3"/>
  <c r="A377" i="3"/>
  <c r="F376" i="3"/>
  <c r="E376" i="3"/>
  <c r="D376" i="3"/>
  <c r="C376" i="3"/>
  <c r="B376" i="3"/>
  <c r="A376" i="3"/>
  <c r="F375" i="3"/>
  <c r="E375" i="3"/>
  <c r="D375" i="3"/>
  <c r="C375" i="3"/>
  <c r="B375" i="3"/>
  <c r="A375" i="3"/>
  <c r="F374" i="3"/>
  <c r="E374" i="3"/>
  <c r="D374" i="3"/>
  <c r="C374" i="3"/>
  <c r="B374" i="3"/>
  <c r="A374" i="3"/>
  <c r="F373" i="3"/>
  <c r="E373" i="3"/>
  <c r="D373" i="3"/>
  <c r="C373" i="3"/>
  <c r="B373" i="3"/>
  <c r="A373" i="3"/>
  <c r="F372" i="3"/>
  <c r="E372" i="3"/>
  <c r="D372" i="3"/>
  <c r="C372" i="3"/>
  <c r="B372" i="3"/>
  <c r="A372" i="3"/>
  <c r="F371" i="3"/>
  <c r="E371" i="3"/>
  <c r="D371" i="3"/>
  <c r="C371" i="3"/>
  <c r="B371" i="3"/>
  <c r="A371" i="3"/>
  <c r="F370" i="3"/>
  <c r="E370" i="3"/>
  <c r="D370" i="3"/>
  <c r="C370" i="3"/>
  <c r="B370" i="3"/>
  <c r="A370" i="3"/>
  <c r="F369" i="3"/>
  <c r="E369" i="3"/>
  <c r="D369" i="3"/>
  <c r="C369" i="3"/>
  <c r="B369" i="3"/>
  <c r="A369" i="3"/>
  <c r="F368" i="3"/>
  <c r="E368" i="3"/>
  <c r="D368" i="3"/>
  <c r="C368" i="3"/>
  <c r="B368" i="3"/>
  <c r="A368" i="3"/>
  <c r="F367" i="3"/>
  <c r="E367" i="3"/>
  <c r="D367" i="3"/>
  <c r="C367" i="3"/>
  <c r="B367" i="3"/>
  <c r="A367" i="3"/>
  <c r="F366" i="3"/>
  <c r="E366" i="3"/>
  <c r="D366" i="3"/>
  <c r="C366" i="3"/>
  <c r="B366" i="3"/>
  <c r="A366" i="3"/>
  <c r="F365" i="3"/>
  <c r="E365" i="3"/>
  <c r="D365" i="3"/>
  <c r="C365" i="3"/>
  <c r="B365" i="3"/>
  <c r="A365" i="3"/>
  <c r="F364" i="3"/>
  <c r="E364" i="3"/>
  <c r="D364" i="3"/>
  <c r="C364" i="3"/>
  <c r="B364" i="3"/>
  <c r="A364" i="3"/>
  <c r="F363" i="3"/>
  <c r="E363" i="3"/>
  <c r="D363" i="3"/>
  <c r="C363" i="3"/>
  <c r="B363" i="3"/>
  <c r="A363" i="3"/>
  <c r="F362" i="3"/>
  <c r="E362" i="3"/>
  <c r="D362" i="3"/>
  <c r="C362" i="3"/>
  <c r="B362" i="3"/>
  <c r="A362" i="3"/>
  <c r="F361" i="3"/>
  <c r="E361" i="3"/>
  <c r="D361" i="3"/>
  <c r="C361" i="3"/>
  <c r="B361" i="3"/>
  <c r="A361" i="3"/>
  <c r="F360" i="3"/>
  <c r="E360" i="3"/>
  <c r="D360" i="3"/>
  <c r="C360" i="3"/>
  <c r="B360" i="3"/>
  <c r="A360" i="3"/>
  <c r="F359" i="3"/>
  <c r="E359" i="3"/>
  <c r="D359" i="3"/>
  <c r="C359" i="3"/>
  <c r="B359" i="3"/>
  <c r="A359" i="3"/>
  <c r="F358" i="3"/>
  <c r="E358" i="3"/>
  <c r="D358" i="3"/>
  <c r="C358" i="3"/>
  <c r="B358" i="3"/>
  <c r="A358" i="3"/>
  <c r="F357" i="3"/>
  <c r="E357" i="3"/>
  <c r="D357" i="3"/>
  <c r="C357" i="3"/>
  <c r="B357" i="3"/>
  <c r="A357" i="3"/>
  <c r="F356" i="3"/>
  <c r="E356" i="3"/>
  <c r="D356" i="3"/>
  <c r="C356" i="3"/>
  <c r="B356" i="3"/>
  <c r="A356" i="3"/>
  <c r="F355" i="3"/>
  <c r="E355" i="3"/>
  <c r="D355" i="3"/>
  <c r="C355" i="3"/>
  <c r="B355" i="3"/>
  <c r="A355" i="3"/>
  <c r="F354" i="3"/>
  <c r="E354" i="3"/>
  <c r="D354" i="3"/>
  <c r="C354" i="3"/>
  <c r="B354" i="3"/>
  <c r="A354" i="3"/>
  <c r="F353" i="3"/>
  <c r="E353" i="3"/>
  <c r="D353" i="3"/>
  <c r="C353" i="3"/>
  <c r="B353" i="3"/>
  <c r="A353" i="3"/>
  <c r="F352" i="3"/>
  <c r="E352" i="3"/>
  <c r="D352" i="3"/>
  <c r="C352" i="3"/>
  <c r="B352" i="3"/>
  <c r="A352" i="3"/>
  <c r="F351" i="3"/>
  <c r="E351" i="3"/>
  <c r="D351" i="3"/>
  <c r="C351" i="3"/>
  <c r="B351" i="3"/>
  <c r="A351" i="3"/>
  <c r="F350" i="3"/>
  <c r="E350" i="3"/>
  <c r="D350" i="3"/>
  <c r="C350" i="3"/>
  <c r="B350" i="3"/>
  <c r="A350" i="3"/>
  <c r="F349" i="3"/>
  <c r="E349" i="3"/>
  <c r="D349" i="3"/>
  <c r="C349" i="3"/>
  <c r="B349" i="3"/>
  <c r="A349" i="3"/>
  <c r="F348" i="3"/>
  <c r="E348" i="3"/>
  <c r="D348" i="3"/>
  <c r="C348" i="3"/>
  <c r="B348" i="3"/>
  <c r="A348" i="3"/>
  <c r="F347" i="3"/>
  <c r="E347" i="3"/>
  <c r="D347" i="3"/>
  <c r="C347" i="3"/>
  <c r="B347" i="3"/>
  <c r="A347" i="3"/>
  <c r="F346" i="3"/>
  <c r="E346" i="3"/>
  <c r="D346" i="3"/>
  <c r="C346" i="3"/>
  <c r="B346" i="3"/>
  <c r="A346" i="3"/>
  <c r="F345" i="3"/>
  <c r="E345" i="3"/>
  <c r="D345" i="3"/>
  <c r="C345" i="3"/>
  <c r="B345" i="3"/>
  <c r="A345" i="3"/>
  <c r="F344" i="3"/>
  <c r="E344" i="3"/>
  <c r="D344" i="3"/>
  <c r="C344" i="3"/>
  <c r="B344" i="3"/>
  <c r="A344" i="3"/>
  <c r="F343" i="3"/>
  <c r="E343" i="3"/>
  <c r="D343" i="3"/>
  <c r="C343" i="3"/>
  <c r="B343" i="3"/>
  <c r="A343" i="3"/>
  <c r="F342" i="3"/>
  <c r="E342" i="3"/>
  <c r="D342" i="3"/>
  <c r="C342" i="3"/>
  <c r="B342" i="3"/>
  <c r="A342" i="3"/>
  <c r="F341" i="3"/>
  <c r="E341" i="3"/>
  <c r="D341" i="3"/>
  <c r="C341" i="3"/>
  <c r="B341" i="3"/>
  <c r="A341" i="3"/>
  <c r="F340" i="3"/>
  <c r="E340" i="3"/>
  <c r="D340" i="3"/>
  <c r="C340" i="3"/>
  <c r="B340" i="3"/>
  <c r="A340" i="3"/>
  <c r="F339" i="3"/>
  <c r="E339" i="3"/>
  <c r="D339" i="3"/>
  <c r="C339" i="3"/>
  <c r="B339" i="3"/>
  <c r="A339" i="3"/>
  <c r="F338" i="3"/>
  <c r="E338" i="3"/>
  <c r="D338" i="3"/>
  <c r="C338" i="3"/>
  <c r="B338" i="3"/>
  <c r="A338" i="3"/>
  <c r="F337" i="3"/>
  <c r="E337" i="3"/>
  <c r="D337" i="3"/>
  <c r="C337" i="3"/>
  <c r="B337" i="3"/>
  <c r="A337" i="3"/>
  <c r="F336" i="3"/>
  <c r="E336" i="3"/>
  <c r="D336" i="3"/>
  <c r="C336" i="3"/>
  <c r="B336" i="3"/>
  <c r="A336" i="3"/>
  <c r="F335" i="3"/>
  <c r="E335" i="3"/>
  <c r="D335" i="3"/>
  <c r="C335" i="3"/>
  <c r="B335" i="3"/>
  <c r="A335" i="3"/>
  <c r="F334" i="3"/>
  <c r="E334" i="3"/>
  <c r="D334" i="3"/>
  <c r="C334" i="3"/>
  <c r="B334" i="3"/>
  <c r="A334" i="3"/>
  <c r="F333" i="3"/>
  <c r="E333" i="3"/>
  <c r="D333" i="3"/>
  <c r="C333" i="3"/>
  <c r="B333" i="3"/>
  <c r="A333" i="3"/>
  <c r="F332" i="3"/>
  <c r="E332" i="3"/>
  <c r="D332" i="3"/>
  <c r="C332" i="3"/>
  <c r="B332" i="3"/>
  <c r="A332" i="3"/>
  <c r="F331" i="3"/>
  <c r="E331" i="3"/>
  <c r="D331" i="3"/>
  <c r="C331" i="3"/>
  <c r="B331" i="3"/>
  <c r="A331" i="3"/>
  <c r="F330" i="3"/>
  <c r="E330" i="3"/>
  <c r="D330" i="3"/>
  <c r="C330" i="3"/>
  <c r="B330" i="3"/>
  <c r="A330" i="3"/>
  <c r="F329" i="3"/>
  <c r="E329" i="3"/>
  <c r="D329" i="3"/>
  <c r="C329" i="3"/>
  <c r="B329" i="3"/>
  <c r="A329" i="3"/>
  <c r="F328" i="3"/>
  <c r="E328" i="3"/>
  <c r="D328" i="3"/>
  <c r="C328" i="3"/>
  <c r="B328" i="3"/>
  <c r="A328" i="3"/>
  <c r="F327" i="3"/>
  <c r="E327" i="3"/>
  <c r="D327" i="3"/>
  <c r="C327" i="3"/>
  <c r="B327" i="3"/>
  <c r="A327" i="3"/>
  <c r="F326" i="3"/>
  <c r="E326" i="3"/>
  <c r="D326" i="3"/>
  <c r="C326" i="3"/>
  <c r="B326" i="3"/>
  <c r="A326" i="3"/>
  <c r="F325" i="3"/>
  <c r="E325" i="3"/>
  <c r="D325" i="3"/>
  <c r="C325" i="3"/>
  <c r="B325" i="3"/>
  <c r="A325" i="3"/>
  <c r="F324" i="3"/>
  <c r="E324" i="3"/>
  <c r="D324" i="3"/>
  <c r="C324" i="3"/>
  <c r="B324" i="3"/>
  <c r="A324" i="3"/>
  <c r="F323" i="3"/>
  <c r="E323" i="3"/>
  <c r="D323" i="3"/>
  <c r="C323" i="3"/>
  <c r="B323" i="3"/>
  <c r="A323" i="3"/>
  <c r="F322" i="3"/>
  <c r="E322" i="3"/>
  <c r="D322" i="3"/>
  <c r="C322" i="3"/>
  <c r="B322" i="3"/>
  <c r="A322" i="3"/>
  <c r="F321" i="3"/>
  <c r="E321" i="3"/>
  <c r="D321" i="3"/>
  <c r="C321" i="3"/>
  <c r="B321" i="3"/>
  <c r="A321" i="3"/>
  <c r="F320" i="3"/>
  <c r="E320" i="3"/>
  <c r="D320" i="3"/>
  <c r="C320" i="3"/>
  <c r="B320" i="3"/>
  <c r="A320" i="3"/>
  <c r="F319" i="3"/>
  <c r="E319" i="3"/>
  <c r="D319" i="3"/>
  <c r="C319" i="3"/>
  <c r="B319" i="3"/>
  <c r="A319" i="3"/>
  <c r="F318" i="3"/>
  <c r="E318" i="3"/>
  <c r="D318" i="3"/>
  <c r="C318" i="3"/>
  <c r="B318" i="3"/>
  <c r="A318" i="3"/>
  <c r="F317" i="3"/>
  <c r="E317" i="3"/>
  <c r="D317" i="3"/>
  <c r="C317" i="3"/>
  <c r="B317" i="3"/>
  <c r="A317" i="3"/>
  <c r="F316" i="3"/>
  <c r="E316" i="3"/>
  <c r="D316" i="3"/>
  <c r="C316" i="3"/>
  <c r="B316" i="3"/>
  <c r="A316" i="3"/>
  <c r="F315" i="3"/>
  <c r="E315" i="3"/>
  <c r="D315" i="3"/>
  <c r="C315" i="3"/>
  <c r="B315" i="3"/>
  <c r="A315" i="3"/>
  <c r="F314" i="3"/>
  <c r="E314" i="3"/>
  <c r="D314" i="3"/>
  <c r="C314" i="3"/>
  <c r="B314" i="3"/>
  <c r="A314" i="3"/>
  <c r="F313" i="3"/>
  <c r="E313" i="3"/>
  <c r="D313" i="3"/>
  <c r="C313" i="3"/>
  <c r="B313" i="3"/>
  <c r="A313" i="3"/>
  <c r="F312" i="3"/>
  <c r="E312" i="3"/>
  <c r="D312" i="3"/>
  <c r="C312" i="3"/>
  <c r="B312" i="3"/>
  <c r="A312" i="3"/>
  <c r="F311" i="3"/>
  <c r="E311" i="3"/>
  <c r="D311" i="3"/>
  <c r="C311" i="3"/>
  <c r="B311" i="3"/>
  <c r="A311" i="3"/>
  <c r="F310" i="3"/>
  <c r="E310" i="3"/>
  <c r="D310" i="3"/>
  <c r="C310" i="3"/>
  <c r="B310" i="3"/>
  <c r="A310" i="3"/>
  <c r="F309" i="3"/>
  <c r="E309" i="3"/>
  <c r="D309" i="3"/>
  <c r="C309" i="3"/>
  <c r="B309" i="3"/>
  <c r="A309" i="3"/>
  <c r="F308" i="3"/>
  <c r="E308" i="3"/>
  <c r="D308" i="3"/>
  <c r="C308" i="3"/>
  <c r="B308" i="3"/>
  <c r="A308" i="3"/>
  <c r="F307" i="3"/>
  <c r="E307" i="3"/>
  <c r="D307" i="3"/>
  <c r="C307" i="3"/>
  <c r="B307" i="3"/>
  <c r="A307" i="3"/>
  <c r="F306" i="3"/>
  <c r="E306" i="3"/>
  <c r="D306" i="3"/>
  <c r="C306" i="3"/>
  <c r="B306" i="3"/>
  <c r="A306" i="3"/>
  <c r="F305" i="3"/>
  <c r="E305" i="3"/>
  <c r="D305" i="3"/>
  <c r="C305" i="3"/>
  <c r="B305" i="3"/>
  <c r="A305" i="3"/>
  <c r="F304" i="3"/>
  <c r="E304" i="3"/>
  <c r="D304" i="3"/>
  <c r="C304" i="3"/>
  <c r="B304" i="3"/>
  <c r="A304" i="3"/>
  <c r="F303" i="3"/>
  <c r="E303" i="3"/>
  <c r="D303" i="3"/>
  <c r="C303" i="3"/>
  <c r="B303" i="3"/>
  <c r="A303" i="3"/>
  <c r="F302" i="3"/>
  <c r="E302" i="3"/>
  <c r="D302" i="3"/>
  <c r="C302" i="3"/>
  <c r="B302" i="3"/>
  <c r="A302" i="3"/>
  <c r="F301" i="3"/>
  <c r="E301" i="3"/>
  <c r="D301" i="3"/>
  <c r="C301" i="3"/>
  <c r="B301" i="3"/>
  <c r="A301" i="3"/>
  <c r="F300" i="3"/>
  <c r="E300" i="3"/>
  <c r="D300" i="3"/>
  <c r="C300" i="3"/>
  <c r="B300" i="3"/>
  <c r="A300" i="3"/>
  <c r="F299" i="3"/>
  <c r="E299" i="3"/>
  <c r="D299" i="3"/>
  <c r="C299" i="3"/>
  <c r="B299" i="3"/>
  <c r="A299" i="3"/>
  <c r="F298" i="3"/>
  <c r="E298" i="3"/>
  <c r="D298" i="3"/>
  <c r="C298" i="3"/>
  <c r="B298" i="3"/>
  <c r="A298" i="3"/>
  <c r="F297" i="3"/>
  <c r="E297" i="3"/>
  <c r="D297" i="3"/>
  <c r="C297" i="3"/>
  <c r="B297" i="3"/>
  <c r="A297" i="3"/>
  <c r="F296" i="3"/>
  <c r="E296" i="3"/>
  <c r="D296" i="3"/>
  <c r="C296" i="3"/>
  <c r="B296" i="3"/>
  <c r="A296" i="3"/>
  <c r="F295" i="3"/>
  <c r="E295" i="3"/>
  <c r="D295" i="3"/>
  <c r="C295" i="3"/>
  <c r="B295" i="3"/>
  <c r="A295" i="3"/>
  <c r="F294" i="3"/>
  <c r="E294" i="3"/>
  <c r="D294" i="3"/>
  <c r="C294" i="3"/>
  <c r="B294" i="3"/>
  <c r="A294" i="3"/>
  <c r="F293" i="3"/>
  <c r="E293" i="3"/>
  <c r="D293" i="3"/>
  <c r="C293" i="3"/>
  <c r="B293" i="3"/>
  <c r="A293" i="3"/>
  <c r="F292" i="3"/>
  <c r="E292" i="3"/>
  <c r="D292" i="3"/>
  <c r="C292" i="3"/>
  <c r="B292" i="3"/>
  <c r="A292" i="3"/>
  <c r="F291" i="3"/>
  <c r="E291" i="3"/>
  <c r="D291" i="3"/>
  <c r="C291" i="3"/>
  <c r="B291" i="3"/>
  <c r="A291" i="3"/>
  <c r="F290" i="3"/>
  <c r="E290" i="3"/>
  <c r="D290" i="3"/>
  <c r="C290" i="3"/>
  <c r="B290" i="3"/>
  <c r="A290" i="3"/>
  <c r="F289" i="3"/>
  <c r="E289" i="3"/>
  <c r="D289" i="3"/>
  <c r="C289" i="3"/>
  <c r="B289" i="3"/>
  <c r="A289" i="3"/>
  <c r="F288" i="3"/>
  <c r="E288" i="3"/>
  <c r="D288" i="3"/>
  <c r="C288" i="3"/>
  <c r="B288" i="3"/>
  <c r="A288" i="3"/>
  <c r="F287" i="3"/>
  <c r="E287" i="3"/>
  <c r="D287" i="3"/>
  <c r="C287" i="3"/>
  <c r="B287" i="3"/>
  <c r="A287" i="3"/>
  <c r="F286" i="3"/>
  <c r="E286" i="3"/>
  <c r="D286" i="3"/>
  <c r="C286" i="3"/>
  <c r="B286" i="3"/>
  <c r="A286" i="3"/>
  <c r="F285" i="3"/>
  <c r="E285" i="3"/>
  <c r="D285" i="3"/>
  <c r="C285" i="3"/>
  <c r="B285" i="3"/>
  <c r="A285" i="3"/>
  <c r="F284" i="3"/>
  <c r="E284" i="3"/>
  <c r="D284" i="3"/>
  <c r="C284" i="3"/>
  <c r="B284" i="3"/>
  <c r="A284" i="3"/>
  <c r="F283" i="3"/>
  <c r="E283" i="3"/>
  <c r="D283" i="3"/>
  <c r="C283" i="3"/>
  <c r="B283" i="3"/>
  <c r="A283" i="3"/>
  <c r="F282" i="3"/>
  <c r="E282" i="3"/>
  <c r="D282" i="3"/>
  <c r="C282" i="3"/>
  <c r="B282" i="3"/>
  <c r="A282" i="3"/>
  <c r="F281" i="3"/>
  <c r="E281" i="3"/>
  <c r="D281" i="3"/>
  <c r="C281" i="3"/>
  <c r="B281" i="3"/>
  <c r="A281" i="3"/>
  <c r="F280" i="3"/>
  <c r="E280" i="3"/>
  <c r="D280" i="3"/>
  <c r="C280" i="3"/>
  <c r="B280" i="3"/>
  <c r="A280" i="3"/>
  <c r="F279" i="3"/>
  <c r="E279" i="3"/>
  <c r="D279" i="3"/>
  <c r="C279" i="3"/>
  <c r="B279" i="3"/>
  <c r="A279" i="3"/>
  <c r="F278" i="3"/>
  <c r="E278" i="3"/>
  <c r="D278" i="3"/>
  <c r="C278" i="3"/>
  <c r="B278" i="3"/>
  <c r="A278" i="3"/>
  <c r="F277" i="3"/>
  <c r="E277" i="3"/>
  <c r="D277" i="3"/>
  <c r="C277" i="3"/>
  <c r="B277" i="3"/>
  <c r="A277" i="3"/>
  <c r="F276" i="3"/>
  <c r="E276" i="3"/>
  <c r="D276" i="3"/>
  <c r="C276" i="3"/>
  <c r="B276" i="3"/>
  <c r="A276" i="3"/>
  <c r="F275" i="3"/>
  <c r="E275" i="3"/>
  <c r="D275" i="3"/>
  <c r="C275" i="3"/>
  <c r="B275" i="3"/>
  <c r="A275" i="3"/>
  <c r="F274" i="3"/>
  <c r="E274" i="3"/>
  <c r="D274" i="3"/>
  <c r="C274" i="3"/>
  <c r="B274" i="3"/>
  <c r="A274" i="3"/>
  <c r="F273" i="3"/>
  <c r="E273" i="3"/>
  <c r="D273" i="3"/>
  <c r="C273" i="3"/>
  <c r="B273" i="3"/>
  <c r="A273" i="3"/>
  <c r="F272" i="3"/>
  <c r="E272" i="3"/>
  <c r="D272" i="3"/>
  <c r="C272" i="3"/>
  <c r="B272" i="3"/>
  <c r="A272" i="3"/>
  <c r="F271" i="3"/>
  <c r="E271" i="3"/>
  <c r="D271" i="3"/>
  <c r="C271" i="3"/>
  <c r="B271" i="3"/>
  <c r="A271" i="3"/>
  <c r="F270" i="3"/>
  <c r="E270" i="3"/>
  <c r="D270" i="3"/>
  <c r="C270" i="3"/>
  <c r="B270" i="3"/>
  <c r="A270" i="3"/>
  <c r="F269" i="3"/>
  <c r="E269" i="3"/>
  <c r="D269" i="3"/>
  <c r="C269" i="3"/>
  <c r="B269" i="3"/>
  <c r="A269" i="3"/>
  <c r="F268" i="3"/>
  <c r="E268" i="3"/>
  <c r="D268" i="3"/>
  <c r="C268" i="3"/>
  <c r="B268" i="3"/>
  <c r="A268" i="3"/>
  <c r="F267" i="3"/>
  <c r="E267" i="3"/>
  <c r="D267" i="3"/>
  <c r="C267" i="3"/>
  <c r="B267" i="3"/>
  <c r="A267" i="3"/>
  <c r="F266" i="3"/>
  <c r="E266" i="3"/>
  <c r="D266" i="3"/>
  <c r="C266" i="3"/>
  <c r="B266" i="3"/>
  <c r="A266" i="3"/>
  <c r="F265" i="3"/>
  <c r="E265" i="3"/>
  <c r="D265" i="3"/>
  <c r="C265" i="3"/>
  <c r="B265" i="3"/>
  <c r="A265" i="3"/>
  <c r="F264" i="3"/>
  <c r="E264" i="3"/>
  <c r="D264" i="3"/>
  <c r="C264" i="3"/>
  <c r="B264" i="3"/>
  <c r="A264" i="3"/>
  <c r="F263" i="3"/>
  <c r="E263" i="3"/>
  <c r="D263" i="3"/>
  <c r="C263" i="3"/>
  <c r="B263" i="3"/>
  <c r="A263" i="3"/>
  <c r="F262" i="3"/>
  <c r="E262" i="3"/>
  <c r="D262" i="3"/>
  <c r="C262" i="3"/>
  <c r="B262" i="3"/>
  <c r="A262" i="3"/>
  <c r="F261" i="3"/>
  <c r="E261" i="3"/>
  <c r="D261" i="3"/>
  <c r="C261" i="3"/>
  <c r="B261" i="3"/>
  <c r="A261" i="3"/>
  <c r="F260" i="3"/>
  <c r="E260" i="3"/>
  <c r="D260" i="3"/>
  <c r="C260" i="3"/>
  <c r="B260" i="3"/>
  <c r="A260" i="3"/>
  <c r="F259" i="3"/>
  <c r="E259" i="3"/>
  <c r="D259" i="3"/>
  <c r="C259" i="3"/>
  <c r="B259" i="3"/>
  <c r="A259" i="3"/>
  <c r="F258" i="3"/>
  <c r="E258" i="3"/>
  <c r="D258" i="3"/>
  <c r="C258" i="3"/>
  <c r="B258" i="3"/>
  <c r="A258" i="3"/>
  <c r="F257" i="3"/>
  <c r="E257" i="3"/>
  <c r="D257" i="3"/>
  <c r="C257" i="3"/>
  <c r="B257" i="3"/>
  <c r="A257" i="3"/>
  <c r="F256" i="3"/>
  <c r="E256" i="3"/>
  <c r="D256" i="3"/>
  <c r="C256" i="3"/>
  <c r="B256" i="3"/>
  <c r="A256" i="3"/>
  <c r="F255" i="3"/>
  <c r="E255" i="3"/>
  <c r="D255" i="3"/>
  <c r="C255" i="3"/>
  <c r="B255" i="3"/>
  <c r="A255" i="3"/>
  <c r="F254" i="3"/>
  <c r="E254" i="3"/>
  <c r="D254" i="3"/>
  <c r="C254" i="3"/>
  <c r="B254" i="3"/>
  <c r="A254" i="3"/>
  <c r="F253" i="3"/>
  <c r="E253" i="3"/>
  <c r="D253" i="3"/>
  <c r="C253" i="3"/>
  <c r="B253" i="3"/>
  <c r="A253" i="3"/>
  <c r="F252" i="3"/>
  <c r="E252" i="3"/>
  <c r="D252" i="3"/>
  <c r="C252" i="3"/>
  <c r="B252" i="3"/>
  <c r="A252" i="3"/>
  <c r="F251" i="3"/>
  <c r="E251" i="3"/>
  <c r="D251" i="3"/>
  <c r="C251" i="3"/>
  <c r="B251" i="3"/>
  <c r="A251" i="3"/>
  <c r="F250" i="3"/>
  <c r="E250" i="3"/>
  <c r="D250" i="3"/>
  <c r="C250" i="3"/>
  <c r="B250" i="3"/>
  <c r="A250" i="3"/>
  <c r="F249" i="3"/>
  <c r="E249" i="3"/>
  <c r="D249" i="3"/>
  <c r="C249" i="3"/>
  <c r="B249" i="3"/>
  <c r="A249" i="3"/>
  <c r="F248" i="3"/>
  <c r="E248" i="3"/>
  <c r="D248" i="3"/>
  <c r="C248" i="3"/>
  <c r="B248" i="3"/>
  <c r="A248" i="3"/>
  <c r="F247" i="3"/>
  <c r="E247" i="3"/>
  <c r="D247" i="3"/>
  <c r="C247" i="3"/>
  <c r="B247" i="3"/>
  <c r="A247" i="3"/>
  <c r="F246" i="3"/>
  <c r="E246" i="3"/>
  <c r="D246" i="3"/>
  <c r="C246" i="3"/>
  <c r="B246" i="3"/>
  <c r="A246" i="3"/>
  <c r="F245" i="3"/>
  <c r="E245" i="3"/>
  <c r="D245" i="3"/>
  <c r="C245" i="3"/>
  <c r="B245" i="3"/>
  <c r="A245" i="3"/>
  <c r="F244" i="3"/>
  <c r="E244" i="3"/>
  <c r="D244" i="3"/>
  <c r="C244" i="3"/>
  <c r="B244" i="3"/>
  <c r="A244" i="3"/>
  <c r="F243" i="3"/>
  <c r="E243" i="3"/>
  <c r="D243" i="3"/>
  <c r="C243" i="3"/>
  <c r="B243" i="3"/>
  <c r="A243" i="3"/>
  <c r="F242" i="3"/>
  <c r="E242" i="3"/>
  <c r="D242" i="3"/>
  <c r="C242" i="3"/>
  <c r="B242" i="3"/>
  <c r="A242" i="3"/>
  <c r="F241" i="3"/>
  <c r="E241" i="3"/>
  <c r="D241" i="3"/>
  <c r="C241" i="3"/>
  <c r="B241" i="3"/>
  <c r="A241" i="3"/>
  <c r="F240" i="3"/>
  <c r="E240" i="3"/>
  <c r="D240" i="3"/>
  <c r="C240" i="3"/>
  <c r="B240" i="3"/>
  <c r="A240" i="3"/>
  <c r="F239" i="3"/>
  <c r="E239" i="3"/>
  <c r="D239" i="3"/>
  <c r="C239" i="3"/>
  <c r="B239" i="3"/>
  <c r="A239" i="3"/>
  <c r="F238" i="3"/>
  <c r="E238" i="3"/>
  <c r="D238" i="3"/>
  <c r="C238" i="3"/>
  <c r="B238" i="3"/>
  <c r="A238" i="3"/>
  <c r="F237" i="3"/>
  <c r="E237" i="3"/>
  <c r="D237" i="3"/>
  <c r="C237" i="3"/>
  <c r="B237" i="3"/>
  <c r="A237" i="3"/>
  <c r="F236" i="3"/>
  <c r="E236" i="3"/>
  <c r="D236" i="3"/>
  <c r="C236" i="3"/>
  <c r="B236" i="3"/>
  <c r="A236" i="3"/>
  <c r="F235" i="3"/>
  <c r="E235" i="3"/>
  <c r="D235" i="3"/>
  <c r="C235" i="3"/>
  <c r="B235" i="3"/>
  <c r="A235" i="3"/>
  <c r="F234" i="3"/>
  <c r="E234" i="3"/>
  <c r="D234" i="3"/>
  <c r="C234" i="3"/>
  <c r="B234" i="3"/>
  <c r="A234" i="3"/>
  <c r="F233" i="3"/>
  <c r="E233" i="3"/>
  <c r="D233" i="3"/>
  <c r="C233" i="3"/>
  <c r="B233" i="3"/>
  <c r="A233" i="3"/>
  <c r="F232" i="3"/>
  <c r="E232" i="3"/>
  <c r="D232" i="3"/>
  <c r="C232" i="3"/>
  <c r="B232" i="3"/>
  <c r="A232" i="3"/>
  <c r="F231" i="3"/>
  <c r="E231" i="3"/>
  <c r="D231" i="3"/>
  <c r="C231" i="3"/>
  <c r="B231" i="3"/>
  <c r="A231" i="3"/>
  <c r="F230" i="3"/>
  <c r="E230" i="3"/>
  <c r="D230" i="3"/>
  <c r="C230" i="3"/>
  <c r="B230" i="3"/>
  <c r="A230" i="3"/>
  <c r="F229" i="3"/>
  <c r="E229" i="3"/>
  <c r="D229" i="3"/>
  <c r="C229" i="3"/>
  <c r="B229" i="3"/>
  <c r="A229" i="3"/>
  <c r="F228" i="3"/>
  <c r="E228" i="3"/>
  <c r="D228" i="3"/>
  <c r="C228" i="3"/>
  <c r="B228" i="3"/>
  <c r="A228" i="3"/>
  <c r="F227" i="3"/>
  <c r="E227" i="3"/>
  <c r="D227" i="3"/>
  <c r="C227" i="3"/>
  <c r="B227" i="3"/>
  <c r="A227" i="3"/>
  <c r="F226" i="3"/>
  <c r="E226" i="3"/>
  <c r="D226" i="3"/>
  <c r="C226" i="3"/>
  <c r="B226" i="3"/>
  <c r="A226" i="3"/>
  <c r="F225" i="3"/>
  <c r="E225" i="3"/>
  <c r="D225" i="3"/>
  <c r="C225" i="3"/>
  <c r="B225" i="3"/>
  <c r="A225" i="3"/>
  <c r="F224" i="3"/>
  <c r="E224" i="3"/>
  <c r="D224" i="3"/>
  <c r="C224" i="3"/>
  <c r="B224" i="3"/>
  <c r="A224" i="3"/>
  <c r="F223" i="3"/>
  <c r="E223" i="3"/>
  <c r="D223" i="3"/>
  <c r="C223" i="3"/>
  <c r="B223" i="3"/>
  <c r="A223" i="3"/>
  <c r="F222" i="3"/>
  <c r="E222" i="3"/>
  <c r="D222" i="3"/>
  <c r="C222" i="3"/>
  <c r="B222" i="3"/>
  <c r="A222" i="3"/>
  <c r="F221" i="3"/>
  <c r="E221" i="3"/>
  <c r="D221" i="3"/>
  <c r="C221" i="3"/>
  <c r="B221" i="3"/>
  <c r="A221" i="3"/>
  <c r="F220" i="3"/>
  <c r="E220" i="3"/>
  <c r="D220" i="3"/>
  <c r="C220" i="3"/>
  <c r="B220" i="3"/>
  <c r="A220" i="3"/>
  <c r="F219" i="3"/>
  <c r="E219" i="3"/>
  <c r="D219" i="3"/>
  <c r="C219" i="3"/>
  <c r="B219" i="3"/>
  <c r="A219" i="3"/>
  <c r="F218" i="3"/>
  <c r="E218" i="3"/>
  <c r="D218" i="3"/>
  <c r="C218" i="3"/>
  <c r="B218" i="3"/>
  <c r="A218" i="3"/>
  <c r="F217" i="3"/>
  <c r="E217" i="3"/>
  <c r="D217" i="3"/>
  <c r="C217" i="3"/>
  <c r="B217" i="3"/>
  <c r="A217" i="3"/>
  <c r="F216" i="3"/>
  <c r="E216" i="3"/>
  <c r="D216" i="3"/>
  <c r="C216" i="3"/>
  <c r="B216" i="3"/>
  <c r="A216" i="3"/>
  <c r="F215" i="3"/>
  <c r="E215" i="3"/>
  <c r="D215" i="3"/>
  <c r="C215" i="3"/>
  <c r="B215" i="3"/>
  <c r="A215" i="3"/>
  <c r="F214" i="3"/>
  <c r="E214" i="3"/>
  <c r="D214" i="3"/>
  <c r="C214" i="3"/>
  <c r="B214" i="3"/>
  <c r="A214" i="3"/>
  <c r="F213" i="3"/>
  <c r="E213" i="3"/>
  <c r="D213" i="3"/>
  <c r="C213" i="3"/>
  <c r="B213" i="3"/>
  <c r="A213" i="3"/>
  <c r="F212" i="3"/>
  <c r="E212" i="3"/>
  <c r="D212" i="3"/>
  <c r="C212" i="3"/>
  <c r="B212" i="3"/>
  <c r="A212" i="3"/>
  <c r="F211" i="3"/>
  <c r="E211" i="3"/>
  <c r="D211" i="3"/>
  <c r="C211" i="3"/>
  <c r="B211" i="3"/>
  <c r="A211" i="3"/>
  <c r="F210" i="3"/>
  <c r="E210" i="3"/>
  <c r="D210" i="3"/>
  <c r="C210" i="3"/>
  <c r="B210" i="3"/>
  <c r="A210" i="3"/>
  <c r="F209" i="3"/>
  <c r="E209" i="3"/>
  <c r="D209" i="3"/>
  <c r="C209" i="3"/>
  <c r="B209" i="3"/>
  <c r="A209" i="3"/>
  <c r="F208" i="3"/>
  <c r="E208" i="3"/>
  <c r="D208" i="3"/>
  <c r="C208" i="3"/>
  <c r="B208" i="3"/>
  <c r="A208" i="3"/>
  <c r="F207" i="3"/>
  <c r="E207" i="3"/>
  <c r="D207" i="3"/>
  <c r="C207" i="3"/>
  <c r="B207" i="3"/>
  <c r="A207" i="3"/>
  <c r="F206" i="3"/>
  <c r="E206" i="3"/>
  <c r="D206" i="3"/>
  <c r="C206" i="3"/>
  <c r="B206" i="3"/>
  <c r="A206" i="3"/>
  <c r="F205" i="3"/>
  <c r="E205" i="3"/>
  <c r="D205" i="3"/>
  <c r="C205" i="3"/>
  <c r="B205" i="3"/>
  <c r="A205" i="3"/>
  <c r="F204" i="3"/>
  <c r="E204" i="3"/>
  <c r="D204" i="3"/>
  <c r="C204" i="3"/>
  <c r="B204" i="3"/>
  <c r="A204" i="3"/>
  <c r="F203" i="3"/>
  <c r="E203" i="3"/>
  <c r="D203" i="3"/>
  <c r="C203" i="3"/>
  <c r="B203" i="3"/>
  <c r="A203" i="3"/>
  <c r="F202" i="3"/>
  <c r="E202" i="3"/>
  <c r="D202" i="3"/>
  <c r="C202" i="3"/>
  <c r="B202" i="3"/>
  <c r="A202" i="3"/>
  <c r="F201" i="3"/>
  <c r="E201" i="3"/>
  <c r="D201" i="3"/>
  <c r="C201" i="3"/>
  <c r="B201" i="3"/>
  <c r="A201" i="3"/>
  <c r="F200" i="3"/>
  <c r="E200" i="3"/>
  <c r="D200" i="3"/>
  <c r="C200" i="3"/>
  <c r="B200" i="3"/>
  <c r="A200" i="3"/>
  <c r="F199" i="3"/>
  <c r="E199" i="3"/>
  <c r="D199" i="3"/>
  <c r="C199" i="3"/>
  <c r="B199" i="3"/>
  <c r="A199" i="3"/>
  <c r="F198" i="3"/>
  <c r="E198" i="3"/>
  <c r="D198" i="3"/>
  <c r="C198" i="3"/>
  <c r="B198" i="3"/>
  <c r="A198" i="3"/>
  <c r="F197" i="3"/>
  <c r="E197" i="3"/>
  <c r="D197" i="3"/>
  <c r="C197" i="3"/>
  <c r="B197" i="3"/>
  <c r="A197" i="3"/>
  <c r="F196" i="3"/>
  <c r="E196" i="3"/>
  <c r="D196" i="3"/>
  <c r="C196" i="3"/>
  <c r="B196" i="3"/>
  <c r="A196" i="3"/>
  <c r="F195" i="3"/>
  <c r="E195" i="3"/>
  <c r="D195" i="3"/>
  <c r="C195" i="3"/>
  <c r="B195" i="3"/>
  <c r="A195" i="3"/>
  <c r="F194" i="3"/>
  <c r="E194" i="3"/>
  <c r="D194" i="3"/>
  <c r="C194" i="3"/>
  <c r="B194" i="3"/>
  <c r="A194" i="3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  <c r="F888" i="2"/>
  <c r="E888" i="2"/>
  <c r="D888" i="2"/>
  <c r="C888" i="2"/>
  <c r="B888" i="2"/>
  <c r="A888" i="2"/>
  <c r="F887" i="2"/>
  <c r="E887" i="2"/>
  <c r="D887" i="2"/>
  <c r="C887" i="2"/>
  <c r="B887" i="2"/>
  <c r="A887" i="2"/>
  <c r="F886" i="2"/>
  <c r="E886" i="2"/>
  <c r="D886" i="2"/>
  <c r="C886" i="2"/>
  <c r="B886" i="2"/>
  <c r="A886" i="2"/>
  <c r="F885" i="2"/>
  <c r="E885" i="2"/>
  <c r="D885" i="2"/>
  <c r="C885" i="2"/>
  <c r="B885" i="2"/>
  <c r="A885" i="2"/>
  <c r="F884" i="2"/>
  <c r="E884" i="2"/>
  <c r="D884" i="2"/>
  <c r="C884" i="2"/>
  <c r="B884" i="2"/>
  <c r="A884" i="2"/>
  <c r="F883" i="2"/>
  <c r="E883" i="2"/>
  <c r="D883" i="2"/>
  <c r="C883" i="2"/>
  <c r="B883" i="2"/>
  <c r="A883" i="2"/>
  <c r="F882" i="2"/>
  <c r="E882" i="2"/>
  <c r="D882" i="2"/>
  <c r="C882" i="2"/>
  <c r="B882" i="2"/>
  <c r="A882" i="2"/>
  <c r="F881" i="2"/>
  <c r="E881" i="2"/>
  <c r="D881" i="2"/>
  <c r="C881" i="2"/>
  <c r="B881" i="2"/>
  <c r="A881" i="2"/>
  <c r="F880" i="2"/>
  <c r="E880" i="2"/>
  <c r="D880" i="2"/>
  <c r="C880" i="2"/>
  <c r="B880" i="2"/>
  <c r="A880" i="2"/>
  <c r="F879" i="2"/>
  <c r="E879" i="2"/>
  <c r="D879" i="2"/>
  <c r="C879" i="2"/>
  <c r="B879" i="2"/>
  <c r="A879" i="2"/>
  <c r="F878" i="2"/>
  <c r="E878" i="2"/>
  <c r="D878" i="2"/>
  <c r="C878" i="2"/>
  <c r="B878" i="2"/>
  <c r="A878" i="2"/>
  <c r="F877" i="2"/>
  <c r="E877" i="2"/>
  <c r="D877" i="2"/>
  <c r="C877" i="2"/>
  <c r="B877" i="2"/>
  <c r="A877" i="2"/>
  <c r="F876" i="2"/>
  <c r="E876" i="2"/>
  <c r="D876" i="2"/>
  <c r="C876" i="2"/>
  <c r="B876" i="2"/>
  <c r="A876" i="2"/>
  <c r="F875" i="2"/>
  <c r="E875" i="2"/>
  <c r="D875" i="2"/>
  <c r="C875" i="2"/>
  <c r="B875" i="2"/>
  <c r="A875" i="2"/>
  <c r="F874" i="2"/>
  <c r="E874" i="2"/>
  <c r="D874" i="2"/>
  <c r="C874" i="2"/>
  <c r="B874" i="2"/>
  <c r="A874" i="2"/>
  <c r="F873" i="2"/>
  <c r="E873" i="2"/>
  <c r="D873" i="2"/>
  <c r="C873" i="2"/>
  <c r="B873" i="2"/>
  <c r="A873" i="2"/>
  <c r="F872" i="2"/>
  <c r="E872" i="2"/>
  <c r="D872" i="2"/>
  <c r="C872" i="2"/>
  <c r="B872" i="2"/>
  <c r="A872" i="2"/>
  <c r="F871" i="2"/>
  <c r="E871" i="2"/>
  <c r="D871" i="2"/>
  <c r="C871" i="2"/>
  <c r="B871" i="2"/>
  <c r="A871" i="2"/>
  <c r="F870" i="2"/>
  <c r="E870" i="2"/>
  <c r="D870" i="2"/>
  <c r="C870" i="2"/>
  <c r="B870" i="2"/>
  <c r="A870" i="2"/>
  <c r="F869" i="2"/>
  <c r="E869" i="2"/>
  <c r="D869" i="2"/>
  <c r="C869" i="2"/>
  <c r="B869" i="2"/>
  <c r="A869" i="2"/>
  <c r="F868" i="2"/>
  <c r="E868" i="2"/>
  <c r="D868" i="2"/>
  <c r="C868" i="2"/>
  <c r="B868" i="2"/>
  <c r="A868" i="2"/>
  <c r="F867" i="2"/>
  <c r="E867" i="2"/>
  <c r="D867" i="2"/>
  <c r="C867" i="2"/>
  <c r="B867" i="2"/>
  <c r="A867" i="2"/>
  <c r="F866" i="2"/>
  <c r="E866" i="2"/>
  <c r="D866" i="2"/>
  <c r="C866" i="2"/>
  <c r="B866" i="2"/>
  <c r="A866" i="2"/>
  <c r="F865" i="2"/>
  <c r="E865" i="2"/>
  <c r="D865" i="2"/>
  <c r="C865" i="2"/>
  <c r="B865" i="2"/>
  <c r="A865" i="2"/>
  <c r="F864" i="2"/>
  <c r="E864" i="2"/>
  <c r="D864" i="2"/>
  <c r="C864" i="2"/>
  <c r="B864" i="2"/>
  <c r="A864" i="2"/>
  <c r="F863" i="2"/>
  <c r="E863" i="2"/>
  <c r="D863" i="2"/>
  <c r="C863" i="2"/>
  <c r="B863" i="2"/>
  <c r="A863" i="2"/>
  <c r="F862" i="2"/>
  <c r="E862" i="2"/>
  <c r="D862" i="2"/>
  <c r="C862" i="2"/>
  <c r="B862" i="2"/>
  <c r="A862" i="2"/>
  <c r="F861" i="2"/>
  <c r="E861" i="2"/>
  <c r="D861" i="2"/>
  <c r="C861" i="2"/>
  <c r="B861" i="2"/>
  <c r="A861" i="2"/>
  <c r="F860" i="2"/>
  <c r="E860" i="2"/>
  <c r="D860" i="2"/>
  <c r="C860" i="2"/>
  <c r="B860" i="2"/>
  <c r="A860" i="2"/>
  <c r="F859" i="2"/>
  <c r="E859" i="2"/>
  <c r="D859" i="2"/>
  <c r="C859" i="2"/>
  <c r="B859" i="2"/>
  <c r="A859" i="2"/>
  <c r="F858" i="2"/>
  <c r="E858" i="2"/>
  <c r="D858" i="2"/>
  <c r="C858" i="2"/>
  <c r="B858" i="2"/>
  <c r="A858" i="2"/>
  <c r="F857" i="2"/>
  <c r="E857" i="2"/>
  <c r="D857" i="2"/>
  <c r="C857" i="2"/>
  <c r="B857" i="2"/>
  <c r="A857" i="2"/>
  <c r="F856" i="2"/>
  <c r="E856" i="2"/>
  <c r="D856" i="2"/>
  <c r="C856" i="2"/>
  <c r="B856" i="2"/>
  <c r="A856" i="2"/>
  <c r="F855" i="2"/>
  <c r="E855" i="2"/>
  <c r="D855" i="2"/>
  <c r="C855" i="2"/>
  <c r="B855" i="2"/>
  <c r="A855" i="2"/>
  <c r="F854" i="2"/>
  <c r="E854" i="2"/>
  <c r="D854" i="2"/>
  <c r="C854" i="2"/>
  <c r="B854" i="2"/>
  <c r="A854" i="2"/>
  <c r="F853" i="2"/>
  <c r="E853" i="2"/>
  <c r="D853" i="2"/>
  <c r="C853" i="2"/>
  <c r="B853" i="2"/>
  <c r="A853" i="2"/>
  <c r="F852" i="2"/>
  <c r="E852" i="2"/>
  <c r="D852" i="2"/>
  <c r="C852" i="2"/>
  <c r="B852" i="2"/>
  <c r="A852" i="2"/>
  <c r="F851" i="2"/>
  <c r="E851" i="2"/>
  <c r="D851" i="2"/>
  <c r="C851" i="2"/>
  <c r="B851" i="2"/>
  <c r="A851" i="2"/>
  <c r="F850" i="2"/>
  <c r="E850" i="2"/>
  <c r="D850" i="2"/>
  <c r="C850" i="2"/>
  <c r="B850" i="2"/>
  <c r="A850" i="2"/>
  <c r="F849" i="2"/>
  <c r="E849" i="2"/>
  <c r="D849" i="2"/>
  <c r="C849" i="2"/>
  <c r="B849" i="2"/>
  <c r="A849" i="2"/>
  <c r="F848" i="2"/>
  <c r="E848" i="2"/>
  <c r="D848" i="2"/>
  <c r="C848" i="2"/>
  <c r="B848" i="2"/>
  <c r="A848" i="2"/>
  <c r="F847" i="2"/>
  <c r="E847" i="2"/>
  <c r="D847" i="2"/>
  <c r="C847" i="2"/>
  <c r="B847" i="2"/>
  <c r="A847" i="2"/>
  <c r="F846" i="2"/>
  <c r="E846" i="2"/>
  <c r="D846" i="2"/>
  <c r="C846" i="2"/>
  <c r="B846" i="2"/>
  <c r="A846" i="2"/>
  <c r="F845" i="2"/>
  <c r="E845" i="2"/>
  <c r="D845" i="2"/>
  <c r="C845" i="2"/>
  <c r="B845" i="2"/>
  <c r="A845" i="2"/>
  <c r="F844" i="2"/>
  <c r="E844" i="2"/>
  <c r="D844" i="2"/>
  <c r="C844" i="2"/>
  <c r="B844" i="2"/>
  <c r="A844" i="2"/>
  <c r="F843" i="2"/>
  <c r="E843" i="2"/>
  <c r="D843" i="2"/>
  <c r="C843" i="2"/>
  <c r="B843" i="2"/>
  <c r="A843" i="2"/>
  <c r="F842" i="2"/>
  <c r="E842" i="2"/>
  <c r="D842" i="2"/>
  <c r="C842" i="2"/>
  <c r="B842" i="2"/>
  <c r="A842" i="2"/>
  <c r="F841" i="2"/>
  <c r="E841" i="2"/>
  <c r="D841" i="2"/>
  <c r="C841" i="2"/>
  <c r="B841" i="2"/>
  <c r="A841" i="2"/>
  <c r="F840" i="2"/>
  <c r="E840" i="2"/>
  <c r="D840" i="2"/>
  <c r="C840" i="2"/>
  <c r="B840" i="2"/>
  <c r="A840" i="2"/>
  <c r="F839" i="2"/>
  <c r="E839" i="2"/>
  <c r="D839" i="2"/>
  <c r="C839" i="2"/>
  <c r="B839" i="2"/>
  <c r="A839" i="2"/>
  <c r="F838" i="2"/>
  <c r="E838" i="2"/>
  <c r="D838" i="2"/>
  <c r="C838" i="2"/>
  <c r="B838" i="2"/>
  <c r="A838" i="2"/>
  <c r="F837" i="2"/>
  <c r="E837" i="2"/>
  <c r="D837" i="2"/>
  <c r="C837" i="2"/>
  <c r="B837" i="2"/>
  <c r="A837" i="2"/>
  <c r="F836" i="2"/>
  <c r="E836" i="2"/>
  <c r="D836" i="2"/>
  <c r="C836" i="2"/>
  <c r="B836" i="2"/>
  <c r="A836" i="2"/>
  <c r="F835" i="2"/>
  <c r="E835" i="2"/>
  <c r="D835" i="2"/>
  <c r="C835" i="2"/>
  <c r="B835" i="2"/>
  <c r="A835" i="2"/>
  <c r="F834" i="2"/>
  <c r="E834" i="2"/>
  <c r="D834" i="2"/>
  <c r="C834" i="2"/>
  <c r="B834" i="2"/>
  <c r="A834" i="2"/>
  <c r="F833" i="2"/>
  <c r="E833" i="2"/>
  <c r="D833" i="2"/>
  <c r="C833" i="2"/>
  <c r="B833" i="2"/>
  <c r="A833" i="2"/>
  <c r="F832" i="2"/>
  <c r="E832" i="2"/>
  <c r="D832" i="2"/>
  <c r="C832" i="2"/>
  <c r="B832" i="2"/>
  <c r="A832" i="2"/>
  <c r="F831" i="2"/>
  <c r="E831" i="2"/>
  <c r="D831" i="2"/>
  <c r="C831" i="2"/>
  <c r="B831" i="2"/>
  <c r="A831" i="2"/>
  <c r="F830" i="2"/>
  <c r="E830" i="2"/>
  <c r="D830" i="2"/>
  <c r="C830" i="2"/>
  <c r="B830" i="2"/>
  <c r="A830" i="2"/>
  <c r="F829" i="2"/>
  <c r="E829" i="2"/>
  <c r="D829" i="2"/>
  <c r="C829" i="2"/>
  <c r="B829" i="2"/>
  <c r="A829" i="2"/>
  <c r="F828" i="2"/>
  <c r="E828" i="2"/>
  <c r="D828" i="2"/>
  <c r="C828" i="2"/>
  <c r="B828" i="2"/>
  <c r="A828" i="2"/>
  <c r="F827" i="2"/>
  <c r="E827" i="2"/>
  <c r="D827" i="2"/>
  <c r="C827" i="2"/>
  <c r="B827" i="2"/>
  <c r="A827" i="2"/>
  <c r="F826" i="2"/>
  <c r="E826" i="2"/>
  <c r="D826" i="2"/>
  <c r="C826" i="2"/>
  <c r="B826" i="2"/>
  <c r="A826" i="2"/>
  <c r="F825" i="2"/>
  <c r="E825" i="2"/>
  <c r="D825" i="2"/>
  <c r="C825" i="2"/>
  <c r="B825" i="2"/>
  <c r="A825" i="2"/>
  <c r="F824" i="2"/>
  <c r="E824" i="2"/>
  <c r="D824" i="2"/>
  <c r="C824" i="2"/>
  <c r="B824" i="2"/>
  <c r="A824" i="2"/>
  <c r="F823" i="2"/>
  <c r="E823" i="2"/>
  <c r="D823" i="2"/>
  <c r="C823" i="2"/>
  <c r="B823" i="2"/>
  <c r="A823" i="2"/>
  <c r="F822" i="2"/>
  <c r="E822" i="2"/>
  <c r="D822" i="2"/>
  <c r="C822" i="2"/>
  <c r="B822" i="2"/>
  <c r="A822" i="2"/>
  <c r="F821" i="2"/>
  <c r="E821" i="2"/>
  <c r="D821" i="2"/>
  <c r="C821" i="2"/>
  <c r="B821" i="2"/>
  <c r="A821" i="2"/>
  <c r="F820" i="2"/>
  <c r="E820" i="2"/>
  <c r="D820" i="2"/>
  <c r="C820" i="2"/>
  <c r="B820" i="2"/>
  <c r="A820" i="2"/>
  <c r="F819" i="2"/>
  <c r="E819" i="2"/>
  <c r="D819" i="2"/>
  <c r="C819" i="2"/>
  <c r="B819" i="2"/>
  <c r="A819" i="2"/>
  <c r="F818" i="2"/>
  <c r="E818" i="2"/>
  <c r="D818" i="2"/>
  <c r="C818" i="2"/>
  <c r="B818" i="2"/>
  <c r="A818" i="2"/>
  <c r="F817" i="2"/>
  <c r="E817" i="2"/>
  <c r="D817" i="2"/>
  <c r="C817" i="2"/>
  <c r="B817" i="2"/>
  <c r="A817" i="2"/>
  <c r="F816" i="2"/>
  <c r="E816" i="2"/>
  <c r="D816" i="2"/>
  <c r="C816" i="2"/>
  <c r="B816" i="2"/>
  <c r="A816" i="2"/>
  <c r="F815" i="2"/>
  <c r="E815" i="2"/>
  <c r="D815" i="2"/>
  <c r="C815" i="2"/>
  <c r="B815" i="2"/>
  <c r="A815" i="2"/>
  <c r="F814" i="2"/>
  <c r="E814" i="2"/>
  <c r="D814" i="2"/>
  <c r="C814" i="2"/>
  <c r="B814" i="2"/>
  <c r="A814" i="2"/>
  <c r="F813" i="2"/>
  <c r="E813" i="2"/>
  <c r="D813" i="2"/>
  <c r="C813" i="2"/>
  <c r="B813" i="2"/>
  <c r="A813" i="2"/>
  <c r="F812" i="2"/>
  <c r="E812" i="2"/>
  <c r="D812" i="2"/>
  <c r="C812" i="2"/>
  <c r="B812" i="2"/>
  <c r="A812" i="2"/>
  <c r="F811" i="2"/>
  <c r="E811" i="2"/>
  <c r="D811" i="2"/>
  <c r="C811" i="2"/>
  <c r="B811" i="2"/>
  <c r="A811" i="2"/>
  <c r="F810" i="2"/>
  <c r="E810" i="2"/>
  <c r="D810" i="2"/>
  <c r="C810" i="2"/>
  <c r="B810" i="2"/>
  <c r="A810" i="2"/>
  <c r="F809" i="2"/>
  <c r="E809" i="2"/>
  <c r="D809" i="2"/>
  <c r="C809" i="2"/>
  <c r="B809" i="2"/>
  <c r="A809" i="2"/>
  <c r="F808" i="2"/>
  <c r="E808" i="2"/>
  <c r="D808" i="2"/>
  <c r="C808" i="2"/>
  <c r="B808" i="2"/>
  <c r="A808" i="2"/>
  <c r="F807" i="2"/>
  <c r="E807" i="2"/>
  <c r="D807" i="2"/>
  <c r="C807" i="2"/>
  <c r="B807" i="2"/>
  <c r="A807" i="2"/>
  <c r="F806" i="2"/>
  <c r="E806" i="2"/>
  <c r="D806" i="2"/>
  <c r="C806" i="2"/>
  <c r="B806" i="2"/>
  <c r="A806" i="2"/>
  <c r="F805" i="2"/>
  <c r="E805" i="2"/>
  <c r="D805" i="2"/>
  <c r="C805" i="2"/>
  <c r="B805" i="2"/>
  <c r="A805" i="2"/>
  <c r="F804" i="2"/>
  <c r="E804" i="2"/>
  <c r="D804" i="2"/>
  <c r="C804" i="2"/>
  <c r="B804" i="2"/>
  <c r="A804" i="2"/>
  <c r="F803" i="2"/>
  <c r="E803" i="2"/>
  <c r="D803" i="2"/>
  <c r="C803" i="2"/>
  <c r="B803" i="2"/>
  <c r="A803" i="2"/>
  <c r="F802" i="2"/>
  <c r="E802" i="2"/>
  <c r="D802" i="2"/>
  <c r="C802" i="2"/>
  <c r="B802" i="2"/>
  <c r="A802" i="2"/>
  <c r="F801" i="2"/>
  <c r="E801" i="2"/>
  <c r="D801" i="2"/>
  <c r="C801" i="2"/>
  <c r="B801" i="2"/>
  <c r="A801" i="2"/>
  <c r="F800" i="2"/>
  <c r="E800" i="2"/>
  <c r="D800" i="2"/>
  <c r="C800" i="2"/>
  <c r="B800" i="2"/>
  <c r="A800" i="2"/>
  <c r="F799" i="2"/>
  <c r="E799" i="2"/>
  <c r="D799" i="2"/>
  <c r="C799" i="2"/>
  <c r="B799" i="2"/>
  <c r="A799" i="2"/>
  <c r="F798" i="2"/>
  <c r="E798" i="2"/>
  <c r="D798" i="2"/>
  <c r="C798" i="2"/>
  <c r="B798" i="2"/>
  <c r="A798" i="2"/>
  <c r="F797" i="2"/>
  <c r="E797" i="2"/>
  <c r="D797" i="2"/>
  <c r="C797" i="2"/>
  <c r="B797" i="2"/>
  <c r="A797" i="2"/>
  <c r="F796" i="2"/>
  <c r="E796" i="2"/>
  <c r="D796" i="2"/>
  <c r="C796" i="2"/>
  <c r="B796" i="2"/>
  <c r="A796" i="2"/>
  <c r="F795" i="2"/>
  <c r="E795" i="2"/>
  <c r="D795" i="2"/>
  <c r="C795" i="2"/>
  <c r="B795" i="2"/>
  <c r="A795" i="2"/>
  <c r="F794" i="2"/>
  <c r="E794" i="2"/>
  <c r="D794" i="2"/>
  <c r="C794" i="2"/>
  <c r="B794" i="2"/>
  <c r="A794" i="2"/>
  <c r="F793" i="2"/>
  <c r="E793" i="2"/>
  <c r="D793" i="2"/>
  <c r="C793" i="2"/>
  <c r="B793" i="2"/>
  <c r="A793" i="2"/>
  <c r="F792" i="2"/>
  <c r="E792" i="2"/>
  <c r="D792" i="2"/>
  <c r="C792" i="2"/>
  <c r="B792" i="2"/>
  <c r="A792" i="2"/>
  <c r="F791" i="2"/>
  <c r="E791" i="2"/>
  <c r="D791" i="2"/>
  <c r="C791" i="2"/>
  <c r="B791" i="2"/>
  <c r="A791" i="2"/>
  <c r="F790" i="2"/>
  <c r="E790" i="2"/>
  <c r="D790" i="2"/>
  <c r="C790" i="2"/>
  <c r="B790" i="2"/>
  <c r="A790" i="2"/>
  <c r="F789" i="2"/>
  <c r="E789" i="2"/>
  <c r="D789" i="2"/>
  <c r="C789" i="2"/>
  <c r="B789" i="2"/>
  <c r="A789" i="2"/>
  <c r="F788" i="2"/>
  <c r="E788" i="2"/>
  <c r="D788" i="2"/>
  <c r="C788" i="2"/>
  <c r="B788" i="2"/>
  <c r="A788" i="2"/>
  <c r="F787" i="2"/>
  <c r="E787" i="2"/>
  <c r="D787" i="2"/>
  <c r="C787" i="2"/>
  <c r="B787" i="2"/>
  <c r="A787" i="2"/>
  <c r="F786" i="2"/>
  <c r="E786" i="2"/>
  <c r="D786" i="2"/>
  <c r="C786" i="2"/>
  <c r="B786" i="2"/>
  <c r="A786" i="2"/>
  <c r="F785" i="2"/>
  <c r="E785" i="2"/>
  <c r="D785" i="2"/>
  <c r="C785" i="2"/>
  <c r="B785" i="2"/>
  <c r="A785" i="2"/>
  <c r="F784" i="2"/>
  <c r="E784" i="2"/>
  <c r="D784" i="2"/>
  <c r="C784" i="2"/>
  <c r="B784" i="2"/>
  <c r="A784" i="2"/>
  <c r="F783" i="2"/>
  <c r="E783" i="2"/>
  <c r="D783" i="2"/>
  <c r="C783" i="2"/>
  <c r="B783" i="2"/>
  <c r="A783" i="2"/>
  <c r="F782" i="2"/>
  <c r="E782" i="2"/>
  <c r="D782" i="2"/>
  <c r="C782" i="2"/>
  <c r="B782" i="2"/>
  <c r="A782" i="2"/>
  <c r="F781" i="2"/>
  <c r="E781" i="2"/>
  <c r="D781" i="2"/>
  <c r="C781" i="2"/>
  <c r="B781" i="2"/>
  <c r="A781" i="2"/>
  <c r="F780" i="2"/>
  <c r="E780" i="2"/>
  <c r="D780" i="2"/>
  <c r="C780" i="2"/>
  <c r="B780" i="2"/>
  <c r="A780" i="2"/>
  <c r="F779" i="2"/>
  <c r="E779" i="2"/>
  <c r="D779" i="2"/>
  <c r="C779" i="2"/>
  <c r="B779" i="2"/>
  <c r="A779" i="2"/>
  <c r="F778" i="2"/>
  <c r="E778" i="2"/>
  <c r="D778" i="2"/>
  <c r="C778" i="2"/>
  <c r="B778" i="2"/>
  <c r="A778" i="2"/>
  <c r="F777" i="2"/>
  <c r="E777" i="2"/>
  <c r="D777" i="2"/>
  <c r="C777" i="2"/>
  <c r="B777" i="2"/>
  <c r="A777" i="2"/>
  <c r="F776" i="2"/>
  <c r="E776" i="2"/>
  <c r="D776" i="2"/>
  <c r="C776" i="2"/>
  <c r="B776" i="2"/>
  <c r="A776" i="2"/>
  <c r="F775" i="2"/>
  <c r="E775" i="2"/>
  <c r="D775" i="2"/>
  <c r="C775" i="2"/>
  <c r="B775" i="2"/>
  <c r="A775" i="2"/>
  <c r="F774" i="2"/>
  <c r="E774" i="2"/>
  <c r="D774" i="2"/>
  <c r="C774" i="2"/>
  <c r="B774" i="2"/>
  <c r="A774" i="2"/>
  <c r="F773" i="2"/>
  <c r="E773" i="2"/>
  <c r="D773" i="2"/>
  <c r="C773" i="2"/>
  <c r="B773" i="2"/>
  <c r="A773" i="2"/>
  <c r="F772" i="2"/>
  <c r="E772" i="2"/>
  <c r="D772" i="2"/>
  <c r="C772" i="2"/>
  <c r="B772" i="2"/>
  <c r="A772" i="2"/>
  <c r="F771" i="2"/>
  <c r="E771" i="2"/>
  <c r="D771" i="2"/>
  <c r="C771" i="2"/>
  <c r="B771" i="2"/>
  <c r="A771" i="2"/>
  <c r="F770" i="2"/>
  <c r="E770" i="2"/>
  <c r="D770" i="2"/>
  <c r="C770" i="2"/>
  <c r="B770" i="2"/>
  <c r="A770" i="2"/>
  <c r="F769" i="2"/>
  <c r="E769" i="2"/>
  <c r="D769" i="2"/>
  <c r="C769" i="2"/>
  <c r="B769" i="2"/>
  <c r="A769" i="2"/>
  <c r="F768" i="2"/>
  <c r="E768" i="2"/>
  <c r="D768" i="2"/>
  <c r="C768" i="2"/>
  <c r="B768" i="2"/>
  <c r="A768" i="2"/>
  <c r="F767" i="2"/>
  <c r="E767" i="2"/>
  <c r="D767" i="2"/>
  <c r="C767" i="2"/>
  <c r="B767" i="2"/>
  <c r="A767" i="2"/>
  <c r="F766" i="2"/>
  <c r="E766" i="2"/>
  <c r="D766" i="2"/>
  <c r="C766" i="2"/>
  <c r="B766" i="2"/>
  <c r="A766" i="2"/>
  <c r="F765" i="2"/>
  <c r="E765" i="2"/>
  <c r="D765" i="2"/>
  <c r="C765" i="2"/>
  <c r="B765" i="2"/>
  <c r="A765" i="2"/>
  <c r="F764" i="2"/>
  <c r="E764" i="2"/>
  <c r="D764" i="2"/>
  <c r="C764" i="2"/>
  <c r="B764" i="2"/>
  <c r="A764" i="2"/>
  <c r="F763" i="2"/>
  <c r="E763" i="2"/>
  <c r="D763" i="2"/>
  <c r="C763" i="2"/>
  <c r="B763" i="2"/>
  <c r="A763" i="2"/>
  <c r="F762" i="2"/>
  <c r="E762" i="2"/>
  <c r="D762" i="2"/>
  <c r="C762" i="2"/>
  <c r="B762" i="2"/>
  <c r="A762" i="2"/>
  <c r="F761" i="2"/>
  <c r="E761" i="2"/>
  <c r="D761" i="2"/>
  <c r="C761" i="2"/>
  <c r="B761" i="2"/>
  <c r="A761" i="2"/>
  <c r="F760" i="2"/>
  <c r="E760" i="2"/>
  <c r="D760" i="2"/>
  <c r="C760" i="2"/>
  <c r="B760" i="2"/>
  <c r="A760" i="2"/>
  <c r="F759" i="2"/>
  <c r="E759" i="2"/>
  <c r="D759" i="2"/>
  <c r="C759" i="2"/>
  <c r="B759" i="2"/>
  <c r="A759" i="2"/>
  <c r="F758" i="2"/>
  <c r="E758" i="2"/>
  <c r="D758" i="2"/>
  <c r="C758" i="2"/>
  <c r="B758" i="2"/>
  <c r="A758" i="2"/>
  <c r="F757" i="2"/>
  <c r="E757" i="2"/>
  <c r="D757" i="2"/>
  <c r="C757" i="2"/>
  <c r="B757" i="2"/>
  <c r="A757" i="2"/>
  <c r="F756" i="2"/>
  <c r="E756" i="2"/>
  <c r="D756" i="2"/>
  <c r="C756" i="2"/>
  <c r="B756" i="2"/>
  <c r="A756" i="2"/>
  <c r="F755" i="2"/>
  <c r="E755" i="2"/>
  <c r="D755" i="2"/>
  <c r="C755" i="2"/>
  <c r="B755" i="2"/>
  <c r="A755" i="2"/>
  <c r="F754" i="2"/>
  <c r="E754" i="2"/>
  <c r="D754" i="2"/>
  <c r="C754" i="2"/>
  <c r="B754" i="2"/>
  <c r="A754" i="2"/>
  <c r="F753" i="2"/>
  <c r="E753" i="2"/>
  <c r="D753" i="2"/>
  <c r="C753" i="2"/>
  <c r="B753" i="2"/>
  <c r="A753" i="2"/>
  <c r="F752" i="2"/>
  <c r="E752" i="2"/>
  <c r="D752" i="2"/>
  <c r="C752" i="2"/>
  <c r="B752" i="2"/>
  <c r="A752" i="2"/>
  <c r="F751" i="2"/>
  <c r="E751" i="2"/>
  <c r="D751" i="2"/>
  <c r="C751" i="2"/>
  <c r="B751" i="2"/>
  <c r="A751" i="2"/>
  <c r="F750" i="2"/>
  <c r="E750" i="2"/>
  <c r="D750" i="2"/>
  <c r="C750" i="2"/>
  <c r="B750" i="2"/>
  <c r="A750" i="2"/>
  <c r="F749" i="2"/>
  <c r="E749" i="2"/>
  <c r="D749" i="2"/>
  <c r="C749" i="2"/>
  <c r="B749" i="2"/>
  <c r="A749" i="2"/>
  <c r="F748" i="2"/>
  <c r="E748" i="2"/>
  <c r="D748" i="2"/>
  <c r="C748" i="2"/>
  <c r="B748" i="2"/>
  <c r="A748" i="2"/>
  <c r="F747" i="2"/>
  <c r="E747" i="2"/>
  <c r="D747" i="2"/>
  <c r="C747" i="2"/>
  <c r="B747" i="2"/>
  <c r="A747" i="2"/>
  <c r="F746" i="2"/>
  <c r="E746" i="2"/>
  <c r="D746" i="2"/>
  <c r="C746" i="2"/>
  <c r="B746" i="2"/>
  <c r="A746" i="2"/>
  <c r="F745" i="2"/>
  <c r="E745" i="2"/>
  <c r="D745" i="2"/>
  <c r="C745" i="2"/>
  <c r="B745" i="2"/>
  <c r="A745" i="2"/>
  <c r="F744" i="2"/>
  <c r="E744" i="2"/>
  <c r="D744" i="2"/>
  <c r="C744" i="2"/>
  <c r="B744" i="2"/>
  <c r="A744" i="2"/>
  <c r="F743" i="2"/>
  <c r="E743" i="2"/>
  <c r="D743" i="2"/>
  <c r="C743" i="2"/>
  <c r="B743" i="2"/>
  <c r="A743" i="2"/>
  <c r="F742" i="2"/>
  <c r="E742" i="2"/>
  <c r="D742" i="2"/>
  <c r="C742" i="2"/>
  <c r="B742" i="2"/>
  <c r="A742" i="2"/>
  <c r="F741" i="2"/>
  <c r="E741" i="2"/>
  <c r="D741" i="2"/>
  <c r="C741" i="2"/>
  <c r="B741" i="2"/>
  <c r="A741" i="2"/>
  <c r="F740" i="2"/>
  <c r="E740" i="2"/>
  <c r="D740" i="2"/>
  <c r="C740" i="2"/>
  <c r="B740" i="2"/>
  <c r="A740" i="2"/>
  <c r="F739" i="2"/>
  <c r="E739" i="2"/>
  <c r="D739" i="2"/>
  <c r="C739" i="2"/>
  <c r="B739" i="2"/>
  <c r="A739" i="2"/>
  <c r="F738" i="2"/>
  <c r="E738" i="2"/>
  <c r="D738" i="2"/>
  <c r="C738" i="2"/>
  <c r="B738" i="2"/>
  <c r="A738" i="2"/>
  <c r="F737" i="2"/>
  <c r="E737" i="2"/>
  <c r="D737" i="2"/>
  <c r="C737" i="2"/>
  <c r="B737" i="2"/>
  <c r="A737" i="2"/>
  <c r="F736" i="2"/>
  <c r="E736" i="2"/>
  <c r="D736" i="2"/>
  <c r="C736" i="2"/>
  <c r="B736" i="2"/>
  <c r="A736" i="2"/>
  <c r="F735" i="2"/>
  <c r="E735" i="2"/>
  <c r="D735" i="2"/>
  <c r="C735" i="2"/>
  <c r="B735" i="2"/>
  <c r="A735" i="2"/>
  <c r="F734" i="2"/>
  <c r="E734" i="2"/>
  <c r="D734" i="2"/>
  <c r="C734" i="2"/>
  <c r="B734" i="2"/>
  <c r="A734" i="2"/>
  <c r="F733" i="2"/>
  <c r="E733" i="2"/>
  <c r="D733" i="2"/>
  <c r="C733" i="2"/>
  <c r="B733" i="2"/>
  <c r="A733" i="2"/>
  <c r="F732" i="2"/>
  <c r="E732" i="2"/>
  <c r="D732" i="2"/>
  <c r="C732" i="2"/>
  <c r="B732" i="2"/>
  <c r="A732" i="2"/>
  <c r="F731" i="2"/>
  <c r="E731" i="2"/>
  <c r="D731" i="2"/>
  <c r="C731" i="2"/>
  <c r="B731" i="2"/>
  <c r="A731" i="2"/>
  <c r="F730" i="2"/>
  <c r="E730" i="2"/>
  <c r="D730" i="2"/>
  <c r="C730" i="2"/>
  <c r="B730" i="2"/>
  <c r="A730" i="2"/>
  <c r="F729" i="2"/>
  <c r="E729" i="2"/>
  <c r="D729" i="2"/>
  <c r="C729" i="2"/>
  <c r="B729" i="2"/>
  <c r="A729" i="2"/>
  <c r="F728" i="2"/>
  <c r="E728" i="2"/>
  <c r="D728" i="2"/>
  <c r="C728" i="2"/>
  <c r="B728" i="2"/>
  <c r="A728" i="2"/>
  <c r="F727" i="2"/>
  <c r="E727" i="2"/>
  <c r="D727" i="2"/>
  <c r="C727" i="2"/>
  <c r="B727" i="2"/>
  <c r="A727" i="2"/>
  <c r="F726" i="2"/>
  <c r="E726" i="2"/>
  <c r="D726" i="2"/>
  <c r="C726" i="2"/>
  <c r="B726" i="2"/>
  <c r="A726" i="2"/>
  <c r="F725" i="2"/>
  <c r="E725" i="2"/>
  <c r="D725" i="2"/>
  <c r="C725" i="2"/>
  <c r="B725" i="2"/>
  <c r="A725" i="2"/>
  <c r="F724" i="2"/>
  <c r="E724" i="2"/>
  <c r="D724" i="2"/>
  <c r="C724" i="2"/>
  <c r="B724" i="2"/>
  <c r="A724" i="2"/>
  <c r="F723" i="2"/>
  <c r="E723" i="2"/>
  <c r="D723" i="2"/>
  <c r="C723" i="2"/>
  <c r="B723" i="2"/>
  <c r="A723" i="2"/>
  <c r="F722" i="2"/>
  <c r="E722" i="2"/>
  <c r="D722" i="2"/>
  <c r="C722" i="2"/>
  <c r="B722" i="2"/>
  <c r="A722" i="2"/>
  <c r="F721" i="2"/>
  <c r="E721" i="2"/>
  <c r="D721" i="2"/>
  <c r="C721" i="2"/>
  <c r="B721" i="2"/>
  <c r="A721" i="2"/>
  <c r="F720" i="2"/>
  <c r="E720" i="2"/>
  <c r="D720" i="2"/>
  <c r="C720" i="2"/>
  <c r="B720" i="2"/>
  <c r="A720" i="2"/>
  <c r="F719" i="2"/>
  <c r="E719" i="2"/>
  <c r="D719" i="2"/>
  <c r="C719" i="2"/>
  <c r="B719" i="2"/>
  <c r="A719" i="2"/>
  <c r="F718" i="2"/>
  <c r="E718" i="2"/>
  <c r="D718" i="2"/>
  <c r="C718" i="2"/>
  <c r="B718" i="2"/>
  <c r="A718" i="2"/>
  <c r="F717" i="2"/>
  <c r="E717" i="2"/>
  <c r="D717" i="2"/>
  <c r="C717" i="2"/>
  <c r="B717" i="2"/>
  <c r="A717" i="2"/>
  <c r="F716" i="2"/>
  <c r="E716" i="2"/>
  <c r="D716" i="2"/>
  <c r="C716" i="2"/>
  <c r="B716" i="2"/>
  <c r="A716" i="2"/>
  <c r="F715" i="2"/>
  <c r="E715" i="2"/>
  <c r="D715" i="2"/>
  <c r="C715" i="2"/>
  <c r="B715" i="2"/>
  <c r="A715" i="2"/>
  <c r="F714" i="2"/>
  <c r="E714" i="2"/>
  <c r="D714" i="2"/>
  <c r="C714" i="2"/>
  <c r="B714" i="2"/>
  <c r="A714" i="2"/>
  <c r="F713" i="2"/>
  <c r="E713" i="2"/>
  <c r="D713" i="2"/>
  <c r="C713" i="2"/>
  <c r="B713" i="2"/>
  <c r="A713" i="2"/>
  <c r="F712" i="2"/>
  <c r="E712" i="2"/>
  <c r="D712" i="2"/>
  <c r="C712" i="2"/>
  <c r="B712" i="2"/>
  <c r="A712" i="2"/>
  <c r="F711" i="2"/>
  <c r="E711" i="2"/>
  <c r="D711" i="2"/>
  <c r="C711" i="2"/>
  <c r="B711" i="2"/>
  <c r="A711" i="2"/>
  <c r="F710" i="2"/>
  <c r="E710" i="2"/>
  <c r="D710" i="2"/>
  <c r="C710" i="2"/>
  <c r="B710" i="2"/>
  <c r="A710" i="2"/>
  <c r="F709" i="2"/>
  <c r="E709" i="2"/>
  <c r="D709" i="2"/>
  <c r="C709" i="2"/>
  <c r="B709" i="2"/>
  <c r="A709" i="2"/>
  <c r="F708" i="2"/>
  <c r="E708" i="2"/>
  <c r="D708" i="2"/>
  <c r="C708" i="2"/>
  <c r="B708" i="2"/>
  <c r="A708" i="2"/>
  <c r="F707" i="2"/>
  <c r="E707" i="2"/>
  <c r="D707" i="2"/>
  <c r="C707" i="2"/>
  <c r="B707" i="2"/>
  <c r="A707" i="2"/>
  <c r="F706" i="2"/>
  <c r="E706" i="2"/>
  <c r="D706" i="2"/>
  <c r="C706" i="2"/>
  <c r="B706" i="2"/>
  <c r="A706" i="2"/>
  <c r="F705" i="2"/>
  <c r="E705" i="2"/>
  <c r="D705" i="2"/>
  <c r="C705" i="2"/>
  <c r="B705" i="2"/>
  <c r="A705" i="2"/>
  <c r="F704" i="2"/>
  <c r="E704" i="2"/>
  <c r="D704" i="2"/>
  <c r="C704" i="2"/>
  <c r="B704" i="2"/>
  <c r="A704" i="2"/>
  <c r="F703" i="2"/>
  <c r="E703" i="2"/>
  <c r="D703" i="2"/>
  <c r="C703" i="2"/>
  <c r="B703" i="2"/>
  <c r="A703" i="2"/>
  <c r="F702" i="2"/>
  <c r="E702" i="2"/>
  <c r="D702" i="2"/>
  <c r="C702" i="2"/>
  <c r="B702" i="2"/>
  <c r="A702" i="2"/>
  <c r="F701" i="2"/>
  <c r="E701" i="2"/>
  <c r="D701" i="2"/>
  <c r="C701" i="2"/>
  <c r="B701" i="2"/>
  <c r="A701" i="2"/>
  <c r="F700" i="2"/>
  <c r="E700" i="2"/>
  <c r="D700" i="2"/>
  <c r="C700" i="2"/>
  <c r="B700" i="2"/>
  <c r="A700" i="2"/>
  <c r="F699" i="2"/>
  <c r="E699" i="2"/>
  <c r="D699" i="2"/>
  <c r="C699" i="2"/>
  <c r="B699" i="2"/>
  <c r="A699" i="2"/>
  <c r="F698" i="2"/>
  <c r="E698" i="2"/>
  <c r="D698" i="2"/>
  <c r="C698" i="2"/>
  <c r="B698" i="2"/>
  <c r="A698" i="2"/>
  <c r="F697" i="2"/>
  <c r="E697" i="2"/>
  <c r="D697" i="2"/>
  <c r="C697" i="2"/>
  <c r="B697" i="2"/>
  <c r="A697" i="2"/>
  <c r="F696" i="2"/>
  <c r="E696" i="2"/>
  <c r="D696" i="2"/>
  <c r="C696" i="2"/>
  <c r="B696" i="2"/>
  <c r="A696" i="2"/>
  <c r="F695" i="2"/>
  <c r="E695" i="2"/>
  <c r="D695" i="2"/>
  <c r="C695" i="2"/>
  <c r="B695" i="2"/>
  <c r="A695" i="2"/>
  <c r="F694" i="2"/>
  <c r="E694" i="2"/>
  <c r="D694" i="2"/>
  <c r="C694" i="2"/>
  <c r="B694" i="2"/>
  <c r="A694" i="2"/>
  <c r="F693" i="2"/>
  <c r="E693" i="2"/>
  <c r="D693" i="2"/>
  <c r="C693" i="2"/>
  <c r="B693" i="2"/>
  <c r="A693" i="2"/>
  <c r="F692" i="2"/>
  <c r="E692" i="2"/>
  <c r="D692" i="2"/>
  <c r="C692" i="2"/>
  <c r="B692" i="2"/>
  <c r="A692" i="2"/>
  <c r="F691" i="2"/>
  <c r="E691" i="2"/>
  <c r="D691" i="2"/>
  <c r="C691" i="2"/>
  <c r="B691" i="2"/>
  <c r="A691" i="2"/>
  <c r="F690" i="2"/>
  <c r="E690" i="2"/>
  <c r="D690" i="2"/>
  <c r="C690" i="2"/>
  <c r="B690" i="2"/>
  <c r="A690" i="2"/>
  <c r="F689" i="2"/>
  <c r="E689" i="2"/>
  <c r="D689" i="2"/>
  <c r="C689" i="2"/>
  <c r="B689" i="2"/>
  <c r="A689" i="2"/>
  <c r="F688" i="2"/>
  <c r="E688" i="2"/>
  <c r="D688" i="2"/>
  <c r="C688" i="2"/>
  <c r="B688" i="2"/>
  <c r="A688" i="2"/>
  <c r="F687" i="2"/>
  <c r="E687" i="2"/>
  <c r="D687" i="2"/>
  <c r="C687" i="2"/>
  <c r="B687" i="2"/>
  <c r="A687" i="2"/>
  <c r="F686" i="2"/>
  <c r="E686" i="2"/>
  <c r="D686" i="2"/>
  <c r="C686" i="2"/>
  <c r="B686" i="2"/>
  <c r="A686" i="2"/>
  <c r="F685" i="2"/>
  <c r="E685" i="2"/>
  <c r="D685" i="2"/>
  <c r="C685" i="2"/>
  <c r="B685" i="2"/>
  <c r="A685" i="2"/>
  <c r="F684" i="2"/>
  <c r="E684" i="2"/>
  <c r="D684" i="2"/>
  <c r="C684" i="2"/>
  <c r="B684" i="2"/>
  <c r="A684" i="2"/>
  <c r="F683" i="2"/>
  <c r="E683" i="2"/>
  <c r="D683" i="2"/>
  <c r="C683" i="2"/>
  <c r="B683" i="2"/>
  <c r="A683" i="2"/>
  <c r="F682" i="2"/>
  <c r="E682" i="2"/>
  <c r="D682" i="2"/>
  <c r="C682" i="2"/>
  <c r="B682" i="2"/>
  <c r="A682" i="2"/>
  <c r="F681" i="2"/>
  <c r="E681" i="2"/>
  <c r="D681" i="2"/>
  <c r="C681" i="2"/>
  <c r="B681" i="2"/>
  <c r="A681" i="2"/>
  <c r="F680" i="2"/>
  <c r="E680" i="2"/>
  <c r="D680" i="2"/>
  <c r="C680" i="2"/>
  <c r="B680" i="2"/>
  <c r="A680" i="2"/>
  <c r="F679" i="2"/>
  <c r="E679" i="2"/>
  <c r="D679" i="2"/>
  <c r="C679" i="2"/>
  <c r="B679" i="2"/>
  <c r="A679" i="2"/>
  <c r="F678" i="2"/>
  <c r="E678" i="2"/>
  <c r="D678" i="2"/>
  <c r="C678" i="2"/>
  <c r="B678" i="2"/>
  <c r="A678" i="2"/>
  <c r="F677" i="2"/>
  <c r="E677" i="2"/>
  <c r="D677" i="2"/>
  <c r="C677" i="2"/>
  <c r="B677" i="2"/>
  <c r="A677" i="2"/>
  <c r="F676" i="2"/>
  <c r="E676" i="2"/>
  <c r="D676" i="2"/>
  <c r="C676" i="2"/>
  <c r="B676" i="2"/>
  <c r="A676" i="2"/>
  <c r="F675" i="2"/>
  <c r="E675" i="2"/>
  <c r="D675" i="2"/>
  <c r="C675" i="2"/>
  <c r="B675" i="2"/>
  <c r="A675" i="2"/>
  <c r="F674" i="2"/>
  <c r="E674" i="2"/>
  <c r="D674" i="2"/>
  <c r="C674" i="2"/>
  <c r="B674" i="2"/>
  <c r="A674" i="2"/>
  <c r="F673" i="2"/>
  <c r="E673" i="2"/>
  <c r="D673" i="2"/>
  <c r="C673" i="2"/>
  <c r="B673" i="2"/>
  <c r="A673" i="2"/>
  <c r="F672" i="2"/>
  <c r="E672" i="2"/>
  <c r="D672" i="2"/>
  <c r="C672" i="2"/>
  <c r="B672" i="2"/>
  <c r="A672" i="2"/>
  <c r="F671" i="2"/>
  <c r="E671" i="2"/>
  <c r="D671" i="2"/>
  <c r="C671" i="2"/>
  <c r="B671" i="2"/>
  <c r="A671" i="2"/>
  <c r="F670" i="2"/>
  <c r="E670" i="2"/>
  <c r="D670" i="2"/>
  <c r="C670" i="2"/>
  <c r="B670" i="2"/>
  <c r="A670" i="2"/>
  <c r="F669" i="2"/>
  <c r="E669" i="2"/>
  <c r="D669" i="2"/>
  <c r="C669" i="2"/>
  <c r="B669" i="2"/>
  <c r="A669" i="2"/>
  <c r="F668" i="2"/>
  <c r="E668" i="2"/>
  <c r="D668" i="2"/>
  <c r="C668" i="2"/>
  <c r="B668" i="2"/>
  <c r="A668" i="2"/>
  <c r="F667" i="2"/>
  <c r="E667" i="2"/>
  <c r="D667" i="2"/>
  <c r="C667" i="2"/>
  <c r="B667" i="2"/>
  <c r="A667" i="2"/>
  <c r="F666" i="2"/>
  <c r="E666" i="2"/>
  <c r="D666" i="2"/>
  <c r="C666" i="2"/>
  <c r="B666" i="2"/>
  <c r="A666" i="2"/>
  <c r="F665" i="2"/>
  <c r="E665" i="2"/>
  <c r="D665" i="2"/>
  <c r="C665" i="2"/>
  <c r="B665" i="2"/>
  <c r="A665" i="2"/>
  <c r="F664" i="2"/>
  <c r="E664" i="2"/>
  <c r="D664" i="2"/>
  <c r="C664" i="2"/>
  <c r="B664" i="2"/>
  <c r="A664" i="2"/>
  <c r="F663" i="2"/>
  <c r="E663" i="2"/>
  <c r="D663" i="2"/>
  <c r="C663" i="2"/>
  <c r="B663" i="2"/>
  <c r="A663" i="2"/>
  <c r="F662" i="2"/>
  <c r="E662" i="2"/>
  <c r="D662" i="2"/>
  <c r="C662" i="2"/>
  <c r="B662" i="2"/>
  <c r="A662" i="2"/>
  <c r="F661" i="2"/>
  <c r="E661" i="2"/>
  <c r="D661" i="2"/>
  <c r="C661" i="2"/>
  <c r="B661" i="2"/>
  <c r="A661" i="2"/>
  <c r="F660" i="2"/>
  <c r="E660" i="2"/>
  <c r="D660" i="2"/>
  <c r="C660" i="2"/>
  <c r="B660" i="2"/>
  <c r="A660" i="2"/>
  <c r="F659" i="2"/>
  <c r="E659" i="2"/>
  <c r="D659" i="2"/>
  <c r="C659" i="2"/>
  <c r="B659" i="2"/>
  <c r="A659" i="2"/>
  <c r="F658" i="2"/>
  <c r="E658" i="2"/>
  <c r="D658" i="2"/>
  <c r="C658" i="2"/>
  <c r="B658" i="2"/>
  <c r="A658" i="2"/>
  <c r="F657" i="2"/>
  <c r="E657" i="2"/>
  <c r="D657" i="2"/>
  <c r="C657" i="2"/>
  <c r="B657" i="2"/>
  <c r="A657" i="2"/>
  <c r="F656" i="2"/>
  <c r="E656" i="2"/>
  <c r="D656" i="2"/>
  <c r="C656" i="2"/>
  <c r="B656" i="2"/>
  <c r="A656" i="2"/>
  <c r="F655" i="2"/>
  <c r="E655" i="2"/>
  <c r="D655" i="2"/>
  <c r="C655" i="2"/>
  <c r="B655" i="2"/>
  <c r="A655" i="2"/>
  <c r="F654" i="2"/>
  <c r="E654" i="2"/>
  <c r="D654" i="2"/>
  <c r="C654" i="2"/>
  <c r="B654" i="2"/>
  <c r="A654" i="2"/>
  <c r="F653" i="2"/>
  <c r="E653" i="2"/>
  <c r="D653" i="2"/>
  <c r="C653" i="2"/>
  <c r="B653" i="2"/>
  <c r="A653" i="2"/>
  <c r="F652" i="2"/>
  <c r="E652" i="2"/>
  <c r="D652" i="2"/>
  <c r="C652" i="2"/>
  <c r="B652" i="2"/>
  <c r="A652" i="2"/>
  <c r="F651" i="2"/>
  <c r="E651" i="2"/>
  <c r="D651" i="2"/>
  <c r="C651" i="2"/>
  <c r="B651" i="2"/>
  <c r="A651" i="2"/>
  <c r="F650" i="2"/>
  <c r="E650" i="2"/>
  <c r="D650" i="2"/>
  <c r="C650" i="2"/>
  <c r="B650" i="2"/>
  <c r="A650" i="2"/>
  <c r="F649" i="2"/>
  <c r="E649" i="2"/>
  <c r="D649" i="2"/>
  <c r="C649" i="2"/>
  <c r="B649" i="2"/>
  <c r="A649" i="2"/>
  <c r="F648" i="2"/>
  <c r="E648" i="2"/>
  <c r="D648" i="2"/>
  <c r="C648" i="2"/>
  <c r="B648" i="2"/>
  <c r="A648" i="2"/>
  <c r="F647" i="2"/>
  <c r="E647" i="2"/>
  <c r="D647" i="2"/>
  <c r="C647" i="2"/>
  <c r="B647" i="2"/>
  <c r="A647" i="2"/>
  <c r="F646" i="2"/>
  <c r="E646" i="2"/>
  <c r="D646" i="2"/>
  <c r="C646" i="2"/>
  <c r="B646" i="2"/>
  <c r="A646" i="2"/>
  <c r="F645" i="2"/>
  <c r="E645" i="2"/>
  <c r="D645" i="2"/>
  <c r="C645" i="2"/>
  <c r="B645" i="2"/>
  <c r="A645" i="2"/>
  <c r="F644" i="2"/>
  <c r="E644" i="2"/>
  <c r="D644" i="2"/>
  <c r="C644" i="2"/>
  <c r="B644" i="2"/>
  <c r="A644" i="2"/>
  <c r="F643" i="2"/>
  <c r="E643" i="2"/>
  <c r="D643" i="2"/>
  <c r="C643" i="2"/>
  <c r="B643" i="2"/>
  <c r="A643" i="2"/>
  <c r="F642" i="2"/>
  <c r="E642" i="2"/>
  <c r="D642" i="2"/>
  <c r="C642" i="2"/>
  <c r="B642" i="2"/>
  <c r="A642" i="2"/>
  <c r="F641" i="2"/>
  <c r="E641" i="2"/>
  <c r="D641" i="2"/>
  <c r="C641" i="2"/>
  <c r="B641" i="2"/>
  <c r="A641" i="2"/>
  <c r="F640" i="2"/>
  <c r="E640" i="2"/>
  <c r="D640" i="2"/>
  <c r="C640" i="2"/>
  <c r="B640" i="2"/>
  <c r="A640" i="2"/>
  <c r="F639" i="2"/>
  <c r="E639" i="2"/>
  <c r="D639" i="2"/>
  <c r="C639" i="2"/>
  <c r="B639" i="2"/>
  <c r="A639" i="2"/>
  <c r="F638" i="2"/>
  <c r="E638" i="2"/>
  <c r="D638" i="2"/>
  <c r="C638" i="2"/>
  <c r="B638" i="2"/>
  <c r="A638" i="2"/>
  <c r="F637" i="2"/>
  <c r="E637" i="2"/>
  <c r="D637" i="2"/>
  <c r="C637" i="2"/>
  <c r="B637" i="2"/>
  <c r="A637" i="2"/>
  <c r="F636" i="2"/>
  <c r="E636" i="2"/>
  <c r="D636" i="2"/>
  <c r="C636" i="2"/>
  <c r="B636" i="2"/>
  <c r="A636" i="2"/>
  <c r="F635" i="2"/>
  <c r="E635" i="2"/>
  <c r="D635" i="2"/>
  <c r="C635" i="2"/>
  <c r="B635" i="2"/>
  <c r="A635" i="2"/>
  <c r="F634" i="2"/>
  <c r="E634" i="2"/>
  <c r="D634" i="2"/>
  <c r="C634" i="2"/>
  <c r="B634" i="2"/>
  <c r="A634" i="2"/>
  <c r="F633" i="2"/>
  <c r="E633" i="2"/>
  <c r="D633" i="2"/>
  <c r="C633" i="2"/>
  <c r="B633" i="2"/>
  <c r="A633" i="2"/>
  <c r="F632" i="2"/>
  <c r="E632" i="2"/>
  <c r="D632" i="2"/>
  <c r="C632" i="2"/>
  <c r="B632" i="2"/>
  <c r="A632" i="2"/>
  <c r="F631" i="2"/>
  <c r="E631" i="2"/>
  <c r="D631" i="2"/>
  <c r="C631" i="2"/>
  <c r="B631" i="2"/>
  <c r="A631" i="2"/>
  <c r="F630" i="2"/>
  <c r="E630" i="2"/>
  <c r="D630" i="2"/>
  <c r="C630" i="2"/>
  <c r="B630" i="2"/>
  <c r="A630" i="2"/>
  <c r="F629" i="2"/>
  <c r="E629" i="2"/>
  <c r="D629" i="2"/>
  <c r="C629" i="2"/>
  <c r="B629" i="2"/>
  <c r="A629" i="2"/>
  <c r="F628" i="2"/>
  <c r="E628" i="2"/>
  <c r="D628" i="2"/>
  <c r="C628" i="2"/>
  <c r="B628" i="2"/>
  <c r="A628" i="2"/>
  <c r="F627" i="2"/>
  <c r="E627" i="2"/>
  <c r="D627" i="2"/>
  <c r="C627" i="2"/>
  <c r="B627" i="2"/>
  <c r="A627" i="2"/>
  <c r="F626" i="2"/>
  <c r="E626" i="2"/>
  <c r="D626" i="2"/>
  <c r="C626" i="2"/>
  <c r="B626" i="2"/>
  <c r="A626" i="2"/>
  <c r="F625" i="2"/>
  <c r="E625" i="2"/>
  <c r="D625" i="2"/>
  <c r="C625" i="2"/>
  <c r="B625" i="2"/>
  <c r="A625" i="2"/>
  <c r="F624" i="2"/>
  <c r="E624" i="2"/>
  <c r="D624" i="2"/>
  <c r="C624" i="2"/>
  <c r="B624" i="2"/>
  <c r="A624" i="2"/>
  <c r="F623" i="2"/>
  <c r="E623" i="2"/>
  <c r="D623" i="2"/>
  <c r="C623" i="2"/>
  <c r="B623" i="2"/>
  <c r="A623" i="2"/>
  <c r="F622" i="2"/>
  <c r="E622" i="2"/>
  <c r="D622" i="2"/>
  <c r="C622" i="2"/>
  <c r="B622" i="2"/>
  <c r="A622" i="2"/>
  <c r="F621" i="2"/>
  <c r="E621" i="2"/>
  <c r="D621" i="2"/>
  <c r="C621" i="2"/>
  <c r="B621" i="2"/>
  <c r="A621" i="2"/>
  <c r="F620" i="2"/>
  <c r="E620" i="2"/>
  <c r="D620" i="2"/>
  <c r="C620" i="2"/>
  <c r="B620" i="2"/>
  <c r="A620" i="2"/>
  <c r="F619" i="2"/>
  <c r="E619" i="2"/>
  <c r="D619" i="2"/>
  <c r="C619" i="2"/>
  <c r="B619" i="2"/>
  <c r="A619" i="2"/>
  <c r="F618" i="2"/>
  <c r="E618" i="2"/>
  <c r="D618" i="2"/>
  <c r="C618" i="2"/>
  <c r="B618" i="2"/>
  <c r="A618" i="2"/>
  <c r="F617" i="2"/>
  <c r="E617" i="2"/>
  <c r="D617" i="2"/>
  <c r="C617" i="2"/>
  <c r="B617" i="2"/>
  <c r="A617" i="2"/>
  <c r="F616" i="2"/>
  <c r="E616" i="2"/>
  <c r="D616" i="2"/>
  <c r="C616" i="2"/>
  <c r="B616" i="2"/>
  <c r="A616" i="2"/>
  <c r="F615" i="2"/>
  <c r="E615" i="2"/>
  <c r="D615" i="2"/>
  <c r="C615" i="2"/>
  <c r="B615" i="2"/>
  <c r="A615" i="2"/>
  <c r="F614" i="2"/>
  <c r="E614" i="2"/>
  <c r="D614" i="2"/>
  <c r="C614" i="2"/>
  <c r="B614" i="2"/>
  <c r="A614" i="2"/>
  <c r="F613" i="2"/>
  <c r="E613" i="2"/>
  <c r="D613" i="2"/>
  <c r="C613" i="2"/>
  <c r="B613" i="2"/>
  <c r="A613" i="2"/>
  <c r="F612" i="2"/>
  <c r="E612" i="2"/>
  <c r="D612" i="2"/>
  <c r="C612" i="2"/>
  <c r="B612" i="2"/>
  <c r="A612" i="2"/>
  <c r="F611" i="2"/>
  <c r="E611" i="2"/>
  <c r="D611" i="2"/>
  <c r="C611" i="2"/>
  <c r="B611" i="2"/>
  <c r="A611" i="2"/>
  <c r="F610" i="2"/>
  <c r="E610" i="2"/>
  <c r="D610" i="2"/>
  <c r="C610" i="2"/>
  <c r="B610" i="2"/>
  <c r="A610" i="2"/>
  <c r="F609" i="2"/>
  <c r="E609" i="2"/>
  <c r="D609" i="2"/>
  <c r="C609" i="2"/>
  <c r="B609" i="2"/>
  <c r="A609" i="2"/>
  <c r="F608" i="2"/>
  <c r="E608" i="2"/>
  <c r="D608" i="2"/>
  <c r="C608" i="2"/>
  <c r="B608" i="2"/>
  <c r="A608" i="2"/>
  <c r="F607" i="2"/>
  <c r="E607" i="2"/>
  <c r="D607" i="2"/>
  <c r="C607" i="2"/>
  <c r="B607" i="2"/>
  <c r="A607" i="2"/>
  <c r="F606" i="2"/>
  <c r="E606" i="2"/>
  <c r="D606" i="2"/>
  <c r="C606" i="2"/>
  <c r="B606" i="2"/>
  <c r="A606" i="2"/>
  <c r="F605" i="2"/>
  <c r="E605" i="2"/>
  <c r="D605" i="2"/>
  <c r="C605" i="2"/>
  <c r="B605" i="2"/>
  <c r="A605" i="2"/>
  <c r="F604" i="2"/>
  <c r="E604" i="2"/>
  <c r="D604" i="2"/>
  <c r="C604" i="2"/>
  <c r="B604" i="2"/>
  <c r="A604" i="2"/>
  <c r="F603" i="2"/>
  <c r="E603" i="2"/>
  <c r="D603" i="2"/>
  <c r="C603" i="2"/>
  <c r="B603" i="2"/>
  <c r="A603" i="2"/>
  <c r="F602" i="2"/>
  <c r="E602" i="2"/>
  <c r="D602" i="2"/>
  <c r="C602" i="2"/>
  <c r="B602" i="2"/>
  <c r="A602" i="2"/>
  <c r="F601" i="2"/>
  <c r="E601" i="2"/>
  <c r="D601" i="2"/>
  <c r="C601" i="2"/>
  <c r="B601" i="2"/>
  <c r="A601" i="2"/>
  <c r="F600" i="2"/>
  <c r="E600" i="2"/>
  <c r="D600" i="2"/>
  <c r="C600" i="2"/>
  <c r="B600" i="2"/>
  <c r="A600" i="2"/>
  <c r="F599" i="2"/>
  <c r="E599" i="2"/>
  <c r="D599" i="2"/>
  <c r="C599" i="2"/>
  <c r="B599" i="2"/>
  <c r="A599" i="2"/>
  <c r="F598" i="2"/>
  <c r="E598" i="2"/>
  <c r="D598" i="2"/>
  <c r="C598" i="2"/>
  <c r="B598" i="2"/>
  <c r="A598" i="2"/>
  <c r="F597" i="2"/>
  <c r="E597" i="2"/>
  <c r="D597" i="2"/>
  <c r="C597" i="2"/>
  <c r="B597" i="2"/>
  <c r="A597" i="2"/>
  <c r="F596" i="2"/>
  <c r="E596" i="2"/>
  <c r="D596" i="2"/>
  <c r="C596" i="2"/>
  <c r="B596" i="2"/>
  <c r="A596" i="2"/>
  <c r="F595" i="2"/>
  <c r="E595" i="2"/>
  <c r="D595" i="2"/>
  <c r="C595" i="2"/>
  <c r="B595" i="2"/>
  <c r="A595" i="2"/>
  <c r="F594" i="2"/>
  <c r="E594" i="2"/>
  <c r="D594" i="2"/>
  <c r="C594" i="2"/>
  <c r="B594" i="2"/>
  <c r="A594" i="2"/>
  <c r="F593" i="2"/>
  <c r="E593" i="2"/>
  <c r="D593" i="2"/>
  <c r="C593" i="2"/>
  <c r="B593" i="2"/>
  <c r="A593" i="2"/>
  <c r="F592" i="2"/>
  <c r="E592" i="2"/>
  <c r="D592" i="2"/>
  <c r="C592" i="2"/>
  <c r="B592" i="2"/>
  <c r="A592" i="2"/>
  <c r="F591" i="2"/>
  <c r="E591" i="2"/>
  <c r="D591" i="2"/>
  <c r="C591" i="2"/>
  <c r="B591" i="2"/>
  <c r="A591" i="2"/>
  <c r="F590" i="2"/>
  <c r="E590" i="2"/>
  <c r="D590" i="2"/>
  <c r="C590" i="2"/>
  <c r="B590" i="2"/>
  <c r="A590" i="2"/>
  <c r="F589" i="2"/>
  <c r="E589" i="2"/>
  <c r="D589" i="2"/>
  <c r="C589" i="2"/>
  <c r="B589" i="2"/>
  <c r="A589" i="2"/>
  <c r="F588" i="2"/>
  <c r="E588" i="2"/>
  <c r="D588" i="2"/>
  <c r="C588" i="2"/>
  <c r="B588" i="2"/>
  <c r="A588" i="2"/>
  <c r="F587" i="2"/>
  <c r="E587" i="2"/>
  <c r="D587" i="2"/>
  <c r="C587" i="2"/>
  <c r="B587" i="2"/>
  <c r="A587" i="2"/>
  <c r="F586" i="2"/>
  <c r="E586" i="2"/>
  <c r="D586" i="2"/>
  <c r="C586" i="2"/>
  <c r="B586" i="2"/>
  <c r="A586" i="2"/>
  <c r="F585" i="2"/>
  <c r="E585" i="2"/>
  <c r="D585" i="2"/>
  <c r="C585" i="2"/>
  <c r="B585" i="2"/>
  <c r="A585" i="2"/>
  <c r="F584" i="2"/>
  <c r="E584" i="2"/>
  <c r="D584" i="2"/>
  <c r="C584" i="2"/>
  <c r="B584" i="2"/>
  <c r="A584" i="2"/>
  <c r="F583" i="2"/>
  <c r="E583" i="2"/>
  <c r="D583" i="2"/>
  <c r="C583" i="2"/>
  <c r="B583" i="2"/>
  <c r="A583" i="2"/>
  <c r="F582" i="2"/>
  <c r="E582" i="2"/>
  <c r="D582" i="2"/>
  <c r="C582" i="2"/>
  <c r="B582" i="2"/>
  <c r="A582" i="2"/>
  <c r="F581" i="2"/>
  <c r="E581" i="2"/>
  <c r="D581" i="2"/>
  <c r="C581" i="2"/>
  <c r="B581" i="2"/>
  <c r="A581" i="2"/>
  <c r="F580" i="2"/>
  <c r="E580" i="2"/>
  <c r="D580" i="2"/>
  <c r="C580" i="2"/>
  <c r="B580" i="2"/>
  <c r="A580" i="2"/>
  <c r="F579" i="2"/>
  <c r="E579" i="2"/>
  <c r="D579" i="2"/>
  <c r="C579" i="2"/>
  <c r="B579" i="2"/>
  <c r="A579" i="2"/>
  <c r="F578" i="2"/>
  <c r="E578" i="2"/>
  <c r="D578" i="2"/>
  <c r="C578" i="2"/>
  <c r="B578" i="2"/>
  <c r="A578" i="2"/>
  <c r="F577" i="2"/>
  <c r="E577" i="2"/>
  <c r="D577" i="2"/>
  <c r="C577" i="2"/>
  <c r="B577" i="2"/>
  <c r="A577" i="2"/>
  <c r="F576" i="2"/>
  <c r="E576" i="2"/>
  <c r="D576" i="2"/>
  <c r="C576" i="2"/>
  <c r="B576" i="2"/>
  <c r="A576" i="2"/>
  <c r="F575" i="2"/>
  <c r="E575" i="2"/>
  <c r="D575" i="2"/>
  <c r="C575" i="2"/>
  <c r="B575" i="2"/>
  <c r="A575" i="2"/>
  <c r="F574" i="2"/>
  <c r="E574" i="2"/>
  <c r="D574" i="2"/>
  <c r="C574" i="2"/>
  <c r="B574" i="2"/>
  <c r="A574" i="2"/>
  <c r="F573" i="2"/>
  <c r="E573" i="2"/>
  <c r="D573" i="2"/>
  <c r="C573" i="2"/>
  <c r="B573" i="2"/>
  <c r="A573" i="2"/>
  <c r="F572" i="2"/>
  <c r="E572" i="2"/>
  <c r="D572" i="2"/>
  <c r="C572" i="2"/>
  <c r="B572" i="2"/>
  <c r="A572" i="2"/>
  <c r="F571" i="2"/>
  <c r="E571" i="2"/>
  <c r="D571" i="2"/>
  <c r="C571" i="2"/>
  <c r="B571" i="2"/>
  <c r="A571" i="2"/>
  <c r="F570" i="2"/>
  <c r="E570" i="2"/>
  <c r="D570" i="2"/>
  <c r="C570" i="2"/>
  <c r="B570" i="2"/>
  <c r="A570" i="2"/>
  <c r="F569" i="2"/>
  <c r="E569" i="2"/>
  <c r="D569" i="2"/>
  <c r="C569" i="2"/>
  <c r="B569" i="2"/>
  <c r="A569" i="2"/>
  <c r="F568" i="2"/>
  <c r="E568" i="2"/>
  <c r="D568" i="2"/>
  <c r="C568" i="2"/>
  <c r="B568" i="2"/>
  <c r="A568" i="2"/>
  <c r="F567" i="2"/>
  <c r="E567" i="2"/>
  <c r="D567" i="2"/>
  <c r="C567" i="2"/>
  <c r="B567" i="2"/>
  <c r="A567" i="2"/>
  <c r="F566" i="2"/>
  <c r="E566" i="2"/>
  <c r="D566" i="2"/>
  <c r="C566" i="2"/>
  <c r="B566" i="2"/>
  <c r="A566" i="2"/>
  <c r="F565" i="2"/>
  <c r="E565" i="2"/>
  <c r="D565" i="2"/>
  <c r="C565" i="2"/>
  <c r="B565" i="2"/>
  <c r="A565" i="2"/>
  <c r="F564" i="2"/>
  <c r="E564" i="2"/>
  <c r="D564" i="2"/>
  <c r="C564" i="2"/>
  <c r="B564" i="2"/>
  <c r="A564" i="2"/>
  <c r="F563" i="2"/>
  <c r="E563" i="2"/>
  <c r="D563" i="2"/>
  <c r="C563" i="2"/>
  <c r="B563" i="2"/>
  <c r="A563" i="2"/>
  <c r="F562" i="2"/>
  <c r="E562" i="2"/>
  <c r="D562" i="2"/>
  <c r="C562" i="2"/>
  <c r="B562" i="2"/>
  <c r="A562" i="2"/>
  <c r="F561" i="2"/>
  <c r="E561" i="2"/>
  <c r="D561" i="2"/>
  <c r="C561" i="2"/>
  <c r="B561" i="2"/>
  <c r="A561" i="2"/>
  <c r="F560" i="2"/>
  <c r="E560" i="2"/>
  <c r="D560" i="2"/>
  <c r="C560" i="2"/>
  <c r="B560" i="2"/>
  <c r="A560" i="2"/>
  <c r="F559" i="2"/>
  <c r="E559" i="2"/>
  <c r="D559" i="2"/>
  <c r="C559" i="2"/>
  <c r="B559" i="2"/>
  <c r="A559" i="2"/>
  <c r="F558" i="2"/>
  <c r="E558" i="2"/>
  <c r="D558" i="2"/>
  <c r="C558" i="2"/>
  <c r="B558" i="2"/>
  <c r="A558" i="2"/>
  <c r="F557" i="2"/>
  <c r="E557" i="2"/>
  <c r="D557" i="2"/>
  <c r="C557" i="2"/>
  <c r="B557" i="2"/>
  <c r="A557" i="2"/>
  <c r="F556" i="2"/>
  <c r="E556" i="2"/>
  <c r="D556" i="2"/>
  <c r="C556" i="2"/>
  <c r="B556" i="2"/>
  <c r="A556" i="2"/>
  <c r="F555" i="2"/>
  <c r="E555" i="2"/>
  <c r="D555" i="2"/>
  <c r="C555" i="2"/>
  <c r="B555" i="2"/>
  <c r="A555" i="2"/>
  <c r="F554" i="2"/>
  <c r="E554" i="2"/>
  <c r="D554" i="2"/>
  <c r="C554" i="2"/>
  <c r="B554" i="2"/>
  <c r="A554" i="2"/>
  <c r="F553" i="2"/>
  <c r="E553" i="2"/>
  <c r="D553" i="2"/>
  <c r="C553" i="2"/>
  <c r="B553" i="2"/>
  <c r="A553" i="2"/>
  <c r="F552" i="2"/>
  <c r="E552" i="2"/>
  <c r="D552" i="2"/>
  <c r="C552" i="2"/>
  <c r="B552" i="2"/>
  <c r="A552" i="2"/>
  <c r="F551" i="2"/>
  <c r="E551" i="2"/>
  <c r="D551" i="2"/>
  <c r="C551" i="2"/>
  <c r="B551" i="2"/>
  <c r="A551" i="2"/>
  <c r="F550" i="2"/>
  <c r="E550" i="2"/>
  <c r="D550" i="2"/>
  <c r="C550" i="2"/>
  <c r="B550" i="2"/>
  <c r="A550" i="2"/>
  <c r="F549" i="2"/>
  <c r="E549" i="2"/>
  <c r="D549" i="2"/>
  <c r="C549" i="2"/>
  <c r="B549" i="2"/>
  <c r="A549" i="2"/>
  <c r="F548" i="2"/>
  <c r="E548" i="2"/>
  <c r="D548" i="2"/>
  <c r="C548" i="2"/>
  <c r="B548" i="2"/>
  <c r="A548" i="2"/>
  <c r="F547" i="2"/>
  <c r="E547" i="2"/>
  <c r="D547" i="2"/>
  <c r="C547" i="2"/>
  <c r="B547" i="2"/>
  <c r="A547" i="2"/>
  <c r="F546" i="2"/>
  <c r="E546" i="2"/>
  <c r="D546" i="2"/>
  <c r="C546" i="2"/>
  <c r="B546" i="2"/>
  <c r="A546" i="2"/>
  <c r="F545" i="2"/>
  <c r="E545" i="2"/>
  <c r="D545" i="2"/>
  <c r="C545" i="2"/>
  <c r="B545" i="2"/>
  <c r="A545" i="2"/>
  <c r="F544" i="2"/>
  <c r="E544" i="2"/>
  <c r="D544" i="2"/>
  <c r="C544" i="2"/>
  <c r="B544" i="2"/>
  <c r="A544" i="2"/>
  <c r="F543" i="2"/>
  <c r="E543" i="2"/>
  <c r="D543" i="2"/>
  <c r="C543" i="2"/>
  <c r="B543" i="2"/>
  <c r="A543" i="2"/>
  <c r="F542" i="2"/>
  <c r="E542" i="2"/>
  <c r="D542" i="2"/>
  <c r="C542" i="2"/>
  <c r="B542" i="2"/>
  <c r="A542" i="2"/>
  <c r="F541" i="2"/>
  <c r="E541" i="2"/>
  <c r="D541" i="2"/>
  <c r="C541" i="2"/>
  <c r="B541" i="2"/>
  <c r="A541" i="2"/>
  <c r="F540" i="2"/>
  <c r="E540" i="2"/>
  <c r="D540" i="2"/>
  <c r="C540" i="2"/>
  <c r="B540" i="2"/>
  <c r="A540" i="2"/>
  <c r="F539" i="2"/>
  <c r="E539" i="2"/>
  <c r="D539" i="2"/>
  <c r="C539" i="2"/>
  <c r="B539" i="2"/>
  <c r="A539" i="2"/>
  <c r="F538" i="2"/>
  <c r="E538" i="2"/>
  <c r="D538" i="2"/>
  <c r="C538" i="2"/>
  <c r="B538" i="2"/>
  <c r="A538" i="2"/>
  <c r="F537" i="2"/>
  <c r="E537" i="2"/>
  <c r="D537" i="2"/>
  <c r="C537" i="2"/>
  <c r="B537" i="2"/>
  <c r="A537" i="2"/>
  <c r="F536" i="2"/>
  <c r="E536" i="2"/>
  <c r="D536" i="2"/>
  <c r="C536" i="2"/>
  <c r="B536" i="2"/>
  <c r="A536" i="2"/>
  <c r="F535" i="2"/>
  <c r="E535" i="2"/>
  <c r="D535" i="2"/>
  <c r="C535" i="2"/>
  <c r="B535" i="2"/>
  <c r="A535" i="2"/>
  <c r="F534" i="2"/>
  <c r="E534" i="2"/>
  <c r="D534" i="2"/>
  <c r="C534" i="2"/>
  <c r="B534" i="2"/>
  <c r="A534" i="2"/>
  <c r="F533" i="2"/>
  <c r="E533" i="2"/>
  <c r="D533" i="2"/>
  <c r="C533" i="2"/>
  <c r="B533" i="2"/>
  <c r="A533" i="2"/>
  <c r="F532" i="2"/>
  <c r="E532" i="2"/>
  <c r="D532" i="2"/>
  <c r="C532" i="2"/>
  <c r="B532" i="2"/>
  <c r="A532" i="2"/>
  <c r="F531" i="2"/>
  <c r="E531" i="2"/>
  <c r="D531" i="2"/>
  <c r="C531" i="2"/>
  <c r="B531" i="2"/>
  <c r="A531" i="2"/>
  <c r="F530" i="2"/>
  <c r="E530" i="2"/>
  <c r="D530" i="2"/>
  <c r="C530" i="2"/>
  <c r="B530" i="2"/>
  <c r="A530" i="2"/>
  <c r="F529" i="2"/>
  <c r="E529" i="2"/>
  <c r="D529" i="2"/>
  <c r="C529" i="2"/>
  <c r="B529" i="2"/>
  <c r="A529" i="2"/>
  <c r="F528" i="2"/>
  <c r="E528" i="2"/>
  <c r="D528" i="2"/>
  <c r="C528" i="2"/>
  <c r="B528" i="2"/>
  <c r="A528" i="2"/>
  <c r="F527" i="2"/>
  <c r="E527" i="2"/>
  <c r="D527" i="2"/>
  <c r="C527" i="2"/>
  <c r="B527" i="2"/>
  <c r="A527" i="2"/>
  <c r="F526" i="2"/>
  <c r="E526" i="2"/>
  <c r="D526" i="2"/>
  <c r="C526" i="2"/>
  <c r="B526" i="2"/>
  <c r="A526" i="2"/>
  <c r="F525" i="2"/>
  <c r="E525" i="2"/>
  <c r="D525" i="2"/>
  <c r="C525" i="2"/>
  <c r="B525" i="2"/>
  <c r="A525" i="2"/>
  <c r="F524" i="2"/>
  <c r="E524" i="2"/>
  <c r="D524" i="2"/>
  <c r="C524" i="2"/>
  <c r="B524" i="2"/>
  <c r="A524" i="2"/>
  <c r="F523" i="2"/>
  <c r="E523" i="2"/>
  <c r="D523" i="2"/>
  <c r="C523" i="2"/>
  <c r="B523" i="2"/>
  <c r="A523" i="2"/>
  <c r="F522" i="2"/>
  <c r="E522" i="2"/>
  <c r="D522" i="2"/>
  <c r="C522" i="2"/>
  <c r="B522" i="2"/>
  <c r="A522" i="2"/>
  <c r="F521" i="2"/>
  <c r="E521" i="2"/>
  <c r="D521" i="2"/>
  <c r="C521" i="2"/>
  <c r="B521" i="2"/>
  <c r="A521" i="2"/>
  <c r="F520" i="2"/>
  <c r="E520" i="2"/>
  <c r="D520" i="2"/>
  <c r="C520" i="2"/>
  <c r="B520" i="2"/>
  <c r="A520" i="2"/>
  <c r="F519" i="2"/>
  <c r="E519" i="2"/>
  <c r="D519" i="2"/>
  <c r="C519" i="2"/>
  <c r="B519" i="2"/>
  <c r="A519" i="2"/>
  <c r="F518" i="2"/>
  <c r="E518" i="2"/>
  <c r="D518" i="2"/>
  <c r="C518" i="2"/>
  <c r="B518" i="2"/>
  <c r="A518" i="2"/>
  <c r="F517" i="2"/>
  <c r="E517" i="2"/>
  <c r="D517" i="2"/>
  <c r="C517" i="2"/>
  <c r="B517" i="2"/>
  <c r="A517" i="2"/>
  <c r="F516" i="2"/>
  <c r="E516" i="2"/>
  <c r="D516" i="2"/>
  <c r="C516" i="2"/>
  <c r="B516" i="2"/>
  <c r="A516" i="2"/>
  <c r="F515" i="2"/>
  <c r="E515" i="2"/>
  <c r="D515" i="2"/>
  <c r="C515" i="2"/>
  <c r="B515" i="2"/>
  <c r="A515" i="2"/>
  <c r="F514" i="2"/>
  <c r="E514" i="2"/>
  <c r="D514" i="2"/>
  <c r="C514" i="2"/>
  <c r="B514" i="2"/>
  <c r="A514" i="2"/>
  <c r="F513" i="2"/>
  <c r="E513" i="2"/>
  <c r="D513" i="2"/>
  <c r="C513" i="2"/>
  <c r="B513" i="2"/>
  <c r="A513" i="2"/>
  <c r="F512" i="2"/>
  <c r="E512" i="2"/>
  <c r="D512" i="2"/>
  <c r="C512" i="2"/>
  <c r="B512" i="2"/>
  <c r="A512" i="2"/>
  <c r="F511" i="2"/>
  <c r="E511" i="2"/>
  <c r="D511" i="2"/>
  <c r="C511" i="2"/>
  <c r="B511" i="2"/>
  <c r="A511" i="2"/>
  <c r="F510" i="2"/>
  <c r="E510" i="2"/>
  <c r="D510" i="2"/>
  <c r="C510" i="2"/>
  <c r="B510" i="2"/>
  <c r="A510" i="2"/>
  <c r="F509" i="2"/>
  <c r="E509" i="2"/>
  <c r="D509" i="2"/>
  <c r="C509" i="2"/>
  <c r="B509" i="2"/>
  <c r="A509" i="2"/>
  <c r="F508" i="2"/>
  <c r="E508" i="2"/>
  <c r="D508" i="2"/>
  <c r="C508" i="2"/>
  <c r="B508" i="2"/>
  <c r="A508" i="2"/>
  <c r="F507" i="2"/>
  <c r="E507" i="2"/>
  <c r="D507" i="2"/>
  <c r="C507" i="2"/>
  <c r="B507" i="2"/>
  <c r="A507" i="2"/>
  <c r="F506" i="2"/>
  <c r="E506" i="2"/>
  <c r="D506" i="2"/>
  <c r="C506" i="2"/>
  <c r="B506" i="2"/>
  <c r="A506" i="2"/>
  <c r="F505" i="2"/>
  <c r="E505" i="2"/>
  <c r="D505" i="2"/>
  <c r="C505" i="2"/>
  <c r="B505" i="2"/>
  <c r="A505" i="2"/>
  <c r="F504" i="2"/>
  <c r="E504" i="2"/>
  <c r="D504" i="2"/>
  <c r="C504" i="2"/>
  <c r="B504" i="2"/>
  <c r="A504" i="2"/>
  <c r="F503" i="2"/>
  <c r="E503" i="2"/>
  <c r="D503" i="2"/>
  <c r="C503" i="2"/>
  <c r="B503" i="2"/>
  <c r="A503" i="2"/>
  <c r="F502" i="2"/>
  <c r="E502" i="2"/>
  <c r="D502" i="2"/>
  <c r="C502" i="2"/>
  <c r="B502" i="2"/>
  <c r="A502" i="2"/>
  <c r="F501" i="2"/>
  <c r="E501" i="2"/>
  <c r="D501" i="2"/>
  <c r="C501" i="2"/>
  <c r="B501" i="2"/>
  <c r="A501" i="2"/>
  <c r="F500" i="2"/>
  <c r="E500" i="2"/>
  <c r="D500" i="2"/>
  <c r="C500" i="2"/>
  <c r="B500" i="2"/>
  <c r="A500" i="2"/>
  <c r="F499" i="2"/>
  <c r="E499" i="2"/>
  <c r="D499" i="2"/>
  <c r="C499" i="2"/>
  <c r="B499" i="2"/>
  <c r="A499" i="2"/>
  <c r="F498" i="2"/>
  <c r="E498" i="2"/>
  <c r="D498" i="2"/>
  <c r="C498" i="2"/>
  <c r="B498" i="2"/>
  <c r="A498" i="2"/>
  <c r="F497" i="2"/>
  <c r="E497" i="2"/>
  <c r="D497" i="2"/>
  <c r="C497" i="2"/>
  <c r="B497" i="2"/>
  <c r="A497" i="2"/>
  <c r="F496" i="2"/>
  <c r="E496" i="2"/>
  <c r="D496" i="2"/>
  <c r="C496" i="2"/>
  <c r="B496" i="2"/>
  <c r="A496" i="2"/>
  <c r="F495" i="2"/>
  <c r="E495" i="2"/>
  <c r="D495" i="2"/>
  <c r="C495" i="2"/>
  <c r="B495" i="2"/>
  <c r="A495" i="2"/>
  <c r="F494" i="2"/>
  <c r="E494" i="2"/>
  <c r="D494" i="2"/>
  <c r="C494" i="2"/>
  <c r="B494" i="2"/>
  <c r="A494" i="2"/>
  <c r="F493" i="2"/>
  <c r="E493" i="2"/>
  <c r="D493" i="2"/>
  <c r="C493" i="2"/>
  <c r="B493" i="2"/>
  <c r="A493" i="2"/>
  <c r="F492" i="2"/>
  <c r="E492" i="2"/>
  <c r="D492" i="2"/>
  <c r="C492" i="2"/>
  <c r="B492" i="2"/>
  <c r="A492" i="2"/>
  <c r="F491" i="2"/>
  <c r="E491" i="2"/>
  <c r="D491" i="2"/>
  <c r="C491" i="2"/>
  <c r="B491" i="2"/>
  <c r="A491" i="2"/>
  <c r="F490" i="2"/>
  <c r="E490" i="2"/>
  <c r="D490" i="2"/>
  <c r="C490" i="2"/>
  <c r="B490" i="2"/>
  <c r="A490" i="2"/>
  <c r="F489" i="2"/>
  <c r="E489" i="2"/>
  <c r="D489" i="2"/>
  <c r="C489" i="2"/>
  <c r="B489" i="2"/>
  <c r="A489" i="2"/>
  <c r="F488" i="2"/>
  <c r="E488" i="2"/>
  <c r="D488" i="2"/>
  <c r="C488" i="2"/>
  <c r="B488" i="2"/>
  <c r="A488" i="2"/>
  <c r="F487" i="2"/>
  <c r="E487" i="2"/>
  <c r="D487" i="2"/>
  <c r="C487" i="2"/>
  <c r="B487" i="2"/>
  <c r="A487" i="2"/>
  <c r="F486" i="2"/>
  <c r="E486" i="2"/>
  <c r="D486" i="2"/>
  <c r="C486" i="2"/>
  <c r="B486" i="2"/>
  <c r="A486" i="2"/>
  <c r="F485" i="2"/>
  <c r="E485" i="2"/>
  <c r="D485" i="2"/>
  <c r="C485" i="2"/>
  <c r="B485" i="2"/>
  <c r="A485" i="2"/>
  <c r="F484" i="2"/>
  <c r="E484" i="2"/>
  <c r="D484" i="2"/>
  <c r="C484" i="2"/>
  <c r="B484" i="2"/>
  <c r="A484" i="2"/>
  <c r="F483" i="2"/>
  <c r="E483" i="2"/>
  <c r="D483" i="2"/>
  <c r="C483" i="2"/>
  <c r="B483" i="2"/>
  <c r="A483" i="2"/>
  <c r="F482" i="2"/>
  <c r="E482" i="2"/>
  <c r="D482" i="2"/>
  <c r="C482" i="2"/>
  <c r="B482" i="2"/>
  <c r="A482" i="2"/>
  <c r="F481" i="2"/>
  <c r="E481" i="2"/>
  <c r="D481" i="2"/>
  <c r="C481" i="2"/>
  <c r="B481" i="2"/>
  <c r="A481" i="2"/>
  <c r="F480" i="2"/>
  <c r="E480" i="2"/>
  <c r="D480" i="2"/>
  <c r="C480" i="2"/>
  <c r="B480" i="2"/>
  <c r="A480" i="2"/>
  <c r="F479" i="2"/>
  <c r="E479" i="2"/>
  <c r="D479" i="2"/>
  <c r="C479" i="2"/>
  <c r="B479" i="2"/>
  <c r="A479" i="2"/>
  <c r="F478" i="2"/>
  <c r="E478" i="2"/>
  <c r="D478" i="2"/>
  <c r="C478" i="2"/>
  <c r="B478" i="2"/>
  <c r="A478" i="2"/>
  <c r="F477" i="2"/>
  <c r="E477" i="2"/>
  <c r="D477" i="2"/>
  <c r="C477" i="2"/>
  <c r="B477" i="2"/>
  <c r="A477" i="2"/>
  <c r="F476" i="2"/>
  <c r="E476" i="2"/>
  <c r="D476" i="2"/>
  <c r="C476" i="2"/>
  <c r="B476" i="2"/>
  <c r="A476" i="2"/>
  <c r="F475" i="2"/>
  <c r="E475" i="2"/>
  <c r="D475" i="2"/>
  <c r="C475" i="2"/>
  <c r="B475" i="2"/>
  <c r="A475" i="2"/>
  <c r="F474" i="2"/>
  <c r="E474" i="2"/>
  <c r="D474" i="2"/>
  <c r="C474" i="2"/>
  <c r="B474" i="2"/>
  <c r="A474" i="2"/>
  <c r="F473" i="2"/>
  <c r="E473" i="2"/>
  <c r="D473" i="2"/>
  <c r="C473" i="2"/>
  <c r="B473" i="2"/>
  <c r="A473" i="2"/>
  <c r="F472" i="2"/>
  <c r="E472" i="2"/>
  <c r="D472" i="2"/>
  <c r="C472" i="2"/>
  <c r="B472" i="2"/>
  <c r="A472" i="2"/>
  <c r="F471" i="2"/>
  <c r="E471" i="2"/>
  <c r="D471" i="2"/>
  <c r="C471" i="2"/>
  <c r="B471" i="2"/>
  <c r="A471" i="2"/>
  <c r="F470" i="2"/>
  <c r="E470" i="2"/>
  <c r="D470" i="2"/>
  <c r="C470" i="2"/>
  <c r="B470" i="2"/>
  <c r="A470" i="2"/>
  <c r="F469" i="2"/>
  <c r="E469" i="2"/>
  <c r="D469" i="2"/>
  <c r="C469" i="2"/>
  <c r="B469" i="2"/>
  <c r="A469" i="2"/>
  <c r="F468" i="2"/>
  <c r="E468" i="2"/>
  <c r="D468" i="2"/>
  <c r="C468" i="2"/>
  <c r="B468" i="2"/>
  <c r="A468" i="2"/>
  <c r="F467" i="2"/>
  <c r="E467" i="2"/>
  <c r="D467" i="2"/>
  <c r="C467" i="2"/>
  <c r="B467" i="2"/>
  <c r="A467" i="2"/>
  <c r="F466" i="2"/>
  <c r="E466" i="2"/>
  <c r="D466" i="2"/>
  <c r="C466" i="2"/>
  <c r="B466" i="2"/>
  <c r="A466" i="2"/>
  <c r="F465" i="2"/>
  <c r="E465" i="2"/>
  <c r="D465" i="2"/>
  <c r="C465" i="2"/>
  <c r="B465" i="2"/>
  <c r="A465" i="2"/>
  <c r="F464" i="2"/>
  <c r="E464" i="2"/>
  <c r="D464" i="2"/>
  <c r="C464" i="2"/>
  <c r="B464" i="2"/>
  <c r="A464" i="2"/>
  <c r="F463" i="2"/>
  <c r="E463" i="2"/>
  <c r="D463" i="2"/>
  <c r="C463" i="2"/>
  <c r="B463" i="2"/>
  <c r="A463" i="2"/>
  <c r="F462" i="2"/>
  <c r="E462" i="2"/>
  <c r="D462" i="2"/>
  <c r="C462" i="2"/>
  <c r="B462" i="2"/>
  <c r="A462" i="2"/>
  <c r="F461" i="2"/>
  <c r="E461" i="2"/>
  <c r="D461" i="2"/>
  <c r="C461" i="2"/>
  <c r="B461" i="2"/>
  <c r="A461" i="2"/>
  <c r="F460" i="2"/>
  <c r="E460" i="2"/>
  <c r="D460" i="2"/>
  <c r="C460" i="2"/>
  <c r="B460" i="2"/>
  <c r="A460" i="2"/>
  <c r="F459" i="2"/>
  <c r="E459" i="2"/>
  <c r="D459" i="2"/>
  <c r="C459" i="2"/>
  <c r="B459" i="2"/>
  <c r="A459" i="2"/>
  <c r="F458" i="2"/>
  <c r="E458" i="2"/>
  <c r="D458" i="2"/>
  <c r="C458" i="2"/>
  <c r="B458" i="2"/>
  <c r="A458" i="2"/>
  <c r="F457" i="2"/>
  <c r="E457" i="2"/>
  <c r="D457" i="2"/>
  <c r="C457" i="2"/>
  <c r="B457" i="2"/>
  <c r="A457" i="2"/>
  <c r="F456" i="2"/>
  <c r="E456" i="2"/>
  <c r="D456" i="2"/>
  <c r="C456" i="2"/>
  <c r="B456" i="2"/>
  <c r="A456" i="2"/>
  <c r="F455" i="2"/>
  <c r="E455" i="2"/>
  <c r="D455" i="2"/>
  <c r="C455" i="2"/>
  <c r="B455" i="2"/>
  <c r="A455" i="2"/>
  <c r="F454" i="2"/>
  <c r="E454" i="2"/>
  <c r="D454" i="2"/>
  <c r="C454" i="2"/>
  <c r="B454" i="2"/>
  <c r="A454" i="2"/>
  <c r="F453" i="2"/>
  <c r="E453" i="2"/>
  <c r="D453" i="2"/>
  <c r="C453" i="2"/>
  <c r="B453" i="2"/>
  <c r="A453" i="2"/>
  <c r="F452" i="2"/>
  <c r="E452" i="2"/>
  <c r="D452" i="2"/>
  <c r="C452" i="2"/>
  <c r="B452" i="2"/>
  <c r="A452" i="2"/>
  <c r="F451" i="2"/>
  <c r="E451" i="2"/>
  <c r="D451" i="2"/>
  <c r="C451" i="2"/>
  <c r="B451" i="2"/>
  <c r="A451" i="2"/>
  <c r="F450" i="2"/>
  <c r="E450" i="2"/>
  <c r="D450" i="2"/>
  <c r="C450" i="2"/>
  <c r="B450" i="2"/>
  <c r="A450" i="2"/>
  <c r="F449" i="2"/>
  <c r="E449" i="2"/>
  <c r="D449" i="2"/>
  <c r="C449" i="2"/>
  <c r="B449" i="2"/>
  <c r="A449" i="2"/>
  <c r="F448" i="2"/>
  <c r="E448" i="2"/>
  <c r="D448" i="2"/>
  <c r="C448" i="2"/>
  <c r="B448" i="2"/>
  <c r="A448" i="2"/>
  <c r="F447" i="2"/>
  <c r="E447" i="2"/>
  <c r="D447" i="2"/>
  <c r="C447" i="2"/>
  <c r="B447" i="2"/>
  <c r="A447" i="2"/>
  <c r="F446" i="2"/>
  <c r="E446" i="2"/>
  <c r="D446" i="2"/>
  <c r="C446" i="2"/>
  <c r="B446" i="2"/>
  <c r="A446" i="2"/>
  <c r="F445" i="2"/>
  <c r="E445" i="2"/>
  <c r="D445" i="2"/>
  <c r="C445" i="2"/>
  <c r="B445" i="2"/>
  <c r="A445" i="2"/>
  <c r="F444" i="2"/>
  <c r="E444" i="2"/>
  <c r="D444" i="2"/>
  <c r="C444" i="2"/>
  <c r="B444" i="2"/>
  <c r="A444" i="2"/>
  <c r="F443" i="2"/>
  <c r="E443" i="2"/>
  <c r="D443" i="2"/>
  <c r="C443" i="2"/>
  <c r="B443" i="2"/>
  <c r="A443" i="2"/>
  <c r="F442" i="2"/>
  <c r="E442" i="2"/>
  <c r="D442" i="2"/>
  <c r="C442" i="2"/>
  <c r="B442" i="2"/>
  <c r="A442" i="2"/>
  <c r="F441" i="2"/>
  <c r="E441" i="2"/>
  <c r="D441" i="2"/>
  <c r="C441" i="2"/>
  <c r="B441" i="2"/>
  <c r="A441" i="2"/>
  <c r="F440" i="2"/>
  <c r="E440" i="2"/>
  <c r="D440" i="2"/>
  <c r="C440" i="2"/>
  <c r="B440" i="2"/>
  <c r="A440" i="2"/>
  <c r="F439" i="2"/>
  <c r="E439" i="2"/>
  <c r="D439" i="2"/>
  <c r="C439" i="2"/>
  <c r="B439" i="2"/>
  <c r="A439" i="2"/>
  <c r="F438" i="2"/>
  <c r="E438" i="2"/>
  <c r="D438" i="2"/>
  <c r="C438" i="2"/>
  <c r="B438" i="2"/>
  <c r="A438" i="2"/>
  <c r="F437" i="2"/>
  <c r="E437" i="2"/>
  <c r="D437" i="2"/>
  <c r="C437" i="2"/>
  <c r="B437" i="2"/>
  <c r="A437" i="2"/>
  <c r="F436" i="2"/>
  <c r="E436" i="2"/>
  <c r="D436" i="2"/>
  <c r="C436" i="2"/>
  <c r="B436" i="2"/>
  <c r="A436" i="2"/>
  <c r="F435" i="2"/>
  <c r="E435" i="2"/>
  <c r="D435" i="2"/>
  <c r="C435" i="2"/>
  <c r="B435" i="2"/>
  <c r="A435" i="2"/>
  <c r="F434" i="2"/>
  <c r="E434" i="2"/>
  <c r="D434" i="2"/>
  <c r="C434" i="2"/>
  <c r="B434" i="2"/>
  <c r="A434" i="2"/>
  <c r="F433" i="2"/>
  <c r="E433" i="2"/>
  <c r="D433" i="2"/>
  <c r="C433" i="2"/>
  <c r="B433" i="2"/>
  <c r="A433" i="2"/>
  <c r="F432" i="2"/>
  <c r="E432" i="2"/>
  <c r="D432" i="2"/>
  <c r="C432" i="2"/>
  <c r="B432" i="2"/>
  <c r="A432" i="2"/>
  <c r="F431" i="2"/>
  <c r="E431" i="2"/>
  <c r="D431" i="2"/>
  <c r="C431" i="2"/>
  <c r="B431" i="2"/>
  <c r="A431" i="2"/>
  <c r="F430" i="2"/>
  <c r="E430" i="2"/>
  <c r="D430" i="2"/>
  <c r="C430" i="2"/>
  <c r="B430" i="2"/>
  <c r="A430" i="2"/>
  <c r="F429" i="2"/>
  <c r="E429" i="2"/>
  <c r="D429" i="2"/>
  <c r="C429" i="2"/>
  <c r="B429" i="2"/>
  <c r="A429" i="2"/>
  <c r="F428" i="2"/>
  <c r="E428" i="2"/>
  <c r="D428" i="2"/>
  <c r="C428" i="2"/>
  <c r="B428" i="2"/>
  <c r="A428" i="2"/>
  <c r="F427" i="2"/>
  <c r="E427" i="2"/>
  <c r="D427" i="2"/>
  <c r="C427" i="2"/>
  <c r="B427" i="2"/>
  <c r="A427" i="2"/>
  <c r="F426" i="2"/>
  <c r="E426" i="2"/>
  <c r="D426" i="2"/>
  <c r="C426" i="2"/>
  <c r="B426" i="2"/>
  <c r="A426" i="2"/>
  <c r="F425" i="2"/>
  <c r="E425" i="2"/>
  <c r="D425" i="2"/>
  <c r="C425" i="2"/>
  <c r="B425" i="2"/>
  <c r="A425" i="2"/>
  <c r="F424" i="2"/>
  <c r="E424" i="2"/>
  <c r="D424" i="2"/>
  <c r="C424" i="2"/>
  <c r="B424" i="2"/>
  <c r="A424" i="2"/>
  <c r="F423" i="2"/>
  <c r="E423" i="2"/>
  <c r="D423" i="2"/>
  <c r="C423" i="2"/>
  <c r="B423" i="2"/>
  <c r="A423" i="2"/>
  <c r="F422" i="2"/>
  <c r="E422" i="2"/>
  <c r="D422" i="2"/>
  <c r="C422" i="2"/>
  <c r="B422" i="2"/>
  <c r="A422" i="2"/>
  <c r="F421" i="2"/>
  <c r="E421" i="2"/>
  <c r="D421" i="2"/>
  <c r="C421" i="2"/>
  <c r="B421" i="2"/>
  <c r="A421" i="2"/>
  <c r="F420" i="2"/>
  <c r="E420" i="2"/>
  <c r="D420" i="2"/>
  <c r="C420" i="2"/>
  <c r="B420" i="2"/>
  <c r="A420" i="2"/>
  <c r="F419" i="2"/>
  <c r="E419" i="2"/>
  <c r="D419" i="2"/>
  <c r="C419" i="2"/>
  <c r="B419" i="2"/>
  <c r="A419" i="2"/>
  <c r="F418" i="2"/>
  <c r="E418" i="2"/>
  <c r="D418" i="2"/>
  <c r="C418" i="2"/>
  <c r="B418" i="2"/>
  <c r="A418" i="2"/>
  <c r="F417" i="2"/>
  <c r="E417" i="2"/>
  <c r="D417" i="2"/>
  <c r="C417" i="2"/>
  <c r="B417" i="2"/>
  <c r="A417" i="2"/>
  <c r="F416" i="2"/>
  <c r="E416" i="2"/>
  <c r="D416" i="2"/>
  <c r="C416" i="2"/>
  <c r="B416" i="2"/>
  <c r="A416" i="2"/>
  <c r="F415" i="2"/>
  <c r="E415" i="2"/>
  <c r="D415" i="2"/>
  <c r="C415" i="2"/>
  <c r="B415" i="2"/>
  <c r="A415" i="2"/>
  <c r="F414" i="2"/>
  <c r="E414" i="2"/>
  <c r="D414" i="2"/>
  <c r="C414" i="2"/>
  <c r="B414" i="2"/>
  <c r="A414" i="2"/>
  <c r="F413" i="2"/>
  <c r="E413" i="2"/>
  <c r="D413" i="2"/>
  <c r="C413" i="2"/>
  <c r="B413" i="2"/>
  <c r="A413" i="2"/>
  <c r="F412" i="2"/>
  <c r="E412" i="2"/>
  <c r="D412" i="2"/>
  <c r="C412" i="2"/>
  <c r="B412" i="2"/>
  <c r="A412" i="2"/>
  <c r="F411" i="2"/>
  <c r="E411" i="2"/>
  <c r="D411" i="2"/>
  <c r="C411" i="2"/>
  <c r="B411" i="2"/>
  <c r="A411" i="2"/>
  <c r="F410" i="2"/>
  <c r="E410" i="2"/>
  <c r="D410" i="2"/>
  <c r="C410" i="2"/>
  <c r="B410" i="2"/>
  <c r="A410" i="2"/>
  <c r="F409" i="2"/>
  <c r="E409" i="2"/>
  <c r="D409" i="2"/>
  <c r="C409" i="2"/>
  <c r="B409" i="2"/>
  <c r="A409" i="2"/>
  <c r="F408" i="2"/>
  <c r="E408" i="2"/>
  <c r="D408" i="2"/>
  <c r="C408" i="2"/>
  <c r="B408" i="2"/>
  <c r="A408" i="2"/>
  <c r="F407" i="2"/>
  <c r="E407" i="2"/>
  <c r="D407" i="2"/>
  <c r="C407" i="2"/>
  <c r="B407" i="2"/>
  <c r="A407" i="2"/>
  <c r="F406" i="2"/>
  <c r="E406" i="2"/>
  <c r="D406" i="2"/>
  <c r="C406" i="2"/>
  <c r="B406" i="2"/>
  <c r="A406" i="2"/>
  <c r="F405" i="2"/>
  <c r="E405" i="2"/>
  <c r="D405" i="2"/>
  <c r="C405" i="2"/>
  <c r="B405" i="2"/>
  <c r="A405" i="2"/>
  <c r="F404" i="2"/>
  <c r="E404" i="2"/>
  <c r="D404" i="2"/>
  <c r="C404" i="2"/>
  <c r="B404" i="2"/>
  <c r="A404" i="2"/>
  <c r="F403" i="2"/>
  <c r="E403" i="2"/>
  <c r="D403" i="2"/>
  <c r="C403" i="2"/>
  <c r="B403" i="2"/>
  <c r="A403" i="2"/>
  <c r="F402" i="2"/>
  <c r="E402" i="2"/>
  <c r="D402" i="2"/>
  <c r="C402" i="2"/>
  <c r="B402" i="2"/>
  <c r="A402" i="2"/>
  <c r="F401" i="2"/>
  <c r="E401" i="2"/>
  <c r="D401" i="2"/>
  <c r="C401" i="2"/>
  <c r="B401" i="2"/>
  <c r="A401" i="2"/>
  <c r="F400" i="2"/>
  <c r="E400" i="2"/>
  <c r="D400" i="2"/>
  <c r="C400" i="2"/>
  <c r="B400" i="2"/>
  <c r="A400" i="2"/>
  <c r="F399" i="2"/>
  <c r="E399" i="2"/>
  <c r="D399" i="2"/>
  <c r="C399" i="2"/>
  <c r="B399" i="2"/>
  <c r="A399" i="2"/>
  <c r="F398" i="2"/>
  <c r="E398" i="2"/>
  <c r="D398" i="2"/>
  <c r="C398" i="2"/>
  <c r="B398" i="2"/>
  <c r="A398" i="2"/>
  <c r="F397" i="2"/>
  <c r="E397" i="2"/>
  <c r="D397" i="2"/>
  <c r="C397" i="2"/>
  <c r="B397" i="2"/>
  <c r="A397" i="2"/>
  <c r="F396" i="2"/>
  <c r="E396" i="2"/>
  <c r="D396" i="2"/>
  <c r="C396" i="2"/>
  <c r="B396" i="2"/>
  <c r="A396" i="2"/>
  <c r="F395" i="2"/>
  <c r="E395" i="2"/>
  <c r="D395" i="2"/>
  <c r="C395" i="2"/>
  <c r="B395" i="2"/>
  <c r="A395" i="2"/>
  <c r="F394" i="2"/>
  <c r="E394" i="2"/>
  <c r="D394" i="2"/>
  <c r="C394" i="2"/>
  <c r="B394" i="2"/>
  <c r="A394" i="2"/>
  <c r="F393" i="2"/>
  <c r="E393" i="2"/>
  <c r="D393" i="2"/>
  <c r="C393" i="2"/>
  <c r="B393" i="2"/>
  <c r="A393" i="2"/>
  <c r="F392" i="2"/>
  <c r="E392" i="2"/>
  <c r="D392" i="2"/>
  <c r="C392" i="2"/>
  <c r="B392" i="2"/>
  <c r="A392" i="2"/>
  <c r="F391" i="2"/>
  <c r="E391" i="2"/>
  <c r="D391" i="2"/>
  <c r="C391" i="2"/>
  <c r="B391" i="2"/>
  <c r="A391" i="2"/>
  <c r="F390" i="2"/>
  <c r="E390" i="2"/>
  <c r="D390" i="2"/>
  <c r="C390" i="2"/>
  <c r="B390" i="2"/>
  <c r="A390" i="2"/>
  <c r="F389" i="2"/>
  <c r="E389" i="2"/>
  <c r="D389" i="2"/>
  <c r="C389" i="2"/>
  <c r="B389" i="2"/>
  <c r="A389" i="2"/>
  <c r="F388" i="2"/>
  <c r="E388" i="2"/>
  <c r="D388" i="2"/>
  <c r="C388" i="2"/>
  <c r="B388" i="2"/>
  <c r="A388" i="2"/>
  <c r="F387" i="2"/>
  <c r="E387" i="2"/>
  <c r="D387" i="2"/>
  <c r="C387" i="2"/>
  <c r="B387" i="2"/>
  <c r="A387" i="2"/>
  <c r="F386" i="2"/>
  <c r="E386" i="2"/>
  <c r="D386" i="2"/>
  <c r="C386" i="2"/>
  <c r="B386" i="2"/>
  <c r="A386" i="2"/>
  <c r="F385" i="2"/>
  <c r="E385" i="2"/>
  <c r="D385" i="2"/>
  <c r="C385" i="2"/>
  <c r="B385" i="2"/>
  <c r="A385" i="2"/>
  <c r="F384" i="2"/>
  <c r="E384" i="2"/>
  <c r="D384" i="2"/>
  <c r="C384" i="2"/>
  <c r="B384" i="2"/>
  <c r="A384" i="2"/>
  <c r="F383" i="2"/>
  <c r="E383" i="2"/>
  <c r="D383" i="2"/>
  <c r="C383" i="2"/>
  <c r="B383" i="2"/>
  <c r="A383" i="2"/>
  <c r="F382" i="2"/>
  <c r="E382" i="2"/>
  <c r="D382" i="2"/>
  <c r="C382" i="2"/>
  <c r="B382" i="2"/>
  <c r="A382" i="2"/>
  <c r="F381" i="2"/>
  <c r="E381" i="2"/>
  <c r="D381" i="2"/>
  <c r="C381" i="2"/>
  <c r="B381" i="2"/>
  <c r="A381" i="2"/>
  <c r="F380" i="2"/>
  <c r="E380" i="2"/>
  <c r="D380" i="2"/>
  <c r="C380" i="2"/>
  <c r="B380" i="2"/>
  <c r="A380" i="2"/>
  <c r="F379" i="2"/>
  <c r="E379" i="2"/>
  <c r="D379" i="2"/>
  <c r="C379" i="2"/>
  <c r="B379" i="2"/>
  <c r="A379" i="2"/>
  <c r="F378" i="2"/>
  <c r="E378" i="2"/>
  <c r="D378" i="2"/>
  <c r="C378" i="2"/>
  <c r="B378" i="2"/>
  <c r="A378" i="2"/>
  <c r="F377" i="2"/>
  <c r="E377" i="2"/>
  <c r="D377" i="2"/>
  <c r="C377" i="2"/>
  <c r="B377" i="2"/>
  <c r="A377" i="2"/>
  <c r="F376" i="2"/>
  <c r="E376" i="2"/>
  <c r="D376" i="2"/>
  <c r="C376" i="2"/>
  <c r="B376" i="2"/>
  <c r="A376" i="2"/>
  <c r="F375" i="2"/>
  <c r="E375" i="2"/>
  <c r="D375" i="2"/>
  <c r="C375" i="2"/>
  <c r="B375" i="2"/>
  <c r="A375" i="2"/>
  <c r="F374" i="2"/>
  <c r="E374" i="2"/>
  <c r="D374" i="2"/>
  <c r="C374" i="2"/>
  <c r="B374" i="2"/>
  <c r="A374" i="2"/>
  <c r="F373" i="2"/>
  <c r="E373" i="2"/>
  <c r="D373" i="2"/>
  <c r="C373" i="2"/>
  <c r="B373" i="2"/>
  <c r="A373" i="2"/>
  <c r="F372" i="2"/>
  <c r="E372" i="2"/>
  <c r="D372" i="2"/>
  <c r="C372" i="2"/>
  <c r="B372" i="2"/>
  <c r="A372" i="2"/>
  <c r="F371" i="2"/>
  <c r="E371" i="2"/>
  <c r="D371" i="2"/>
  <c r="C371" i="2"/>
  <c r="B371" i="2"/>
  <c r="A371" i="2"/>
  <c r="F370" i="2"/>
  <c r="E370" i="2"/>
  <c r="D370" i="2"/>
  <c r="C370" i="2"/>
  <c r="B370" i="2"/>
  <c r="A370" i="2"/>
  <c r="F369" i="2"/>
  <c r="E369" i="2"/>
  <c r="D369" i="2"/>
  <c r="C369" i="2"/>
  <c r="B369" i="2"/>
  <c r="A369" i="2"/>
  <c r="F368" i="2"/>
  <c r="E368" i="2"/>
  <c r="D368" i="2"/>
  <c r="C368" i="2"/>
  <c r="B368" i="2"/>
  <c r="A368" i="2"/>
  <c r="F367" i="2"/>
  <c r="E367" i="2"/>
  <c r="D367" i="2"/>
  <c r="C367" i="2"/>
  <c r="B367" i="2"/>
  <c r="A367" i="2"/>
  <c r="F366" i="2"/>
  <c r="E366" i="2"/>
  <c r="D366" i="2"/>
  <c r="C366" i="2"/>
  <c r="B366" i="2"/>
  <c r="A366" i="2"/>
  <c r="F365" i="2"/>
  <c r="E365" i="2"/>
  <c r="D365" i="2"/>
  <c r="C365" i="2"/>
  <c r="B365" i="2"/>
  <c r="A365" i="2"/>
  <c r="F364" i="2"/>
  <c r="E364" i="2"/>
  <c r="D364" i="2"/>
  <c r="C364" i="2"/>
  <c r="B364" i="2"/>
  <c r="A364" i="2"/>
  <c r="F363" i="2"/>
  <c r="E363" i="2"/>
  <c r="D363" i="2"/>
  <c r="C363" i="2"/>
  <c r="B363" i="2"/>
  <c r="A363" i="2"/>
  <c r="F362" i="2"/>
  <c r="E362" i="2"/>
  <c r="D362" i="2"/>
  <c r="C362" i="2"/>
  <c r="B362" i="2"/>
  <c r="A362" i="2"/>
  <c r="F361" i="2"/>
  <c r="E361" i="2"/>
  <c r="D361" i="2"/>
  <c r="C361" i="2"/>
  <c r="B361" i="2"/>
  <c r="A361" i="2"/>
  <c r="F360" i="2"/>
  <c r="E360" i="2"/>
  <c r="D360" i="2"/>
  <c r="C360" i="2"/>
  <c r="B360" i="2"/>
  <c r="A360" i="2"/>
  <c r="F359" i="2"/>
  <c r="E359" i="2"/>
  <c r="D359" i="2"/>
  <c r="C359" i="2"/>
  <c r="B359" i="2"/>
  <c r="A359" i="2"/>
  <c r="F358" i="2"/>
  <c r="E358" i="2"/>
  <c r="D358" i="2"/>
  <c r="C358" i="2"/>
  <c r="B358" i="2"/>
  <c r="A358" i="2"/>
  <c r="F357" i="2"/>
  <c r="E357" i="2"/>
  <c r="D357" i="2"/>
  <c r="C357" i="2"/>
  <c r="B357" i="2"/>
  <c r="A357" i="2"/>
  <c r="F356" i="2"/>
  <c r="E356" i="2"/>
  <c r="D356" i="2"/>
  <c r="C356" i="2"/>
  <c r="B356" i="2"/>
  <c r="A356" i="2"/>
  <c r="F355" i="2"/>
  <c r="E355" i="2"/>
  <c r="D355" i="2"/>
  <c r="C355" i="2"/>
  <c r="B355" i="2"/>
  <c r="A355" i="2"/>
  <c r="F354" i="2"/>
  <c r="E354" i="2"/>
  <c r="D354" i="2"/>
  <c r="C354" i="2"/>
  <c r="B354" i="2"/>
  <c r="A354" i="2"/>
  <c r="F353" i="2"/>
  <c r="E353" i="2"/>
  <c r="D353" i="2"/>
  <c r="C353" i="2"/>
  <c r="B353" i="2"/>
  <c r="A353" i="2"/>
  <c r="F352" i="2"/>
  <c r="E352" i="2"/>
  <c r="D352" i="2"/>
  <c r="C352" i="2"/>
  <c r="B352" i="2"/>
  <c r="A352" i="2"/>
  <c r="F351" i="2"/>
  <c r="E351" i="2"/>
  <c r="D351" i="2"/>
  <c r="C351" i="2"/>
  <c r="B351" i="2"/>
  <c r="A351" i="2"/>
  <c r="F350" i="2"/>
  <c r="E350" i="2"/>
  <c r="D350" i="2"/>
  <c r="C350" i="2"/>
  <c r="B350" i="2"/>
  <c r="A350" i="2"/>
  <c r="F349" i="2"/>
  <c r="E349" i="2"/>
  <c r="D349" i="2"/>
  <c r="C349" i="2"/>
  <c r="B349" i="2"/>
  <c r="A349" i="2"/>
  <c r="F348" i="2"/>
  <c r="E348" i="2"/>
  <c r="D348" i="2"/>
  <c r="C348" i="2"/>
  <c r="B348" i="2"/>
  <c r="A348" i="2"/>
  <c r="F347" i="2"/>
  <c r="E347" i="2"/>
  <c r="D347" i="2"/>
  <c r="C347" i="2"/>
  <c r="B347" i="2"/>
  <c r="A347" i="2"/>
  <c r="F346" i="2"/>
  <c r="E346" i="2"/>
  <c r="D346" i="2"/>
  <c r="C346" i="2"/>
  <c r="B346" i="2"/>
  <c r="A346" i="2"/>
  <c r="F345" i="2"/>
  <c r="E345" i="2"/>
  <c r="D345" i="2"/>
  <c r="C345" i="2"/>
  <c r="B345" i="2"/>
  <c r="A345" i="2"/>
  <c r="F344" i="2"/>
  <c r="E344" i="2"/>
  <c r="D344" i="2"/>
  <c r="C344" i="2"/>
  <c r="B344" i="2"/>
  <c r="A344" i="2"/>
  <c r="F343" i="2"/>
  <c r="E343" i="2"/>
  <c r="D343" i="2"/>
  <c r="C343" i="2"/>
  <c r="B343" i="2"/>
  <c r="A343" i="2"/>
  <c r="F342" i="2"/>
  <c r="E342" i="2"/>
  <c r="D342" i="2"/>
  <c r="C342" i="2"/>
  <c r="B342" i="2"/>
  <c r="A342" i="2"/>
  <c r="F341" i="2"/>
  <c r="E341" i="2"/>
  <c r="D341" i="2"/>
  <c r="C341" i="2"/>
  <c r="B341" i="2"/>
  <c r="A341" i="2"/>
  <c r="F340" i="2"/>
  <c r="E340" i="2"/>
  <c r="D340" i="2"/>
  <c r="C340" i="2"/>
  <c r="B340" i="2"/>
  <c r="A340" i="2"/>
  <c r="F339" i="2"/>
  <c r="E339" i="2"/>
  <c r="D339" i="2"/>
  <c r="C339" i="2"/>
  <c r="B339" i="2"/>
  <c r="A339" i="2"/>
  <c r="F338" i="2"/>
  <c r="E338" i="2"/>
  <c r="D338" i="2"/>
  <c r="C338" i="2"/>
  <c r="B338" i="2"/>
  <c r="A338" i="2"/>
  <c r="F337" i="2"/>
  <c r="E337" i="2"/>
  <c r="D337" i="2"/>
  <c r="C337" i="2"/>
  <c r="B337" i="2"/>
  <c r="A337" i="2"/>
  <c r="F336" i="2"/>
  <c r="E336" i="2"/>
  <c r="D336" i="2"/>
  <c r="C336" i="2"/>
  <c r="B336" i="2"/>
  <c r="A336" i="2"/>
  <c r="F335" i="2"/>
  <c r="E335" i="2"/>
  <c r="D335" i="2"/>
  <c r="C335" i="2"/>
  <c r="B335" i="2"/>
  <c r="A335" i="2"/>
  <c r="F334" i="2"/>
  <c r="E334" i="2"/>
  <c r="D334" i="2"/>
  <c r="C334" i="2"/>
  <c r="B334" i="2"/>
  <c r="A334" i="2"/>
  <c r="F333" i="2"/>
  <c r="E333" i="2"/>
  <c r="D333" i="2"/>
  <c r="C333" i="2"/>
  <c r="B333" i="2"/>
  <c r="A333" i="2"/>
  <c r="F332" i="2"/>
  <c r="E332" i="2"/>
  <c r="D332" i="2"/>
  <c r="C332" i="2"/>
  <c r="B332" i="2"/>
  <c r="A332" i="2"/>
  <c r="F331" i="2"/>
  <c r="E331" i="2"/>
  <c r="D331" i="2"/>
  <c r="C331" i="2"/>
  <c r="B331" i="2"/>
  <c r="A331" i="2"/>
  <c r="F330" i="2"/>
  <c r="E330" i="2"/>
  <c r="D330" i="2"/>
  <c r="C330" i="2"/>
  <c r="B330" i="2"/>
  <c r="A330" i="2"/>
  <c r="F329" i="2"/>
  <c r="E329" i="2"/>
  <c r="D329" i="2"/>
  <c r="C329" i="2"/>
  <c r="B329" i="2"/>
  <c r="A329" i="2"/>
  <c r="F328" i="2"/>
  <c r="E328" i="2"/>
  <c r="D328" i="2"/>
  <c r="C328" i="2"/>
  <c r="B328" i="2"/>
  <c r="A328" i="2"/>
  <c r="F327" i="2"/>
  <c r="E327" i="2"/>
  <c r="D327" i="2"/>
  <c r="C327" i="2"/>
  <c r="B327" i="2"/>
  <c r="A327" i="2"/>
  <c r="F326" i="2"/>
  <c r="E326" i="2"/>
  <c r="D326" i="2"/>
  <c r="C326" i="2"/>
  <c r="B326" i="2"/>
  <c r="A326" i="2"/>
  <c r="F325" i="2"/>
  <c r="E325" i="2"/>
  <c r="D325" i="2"/>
  <c r="C325" i="2"/>
  <c r="B325" i="2"/>
  <c r="A325" i="2"/>
  <c r="F324" i="2"/>
  <c r="E324" i="2"/>
  <c r="D324" i="2"/>
  <c r="C324" i="2"/>
  <c r="B324" i="2"/>
  <c r="A324" i="2"/>
  <c r="F323" i="2"/>
  <c r="E323" i="2"/>
  <c r="D323" i="2"/>
  <c r="C323" i="2"/>
  <c r="B323" i="2"/>
  <c r="A323" i="2"/>
  <c r="F322" i="2"/>
  <c r="E322" i="2"/>
  <c r="D322" i="2"/>
  <c r="C322" i="2"/>
  <c r="B322" i="2"/>
  <c r="A322" i="2"/>
  <c r="F321" i="2"/>
  <c r="E321" i="2"/>
  <c r="D321" i="2"/>
  <c r="C321" i="2"/>
  <c r="B321" i="2"/>
  <c r="A321" i="2"/>
  <c r="F320" i="2"/>
  <c r="E320" i="2"/>
  <c r="D320" i="2"/>
  <c r="C320" i="2"/>
  <c r="B320" i="2"/>
  <c r="A320" i="2"/>
  <c r="F319" i="2"/>
  <c r="E319" i="2"/>
  <c r="D319" i="2"/>
  <c r="C319" i="2"/>
  <c r="B319" i="2"/>
  <c r="A319" i="2"/>
  <c r="F318" i="2"/>
  <c r="E318" i="2"/>
  <c r="D318" i="2"/>
  <c r="C318" i="2"/>
  <c r="B318" i="2"/>
  <c r="A318" i="2"/>
  <c r="F317" i="2"/>
  <c r="E317" i="2"/>
  <c r="D317" i="2"/>
  <c r="C317" i="2"/>
  <c r="B317" i="2"/>
  <c r="A317" i="2"/>
  <c r="F316" i="2"/>
  <c r="E316" i="2"/>
  <c r="D316" i="2"/>
  <c r="C316" i="2"/>
  <c r="B316" i="2"/>
  <c r="A316" i="2"/>
  <c r="F315" i="2"/>
  <c r="E315" i="2"/>
  <c r="D315" i="2"/>
  <c r="C315" i="2"/>
  <c r="B315" i="2"/>
  <c r="A315" i="2"/>
  <c r="F314" i="2"/>
  <c r="E314" i="2"/>
  <c r="D314" i="2"/>
  <c r="C314" i="2"/>
  <c r="B314" i="2"/>
  <c r="A314" i="2"/>
  <c r="F313" i="2"/>
  <c r="E313" i="2"/>
  <c r="D313" i="2"/>
  <c r="C313" i="2"/>
  <c r="B313" i="2"/>
  <c r="A313" i="2"/>
  <c r="F312" i="2"/>
  <c r="E312" i="2"/>
  <c r="D312" i="2"/>
  <c r="C312" i="2"/>
  <c r="B312" i="2"/>
  <c r="A312" i="2"/>
  <c r="F311" i="2"/>
  <c r="E311" i="2"/>
  <c r="D311" i="2"/>
  <c r="C311" i="2"/>
  <c r="B311" i="2"/>
  <c r="A311" i="2"/>
  <c r="F310" i="2"/>
  <c r="E310" i="2"/>
  <c r="D310" i="2"/>
  <c r="C310" i="2"/>
  <c r="B310" i="2"/>
  <c r="A310" i="2"/>
  <c r="F309" i="2"/>
  <c r="E309" i="2"/>
  <c r="D309" i="2"/>
  <c r="C309" i="2"/>
  <c r="B309" i="2"/>
  <c r="A309" i="2"/>
  <c r="F308" i="2"/>
  <c r="E308" i="2"/>
  <c r="D308" i="2"/>
  <c r="C308" i="2"/>
  <c r="B308" i="2"/>
  <c r="A308" i="2"/>
  <c r="F307" i="2"/>
  <c r="E307" i="2"/>
  <c r="D307" i="2"/>
  <c r="C307" i="2"/>
  <c r="B307" i="2"/>
  <c r="A307" i="2"/>
  <c r="F306" i="2"/>
  <c r="E306" i="2"/>
  <c r="D306" i="2"/>
  <c r="C306" i="2"/>
  <c r="B306" i="2"/>
  <c r="A306" i="2"/>
  <c r="F305" i="2"/>
  <c r="E305" i="2"/>
  <c r="D305" i="2"/>
  <c r="C305" i="2"/>
  <c r="B305" i="2"/>
  <c r="A305" i="2"/>
  <c r="F304" i="2"/>
  <c r="E304" i="2"/>
  <c r="D304" i="2"/>
  <c r="C304" i="2"/>
  <c r="B304" i="2"/>
  <c r="A304" i="2"/>
  <c r="F303" i="2"/>
  <c r="E303" i="2"/>
  <c r="D303" i="2"/>
  <c r="C303" i="2"/>
  <c r="B303" i="2"/>
  <c r="A303" i="2"/>
  <c r="F302" i="2"/>
  <c r="E302" i="2"/>
  <c r="D302" i="2"/>
  <c r="C302" i="2"/>
  <c r="B302" i="2"/>
  <c r="A302" i="2"/>
  <c r="F301" i="2"/>
  <c r="E301" i="2"/>
  <c r="D301" i="2"/>
  <c r="C301" i="2"/>
  <c r="B301" i="2"/>
  <c r="A301" i="2"/>
  <c r="F300" i="2"/>
  <c r="E300" i="2"/>
  <c r="D300" i="2"/>
  <c r="C300" i="2"/>
  <c r="B300" i="2"/>
  <c r="A300" i="2"/>
  <c r="F299" i="2"/>
  <c r="E299" i="2"/>
  <c r="D299" i="2"/>
  <c r="C299" i="2"/>
  <c r="B299" i="2"/>
  <c r="A299" i="2"/>
  <c r="F298" i="2"/>
  <c r="E298" i="2"/>
  <c r="D298" i="2"/>
  <c r="C298" i="2"/>
  <c r="B298" i="2"/>
  <c r="A298" i="2"/>
  <c r="F297" i="2"/>
  <c r="E297" i="2"/>
  <c r="D297" i="2"/>
  <c r="C297" i="2"/>
  <c r="B297" i="2"/>
  <c r="A297" i="2"/>
  <c r="F296" i="2"/>
  <c r="E296" i="2"/>
  <c r="D296" i="2"/>
  <c r="C296" i="2"/>
  <c r="B296" i="2"/>
  <c r="A296" i="2"/>
  <c r="F295" i="2"/>
  <c r="E295" i="2"/>
  <c r="D295" i="2"/>
  <c r="C295" i="2"/>
  <c r="B295" i="2"/>
  <c r="A295" i="2"/>
  <c r="F294" i="2"/>
  <c r="E294" i="2"/>
  <c r="D294" i="2"/>
  <c r="C294" i="2"/>
  <c r="B294" i="2"/>
  <c r="A294" i="2"/>
  <c r="F293" i="2"/>
  <c r="E293" i="2"/>
  <c r="D293" i="2"/>
  <c r="C293" i="2"/>
  <c r="B293" i="2"/>
  <c r="A293" i="2"/>
  <c r="F292" i="2"/>
  <c r="E292" i="2"/>
  <c r="D292" i="2"/>
  <c r="C292" i="2"/>
  <c r="B292" i="2"/>
  <c r="A292" i="2"/>
  <c r="F291" i="2"/>
  <c r="E291" i="2"/>
  <c r="D291" i="2"/>
  <c r="C291" i="2"/>
  <c r="B291" i="2"/>
  <c r="A291" i="2"/>
  <c r="F290" i="2"/>
  <c r="E290" i="2"/>
  <c r="D290" i="2"/>
  <c r="C290" i="2"/>
  <c r="B290" i="2"/>
  <c r="A290" i="2"/>
  <c r="F289" i="2"/>
  <c r="E289" i="2"/>
  <c r="D289" i="2"/>
  <c r="C289" i="2"/>
  <c r="B289" i="2"/>
  <c r="A289" i="2"/>
  <c r="F288" i="2"/>
  <c r="E288" i="2"/>
  <c r="D288" i="2"/>
  <c r="C288" i="2"/>
  <c r="B288" i="2"/>
  <c r="A288" i="2"/>
  <c r="F287" i="2"/>
  <c r="E287" i="2"/>
  <c r="D287" i="2"/>
  <c r="C287" i="2"/>
  <c r="B287" i="2"/>
  <c r="A287" i="2"/>
  <c r="F286" i="2"/>
  <c r="E286" i="2"/>
  <c r="D286" i="2"/>
  <c r="C286" i="2"/>
  <c r="B286" i="2"/>
  <c r="A286" i="2"/>
  <c r="F285" i="2"/>
  <c r="E285" i="2"/>
  <c r="D285" i="2"/>
  <c r="C285" i="2"/>
  <c r="B285" i="2"/>
  <c r="A285" i="2"/>
  <c r="F284" i="2"/>
  <c r="E284" i="2"/>
  <c r="D284" i="2"/>
  <c r="C284" i="2"/>
  <c r="B284" i="2"/>
  <c r="A284" i="2"/>
  <c r="F283" i="2"/>
  <c r="E283" i="2"/>
  <c r="D283" i="2"/>
  <c r="C283" i="2"/>
  <c r="B283" i="2"/>
  <c r="A283" i="2"/>
  <c r="F282" i="2"/>
  <c r="E282" i="2"/>
  <c r="D282" i="2"/>
  <c r="C282" i="2"/>
  <c r="B282" i="2"/>
  <c r="A282" i="2"/>
  <c r="F281" i="2"/>
  <c r="E281" i="2"/>
  <c r="D281" i="2"/>
  <c r="C281" i="2"/>
  <c r="B281" i="2"/>
  <c r="A281" i="2"/>
  <c r="F280" i="2"/>
  <c r="E280" i="2"/>
  <c r="D280" i="2"/>
  <c r="C280" i="2"/>
  <c r="B280" i="2"/>
  <c r="A280" i="2"/>
  <c r="F279" i="2"/>
  <c r="E279" i="2"/>
  <c r="D279" i="2"/>
  <c r="C279" i="2"/>
  <c r="B279" i="2"/>
  <c r="A279" i="2"/>
  <c r="F278" i="2"/>
  <c r="E278" i="2"/>
  <c r="D278" i="2"/>
  <c r="C278" i="2"/>
  <c r="B278" i="2"/>
  <c r="A278" i="2"/>
  <c r="F277" i="2"/>
  <c r="E277" i="2"/>
  <c r="D277" i="2"/>
  <c r="C277" i="2"/>
  <c r="B277" i="2"/>
  <c r="A277" i="2"/>
  <c r="F276" i="2"/>
  <c r="E276" i="2"/>
  <c r="D276" i="2"/>
  <c r="C276" i="2"/>
  <c r="B276" i="2"/>
  <c r="A276" i="2"/>
  <c r="F275" i="2"/>
  <c r="E275" i="2"/>
  <c r="D275" i="2"/>
  <c r="C275" i="2"/>
  <c r="B275" i="2"/>
  <c r="A275" i="2"/>
  <c r="F274" i="2"/>
  <c r="E274" i="2"/>
  <c r="D274" i="2"/>
  <c r="C274" i="2"/>
  <c r="B274" i="2"/>
  <c r="A274" i="2"/>
  <c r="F273" i="2"/>
  <c r="E273" i="2"/>
  <c r="D273" i="2"/>
  <c r="C273" i="2"/>
  <c r="B273" i="2"/>
  <c r="A273" i="2"/>
  <c r="F272" i="2"/>
  <c r="E272" i="2"/>
  <c r="D272" i="2"/>
  <c r="C272" i="2"/>
  <c r="B272" i="2"/>
  <c r="A272" i="2"/>
  <c r="F271" i="2"/>
  <c r="E271" i="2"/>
  <c r="D271" i="2"/>
  <c r="C271" i="2"/>
  <c r="B271" i="2"/>
  <c r="A271" i="2"/>
  <c r="F270" i="2"/>
  <c r="E270" i="2"/>
  <c r="D270" i="2"/>
  <c r="C270" i="2"/>
  <c r="B270" i="2"/>
  <c r="A270" i="2"/>
  <c r="F269" i="2"/>
  <c r="E269" i="2"/>
  <c r="D269" i="2"/>
  <c r="C269" i="2"/>
  <c r="B269" i="2"/>
  <c r="A269" i="2"/>
  <c r="F268" i="2"/>
  <c r="E268" i="2"/>
  <c r="D268" i="2"/>
  <c r="C268" i="2"/>
  <c r="B268" i="2"/>
  <c r="A268" i="2"/>
  <c r="F267" i="2"/>
  <c r="E267" i="2"/>
  <c r="D267" i="2"/>
  <c r="C267" i="2"/>
  <c r="B267" i="2"/>
  <c r="A267" i="2"/>
  <c r="F266" i="2"/>
  <c r="E266" i="2"/>
  <c r="D266" i="2"/>
  <c r="C266" i="2"/>
  <c r="B266" i="2"/>
  <c r="A266" i="2"/>
  <c r="F265" i="2"/>
  <c r="E265" i="2"/>
  <c r="D265" i="2"/>
  <c r="C265" i="2"/>
  <c r="B265" i="2"/>
  <c r="A265" i="2"/>
  <c r="F264" i="2"/>
  <c r="E264" i="2"/>
  <c r="D264" i="2"/>
  <c r="C264" i="2"/>
  <c r="B264" i="2"/>
  <c r="A264" i="2"/>
  <c r="F263" i="2"/>
  <c r="E263" i="2"/>
  <c r="D263" i="2"/>
  <c r="C263" i="2"/>
  <c r="B263" i="2"/>
  <c r="A263" i="2"/>
  <c r="F262" i="2"/>
  <c r="E262" i="2"/>
  <c r="D262" i="2"/>
  <c r="C262" i="2"/>
  <c r="B262" i="2"/>
  <c r="A262" i="2"/>
  <c r="F261" i="2"/>
  <c r="E261" i="2"/>
  <c r="D261" i="2"/>
  <c r="C261" i="2"/>
  <c r="B261" i="2"/>
  <c r="A261" i="2"/>
  <c r="F260" i="2"/>
  <c r="E260" i="2"/>
  <c r="D260" i="2"/>
  <c r="C260" i="2"/>
  <c r="B260" i="2"/>
  <c r="A260" i="2"/>
  <c r="F259" i="2"/>
  <c r="E259" i="2"/>
  <c r="D259" i="2"/>
  <c r="C259" i="2"/>
  <c r="B259" i="2"/>
  <c r="A259" i="2"/>
  <c r="F258" i="2"/>
  <c r="E258" i="2"/>
  <c r="D258" i="2"/>
  <c r="C258" i="2"/>
  <c r="B258" i="2"/>
  <c r="A258" i="2"/>
  <c r="F257" i="2"/>
  <c r="E257" i="2"/>
  <c r="D257" i="2"/>
  <c r="C257" i="2"/>
  <c r="B257" i="2"/>
  <c r="A257" i="2"/>
  <c r="F256" i="2"/>
  <c r="E256" i="2"/>
  <c r="D256" i="2"/>
  <c r="C256" i="2"/>
  <c r="B256" i="2"/>
  <c r="A256" i="2"/>
  <c r="F255" i="2"/>
  <c r="E255" i="2"/>
  <c r="D255" i="2"/>
  <c r="C255" i="2"/>
  <c r="B255" i="2"/>
  <c r="A255" i="2"/>
  <c r="F254" i="2"/>
  <c r="E254" i="2"/>
  <c r="D254" i="2"/>
  <c r="C254" i="2"/>
  <c r="B254" i="2"/>
  <c r="A254" i="2"/>
  <c r="F253" i="2"/>
  <c r="E253" i="2"/>
  <c r="D253" i="2"/>
  <c r="C253" i="2"/>
  <c r="B253" i="2"/>
  <c r="A253" i="2"/>
  <c r="F252" i="2"/>
  <c r="E252" i="2"/>
  <c r="D252" i="2"/>
  <c r="C252" i="2"/>
  <c r="B252" i="2"/>
  <c r="A252" i="2"/>
  <c r="F251" i="2"/>
  <c r="E251" i="2"/>
  <c r="D251" i="2"/>
  <c r="C251" i="2"/>
  <c r="B251" i="2"/>
  <c r="A251" i="2"/>
  <c r="F250" i="2"/>
  <c r="E250" i="2"/>
  <c r="D250" i="2"/>
  <c r="C250" i="2"/>
  <c r="B250" i="2"/>
  <c r="A250" i="2"/>
  <c r="F249" i="2"/>
  <c r="E249" i="2"/>
  <c r="D249" i="2"/>
  <c r="C249" i="2"/>
  <c r="B249" i="2"/>
  <c r="A249" i="2"/>
  <c r="F248" i="2"/>
  <c r="E248" i="2"/>
  <c r="D248" i="2"/>
  <c r="C248" i="2"/>
  <c r="B248" i="2"/>
  <c r="A248" i="2"/>
  <c r="F247" i="2"/>
  <c r="E247" i="2"/>
  <c r="D247" i="2"/>
  <c r="C247" i="2"/>
  <c r="B247" i="2"/>
  <c r="A247" i="2"/>
  <c r="F246" i="2"/>
  <c r="E246" i="2"/>
  <c r="D246" i="2"/>
  <c r="C246" i="2"/>
  <c r="B246" i="2"/>
  <c r="A246" i="2"/>
  <c r="F245" i="2"/>
  <c r="E245" i="2"/>
  <c r="D245" i="2"/>
  <c r="C245" i="2"/>
  <c r="B245" i="2"/>
  <c r="A245" i="2"/>
  <c r="F244" i="2"/>
  <c r="E244" i="2"/>
  <c r="D244" i="2"/>
  <c r="C244" i="2"/>
  <c r="B244" i="2"/>
  <c r="A244" i="2"/>
  <c r="F243" i="2"/>
  <c r="E243" i="2"/>
  <c r="D243" i="2"/>
  <c r="C243" i="2"/>
  <c r="B243" i="2"/>
  <c r="A243" i="2"/>
  <c r="F242" i="2"/>
  <c r="E242" i="2"/>
  <c r="D242" i="2"/>
  <c r="C242" i="2"/>
  <c r="B242" i="2"/>
  <c r="A242" i="2"/>
  <c r="F241" i="2"/>
  <c r="E241" i="2"/>
  <c r="D241" i="2"/>
  <c r="C241" i="2"/>
  <c r="B241" i="2"/>
  <c r="A241" i="2"/>
  <c r="F240" i="2"/>
  <c r="E240" i="2"/>
  <c r="D240" i="2"/>
  <c r="C240" i="2"/>
  <c r="B240" i="2"/>
  <c r="A240" i="2"/>
  <c r="F239" i="2"/>
  <c r="E239" i="2"/>
  <c r="D239" i="2"/>
  <c r="C239" i="2"/>
  <c r="B239" i="2"/>
  <c r="A239" i="2"/>
  <c r="F238" i="2"/>
  <c r="E238" i="2"/>
  <c r="D238" i="2"/>
  <c r="C238" i="2"/>
  <c r="B238" i="2"/>
  <c r="A238" i="2"/>
  <c r="F237" i="2"/>
  <c r="E237" i="2"/>
  <c r="D237" i="2"/>
  <c r="C237" i="2"/>
  <c r="B237" i="2"/>
  <c r="A237" i="2"/>
  <c r="F236" i="2"/>
  <c r="E236" i="2"/>
  <c r="D236" i="2"/>
  <c r="C236" i="2"/>
  <c r="B236" i="2"/>
  <c r="A236" i="2"/>
  <c r="F235" i="2"/>
  <c r="E235" i="2"/>
  <c r="D235" i="2"/>
  <c r="C235" i="2"/>
  <c r="B235" i="2"/>
  <c r="A235" i="2"/>
  <c r="F234" i="2"/>
  <c r="E234" i="2"/>
  <c r="D234" i="2"/>
  <c r="C234" i="2"/>
  <c r="B234" i="2"/>
  <c r="A234" i="2"/>
  <c r="F233" i="2"/>
  <c r="E233" i="2"/>
  <c r="D233" i="2"/>
  <c r="C233" i="2"/>
  <c r="B233" i="2"/>
  <c r="A233" i="2"/>
  <c r="F232" i="2"/>
  <c r="E232" i="2"/>
  <c r="D232" i="2"/>
  <c r="C232" i="2"/>
  <c r="B232" i="2"/>
  <c r="A232" i="2"/>
  <c r="F231" i="2"/>
  <c r="E231" i="2"/>
  <c r="D231" i="2"/>
  <c r="C231" i="2"/>
  <c r="B231" i="2"/>
  <c r="A231" i="2"/>
  <c r="F230" i="2"/>
  <c r="E230" i="2"/>
  <c r="D230" i="2"/>
  <c r="C230" i="2"/>
  <c r="B230" i="2"/>
  <c r="A230" i="2"/>
  <c r="F229" i="2"/>
  <c r="E229" i="2"/>
  <c r="D229" i="2"/>
  <c r="C229" i="2"/>
  <c r="B229" i="2"/>
  <c r="A229" i="2"/>
  <c r="F228" i="2"/>
  <c r="E228" i="2"/>
  <c r="D228" i="2"/>
  <c r="C228" i="2"/>
  <c r="B228" i="2"/>
  <c r="A228" i="2"/>
  <c r="F227" i="2"/>
  <c r="E227" i="2"/>
  <c r="D227" i="2"/>
  <c r="C227" i="2"/>
  <c r="B227" i="2"/>
  <c r="A227" i="2"/>
  <c r="F226" i="2"/>
  <c r="E226" i="2"/>
  <c r="D226" i="2"/>
  <c r="C226" i="2"/>
  <c r="B226" i="2"/>
  <c r="A226" i="2"/>
  <c r="F225" i="2"/>
  <c r="E225" i="2"/>
  <c r="D225" i="2"/>
  <c r="C225" i="2"/>
  <c r="B225" i="2"/>
  <c r="A225" i="2"/>
  <c r="F224" i="2"/>
  <c r="E224" i="2"/>
  <c r="D224" i="2"/>
  <c r="C224" i="2"/>
  <c r="B224" i="2"/>
  <c r="A224" i="2"/>
  <c r="F223" i="2"/>
  <c r="E223" i="2"/>
  <c r="D223" i="2"/>
  <c r="C223" i="2"/>
  <c r="B223" i="2"/>
  <c r="A223" i="2"/>
  <c r="F222" i="2"/>
  <c r="E222" i="2"/>
  <c r="D222" i="2"/>
  <c r="C222" i="2"/>
  <c r="B222" i="2"/>
  <c r="A222" i="2"/>
  <c r="F221" i="2"/>
  <c r="E221" i="2"/>
  <c r="D221" i="2"/>
  <c r="C221" i="2"/>
  <c r="B221" i="2"/>
  <c r="A221" i="2"/>
  <c r="F220" i="2"/>
  <c r="E220" i="2"/>
  <c r="D220" i="2"/>
  <c r="C220" i="2"/>
  <c r="B220" i="2"/>
  <c r="A220" i="2"/>
  <c r="F219" i="2"/>
  <c r="E219" i="2"/>
  <c r="D219" i="2"/>
  <c r="C219" i="2"/>
  <c r="B219" i="2"/>
  <c r="A219" i="2"/>
  <c r="F218" i="2"/>
  <c r="E218" i="2"/>
  <c r="D218" i="2"/>
  <c r="C218" i="2"/>
  <c r="B218" i="2"/>
  <c r="A218" i="2"/>
  <c r="F217" i="2"/>
  <c r="E217" i="2"/>
  <c r="D217" i="2"/>
  <c r="C217" i="2"/>
  <c r="B217" i="2"/>
  <c r="A217" i="2"/>
  <c r="F216" i="2"/>
  <c r="E216" i="2"/>
  <c r="D216" i="2"/>
  <c r="C216" i="2"/>
  <c r="B216" i="2"/>
  <c r="A216" i="2"/>
  <c r="F215" i="2"/>
  <c r="E215" i="2"/>
  <c r="D215" i="2"/>
  <c r="C215" i="2"/>
  <c r="B215" i="2"/>
  <c r="A215" i="2"/>
  <c r="F214" i="2"/>
  <c r="E214" i="2"/>
  <c r="D214" i="2"/>
  <c r="C214" i="2"/>
  <c r="B214" i="2"/>
  <c r="A214" i="2"/>
  <c r="F213" i="2"/>
  <c r="E213" i="2"/>
  <c r="D213" i="2"/>
  <c r="C213" i="2"/>
  <c r="B213" i="2"/>
  <c r="A213" i="2"/>
  <c r="F212" i="2"/>
  <c r="E212" i="2"/>
  <c r="D212" i="2"/>
  <c r="C212" i="2"/>
  <c r="B212" i="2"/>
  <c r="A212" i="2"/>
  <c r="F211" i="2"/>
  <c r="E211" i="2"/>
  <c r="D211" i="2"/>
  <c r="C211" i="2"/>
  <c r="B211" i="2"/>
  <c r="A211" i="2"/>
  <c r="F210" i="2"/>
  <c r="E210" i="2"/>
  <c r="D210" i="2"/>
  <c r="C210" i="2"/>
  <c r="B210" i="2"/>
  <c r="A210" i="2"/>
  <c r="F209" i="2"/>
  <c r="E209" i="2"/>
  <c r="D209" i="2"/>
  <c r="C209" i="2"/>
  <c r="B209" i="2"/>
  <c r="A209" i="2"/>
  <c r="F208" i="2"/>
  <c r="E208" i="2"/>
  <c r="D208" i="2"/>
  <c r="C208" i="2"/>
  <c r="B208" i="2"/>
  <c r="A208" i="2"/>
  <c r="F207" i="2"/>
  <c r="E207" i="2"/>
  <c r="D207" i="2"/>
  <c r="C207" i="2"/>
  <c r="B207" i="2"/>
  <c r="A207" i="2"/>
  <c r="F206" i="2"/>
  <c r="E206" i="2"/>
  <c r="D206" i="2"/>
  <c r="C206" i="2"/>
  <c r="B206" i="2"/>
  <c r="A206" i="2"/>
  <c r="F205" i="2"/>
  <c r="E205" i="2"/>
  <c r="D205" i="2"/>
  <c r="C205" i="2"/>
  <c r="B205" i="2"/>
  <c r="A205" i="2"/>
  <c r="F204" i="2"/>
  <c r="E204" i="2"/>
  <c r="D204" i="2"/>
  <c r="C204" i="2"/>
  <c r="B204" i="2"/>
  <c r="A204" i="2"/>
  <c r="F203" i="2"/>
  <c r="E203" i="2"/>
  <c r="D203" i="2"/>
  <c r="C203" i="2"/>
  <c r="B203" i="2"/>
  <c r="A203" i="2"/>
  <c r="F202" i="2"/>
  <c r="E202" i="2"/>
  <c r="D202" i="2"/>
  <c r="C202" i="2"/>
  <c r="B202" i="2"/>
  <c r="A202" i="2"/>
  <c r="F201" i="2"/>
  <c r="E201" i="2"/>
  <c r="D201" i="2"/>
  <c r="C201" i="2"/>
  <c r="B201" i="2"/>
  <c r="A201" i="2"/>
  <c r="F200" i="2"/>
  <c r="E200" i="2"/>
  <c r="D200" i="2"/>
  <c r="C200" i="2"/>
  <c r="B200" i="2"/>
  <c r="A200" i="2"/>
  <c r="F199" i="2"/>
  <c r="E199" i="2"/>
  <c r="D199" i="2"/>
  <c r="C199" i="2"/>
  <c r="B199" i="2"/>
  <c r="A199" i="2"/>
  <c r="F198" i="2"/>
  <c r="E198" i="2"/>
  <c r="D198" i="2"/>
  <c r="C198" i="2"/>
  <c r="B198" i="2"/>
  <c r="A198" i="2"/>
  <c r="F197" i="2"/>
  <c r="E197" i="2"/>
  <c r="D197" i="2"/>
  <c r="C197" i="2"/>
  <c r="B197" i="2"/>
  <c r="A197" i="2"/>
  <c r="F196" i="2"/>
  <c r="E196" i="2"/>
  <c r="D196" i="2"/>
  <c r="C196" i="2"/>
  <c r="B196" i="2"/>
  <c r="A196" i="2"/>
  <c r="F195" i="2"/>
  <c r="E195" i="2"/>
  <c r="D195" i="2"/>
  <c r="C195" i="2"/>
  <c r="B195" i="2"/>
  <c r="A195" i="2"/>
  <c r="F194" i="2"/>
  <c r="E194" i="2"/>
  <c r="D194" i="2"/>
  <c r="C194" i="2"/>
  <c r="B194" i="2"/>
  <c r="A194" i="2"/>
  <c r="F193" i="2"/>
  <c r="E193" i="2"/>
  <c r="D193" i="2"/>
  <c r="C193" i="2"/>
  <c r="B193" i="2"/>
  <c r="A193" i="2"/>
  <c r="F192" i="2"/>
  <c r="E192" i="2"/>
  <c r="D192" i="2"/>
  <c r="C192" i="2"/>
  <c r="B192" i="2"/>
  <c r="A192" i="2"/>
  <c r="F191" i="2"/>
  <c r="E191" i="2"/>
  <c r="D191" i="2"/>
  <c r="C191" i="2"/>
  <c r="B191" i="2"/>
  <c r="A191" i="2"/>
  <c r="F190" i="2"/>
  <c r="E190" i="2"/>
  <c r="D190" i="2"/>
  <c r="C190" i="2"/>
  <c r="B190" i="2"/>
  <c r="A190" i="2"/>
  <c r="F189" i="2"/>
  <c r="E189" i="2"/>
  <c r="D189" i="2"/>
  <c r="C189" i="2"/>
  <c r="B189" i="2"/>
  <c r="A189" i="2"/>
  <c r="F188" i="2"/>
  <c r="E188" i="2"/>
  <c r="D188" i="2"/>
  <c r="C188" i="2"/>
  <c r="B188" i="2"/>
  <c r="A188" i="2"/>
  <c r="F187" i="2"/>
  <c r="E187" i="2"/>
  <c r="D187" i="2"/>
  <c r="C187" i="2"/>
  <c r="B187" i="2"/>
  <c r="A187" i="2"/>
  <c r="F186" i="2"/>
  <c r="E186" i="2"/>
  <c r="D186" i="2"/>
  <c r="C186" i="2"/>
  <c r="B186" i="2"/>
  <c r="A186" i="2"/>
  <c r="F185" i="2"/>
  <c r="E185" i="2"/>
  <c r="D185" i="2"/>
  <c r="C185" i="2"/>
  <c r="B185" i="2"/>
  <c r="A185" i="2"/>
  <c r="F184" i="2"/>
  <c r="E184" i="2"/>
  <c r="D184" i="2"/>
  <c r="C184" i="2"/>
  <c r="B184" i="2"/>
  <c r="A184" i="2"/>
  <c r="F183" i="2"/>
  <c r="E183" i="2"/>
  <c r="D183" i="2"/>
  <c r="C183" i="2"/>
  <c r="B183" i="2"/>
  <c r="A183" i="2"/>
  <c r="F182" i="2"/>
  <c r="E182" i="2"/>
  <c r="D182" i="2"/>
  <c r="C182" i="2"/>
  <c r="B182" i="2"/>
  <c r="A182" i="2"/>
  <c r="F181" i="2"/>
  <c r="E181" i="2"/>
  <c r="D181" i="2"/>
  <c r="C181" i="2"/>
  <c r="B181" i="2"/>
  <c r="A181" i="2"/>
  <c r="F180" i="2"/>
  <c r="E180" i="2"/>
  <c r="D180" i="2"/>
  <c r="C180" i="2"/>
  <c r="B180" i="2"/>
  <c r="A180" i="2"/>
  <c r="F179" i="2"/>
  <c r="E179" i="2"/>
  <c r="D179" i="2"/>
  <c r="C179" i="2"/>
  <c r="B179" i="2"/>
  <c r="A179" i="2"/>
  <c r="F178" i="2"/>
  <c r="E178" i="2"/>
  <c r="D178" i="2"/>
  <c r="C178" i="2"/>
  <c r="B178" i="2"/>
  <c r="A178" i="2"/>
  <c r="F177" i="2"/>
  <c r="E177" i="2"/>
  <c r="D177" i="2"/>
  <c r="C177" i="2"/>
  <c r="B177" i="2"/>
  <c r="A177" i="2"/>
  <c r="F176" i="2"/>
  <c r="E176" i="2"/>
  <c r="D176" i="2"/>
  <c r="C176" i="2"/>
  <c r="B176" i="2"/>
  <c r="A176" i="2"/>
  <c r="F175" i="2"/>
  <c r="E175" i="2"/>
  <c r="D175" i="2"/>
  <c r="C175" i="2"/>
  <c r="B175" i="2"/>
  <c r="A175" i="2"/>
  <c r="F174" i="2"/>
  <c r="E174" i="2"/>
  <c r="D174" i="2"/>
  <c r="C174" i="2"/>
  <c r="B174" i="2"/>
  <c r="A174" i="2"/>
  <c r="F173" i="2"/>
  <c r="E173" i="2"/>
  <c r="D173" i="2"/>
  <c r="C173" i="2"/>
  <c r="B173" i="2"/>
  <c r="A173" i="2"/>
  <c r="F172" i="2"/>
  <c r="E172" i="2"/>
  <c r="D172" i="2"/>
  <c r="C172" i="2"/>
  <c r="B172" i="2"/>
  <c r="A172" i="2"/>
  <c r="F171" i="2"/>
  <c r="E171" i="2"/>
  <c r="D171" i="2"/>
  <c r="C171" i="2"/>
  <c r="B171" i="2"/>
  <c r="A171" i="2"/>
  <c r="F170" i="2"/>
  <c r="E170" i="2"/>
  <c r="D170" i="2"/>
  <c r="C170" i="2"/>
  <c r="B170" i="2"/>
  <c r="A170" i="2"/>
  <c r="F169" i="2"/>
  <c r="E169" i="2"/>
  <c r="D169" i="2"/>
  <c r="C169" i="2"/>
  <c r="B169" i="2"/>
  <c r="A169" i="2"/>
  <c r="F168" i="2"/>
  <c r="E168" i="2"/>
  <c r="D168" i="2"/>
  <c r="C168" i="2"/>
  <c r="B168" i="2"/>
  <c r="A168" i="2"/>
  <c r="F167" i="2"/>
  <c r="E167" i="2"/>
  <c r="D167" i="2"/>
  <c r="C167" i="2"/>
  <c r="B167" i="2"/>
  <c r="A167" i="2"/>
  <c r="F166" i="2"/>
  <c r="E166" i="2"/>
  <c r="D166" i="2"/>
  <c r="C166" i="2"/>
  <c r="B166" i="2"/>
  <c r="A166" i="2"/>
  <c r="F165" i="2"/>
  <c r="E165" i="2"/>
  <c r="D165" i="2"/>
  <c r="C165" i="2"/>
  <c r="B165" i="2"/>
  <c r="A165" i="2"/>
  <c r="F164" i="2"/>
  <c r="E164" i="2"/>
  <c r="D164" i="2"/>
  <c r="C164" i="2"/>
  <c r="B164" i="2"/>
  <c r="A164" i="2"/>
  <c r="F163" i="2"/>
  <c r="E163" i="2"/>
  <c r="D163" i="2"/>
  <c r="C163" i="2"/>
  <c r="B163" i="2"/>
  <c r="A163" i="2"/>
  <c r="F162" i="2"/>
  <c r="E162" i="2"/>
  <c r="D162" i="2"/>
  <c r="C162" i="2"/>
  <c r="B162" i="2"/>
  <c r="A162" i="2"/>
  <c r="F161" i="2"/>
  <c r="E161" i="2"/>
  <c r="D161" i="2"/>
  <c r="C161" i="2"/>
  <c r="B161" i="2"/>
  <c r="A161" i="2"/>
  <c r="F160" i="2"/>
  <c r="E160" i="2"/>
  <c r="D160" i="2"/>
  <c r="C160" i="2"/>
  <c r="B160" i="2"/>
  <c r="A160" i="2"/>
  <c r="F159" i="2"/>
  <c r="E159" i="2"/>
  <c r="D159" i="2"/>
  <c r="C159" i="2"/>
  <c r="B159" i="2"/>
  <c r="A159" i="2"/>
  <c r="F158" i="2"/>
  <c r="E158" i="2"/>
  <c r="D158" i="2"/>
  <c r="C158" i="2"/>
  <c r="B158" i="2"/>
  <c r="A158" i="2"/>
  <c r="F157" i="2"/>
  <c r="E157" i="2"/>
  <c r="D157" i="2"/>
  <c r="C157" i="2"/>
  <c r="B157" i="2"/>
  <c r="A157" i="2"/>
  <c r="F156" i="2"/>
  <c r="E156" i="2"/>
  <c r="D156" i="2"/>
  <c r="C156" i="2"/>
  <c r="B156" i="2"/>
  <c r="A156" i="2"/>
  <c r="F155" i="2"/>
  <c r="E155" i="2"/>
  <c r="D155" i="2"/>
  <c r="C155" i="2"/>
  <c r="B155" i="2"/>
  <c r="A155" i="2"/>
  <c r="F154" i="2"/>
  <c r="E154" i="2"/>
  <c r="D154" i="2"/>
  <c r="C154" i="2"/>
  <c r="B154" i="2"/>
  <c r="A154" i="2"/>
  <c r="F153" i="2"/>
  <c r="E153" i="2"/>
  <c r="D153" i="2"/>
  <c r="C153" i="2"/>
  <c r="B153" i="2"/>
  <c r="A153" i="2"/>
  <c r="F152" i="2"/>
  <c r="E152" i="2"/>
  <c r="D152" i="2"/>
  <c r="C152" i="2"/>
  <c r="B152" i="2"/>
  <c r="A152" i="2"/>
  <c r="F151" i="2"/>
  <c r="E151" i="2"/>
  <c r="D151" i="2"/>
  <c r="C151" i="2"/>
  <c r="B151" i="2"/>
  <c r="A151" i="2"/>
  <c r="F150" i="2"/>
  <c r="E150" i="2"/>
  <c r="D150" i="2"/>
  <c r="C150" i="2"/>
  <c r="B150" i="2"/>
  <c r="A150" i="2"/>
  <c r="F149" i="2"/>
  <c r="E149" i="2"/>
  <c r="D149" i="2"/>
  <c r="C149" i="2"/>
  <c r="B149" i="2"/>
  <c r="A149" i="2"/>
  <c r="F148" i="2"/>
  <c r="E148" i="2"/>
  <c r="D148" i="2"/>
  <c r="C148" i="2"/>
  <c r="B148" i="2"/>
  <c r="A148" i="2"/>
  <c r="F147" i="2"/>
  <c r="E147" i="2"/>
  <c r="D147" i="2"/>
  <c r="C147" i="2"/>
  <c r="B147" i="2"/>
  <c r="A147" i="2"/>
  <c r="F146" i="2"/>
  <c r="E146" i="2"/>
  <c r="D146" i="2"/>
  <c r="C146" i="2"/>
  <c r="B146" i="2"/>
  <c r="A146" i="2"/>
  <c r="F145" i="2"/>
  <c r="E145" i="2"/>
  <c r="D145" i="2"/>
  <c r="C145" i="2"/>
  <c r="B145" i="2"/>
  <c r="A145" i="2"/>
  <c r="F144" i="2"/>
  <c r="E144" i="2"/>
  <c r="D144" i="2"/>
  <c r="C144" i="2"/>
  <c r="B144" i="2"/>
  <c r="A144" i="2"/>
  <c r="F143" i="2"/>
  <c r="E143" i="2"/>
  <c r="D143" i="2"/>
  <c r="C143" i="2"/>
  <c r="B143" i="2"/>
  <c r="A143" i="2"/>
  <c r="F142" i="2"/>
  <c r="E142" i="2"/>
  <c r="D142" i="2"/>
  <c r="C142" i="2"/>
  <c r="B142" i="2"/>
  <c r="A142" i="2"/>
  <c r="F141" i="2"/>
  <c r="E141" i="2"/>
  <c r="D141" i="2"/>
  <c r="C141" i="2"/>
  <c r="B141" i="2"/>
  <c r="A141" i="2"/>
  <c r="F140" i="2"/>
  <c r="E140" i="2"/>
  <c r="D140" i="2"/>
  <c r="C140" i="2"/>
  <c r="B140" i="2"/>
  <c r="A140" i="2"/>
  <c r="F139" i="2"/>
  <c r="E139" i="2"/>
  <c r="D139" i="2"/>
  <c r="C139" i="2"/>
  <c r="B139" i="2"/>
  <c r="A139" i="2"/>
  <c r="F138" i="2"/>
  <c r="E138" i="2"/>
  <c r="D138" i="2"/>
  <c r="C138" i="2"/>
  <c r="B138" i="2"/>
  <c r="A138" i="2"/>
  <c r="F137" i="2"/>
  <c r="E137" i="2"/>
  <c r="D137" i="2"/>
  <c r="C137" i="2"/>
  <c r="B137" i="2"/>
  <c r="A137" i="2"/>
  <c r="F136" i="2"/>
  <c r="E136" i="2"/>
  <c r="D136" i="2"/>
  <c r="C136" i="2"/>
  <c r="B136" i="2"/>
  <c r="A136" i="2"/>
  <c r="F135" i="2"/>
  <c r="E135" i="2"/>
  <c r="D135" i="2"/>
  <c r="C135" i="2"/>
  <c r="B135" i="2"/>
  <c r="A135" i="2"/>
  <c r="F134" i="2"/>
  <c r="E134" i="2"/>
  <c r="D134" i="2"/>
  <c r="C134" i="2"/>
  <c r="B134" i="2"/>
  <c r="A134" i="2"/>
  <c r="F133" i="2"/>
  <c r="E133" i="2"/>
  <c r="D133" i="2"/>
  <c r="C133" i="2"/>
  <c r="B133" i="2"/>
  <c r="A133" i="2"/>
  <c r="F132" i="2"/>
  <c r="E132" i="2"/>
  <c r="D132" i="2"/>
  <c r="C132" i="2"/>
  <c r="B132" i="2"/>
  <c r="A132" i="2"/>
  <c r="F131" i="2"/>
  <c r="E131" i="2"/>
  <c r="D131" i="2"/>
  <c r="C131" i="2"/>
  <c r="B131" i="2"/>
  <c r="A131" i="2"/>
  <c r="F130" i="2"/>
  <c r="E130" i="2"/>
  <c r="D130" i="2"/>
  <c r="C130" i="2"/>
  <c r="B130" i="2"/>
  <c r="A130" i="2"/>
  <c r="F129" i="2"/>
  <c r="E129" i="2"/>
  <c r="D129" i="2"/>
  <c r="C129" i="2"/>
  <c r="B129" i="2"/>
  <c r="A129" i="2"/>
  <c r="F128" i="2"/>
  <c r="E128" i="2"/>
  <c r="D128" i="2"/>
  <c r="C128" i="2"/>
  <c r="B128" i="2"/>
  <c r="A128" i="2"/>
  <c r="F127" i="2"/>
  <c r="E127" i="2"/>
  <c r="D127" i="2"/>
  <c r="C127" i="2"/>
  <c r="B127" i="2"/>
  <c r="A127" i="2"/>
  <c r="F126" i="2"/>
  <c r="E126" i="2"/>
  <c r="D126" i="2"/>
  <c r="C126" i="2"/>
  <c r="B126" i="2"/>
  <c r="A126" i="2"/>
  <c r="F125" i="2"/>
  <c r="E125" i="2"/>
  <c r="D125" i="2"/>
  <c r="C125" i="2"/>
  <c r="B125" i="2"/>
  <c r="A125" i="2"/>
  <c r="F124" i="2"/>
  <c r="E124" i="2"/>
  <c r="D124" i="2"/>
  <c r="C124" i="2"/>
  <c r="B124" i="2"/>
  <c r="A124" i="2"/>
  <c r="F123" i="2"/>
  <c r="E123" i="2"/>
  <c r="D123" i="2"/>
  <c r="C123" i="2"/>
  <c r="B123" i="2"/>
  <c r="A123" i="2"/>
  <c r="F122" i="2"/>
  <c r="E122" i="2"/>
  <c r="D122" i="2"/>
  <c r="C122" i="2"/>
  <c r="B122" i="2"/>
  <c r="A122" i="2"/>
  <c r="F121" i="2"/>
  <c r="E121" i="2"/>
  <c r="D121" i="2"/>
  <c r="C121" i="2"/>
  <c r="B121" i="2"/>
  <c r="A121" i="2"/>
  <c r="F120" i="2"/>
  <c r="E120" i="2"/>
  <c r="D120" i="2"/>
  <c r="C120" i="2"/>
  <c r="B120" i="2"/>
  <c r="A120" i="2"/>
  <c r="F119" i="2"/>
  <c r="E119" i="2"/>
  <c r="D119" i="2"/>
  <c r="C119" i="2"/>
  <c r="B119" i="2"/>
  <c r="A119" i="2"/>
  <c r="F118" i="2"/>
  <c r="E118" i="2"/>
  <c r="D118" i="2"/>
  <c r="C118" i="2"/>
  <c r="B118" i="2"/>
  <c r="A118" i="2"/>
  <c r="F117" i="2"/>
  <c r="E117" i="2"/>
  <c r="D117" i="2"/>
  <c r="C117" i="2"/>
  <c r="B117" i="2"/>
  <c r="A117" i="2"/>
  <c r="F116" i="2"/>
  <c r="E116" i="2"/>
  <c r="D116" i="2"/>
  <c r="C116" i="2"/>
  <c r="B116" i="2"/>
  <c r="A116" i="2"/>
  <c r="F115" i="2"/>
  <c r="E115" i="2"/>
  <c r="D115" i="2"/>
  <c r="C115" i="2"/>
  <c r="B115" i="2"/>
  <c r="A115" i="2"/>
  <c r="F114" i="2"/>
  <c r="E114" i="2"/>
  <c r="D114" i="2"/>
  <c r="C114" i="2"/>
  <c r="B114" i="2"/>
  <c r="A114" i="2"/>
  <c r="F113" i="2"/>
  <c r="E113" i="2"/>
  <c r="D113" i="2"/>
  <c r="C113" i="2"/>
  <c r="B113" i="2"/>
  <c r="A113" i="2"/>
  <c r="F112" i="2"/>
  <c r="E112" i="2"/>
  <c r="D112" i="2"/>
  <c r="C112" i="2"/>
  <c r="B112" i="2"/>
  <c r="A112" i="2"/>
  <c r="F111" i="2"/>
  <c r="E111" i="2"/>
  <c r="D111" i="2"/>
  <c r="C111" i="2"/>
  <c r="B111" i="2"/>
  <c r="A111" i="2"/>
  <c r="F110" i="2"/>
  <c r="E110" i="2"/>
  <c r="D110" i="2"/>
  <c r="C110" i="2"/>
  <c r="B110" i="2"/>
  <c r="A110" i="2"/>
  <c r="F109" i="2"/>
  <c r="E109" i="2"/>
  <c r="D109" i="2"/>
  <c r="C109" i="2"/>
  <c r="B109" i="2"/>
  <c r="A109" i="2"/>
  <c r="F108" i="2"/>
  <c r="E108" i="2"/>
  <c r="D108" i="2"/>
  <c r="C108" i="2"/>
  <c r="B108" i="2"/>
  <c r="A108" i="2"/>
  <c r="F107" i="2"/>
  <c r="E107" i="2"/>
  <c r="D107" i="2"/>
  <c r="C107" i="2"/>
  <c r="B107" i="2"/>
  <c r="A107" i="2"/>
  <c r="F106" i="2"/>
  <c r="E106" i="2"/>
  <c r="D106" i="2"/>
  <c r="C106" i="2"/>
  <c r="B106" i="2"/>
  <c r="A106" i="2"/>
  <c r="F105" i="2"/>
  <c r="E105" i="2"/>
  <c r="D105" i="2"/>
  <c r="C105" i="2"/>
  <c r="B105" i="2"/>
  <c r="A105" i="2"/>
  <c r="F104" i="2"/>
  <c r="E104" i="2"/>
  <c r="D104" i="2"/>
  <c r="C104" i="2"/>
  <c r="B104" i="2"/>
  <c r="A104" i="2"/>
  <c r="F103" i="2"/>
  <c r="E103" i="2"/>
  <c r="D103" i="2"/>
  <c r="C103" i="2"/>
  <c r="B103" i="2"/>
  <c r="A103" i="2"/>
  <c r="F102" i="2"/>
  <c r="E102" i="2"/>
  <c r="D102" i="2"/>
  <c r="C102" i="2"/>
  <c r="B102" i="2"/>
  <c r="A102" i="2"/>
  <c r="F101" i="2"/>
  <c r="E101" i="2"/>
  <c r="D101" i="2"/>
  <c r="C101" i="2"/>
  <c r="B101" i="2"/>
  <c r="A101" i="2"/>
  <c r="F100" i="2"/>
  <c r="E100" i="2"/>
  <c r="D100" i="2"/>
  <c r="C100" i="2"/>
  <c r="B100" i="2"/>
  <c r="A100" i="2"/>
  <c r="F99" i="2"/>
  <c r="E99" i="2"/>
  <c r="D99" i="2"/>
  <c r="C99" i="2"/>
  <c r="B99" i="2"/>
  <c r="A99" i="2"/>
  <c r="F98" i="2"/>
  <c r="E98" i="2"/>
  <c r="D98" i="2"/>
  <c r="C98" i="2"/>
  <c r="B98" i="2"/>
  <c r="A98" i="2"/>
  <c r="F97" i="2"/>
  <c r="E97" i="2"/>
  <c r="D97" i="2"/>
  <c r="C97" i="2"/>
  <c r="B97" i="2"/>
  <c r="A97" i="2"/>
  <c r="F96" i="2"/>
  <c r="E96" i="2"/>
  <c r="D96" i="2"/>
  <c r="C96" i="2"/>
  <c r="B96" i="2"/>
  <c r="A96" i="2"/>
  <c r="F95" i="2"/>
  <c r="E95" i="2"/>
  <c r="D95" i="2"/>
  <c r="C95" i="2"/>
  <c r="B95" i="2"/>
  <c r="A95" i="2"/>
  <c r="F94" i="2"/>
  <c r="E94" i="2"/>
  <c r="D94" i="2"/>
  <c r="C94" i="2"/>
  <c r="B94" i="2"/>
  <c r="A94" i="2"/>
  <c r="F93" i="2"/>
  <c r="E93" i="2"/>
  <c r="D93" i="2"/>
  <c r="C93" i="2"/>
  <c r="B93" i="2"/>
  <c r="A93" i="2"/>
  <c r="F92" i="2"/>
  <c r="E92" i="2"/>
  <c r="D92" i="2"/>
  <c r="C92" i="2"/>
  <c r="B92" i="2"/>
  <c r="A92" i="2"/>
  <c r="F91" i="2"/>
  <c r="E91" i="2"/>
  <c r="D91" i="2"/>
  <c r="C91" i="2"/>
  <c r="B91" i="2"/>
  <c r="A91" i="2"/>
  <c r="F90" i="2"/>
  <c r="E90" i="2"/>
  <c r="D90" i="2"/>
  <c r="C90" i="2"/>
  <c r="B90" i="2"/>
  <c r="A90" i="2"/>
  <c r="F89" i="2"/>
  <c r="E89" i="2"/>
  <c r="D89" i="2"/>
  <c r="C89" i="2"/>
  <c r="B89" i="2"/>
  <c r="A89" i="2"/>
  <c r="F88" i="2"/>
  <c r="E88" i="2"/>
  <c r="D88" i="2"/>
  <c r="C88" i="2"/>
  <c r="B88" i="2"/>
  <c r="A88" i="2"/>
  <c r="F87" i="2"/>
  <c r="E87" i="2"/>
  <c r="D87" i="2"/>
  <c r="C87" i="2"/>
  <c r="B87" i="2"/>
  <c r="A87" i="2"/>
  <c r="F86" i="2"/>
  <c r="E86" i="2"/>
  <c r="D86" i="2"/>
  <c r="C86" i="2"/>
  <c r="B86" i="2"/>
  <c r="A86" i="2"/>
  <c r="F85" i="2"/>
  <c r="E85" i="2"/>
  <c r="D85" i="2"/>
  <c r="C85" i="2"/>
  <c r="B85" i="2"/>
  <c r="A85" i="2"/>
  <c r="F84" i="2"/>
  <c r="E84" i="2"/>
  <c r="D84" i="2"/>
  <c r="C84" i="2"/>
  <c r="B84" i="2"/>
  <c r="A84" i="2"/>
  <c r="F83" i="2"/>
  <c r="E83" i="2"/>
  <c r="D83" i="2"/>
  <c r="C83" i="2"/>
  <c r="B83" i="2"/>
  <c r="A83" i="2"/>
  <c r="F82" i="2"/>
  <c r="E82" i="2"/>
  <c r="D82" i="2"/>
  <c r="C82" i="2"/>
  <c r="B82" i="2"/>
  <c r="A82" i="2"/>
  <c r="F81" i="2"/>
  <c r="E81" i="2"/>
  <c r="D81" i="2"/>
  <c r="C81" i="2"/>
  <c r="B81" i="2"/>
  <c r="A81" i="2"/>
  <c r="F80" i="2"/>
  <c r="E80" i="2"/>
  <c r="D80" i="2"/>
  <c r="C80" i="2"/>
  <c r="B80" i="2"/>
  <c r="A80" i="2"/>
  <c r="F79" i="2"/>
  <c r="E79" i="2"/>
  <c r="D79" i="2"/>
  <c r="C79" i="2"/>
  <c r="B79" i="2"/>
  <c r="A79" i="2"/>
  <c r="F78" i="2"/>
  <c r="E78" i="2"/>
  <c r="D78" i="2"/>
  <c r="C78" i="2"/>
  <c r="B78" i="2"/>
  <c r="A78" i="2"/>
  <c r="F77" i="2"/>
  <c r="E77" i="2"/>
  <c r="D77" i="2"/>
  <c r="C77" i="2"/>
  <c r="B77" i="2"/>
  <c r="A77" i="2"/>
  <c r="F76" i="2"/>
  <c r="E76" i="2"/>
  <c r="D76" i="2"/>
  <c r="C76" i="2"/>
  <c r="B76" i="2"/>
  <c r="A76" i="2"/>
  <c r="F75" i="2"/>
  <c r="E75" i="2"/>
  <c r="D75" i="2"/>
  <c r="C75" i="2"/>
  <c r="B75" i="2"/>
  <c r="A75" i="2"/>
  <c r="F74" i="2"/>
  <c r="E74" i="2"/>
  <c r="D74" i="2"/>
  <c r="C74" i="2"/>
  <c r="B74" i="2"/>
  <c r="A74" i="2"/>
  <c r="F73" i="2"/>
  <c r="E73" i="2"/>
  <c r="D73" i="2"/>
  <c r="C73" i="2"/>
  <c r="B73" i="2"/>
  <c r="A73" i="2"/>
  <c r="F72" i="2"/>
  <c r="E72" i="2"/>
  <c r="D72" i="2"/>
  <c r="C72" i="2"/>
  <c r="B72" i="2"/>
  <c r="A72" i="2"/>
  <c r="F71" i="2"/>
  <c r="E71" i="2"/>
  <c r="D71" i="2"/>
  <c r="C71" i="2"/>
  <c r="B71" i="2"/>
  <c r="A71" i="2"/>
  <c r="F70" i="2"/>
  <c r="E70" i="2"/>
  <c r="D70" i="2"/>
  <c r="C70" i="2"/>
  <c r="B70" i="2"/>
  <c r="A70" i="2"/>
  <c r="F69" i="2"/>
  <c r="E69" i="2"/>
  <c r="D69" i="2"/>
  <c r="C69" i="2"/>
  <c r="B69" i="2"/>
  <c r="A69" i="2"/>
  <c r="F68" i="2"/>
  <c r="E68" i="2"/>
  <c r="D68" i="2"/>
  <c r="C68" i="2"/>
  <c r="B68" i="2"/>
  <c r="A68" i="2"/>
  <c r="F67" i="2"/>
  <c r="E67" i="2"/>
  <c r="D67" i="2"/>
  <c r="C67" i="2"/>
  <c r="B67" i="2"/>
  <c r="A67" i="2"/>
  <c r="F66" i="2"/>
  <c r="E66" i="2"/>
  <c r="D66" i="2"/>
  <c r="C66" i="2"/>
  <c r="B66" i="2"/>
  <c r="A66" i="2"/>
  <c r="F65" i="2"/>
  <c r="E65" i="2"/>
  <c r="D65" i="2"/>
  <c r="C65" i="2"/>
  <c r="B65" i="2"/>
  <c r="A65" i="2"/>
  <c r="F64" i="2"/>
  <c r="E64" i="2"/>
  <c r="D64" i="2"/>
  <c r="C64" i="2"/>
  <c r="B64" i="2"/>
  <c r="A64" i="2"/>
  <c r="F63" i="2"/>
  <c r="E63" i="2"/>
  <c r="D63" i="2"/>
  <c r="C63" i="2"/>
  <c r="B63" i="2"/>
  <c r="A63" i="2"/>
  <c r="F62" i="2"/>
  <c r="E62" i="2"/>
  <c r="D62" i="2"/>
  <c r="C62" i="2"/>
  <c r="B62" i="2"/>
  <c r="A62" i="2"/>
  <c r="F61" i="2"/>
  <c r="E61" i="2"/>
  <c r="D61" i="2"/>
  <c r="C61" i="2"/>
  <c r="B61" i="2"/>
  <c r="A61" i="2"/>
  <c r="F60" i="2"/>
  <c r="E60" i="2"/>
  <c r="D60" i="2"/>
  <c r="C60" i="2"/>
  <c r="B60" i="2"/>
  <c r="A60" i="2"/>
  <c r="F59" i="2"/>
  <c r="E59" i="2"/>
  <c r="D59" i="2"/>
  <c r="C59" i="2"/>
  <c r="B59" i="2"/>
  <c r="A59" i="2"/>
  <c r="F58" i="2"/>
  <c r="E58" i="2"/>
  <c r="D58" i="2"/>
  <c r="C58" i="2"/>
  <c r="B58" i="2"/>
  <c r="A58" i="2"/>
  <c r="F57" i="2"/>
  <c r="E57" i="2"/>
  <c r="D57" i="2"/>
  <c r="C57" i="2"/>
  <c r="B57" i="2"/>
  <c r="A57" i="2"/>
  <c r="F56" i="2"/>
  <c r="E56" i="2"/>
  <c r="D56" i="2"/>
  <c r="C56" i="2"/>
  <c r="B56" i="2"/>
  <c r="A56" i="2"/>
  <c r="F55" i="2"/>
  <c r="E55" i="2"/>
  <c r="D55" i="2"/>
  <c r="C55" i="2"/>
  <c r="B55" i="2"/>
  <c r="A55" i="2"/>
  <c r="F54" i="2"/>
  <c r="E54" i="2"/>
  <c r="D54" i="2"/>
  <c r="C54" i="2"/>
  <c r="B54" i="2"/>
  <c r="A54" i="2"/>
  <c r="F53" i="2"/>
  <c r="E53" i="2"/>
  <c r="D53" i="2"/>
  <c r="C53" i="2"/>
  <c r="B53" i="2"/>
  <c r="A53" i="2"/>
  <c r="F52" i="2"/>
  <c r="E52" i="2"/>
  <c r="D52" i="2"/>
  <c r="C52" i="2"/>
  <c r="B52" i="2"/>
  <c r="A52" i="2"/>
  <c r="F51" i="2"/>
  <c r="E51" i="2"/>
  <c r="D51" i="2"/>
  <c r="C51" i="2"/>
  <c r="B51" i="2"/>
  <c r="A51" i="2"/>
  <c r="F50" i="2"/>
  <c r="E50" i="2"/>
  <c r="D50" i="2"/>
  <c r="C50" i="2"/>
  <c r="B50" i="2"/>
  <c r="A50" i="2"/>
  <c r="F49" i="2"/>
  <c r="E49" i="2"/>
  <c r="D49" i="2"/>
  <c r="C49" i="2"/>
  <c r="B49" i="2"/>
  <c r="A49" i="2"/>
  <c r="F48" i="2"/>
  <c r="E48" i="2"/>
  <c r="D48" i="2"/>
  <c r="C48" i="2"/>
  <c r="B48" i="2"/>
  <c r="A48" i="2"/>
  <c r="F47" i="2"/>
  <c r="E47" i="2"/>
  <c r="D47" i="2"/>
  <c r="C47" i="2"/>
  <c r="B47" i="2"/>
  <c r="A47" i="2"/>
  <c r="F46" i="2"/>
  <c r="E46" i="2"/>
  <c r="D46" i="2"/>
  <c r="C46" i="2"/>
  <c r="B46" i="2"/>
  <c r="A46" i="2"/>
  <c r="F45" i="2"/>
  <c r="E45" i="2"/>
  <c r="D45" i="2"/>
  <c r="C45" i="2"/>
  <c r="B45" i="2"/>
  <c r="A45" i="2"/>
  <c r="F44" i="2"/>
  <c r="E44" i="2"/>
  <c r="D44" i="2"/>
  <c r="C44" i="2"/>
  <c r="B44" i="2"/>
  <c r="A44" i="2"/>
  <c r="F43" i="2"/>
  <c r="E43" i="2"/>
  <c r="D43" i="2"/>
  <c r="C43" i="2"/>
  <c r="B43" i="2"/>
  <c r="A43" i="2"/>
  <c r="F42" i="2"/>
  <c r="E42" i="2"/>
  <c r="D42" i="2"/>
  <c r="C42" i="2"/>
  <c r="B42" i="2"/>
  <c r="A42" i="2"/>
  <c r="F41" i="2"/>
  <c r="E41" i="2"/>
  <c r="D41" i="2"/>
  <c r="C41" i="2"/>
  <c r="B41" i="2"/>
  <c r="A41" i="2"/>
  <c r="F40" i="2"/>
  <c r="E40" i="2"/>
  <c r="D40" i="2"/>
  <c r="C40" i="2"/>
  <c r="B40" i="2"/>
  <c r="A40" i="2"/>
  <c r="F39" i="2"/>
  <c r="E39" i="2"/>
  <c r="D39" i="2"/>
  <c r="C39" i="2"/>
  <c r="B39" i="2"/>
  <c r="A39" i="2"/>
  <c r="F38" i="2"/>
  <c r="E38" i="2"/>
  <c r="D38" i="2"/>
  <c r="C38" i="2"/>
  <c r="B38" i="2"/>
  <c r="A38" i="2"/>
  <c r="F37" i="2"/>
  <c r="E37" i="2"/>
  <c r="D37" i="2"/>
  <c r="C37" i="2"/>
  <c r="B37" i="2"/>
  <c r="A37" i="2"/>
  <c r="F36" i="2"/>
  <c r="E36" i="2"/>
  <c r="D36" i="2"/>
  <c r="C36" i="2"/>
  <c r="B36" i="2"/>
  <c r="A36" i="2"/>
  <c r="F35" i="2"/>
  <c r="E35" i="2"/>
  <c r="D35" i="2"/>
  <c r="C35" i="2"/>
  <c r="B35" i="2"/>
  <c r="A35" i="2"/>
  <c r="F34" i="2"/>
  <c r="E34" i="2"/>
  <c r="D34" i="2"/>
  <c r="C34" i="2"/>
  <c r="B34" i="2"/>
  <c r="A34" i="2"/>
  <c r="F33" i="2"/>
  <c r="E33" i="2"/>
  <c r="D33" i="2"/>
  <c r="C33" i="2"/>
  <c r="B33" i="2"/>
  <c r="A33" i="2"/>
  <c r="F32" i="2"/>
  <c r="E32" i="2"/>
  <c r="D32" i="2"/>
  <c r="C32" i="2"/>
  <c r="B32" i="2"/>
  <c r="A32" i="2"/>
  <c r="F31" i="2"/>
  <c r="E31" i="2"/>
  <c r="D31" i="2"/>
  <c r="C31" i="2"/>
  <c r="B31" i="2"/>
  <c r="A31" i="2"/>
  <c r="F30" i="2"/>
  <c r="E30" i="2"/>
  <c r="D30" i="2"/>
  <c r="C30" i="2"/>
  <c r="B30" i="2"/>
  <c r="A30" i="2"/>
  <c r="F29" i="2"/>
  <c r="E29" i="2"/>
  <c r="D29" i="2"/>
  <c r="C29" i="2"/>
  <c r="B29" i="2"/>
  <c r="A29" i="2"/>
  <c r="F28" i="2"/>
  <c r="E28" i="2"/>
  <c r="D28" i="2"/>
  <c r="C28" i="2"/>
  <c r="B28" i="2"/>
  <c r="A28" i="2"/>
  <c r="F27" i="2"/>
  <c r="E27" i="2"/>
  <c r="D27" i="2"/>
  <c r="C27" i="2"/>
  <c r="B27" i="2"/>
  <c r="A27" i="2"/>
  <c r="F26" i="2"/>
  <c r="E26" i="2"/>
  <c r="D26" i="2"/>
  <c r="C26" i="2"/>
  <c r="B26" i="2"/>
  <c r="A26" i="2"/>
  <c r="F25" i="2"/>
  <c r="E25" i="2"/>
  <c r="D25" i="2"/>
  <c r="C25" i="2"/>
  <c r="B25" i="2"/>
  <c r="A25" i="2"/>
  <c r="F24" i="2"/>
  <c r="E24" i="2"/>
  <c r="D24" i="2"/>
  <c r="C24" i="2"/>
  <c r="B24" i="2"/>
  <c r="A24" i="2"/>
  <c r="F23" i="2"/>
  <c r="E23" i="2"/>
  <c r="D23" i="2"/>
  <c r="C23" i="2"/>
  <c r="B23" i="2"/>
  <c r="A23" i="2"/>
  <c r="F22" i="2"/>
  <c r="E22" i="2"/>
  <c r="D22" i="2"/>
  <c r="C22" i="2"/>
  <c r="B22" i="2"/>
  <c r="A22" i="2"/>
  <c r="F21" i="2"/>
  <c r="E21" i="2"/>
  <c r="D21" i="2"/>
  <c r="C21" i="2"/>
  <c r="B21" i="2"/>
  <c r="A21" i="2"/>
  <c r="F20" i="2"/>
  <c r="E20" i="2"/>
  <c r="D20" i="2"/>
  <c r="C20" i="2"/>
  <c r="B20" i="2"/>
  <c r="A20" i="2"/>
  <c r="F19" i="2"/>
  <c r="E19" i="2"/>
  <c r="D19" i="2"/>
  <c r="C19" i="2"/>
  <c r="B19" i="2"/>
  <c r="A19" i="2"/>
  <c r="F18" i="2"/>
  <c r="E18" i="2"/>
  <c r="D18" i="2"/>
  <c r="C18" i="2"/>
  <c r="B18" i="2"/>
  <c r="A18" i="2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E2" i="2"/>
  <c r="D2" i="2"/>
  <c r="C2" i="2"/>
  <c r="B2" i="2"/>
  <c r="A2" i="2"/>
  <c r="F1" i="2"/>
  <c r="E1" i="2"/>
  <c r="D1" i="2"/>
  <c r="C1" i="2"/>
  <c r="B1" i="2"/>
  <c r="A1" i="2"/>
  <c r="F888" i="1"/>
  <c r="E888" i="1"/>
  <c r="D888" i="1"/>
  <c r="C888" i="1"/>
  <c r="B888" i="1"/>
  <c r="A888" i="1"/>
  <c r="F887" i="1"/>
  <c r="E887" i="1"/>
  <c r="D887" i="1"/>
  <c r="C887" i="1"/>
  <c r="B887" i="1"/>
  <c r="A887" i="1"/>
  <c r="F886" i="1"/>
  <c r="E886" i="1"/>
  <c r="D886" i="1"/>
  <c r="C886" i="1"/>
  <c r="B886" i="1"/>
  <c r="A886" i="1"/>
  <c r="F885" i="1"/>
  <c r="E885" i="1"/>
  <c r="D885" i="1"/>
  <c r="C885" i="1"/>
  <c r="B885" i="1"/>
  <c r="A885" i="1"/>
  <c r="F884" i="1"/>
  <c r="E884" i="1"/>
  <c r="D884" i="1"/>
  <c r="C884" i="1"/>
  <c r="B884" i="1"/>
  <c r="A884" i="1"/>
  <c r="F883" i="1"/>
  <c r="E883" i="1"/>
  <c r="D883" i="1"/>
  <c r="C883" i="1"/>
  <c r="B883" i="1"/>
  <c r="A883" i="1"/>
  <c r="F882" i="1"/>
  <c r="E882" i="1"/>
  <c r="D882" i="1"/>
  <c r="C882" i="1"/>
  <c r="B882" i="1"/>
  <c r="A882" i="1"/>
  <c r="F881" i="1"/>
  <c r="E881" i="1"/>
  <c r="D881" i="1"/>
  <c r="C881" i="1"/>
  <c r="B881" i="1"/>
  <c r="A881" i="1"/>
  <c r="F880" i="1"/>
  <c r="E880" i="1"/>
  <c r="D880" i="1"/>
  <c r="C880" i="1"/>
  <c r="B880" i="1"/>
  <c r="A880" i="1"/>
  <c r="F879" i="1"/>
  <c r="E879" i="1"/>
  <c r="D879" i="1"/>
  <c r="C879" i="1"/>
  <c r="B879" i="1"/>
  <c r="A879" i="1"/>
  <c r="F878" i="1"/>
  <c r="E878" i="1"/>
  <c r="D878" i="1"/>
  <c r="C878" i="1"/>
  <c r="B878" i="1"/>
  <c r="A878" i="1"/>
  <c r="F877" i="1"/>
  <c r="E877" i="1"/>
  <c r="D877" i="1"/>
  <c r="C877" i="1"/>
  <c r="B877" i="1"/>
  <c r="A877" i="1"/>
  <c r="F876" i="1"/>
  <c r="E876" i="1"/>
  <c r="D876" i="1"/>
  <c r="C876" i="1"/>
  <c r="B876" i="1"/>
  <c r="A876" i="1"/>
  <c r="F875" i="1"/>
  <c r="E875" i="1"/>
  <c r="D875" i="1"/>
  <c r="C875" i="1"/>
  <c r="B875" i="1"/>
  <c r="A875" i="1"/>
  <c r="F874" i="1"/>
  <c r="E874" i="1"/>
  <c r="D874" i="1"/>
  <c r="C874" i="1"/>
  <c r="B874" i="1"/>
  <c r="A874" i="1"/>
  <c r="F873" i="1"/>
  <c r="E873" i="1"/>
  <c r="D873" i="1"/>
  <c r="C873" i="1"/>
  <c r="B873" i="1"/>
  <c r="A873" i="1"/>
  <c r="F872" i="1"/>
  <c r="E872" i="1"/>
  <c r="D872" i="1"/>
  <c r="C872" i="1"/>
  <c r="B872" i="1"/>
  <c r="A872" i="1"/>
  <c r="F871" i="1"/>
  <c r="E871" i="1"/>
  <c r="D871" i="1"/>
  <c r="C871" i="1"/>
  <c r="B871" i="1"/>
  <c r="A871" i="1"/>
  <c r="F870" i="1"/>
  <c r="E870" i="1"/>
  <c r="D870" i="1"/>
  <c r="C870" i="1"/>
  <c r="B870" i="1"/>
  <c r="A870" i="1"/>
  <c r="F869" i="1"/>
  <c r="E869" i="1"/>
  <c r="D869" i="1"/>
  <c r="C869" i="1"/>
  <c r="B869" i="1"/>
  <c r="A869" i="1"/>
  <c r="F868" i="1"/>
  <c r="E868" i="1"/>
  <c r="D868" i="1"/>
  <c r="C868" i="1"/>
  <c r="B868" i="1"/>
  <c r="A868" i="1"/>
  <c r="F867" i="1"/>
  <c r="E867" i="1"/>
  <c r="D867" i="1"/>
  <c r="C867" i="1"/>
  <c r="B867" i="1"/>
  <c r="A867" i="1"/>
  <c r="F866" i="1"/>
  <c r="E866" i="1"/>
  <c r="D866" i="1"/>
  <c r="C866" i="1"/>
  <c r="B866" i="1"/>
  <c r="A866" i="1"/>
  <c r="F865" i="1"/>
  <c r="E865" i="1"/>
  <c r="D865" i="1"/>
  <c r="C865" i="1"/>
  <c r="B865" i="1"/>
  <c r="A865" i="1"/>
  <c r="F864" i="1"/>
  <c r="E864" i="1"/>
  <c r="D864" i="1"/>
  <c r="C864" i="1"/>
  <c r="B864" i="1"/>
  <c r="A864" i="1"/>
  <c r="F863" i="1"/>
  <c r="E863" i="1"/>
  <c r="D863" i="1"/>
  <c r="C863" i="1"/>
  <c r="B863" i="1"/>
  <c r="A863" i="1"/>
  <c r="F862" i="1"/>
  <c r="E862" i="1"/>
  <c r="D862" i="1"/>
  <c r="C862" i="1"/>
  <c r="B862" i="1"/>
  <c r="A862" i="1"/>
  <c r="F861" i="1"/>
  <c r="E861" i="1"/>
  <c r="D861" i="1"/>
  <c r="C861" i="1"/>
  <c r="B861" i="1"/>
  <c r="A861" i="1"/>
  <c r="F860" i="1"/>
  <c r="E860" i="1"/>
  <c r="D860" i="1"/>
  <c r="C860" i="1"/>
  <c r="B860" i="1"/>
  <c r="A860" i="1"/>
  <c r="F859" i="1"/>
  <c r="E859" i="1"/>
  <c r="D859" i="1"/>
  <c r="C859" i="1"/>
  <c r="B859" i="1"/>
  <c r="A859" i="1"/>
  <c r="F858" i="1"/>
  <c r="E858" i="1"/>
  <c r="D858" i="1"/>
  <c r="C858" i="1"/>
  <c r="B858" i="1"/>
  <c r="A858" i="1"/>
  <c r="F857" i="1"/>
  <c r="E857" i="1"/>
  <c r="D857" i="1"/>
  <c r="C857" i="1"/>
  <c r="B857" i="1"/>
  <c r="A857" i="1"/>
  <c r="F856" i="1"/>
  <c r="E856" i="1"/>
  <c r="D856" i="1"/>
  <c r="C856" i="1"/>
  <c r="B856" i="1"/>
  <c r="A856" i="1"/>
  <c r="F855" i="1"/>
  <c r="E855" i="1"/>
  <c r="D855" i="1"/>
  <c r="C855" i="1"/>
  <c r="B855" i="1"/>
  <c r="A855" i="1"/>
  <c r="F854" i="1"/>
  <c r="E854" i="1"/>
  <c r="D854" i="1"/>
  <c r="C854" i="1"/>
  <c r="B854" i="1"/>
  <c r="A854" i="1"/>
  <c r="F853" i="1"/>
  <c r="E853" i="1"/>
  <c r="D853" i="1"/>
  <c r="C853" i="1"/>
  <c r="B853" i="1"/>
  <c r="A853" i="1"/>
  <c r="F852" i="1"/>
  <c r="E852" i="1"/>
  <c r="D852" i="1"/>
  <c r="C852" i="1"/>
  <c r="B852" i="1"/>
  <c r="A852" i="1"/>
  <c r="F851" i="1"/>
  <c r="E851" i="1"/>
  <c r="D851" i="1"/>
  <c r="C851" i="1"/>
  <c r="B851" i="1"/>
  <c r="A851" i="1"/>
  <c r="F850" i="1"/>
  <c r="E850" i="1"/>
  <c r="D850" i="1"/>
  <c r="C850" i="1"/>
  <c r="B850" i="1"/>
  <c r="A850" i="1"/>
  <c r="F849" i="1"/>
  <c r="E849" i="1"/>
  <c r="D849" i="1"/>
  <c r="C849" i="1"/>
  <c r="B849" i="1"/>
  <c r="A849" i="1"/>
  <c r="F848" i="1"/>
  <c r="E848" i="1"/>
  <c r="D848" i="1"/>
  <c r="C848" i="1"/>
  <c r="B848" i="1"/>
  <c r="A848" i="1"/>
  <c r="F847" i="1"/>
  <c r="E847" i="1"/>
  <c r="D847" i="1"/>
  <c r="C847" i="1"/>
  <c r="B847" i="1"/>
  <c r="A847" i="1"/>
  <c r="F846" i="1"/>
  <c r="E846" i="1"/>
  <c r="D846" i="1"/>
  <c r="C846" i="1"/>
  <c r="B846" i="1"/>
  <c r="A846" i="1"/>
  <c r="F845" i="1"/>
  <c r="E845" i="1"/>
  <c r="D845" i="1"/>
  <c r="C845" i="1"/>
  <c r="B845" i="1"/>
  <c r="A845" i="1"/>
  <c r="F844" i="1"/>
  <c r="E844" i="1"/>
  <c r="D844" i="1"/>
  <c r="C844" i="1"/>
  <c r="B844" i="1"/>
  <c r="A844" i="1"/>
  <c r="F843" i="1"/>
  <c r="E843" i="1"/>
  <c r="D843" i="1"/>
  <c r="C843" i="1"/>
  <c r="B843" i="1"/>
  <c r="A843" i="1"/>
  <c r="F842" i="1"/>
  <c r="E842" i="1"/>
  <c r="D842" i="1"/>
  <c r="C842" i="1"/>
  <c r="B842" i="1"/>
  <c r="A842" i="1"/>
  <c r="F841" i="1"/>
  <c r="E841" i="1"/>
  <c r="D841" i="1"/>
  <c r="C841" i="1"/>
  <c r="B841" i="1"/>
  <c r="A841" i="1"/>
  <c r="F840" i="1"/>
  <c r="E840" i="1"/>
  <c r="D840" i="1"/>
  <c r="C840" i="1"/>
  <c r="B840" i="1"/>
  <c r="A840" i="1"/>
  <c r="F839" i="1"/>
  <c r="E839" i="1"/>
  <c r="D839" i="1"/>
  <c r="C839" i="1"/>
  <c r="B839" i="1"/>
  <c r="A839" i="1"/>
  <c r="F838" i="1"/>
  <c r="E838" i="1"/>
  <c r="D838" i="1"/>
  <c r="C838" i="1"/>
  <c r="B838" i="1"/>
  <c r="A838" i="1"/>
  <c r="F837" i="1"/>
  <c r="E837" i="1"/>
  <c r="D837" i="1"/>
  <c r="C837" i="1"/>
  <c r="B837" i="1"/>
  <c r="A837" i="1"/>
  <c r="F836" i="1"/>
  <c r="E836" i="1"/>
  <c r="D836" i="1"/>
  <c r="C836" i="1"/>
  <c r="B836" i="1"/>
  <c r="A836" i="1"/>
  <c r="F835" i="1"/>
  <c r="E835" i="1"/>
  <c r="D835" i="1"/>
  <c r="C835" i="1"/>
  <c r="B835" i="1"/>
  <c r="A835" i="1"/>
  <c r="F834" i="1"/>
  <c r="E834" i="1"/>
  <c r="D834" i="1"/>
  <c r="C834" i="1"/>
  <c r="B834" i="1"/>
  <c r="A834" i="1"/>
  <c r="F833" i="1"/>
  <c r="E833" i="1"/>
  <c r="D833" i="1"/>
  <c r="C833" i="1"/>
  <c r="B833" i="1"/>
  <c r="A833" i="1"/>
  <c r="F832" i="1"/>
  <c r="E832" i="1"/>
  <c r="D832" i="1"/>
  <c r="C832" i="1"/>
  <c r="B832" i="1"/>
  <c r="A832" i="1"/>
  <c r="F831" i="1"/>
  <c r="E831" i="1"/>
  <c r="D831" i="1"/>
  <c r="C831" i="1"/>
  <c r="B831" i="1"/>
  <c r="A831" i="1"/>
  <c r="F830" i="1"/>
  <c r="E830" i="1"/>
  <c r="D830" i="1"/>
  <c r="C830" i="1"/>
  <c r="B830" i="1"/>
  <c r="A830" i="1"/>
  <c r="F829" i="1"/>
  <c r="E829" i="1"/>
  <c r="D829" i="1"/>
  <c r="C829" i="1"/>
  <c r="B829" i="1"/>
  <c r="A829" i="1"/>
  <c r="F828" i="1"/>
  <c r="E828" i="1"/>
  <c r="D828" i="1"/>
  <c r="C828" i="1"/>
  <c r="B828" i="1"/>
  <c r="A828" i="1"/>
  <c r="F827" i="1"/>
  <c r="E827" i="1"/>
  <c r="D827" i="1"/>
  <c r="C827" i="1"/>
  <c r="B827" i="1"/>
  <c r="A827" i="1"/>
  <c r="F826" i="1"/>
  <c r="E826" i="1"/>
  <c r="D826" i="1"/>
  <c r="C826" i="1"/>
  <c r="B826" i="1"/>
  <c r="A826" i="1"/>
  <c r="F825" i="1"/>
  <c r="E825" i="1"/>
  <c r="D825" i="1"/>
  <c r="C825" i="1"/>
  <c r="B825" i="1"/>
  <c r="A825" i="1"/>
  <c r="F824" i="1"/>
  <c r="E824" i="1"/>
  <c r="D824" i="1"/>
  <c r="C824" i="1"/>
  <c r="B824" i="1"/>
  <c r="A824" i="1"/>
  <c r="F823" i="1"/>
  <c r="E823" i="1"/>
  <c r="D823" i="1"/>
  <c r="C823" i="1"/>
  <c r="B823" i="1"/>
  <c r="A823" i="1"/>
  <c r="F822" i="1"/>
  <c r="E822" i="1"/>
  <c r="D822" i="1"/>
  <c r="C822" i="1"/>
  <c r="B822" i="1"/>
  <c r="A822" i="1"/>
  <c r="F821" i="1"/>
  <c r="E821" i="1"/>
  <c r="D821" i="1"/>
  <c r="C821" i="1"/>
  <c r="B821" i="1"/>
  <c r="A821" i="1"/>
  <c r="F820" i="1"/>
  <c r="E820" i="1"/>
  <c r="D820" i="1"/>
  <c r="C820" i="1"/>
  <c r="B820" i="1"/>
  <c r="A820" i="1"/>
  <c r="F819" i="1"/>
  <c r="E819" i="1"/>
  <c r="D819" i="1"/>
  <c r="C819" i="1"/>
  <c r="B819" i="1"/>
  <c r="A819" i="1"/>
  <c r="F818" i="1"/>
  <c r="E818" i="1"/>
  <c r="D818" i="1"/>
  <c r="C818" i="1"/>
  <c r="B818" i="1"/>
  <c r="A818" i="1"/>
  <c r="F817" i="1"/>
  <c r="E817" i="1"/>
  <c r="D817" i="1"/>
  <c r="C817" i="1"/>
  <c r="B817" i="1"/>
  <c r="A817" i="1"/>
  <c r="F816" i="1"/>
  <c r="E816" i="1"/>
  <c r="D816" i="1"/>
  <c r="C816" i="1"/>
  <c r="B816" i="1"/>
  <c r="A816" i="1"/>
  <c r="F815" i="1"/>
  <c r="E815" i="1"/>
  <c r="D815" i="1"/>
  <c r="C815" i="1"/>
  <c r="B815" i="1"/>
  <c r="A815" i="1"/>
  <c r="F814" i="1"/>
  <c r="E814" i="1"/>
  <c r="D814" i="1"/>
  <c r="C814" i="1"/>
  <c r="B814" i="1"/>
  <c r="A814" i="1"/>
  <c r="F813" i="1"/>
  <c r="E813" i="1"/>
  <c r="D813" i="1"/>
  <c r="C813" i="1"/>
  <c r="B813" i="1"/>
  <c r="A813" i="1"/>
  <c r="F812" i="1"/>
  <c r="E812" i="1"/>
  <c r="D812" i="1"/>
  <c r="C812" i="1"/>
  <c r="B812" i="1"/>
  <c r="A812" i="1"/>
  <c r="F811" i="1"/>
  <c r="E811" i="1"/>
  <c r="D811" i="1"/>
  <c r="C811" i="1"/>
  <c r="B811" i="1"/>
  <c r="A811" i="1"/>
  <c r="F810" i="1"/>
  <c r="E810" i="1"/>
  <c r="D810" i="1"/>
  <c r="C810" i="1"/>
  <c r="B810" i="1"/>
  <c r="A810" i="1"/>
  <c r="F809" i="1"/>
  <c r="E809" i="1"/>
  <c r="D809" i="1"/>
  <c r="C809" i="1"/>
  <c r="B809" i="1"/>
  <c r="A809" i="1"/>
  <c r="F808" i="1"/>
  <c r="E808" i="1"/>
  <c r="D808" i="1"/>
  <c r="C808" i="1"/>
  <c r="B808" i="1"/>
  <c r="A808" i="1"/>
  <c r="F807" i="1"/>
  <c r="E807" i="1"/>
  <c r="D807" i="1"/>
  <c r="C807" i="1"/>
  <c r="B807" i="1"/>
  <c r="A807" i="1"/>
  <c r="F806" i="1"/>
  <c r="E806" i="1"/>
  <c r="D806" i="1"/>
  <c r="C806" i="1"/>
  <c r="B806" i="1"/>
  <c r="A806" i="1"/>
  <c r="F805" i="1"/>
  <c r="E805" i="1"/>
  <c r="D805" i="1"/>
  <c r="C805" i="1"/>
  <c r="B805" i="1"/>
  <c r="A805" i="1"/>
  <c r="F804" i="1"/>
  <c r="E804" i="1"/>
  <c r="D804" i="1"/>
  <c r="C804" i="1"/>
  <c r="B804" i="1"/>
  <c r="A804" i="1"/>
  <c r="F803" i="1"/>
  <c r="E803" i="1"/>
  <c r="D803" i="1"/>
  <c r="C803" i="1"/>
  <c r="B803" i="1"/>
  <c r="A803" i="1"/>
  <c r="F802" i="1"/>
  <c r="E802" i="1"/>
  <c r="D802" i="1"/>
  <c r="C802" i="1"/>
  <c r="B802" i="1"/>
  <c r="A802" i="1"/>
  <c r="F801" i="1"/>
  <c r="E801" i="1"/>
  <c r="D801" i="1"/>
  <c r="C801" i="1"/>
  <c r="B801" i="1"/>
  <c r="A801" i="1"/>
  <c r="F800" i="1"/>
  <c r="E800" i="1"/>
  <c r="D800" i="1"/>
  <c r="C800" i="1"/>
  <c r="B800" i="1"/>
  <c r="A800" i="1"/>
  <c r="F799" i="1"/>
  <c r="E799" i="1"/>
  <c r="D799" i="1"/>
  <c r="C799" i="1"/>
  <c r="B799" i="1"/>
  <c r="A799" i="1"/>
  <c r="F798" i="1"/>
  <c r="E798" i="1"/>
  <c r="D798" i="1"/>
  <c r="C798" i="1"/>
  <c r="B798" i="1"/>
  <c r="A798" i="1"/>
  <c r="F797" i="1"/>
  <c r="E797" i="1"/>
  <c r="D797" i="1"/>
  <c r="C797" i="1"/>
  <c r="B797" i="1"/>
  <c r="A797" i="1"/>
  <c r="F796" i="1"/>
  <c r="E796" i="1"/>
  <c r="D796" i="1"/>
  <c r="C796" i="1"/>
  <c r="B796" i="1"/>
  <c r="A796" i="1"/>
  <c r="F795" i="1"/>
  <c r="E795" i="1"/>
  <c r="D795" i="1"/>
  <c r="C795" i="1"/>
  <c r="B795" i="1"/>
  <c r="A795" i="1"/>
  <c r="F794" i="1"/>
  <c r="E794" i="1"/>
  <c r="D794" i="1"/>
  <c r="C794" i="1"/>
  <c r="B794" i="1"/>
  <c r="A794" i="1"/>
  <c r="F793" i="1"/>
  <c r="E793" i="1"/>
  <c r="D793" i="1"/>
  <c r="C793" i="1"/>
  <c r="B793" i="1"/>
  <c r="A793" i="1"/>
  <c r="F792" i="1"/>
  <c r="E792" i="1"/>
  <c r="D792" i="1"/>
  <c r="C792" i="1"/>
  <c r="B792" i="1"/>
  <c r="A792" i="1"/>
  <c r="F791" i="1"/>
  <c r="E791" i="1"/>
  <c r="D791" i="1"/>
  <c r="C791" i="1"/>
  <c r="B791" i="1"/>
  <c r="A791" i="1"/>
  <c r="F790" i="1"/>
  <c r="E790" i="1"/>
  <c r="D790" i="1"/>
  <c r="C790" i="1"/>
  <c r="B790" i="1"/>
  <c r="A790" i="1"/>
  <c r="F789" i="1"/>
  <c r="E789" i="1"/>
  <c r="D789" i="1"/>
  <c r="C789" i="1"/>
  <c r="B789" i="1"/>
  <c r="A789" i="1"/>
  <c r="F788" i="1"/>
  <c r="E788" i="1"/>
  <c r="D788" i="1"/>
  <c r="C788" i="1"/>
  <c r="B788" i="1"/>
  <c r="A788" i="1"/>
  <c r="F787" i="1"/>
  <c r="E787" i="1"/>
  <c r="D787" i="1"/>
  <c r="C787" i="1"/>
  <c r="B787" i="1"/>
  <c r="A787" i="1"/>
  <c r="F786" i="1"/>
  <c r="E786" i="1"/>
  <c r="D786" i="1"/>
  <c r="C786" i="1"/>
  <c r="B786" i="1"/>
  <c r="A786" i="1"/>
  <c r="F785" i="1"/>
  <c r="E785" i="1"/>
  <c r="D785" i="1"/>
  <c r="C785" i="1"/>
  <c r="B785" i="1"/>
  <c r="A785" i="1"/>
  <c r="F784" i="1"/>
  <c r="E784" i="1"/>
  <c r="D784" i="1"/>
  <c r="C784" i="1"/>
  <c r="B784" i="1"/>
  <c r="A784" i="1"/>
  <c r="F783" i="1"/>
  <c r="E783" i="1"/>
  <c r="D783" i="1"/>
  <c r="C783" i="1"/>
  <c r="B783" i="1"/>
  <c r="A783" i="1"/>
  <c r="F782" i="1"/>
  <c r="E782" i="1"/>
  <c r="D782" i="1"/>
  <c r="C782" i="1"/>
  <c r="B782" i="1"/>
  <c r="A782" i="1"/>
  <c r="F781" i="1"/>
  <c r="E781" i="1"/>
  <c r="D781" i="1"/>
  <c r="C781" i="1"/>
  <c r="B781" i="1"/>
  <c r="A781" i="1"/>
  <c r="F780" i="1"/>
  <c r="E780" i="1"/>
  <c r="D780" i="1"/>
  <c r="C780" i="1"/>
  <c r="B780" i="1"/>
  <c r="A780" i="1"/>
  <c r="F779" i="1"/>
  <c r="E779" i="1"/>
  <c r="D779" i="1"/>
  <c r="C779" i="1"/>
  <c r="B779" i="1"/>
  <c r="A779" i="1"/>
  <c r="F778" i="1"/>
  <c r="E778" i="1"/>
  <c r="D778" i="1"/>
  <c r="C778" i="1"/>
  <c r="B778" i="1"/>
  <c r="A778" i="1"/>
  <c r="F777" i="1"/>
  <c r="E777" i="1"/>
  <c r="D777" i="1"/>
  <c r="C777" i="1"/>
  <c r="B777" i="1"/>
  <c r="A777" i="1"/>
  <c r="F776" i="1"/>
  <c r="E776" i="1"/>
  <c r="D776" i="1"/>
  <c r="C776" i="1"/>
  <c r="B776" i="1"/>
  <c r="A776" i="1"/>
  <c r="F775" i="1"/>
  <c r="E775" i="1"/>
  <c r="D775" i="1"/>
  <c r="C775" i="1"/>
  <c r="B775" i="1"/>
  <c r="A775" i="1"/>
  <c r="F774" i="1"/>
  <c r="E774" i="1"/>
  <c r="D774" i="1"/>
  <c r="C774" i="1"/>
  <c r="B774" i="1"/>
  <c r="A774" i="1"/>
  <c r="F773" i="1"/>
  <c r="E773" i="1"/>
  <c r="D773" i="1"/>
  <c r="C773" i="1"/>
  <c r="B773" i="1"/>
  <c r="A773" i="1"/>
  <c r="F772" i="1"/>
  <c r="E772" i="1"/>
  <c r="D772" i="1"/>
  <c r="C772" i="1"/>
  <c r="B772" i="1"/>
  <c r="A772" i="1"/>
  <c r="F771" i="1"/>
  <c r="E771" i="1"/>
  <c r="D771" i="1"/>
  <c r="C771" i="1"/>
  <c r="B771" i="1"/>
  <c r="A771" i="1"/>
  <c r="F770" i="1"/>
  <c r="E770" i="1"/>
  <c r="D770" i="1"/>
  <c r="C770" i="1"/>
  <c r="B770" i="1"/>
  <c r="A770" i="1"/>
  <c r="F769" i="1"/>
  <c r="E769" i="1"/>
  <c r="D769" i="1"/>
  <c r="C769" i="1"/>
  <c r="B769" i="1"/>
  <c r="A769" i="1"/>
  <c r="F768" i="1"/>
  <c r="E768" i="1"/>
  <c r="D768" i="1"/>
  <c r="C768" i="1"/>
  <c r="B768" i="1"/>
  <c r="A768" i="1"/>
  <c r="F767" i="1"/>
  <c r="E767" i="1"/>
  <c r="D767" i="1"/>
  <c r="C767" i="1"/>
  <c r="B767" i="1"/>
  <c r="A767" i="1"/>
  <c r="F766" i="1"/>
  <c r="E766" i="1"/>
  <c r="D766" i="1"/>
  <c r="C766" i="1"/>
  <c r="B766" i="1"/>
  <c r="A766" i="1"/>
  <c r="F765" i="1"/>
  <c r="E765" i="1"/>
  <c r="D765" i="1"/>
  <c r="C765" i="1"/>
  <c r="B765" i="1"/>
  <c r="A765" i="1"/>
  <c r="F764" i="1"/>
  <c r="E764" i="1"/>
  <c r="D764" i="1"/>
  <c r="C764" i="1"/>
  <c r="B764" i="1"/>
  <c r="A764" i="1"/>
  <c r="F763" i="1"/>
  <c r="E763" i="1"/>
  <c r="D763" i="1"/>
  <c r="C763" i="1"/>
  <c r="B763" i="1"/>
  <c r="A763" i="1"/>
  <c r="F762" i="1"/>
  <c r="E762" i="1"/>
  <c r="D762" i="1"/>
  <c r="C762" i="1"/>
  <c r="B762" i="1"/>
  <c r="A762" i="1"/>
  <c r="F761" i="1"/>
  <c r="E761" i="1"/>
  <c r="D761" i="1"/>
  <c r="C761" i="1"/>
  <c r="B761" i="1"/>
  <c r="A761" i="1"/>
  <c r="F760" i="1"/>
  <c r="E760" i="1"/>
  <c r="D760" i="1"/>
  <c r="C760" i="1"/>
  <c r="B760" i="1"/>
  <c r="A760" i="1"/>
  <c r="F759" i="1"/>
  <c r="E759" i="1"/>
  <c r="D759" i="1"/>
  <c r="C759" i="1"/>
  <c r="B759" i="1"/>
  <c r="A759" i="1"/>
  <c r="F758" i="1"/>
  <c r="E758" i="1"/>
  <c r="D758" i="1"/>
  <c r="C758" i="1"/>
  <c r="B758" i="1"/>
  <c r="A758" i="1"/>
  <c r="F757" i="1"/>
  <c r="E757" i="1"/>
  <c r="D757" i="1"/>
  <c r="C757" i="1"/>
  <c r="B757" i="1"/>
  <c r="A757" i="1"/>
  <c r="F756" i="1"/>
  <c r="E756" i="1"/>
  <c r="D756" i="1"/>
  <c r="C756" i="1"/>
  <c r="B756" i="1"/>
  <c r="A756" i="1"/>
  <c r="F755" i="1"/>
  <c r="E755" i="1"/>
  <c r="D755" i="1"/>
  <c r="C755" i="1"/>
  <c r="B755" i="1"/>
  <c r="A755" i="1"/>
  <c r="F754" i="1"/>
  <c r="E754" i="1"/>
  <c r="D754" i="1"/>
  <c r="C754" i="1"/>
  <c r="B754" i="1"/>
  <c r="A754" i="1"/>
  <c r="F753" i="1"/>
  <c r="E753" i="1"/>
  <c r="D753" i="1"/>
  <c r="C753" i="1"/>
  <c r="B753" i="1"/>
  <c r="A753" i="1"/>
  <c r="F752" i="1"/>
  <c r="E752" i="1"/>
  <c r="D752" i="1"/>
  <c r="C752" i="1"/>
  <c r="B752" i="1"/>
  <c r="A752" i="1"/>
  <c r="F751" i="1"/>
  <c r="E751" i="1"/>
  <c r="D751" i="1"/>
  <c r="C751" i="1"/>
  <c r="B751" i="1"/>
  <c r="A751" i="1"/>
  <c r="F750" i="1"/>
  <c r="E750" i="1"/>
  <c r="D750" i="1"/>
  <c r="C750" i="1"/>
  <c r="B750" i="1"/>
  <c r="A750" i="1"/>
  <c r="F749" i="1"/>
  <c r="E749" i="1"/>
  <c r="D749" i="1"/>
  <c r="C749" i="1"/>
  <c r="B749" i="1"/>
  <c r="A749" i="1"/>
  <c r="F748" i="1"/>
  <c r="E748" i="1"/>
  <c r="D748" i="1"/>
  <c r="C748" i="1"/>
  <c r="B748" i="1"/>
  <c r="A748" i="1"/>
  <c r="F747" i="1"/>
  <c r="E747" i="1"/>
  <c r="D747" i="1"/>
  <c r="C747" i="1"/>
  <c r="B747" i="1"/>
  <c r="A747" i="1"/>
  <c r="F746" i="1"/>
  <c r="E746" i="1"/>
  <c r="D746" i="1"/>
  <c r="C746" i="1"/>
  <c r="B746" i="1"/>
  <c r="A746" i="1"/>
  <c r="F745" i="1"/>
  <c r="E745" i="1"/>
  <c r="D745" i="1"/>
  <c r="C745" i="1"/>
  <c r="B745" i="1"/>
  <c r="A745" i="1"/>
  <c r="F744" i="1"/>
  <c r="E744" i="1"/>
  <c r="D744" i="1"/>
  <c r="C744" i="1"/>
  <c r="B744" i="1"/>
  <c r="A744" i="1"/>
  <c r="F743" i="1"/>
  <c r="E743" i="1"/>
  <c r="D743" i="1"/>
  <c r="C743" i="1"/>
  <c r="B743" i="1"/>
  <c r="A743" i="1"/>
  <c r="F742" i="1"/>
  <c r="E742" i="1"/>
  <c r="D742" i="1"/>
  <c r="C742" i="1"/>
  <c r="B742" i="1"/>
  <c r="A742" i="1"/>
  <c r="F741" i="1"/>
  <c r="E741" i="1"/>
  <c r="D741" i="1"/>
  <c r="C741" i="1"/>
  <c r="B741" i="1"/>
  <c r="A741" i="1"/>
  <c r="F740" i="1"/>
  <c r="E740" i="1"/>
  <c r="D740" i="1"/>
  <c r="C740" i="1"/>
  <c r="B740" i="1"/>
  <c r="A740" i="1"/>
  <c r="F739" i="1"/>
  <c r="E739" i="1"/>
  <c r="D739" i="1"/>
  <c r="C739" i="1"/>
  <c r="B739" i="1"/>
  <c r="A739" i="1"/>
  <c r="F738" i="1"/>
  <c r="E738" i="1"/>
  <c r="D738" i="1"/>
  <c r="C738" i="1"/>
  <c r="B738" i="1"/>
  <c r="A738" i="1"/>
  <c r="F737" i="1"/>
  <c r="E737" i="1"/>
  <c r="D737" i="1"/>
  <c r="C737" i="1"/>
  <c r="B737" i="1"/>
  <c r="A737" i="1"/>
  <c r="F736" i="1"/>
  <c r="E736" i="1"/>
  <c r="D736" i="1"/>
  <c r="C736" i="1"/>
  <c r="B736" i="1"/>
  <c r="A736" i="1"/>
  <c r="F735" i="1"/>
  <c r="E735" i="1"/>
  <c r="D735" i="1"/>
  <c r="C735" i="1"/>
  <c r="B735" i="1"/>
  <c r="A735" i="1"/>
  <c r="F734" i="1"/>
  <c r="E734" i="1"/>
  <c r="D734" i="1"/>
  <c r="C734" i="1"/>
  <c r="B734" i="1"/>
  <c r="A734" i="1"/>
  <c r="F733" i="1"/>
  <c r="E733" i="1"/>
  <c r="D733" i="1"/>
  <c r="C733" i="1"/>
  <c r="B733" i="1"/>
  <c r="A733" i="1"/>
  <c r="F732" i="1"/>
  <c r="E732" i="1"/>
  <c r="D732" i="1"/>
  <c r="C732" i="1"/>
  <c r="B732" i="1"/>
  <c r="A732" i="1"/>
  <c r="F731" i="1"/>
  <c r="E731" i="1"/>
  <c r="D731" i="1"/>
  <c r="C731" i="1"/>
  <c r="B731" i="1"/>
  <c r="A731" i="1"/>
  <c r="F730" i="1"/>
  <c r="E730" i="1"/>
  <c r="D730" i="1"/>
  <c r="C730" i="1"/>
  <c r="B730" i="1"/>
  <c r="A730" i="1"/>
  <c r="F729" i="1"/>
  <c r="E729" i="1"/>
  <c r="D729" i="1"/>
  <c r="C729" i="1"/>
  <c r="B729" i="1"/>
  <c r="A729" i="1"/>
  <c r="F728" i="1"/>
  <c r="E728" i="1"/>
  <c r="D728" i="1"/>
  <c r="C728" i="1"/>
  <c r="B728" i="1"/>
  <c r="A728" i="1"/>
  <c r="F727" i="1"/>
  <c r="E727" i="1"/>
  <c r="D727" i="1"/>
  <c r="C727" i="1"/>
  <c r="B727" i="1"/>
  <c r="A727" i="1"/>
  <c r="F726" i="1"/>
  <c r="E726" i="1"/>
  <c r="D726" i="1"/>
  <c r="C726" i="1"/>
  <c r="B726" i="1"/>
  <c r="A726" i="1"/>
  <c r="F725" i="1"/>
  <c r="E725" i="1"/>
  <c r="D725" i="1"/>
  <c r="C725" i="1"/>
  <c r="B725" i="1"/>
  <c r="A725" i="1"/>
  <c r="F724" i="1"/>
  <c r="E724" i="1"/>
  <c r="D724" i="1"/>
  <c r="C724" i="1"/>
  <c r="B724" i="1"/>
  <c r="A724" i="1"/>
  <c r="F723" i="1"/>
  <c r="E723" i="1"/>
  <c r="D723" i="1"/>
  <c r="C723" i="1"/>
  <c r="B723" i="1"/>
  <c r="A723" i="1"/>
  <c r="F722" i="1"/>
  <c r="E722" i="1"/>
  <c r="D722" i="1"/>
  <c r="C722" i="1"/>
  <c r="B722" i="1"/>
  <c r="A722" i="1"/>
  <c r="F721" i="1"/>
  <c r="E721" i="1"/>
  <c r="D721" i="1"/>
  <c r="C721" i="1"/>
  <c r="B721" i="1"/>
  <c r="A721" i="1"/>
  <c r="F720" i="1"/>
  <c r="E720" i="1"/>
  <c r="D720" i="1"/>
  <c r="C720" i="1"/>
  <c r="B720" i="1"/>
  <c r="A720" i="1"/>
  <c r="F719" i="1"/>
  <c r="E719" i="1"/>
  <c r="D719" i="1"/>
  <c r="C719" i="1"/>
  <c r="B719" i="1"/>
  <c r="A719" i="1"/>
  <c r="F718" i="1"/>
  <c r="E718" i="1"/>
  <c r="D718" i="1"/>
  <c r="C718" i="1"/>
  <c r="B718" i="1"/>
  <c r="A718" i="1"/>
  <c r="F717" i="1"/>
  <c r="E717" i="1"/>
  <c r="D717" i="1"/>
  <c r="C717" i="1"/>
  <c r="B717" i="1"/>
  <c r="A717" i="1"/>
  <c r="F716" i="1"/>
  <c r="E716" i="1"/>
  <c r="D716" i="1"/>
  <c r="C716" i="1"/>
  <c r="B716" i="1"/>
  <c r="A716" i="1"/>
  <c r="F715" i="1"/>
  <c r="E715" i="1"/>
  <c r="D715" i="1"/>
  <c r="C715" i="1"/>
  <c r="B715" i="1"/>
  <c r="A715" i="1"/>
  <c r="F714" i="1"/>
  <c r="E714" i="1"/>
  <c r="D714" i="1"/>
  <c r="C714" i="1"/>
  <c r="B714" i="1"/>
  <c r="A714" i="1"/>
  <c r="F713" i="1"/>
  <c r="E713" i="1"/>
  <c r="D713" i="1"/>
  <c r="C713" i="1"/>
  <c r="B713" i="1"/>
  <c r="A713" i="1"/>
  <c r="F712" i="1"/>
  <c r="E712" i="1"/>
  <c r="D712" i="1"/>
  <c r="C712" i="1"/>
  <c r="B712" i="1"/>
  <c r="A712" i="1"/>
  <c r="F711" i="1"/>
  <c r="E711" i="1"/>
  <c r="D711" i="1"/>
  <c r="C711" i="1"/>
  <c r="B711" i="1"/>
  <c r="A711" i="1"/>
  <c r="F710" i="1"/>
  <c r="E710" i="1"/>
  <c r="D710" i="1"/>
  <c r="C710" i="1"/>
  <c r="B710" i="1"/>
  <c r="A710" i="1"/>
  <c r="F709" i="1"/>
  <c r="E709" i="1"/>
  <c r="D709" i="1"/>
  <c r="C709" i="1"/>
  <c r="B709" i="1"/>
  <c r="A709" i="1"/>
  <c r="F708" i="1"/>
  <c r="E708" i="1"/>
  <c r="D708" i="1"/>
  <c r="C708" i="1"/>
  <c r="B708" i="1"/>
  <c r="A708" i="1"/>
  <c r="F707" i="1"/>
  <c r="E707" i="1"/>
  <c r="D707" i="1"/>
  <c r="C707" i="1"/>
  <c r="B707" i="1"/>
  <c r="A707" i="1"/>
  <c r="F706" i="1"/>
  <c r="E706" i="1"/>
  <c r="D706" i="1"/>
  <c r="C706" i="1"/>
  <c r="B706" i="1"/>
  <c r="A706" i="1"/>
  <c r="F705" i="1"/>
  <c r="E705" i="1"/>
  <c r="D705" i="1"/>
  <c r="C705" i="1"/>
  <c r="B705" i="1"/>
  <c r="A705" i="1"/>
  <c r="F704" i="1"/>
  <c r="E704" i="1"/>
  <c r="D704" i="1"/>
  <c r="C704" i="1"/>
  <c r="B704" i="1"/>
  <c r="A704" i="1"/>
  <c r="F703" i="1"/>
  <c r="E703" i="1"/>
  <c r="D703" i="1"/>
  <c r="C703" i="1"/>
  <c r="B703" i="1"/>
  <c r="A703" i="1"/>
  <c r="F702" i="1"/>
  <c r="E702" i="1"/>
  <c r="D702" i="1"/>
  <c r="C702" i="1"/>
  <c r="B702" i="1"/>
  <c r="A702" i="1"/>
  <c r="F701" i="1"/>
  <c r="E701" i="1"/>
  <c r="D701" i="1"/>
  <c r="C701" i="1"/>
  <c r="B701" i="1"/>
  <c r="A701" i="1"/>
  <c r="F700" i="1"/>
  <c r="E700" i="1"/>
  <c r="D700" i="1"/>
  <c r="C700" i="1"/>
  <c r="B700" i="1"/>
  <c r="A700" i="1"/>
  <c r="F699" i="1"/>
  <c r="E699" i="1"/>
  <c r="D699" i="1"/>
  <c r="C699" i="1"/>
  <c r="B699" i="1"/>
  <c r="A699" i="1"/>
  <c r="F698" i="1"/>
  <c r="E698" i="1"/>
  <c r="D698" i="1"/>
  <c r="C698" i="1"/>
  <c r="B698" i="1"/>
  <c r="A698" i="1"/>
  <c r="F697" i="1"/>
  <c r="E697" i="1"/>
  <c r="D697" i="1"/>
  <c r="C697" i="1"/>
  <c r="B697" i="1"/>
  <c r="A697" i="1"/>
  <c r="F696" i="1"/>
  <c r="E696" i="1"/>
  <c r="D696" i="1"/>
  <c r="C696" i="1"/>
  <c r="B696" i="1"/>
  <c r="A696" i="1"/>
  <c r="F695" i="1"/>
  <c r="E695" i="1"/>
  <c r="D695" i="1"/>
  <c r="C695" i="1"/>
  <c r="B695" i="1"/>
  <c r="A695" i="1"/>
  <c r="F694" i="1"/>
  <c r="E694" i="1"/>
  <c r="D694" i="1"/>
  <c r="C694" i="1"/>
  <c r="B694" i="1"/>
  <c r="A694" i="1"/>
  <c r="F693" i="1"/>
  <c r="E693" i="1"/>
  <c r="D693" i="1"/>
  <c r="C693" i="1"/>
  <c r="B693" i="1"/>
  <c r="A693" i="1"/>
  <c r="F692" i="1"/>
  <c r="E692" i="1"/>
  <c r="D692" i="1"/>
  <c r="C692" i="1"/>
  <c r="B692" i="1"/>
  <c r="A692" i="1"/>
  <c r="F691" i="1"/>
  <c r="E691" i="1"/>
  <c r="D691" i="1"/>
  <c r="C691" i="1"/>
  <c r="B691" i="1"/>
  <c r="A691" i="1"/>
  <c r="F690" i="1"/>
  <c r="E690" i="1"/>
  <c r="D690" i="1"/>
  <c r="C690" i="1"/>
  <c r="B690" i="1"/>
  <c r="A690" i="1"/>
  <c r="F689" i="1"/>
  <c r="E689" i="1"/>
  <c r="D689" i="1"/>
  <c r="C689" i="1"/>
  <c r="B689" i="1"/>
  <c r="A689" i="1"/>
  <c r="F688" i="1"/>
  <c r="E688" i="1"/>
  <c r="D688" i="1"/>
  <c r="C688" i="1"/>
  <c r="B688" i="1"/>
  <c r="A688" i="1"/>
  <c r="F687" i="1"/>
  <c r="E687" i="1"/>
  <c r="D687" i="1"/>
  <c r="C687" i="1"/>
  <c r="B687" i="1"/>
  <c r="A687" i="1"/>
  <c r="F686" i="1"/>
  <c r="E686" i="1"/>
  <c r="D686" i="1"/>
  <c r="C686" i="1"/>
  <c r="B686" i="1"/>
  <c r="A686" i="1"/>
  <c r="F685" i="1"/>
  <c r="E685" i="1"/>
  <c r="D685" i="1"/>
  <c r="C685" i="1"/>
  <c r="B685" i="1"/>
  <c r="A685" i="1"/>
  <c r="F684" i="1"/>
  <c r="E684" i="1"/>
  <c r="D684" i="1"/>
  <c r="C684" i="1"/>
  <c r="B684" i="1"/>
  <c r="A684" i="1"/>
  <c r="F683" i="1"/>
  <c r="E683" i="1"/>
  <c r="D683" i="1"/>
  <c r="C683" i="1"/>
  <c r="B683" i="1"/>
  <c r="A683" i="1"/>
  <c r="F682" i="1"/>
  <c r="E682" i="1"/>
  <c r="D682" i="1"/>
  <c r="C682" i="1"/>
  <c r="B682" i="1"/>
  <c r="A682" i="1"/>
  <c r="F681" i="1"/>
  <c r="E681" i="1"/>
  <c r="D681" i="1"/>
  <c r="C681" i="1"/>
  <c r="B681" i="1"/>
  <c r="A681" i="1"/>
  <c r="F680" i="1"/>
  <c r="E680" i="1"/>
  <c r="D680" i="1"/>
  <c r="C680" i="1"/>
  <c r="B680" i="1"/>
  <c r="A680" i="1"/>
  <c r="F679" i="1"/>
  <c r="E679" i="1"/>
  <c r="D679" i="1"/>
  <c r="C679" i="1"/>
  <c r="B679" i="1"/>
  <c r="A679" i="1"/>
  <c r="F678" i="1"/>
  <c r="E678" i="1"/>
  <c r="D678" i="1"/>
  <c r="C678" i="1"/>
  <c r="B678" i="1"/>
  <c r="A678" i="1"/>
  <c r="F677" i="1"/>
  <c r="E677" i="1"/>
  <c r="D677" i="1"/>
  <c r="C677" i="1"/>
  <c r="B677" i="1"/>
  <c r="A677" i="1"/>
  <c r="F676" i="1"/>
  <c r="E676" i="1"/>
  <c r="D676" i="1"/>
  <c r="C676" i="1"/>
  <c r="B676" i="1"/>
  <c r="A676" i="1"/>
  <c r="F675" i="1"/>
  <c r="E675" i="1"/>
  <c r="D675" i="1"/>
  <c r="C675" i="1"/>
  <c r="B675" i="1"/>
  <c r="A675" i="1"/>
  <c r="F674" i="1"/>
  <c r="E674" i="1"/>
  <c r="D674" i="1"/>
  <c r="C674" i="1"/>
  <c r="B674" i="1"/>
  <c r="A674" i="1"/>
  <c r="F673" i="1"/>
  <c r="E673" i="1"/>
  <c r="D673" i="1"/>
  <c r="C673" i="1"/>
  <c r="B673" i="1"/>
  <c r="A673" i="1"/>
  <c r="F672" i="1"/>
  <c r="E672" i="1"/>
  <c r="D672" i="1"/>
  <c r="C672" i="1"/>
  <c r="B672" i="1"/>
  <c r="A672" i="1"/>
  <c r="F671" i="1"/>
  <c r="E671" i="1"/>
  <c r="D671" i="1"/>
  <c r="C671" i="1"/>
  <c r="B671" i="1"/>
  <c r="A671" i="1"/>
  <c r="F670" i="1"/>
  <c r="E670" i="1"/>
  <c r="D670" i="1"/>
  <c r="C670" i="1"/>
  <c r="B670" i="1"/>
  <c r="A670" i="1"/>
  <c r="F669" i="1"/>
  <c r="E669" i="1"/>
  <c r="D669" i="1"/>
  <c r="C669" i="1"/>
  <c r="B669" i="1"/>
  <c r="A669" i="1"/>
  <c r="F668" i="1"/>
  <c r="E668" i="1"/>
  <c r="D668" i="1"/>
  <c r="C668" i="1"/>
  <c r="B668" i="1"/>
  <c r="A668" i="1"/>
  <c r="F667" i="1"/>
  <c r="E667" i="1"/>
  <c r="D667" i="1"/>
  <c r="C667" i="1"/>
  <c r="B667" i="1"/>
  <c r="A667" i="1"/>
  <c r="F666" i="1"/>
  <c r="E666" i="1"/>
  <c r="D666" i="1"/>
  <c r="C666" i="1"/>
  <c r="B666" i="1"/>
  <c r="A666" i="1"/>
  <c r="F665" i="1"/>
  <c r="E665" i="1"/>
  <c r="D665" i="1"/>
  <c r="C665" i="1"/>
  <c r="B665" i="1"/>
  <c r="A665" i="1"/>
  <c r="F664" i="1"/>
  <c r="E664" i="1"/>
  <c r="D664" i="1"/>
  <c r="C664" i="1"/>
  <c r="B664" i="1"/>
  <c r="A664" i="1"/>
  <c r="F663" i="1"/>
  <c r="E663" i="1"/>
  <c r="D663" i="1"/>
  <c r="C663" i="1"/>
  <c r="B663" i="1"/>
  <c r="A663" i="1"/>
  <c r="F662" i="1"/>
  <c r="E662" i="1"/>
  <c r="D662" i="1"/>
  <c r="C662" i="1"/>
  <c r="B662" i="1"/>
  <c r="A662" i="1"/>
  <c r="F661" i="1"/>
  <c r="E661" i="1"/>
  <c r="D661" i="1"/>
  <c r="C661" i="1"/>
  <c r="B661" i="1"/>
  <c r="A661" i="1"/>
  <c r="F660" i="1"/>
  <c r="E660" i="1"/>
  <c r="D660" i="1"/>
  <c r="C660" i="1"/>
  <c r="B660" i="1"/>
  <c r="A660" i="1"/>
  <c r="F659" i="1"/>
  <c r="E659" i="1"/>
  <c r="D659" i="1"/>
  <c r="C659" i="1"/>
  <c r="B659" i="1"/>
  <c r="A659" i="1"/>
  <c r="F658" i="1"/>
  <c r="E658" i="1"/>
  <c r="D658" i="1"/>
  <c r="C658" i="1"/>
  <c r="B658" i="1"/>
  <c r="A658" i="1"/>
  <c r="F657" i="1"/>
  <c r="E657" i="1"/>
  <c r="D657" i="1"/>
  <c r="C657" i="1"/>
  <c r="B657" i="1"/>
  <c r="A657" i="1"/>
  <c r="F656" i="1"/>
  <c r="E656" i="1"/>
  <c r="D656" i="1"/>
  <c r="C656" i="1"/>
  <c r="B656" i="1"/>
  <c r="A656" i="1"/>
  <c r="F655" i="1"/>
  <c r="E655" i="1"/>
  <c r="D655" i="1"/>
  <c r="C655" i="1"/>
  <c r="B655" i="1"/>
  <c r="A655" i="1"/>
  <c r="F654" i="1"/>
  <c r="E654" i="1"/>
  <c r="D654" i="1"/>
  <c r="C654" i="1"/>
  <c r="B654" i="1"/>
  <c r="A654" i="1"/>
  <c r="F653" i="1"/>
  <c r="E653" i="1"/>
  <c r="D653" i="1"/>
  <c r="C653" i="1"/>
  <c r="B653" i="1"/>
  <c r="A653" i="1"/>
  <c r="F652" i="1"/>
  <c r="E652" i="1"/>
  <c r="D652" i="1"/>
  <c r="C652" i="1"/>
  <c r="B652" i="1"/>
  <c r="A652" i="1"/>
  <c r="F651" i="1"/>
  <c r="E651" i="1"/>
  <c r="D651" i="1"/>
  <c r="C651" i="1"/>
  <c r="B651" i="1"/>
  <c r="A651" i="1"/>
  <c r="F650" i="1"/>
  <c r="E650" i="1"/>
  <c r="D650" i="1"/>
  <c r="C650" i="1"/>
  <c r="B650" i="1"/>
  <c r="A650" i="1"/>
  <c r="F649" i="1"/>
  <c r="E649" i="1"/>
  <c r="D649" i="1"/>
  <c r="C649" i="1"/>
  <c r="B649" i="1"/>
  <c r="A649" i="1"/>
  <c r="F648" i="1"/>
  <c r="E648" i="1"/>
  <c r="D648" i="1"/>
  <c r="C648" i="1"/>
  <c r="B648" i="1"/>
  <c r="A648" i="1"/>
  <c r="F647" i="1"/>
  <c r="E647" i="1"/>
  <c r="D647" i="1"/>
  <c r="C647" i="1"/>
  <c r="B647" i="1"/>
  <c r="A647" i="1"/>
  <c r="F646" i="1"/>
  <c r="E646" i="1"/>
  <c r="D646" i="1"/>
  <c r="C646" i="1"/>
  <c r="B646" i="1"/>
  <c r="A646" i="1"/>
  <c r="F645" i="1"/>
  <c r="E645" i="1"/>
  <c r="D645" i="1"/>
  <c r="C645" i="1"/>
  <c r="B645" i="1"/>
  <c r="A645" i="1"/>
  <c r="F644" i="1"/>
  <c r="E644" i="1"/>
  <c r="D644" i="1"/>
  <c r="C644" i="1"/>
  <c r="B644" i="1"/>
  <c r="A644" i="1"/>
  <c r="F643" i="1"/>
  <c r="E643" i="1"/>
  <c r="D643" i="1"/>
  <c r="C643" i="1"/>
  <c r="B643" i="1"/>
  <c r="A643" i="1"/>
  <c r="F642" i="1"/>
  <c r="E642" i="1"/>
  <c r="D642" i="1"/>
  <c r="C642" i="1"/>
  <c r="B642" i="1"/>
  <c r="A642" i="1"/>
  <c r="F641" i="1"/>
  <c r="E641" i="1"/>
  <c r="D641" i="1"/>
  <c r="C641" i="1"/>
  <c r="B641" i="1"/>
  <c r="A641" i="1"/>
  <c r="F640" i="1"/>
  <c r="E640" i="1"/>
  <c r="D640" i="1"/>
  <c r="C640" i="1"/>
  <c r="B640" i="1"/>
  <c r="A640" i="1"/>
  <c r="F639" i="1"/>
  <c r="E639" i="1"/>
  <c r="D639" i="1"/>
  <c r="C639" i="1"/>
  <c r="B639" i="1"/>
  <c r="A639" i="1"/>
  <c r="F638" i="1"/>
  <c r="E638" i="1"/>
  <c r="D638" i="1"/>
  <c r="C638" i="1"/>
  <c r="B638" i="1"/>
  <c r="A638" i="1"/>
  <c r="F637" i="1"/>
  <c r="E637" i="1"/>
  <c r="D637" i="1"/>
  <c r="C637" i="1"/>
  <c r="B637" i="1"/>
  <c r="A637" i="1"/>
  <c r="F636" i="1"/>
  <c r="E636" i="1"/>
  <c r="D636" i="1"/>
  <c r="C636" i="1"/>
  <c r="B636" i="1"/>
  <c r="A636" i="1"/>
  <c r="F635" i="1"/>
  <c r="E635" i="1"/>
  <c r="D635" i="1"/>
  <c r="C635" i="1"/>
  <c r="B635" i="1"/>
  <c r="A635" i="1"/>
  <c r="F634" i="1"/>
  <c r="E634" i="1"/>
  <c r="D634" i="1"/>
  <c r="C634" i="1"/>
  <c r="B634" i="1"/>
  <c r="A634" i="1"/>
  <c r="F633" i="1"/>
  <c r="E633" i="1"/>
  <c r="D633" i="1"/>
  <c r="C633" i="1"/>
  <c r="B633" i="1"/>
  <c r="A633" i="1"/>
  <c r="F632" i="1"/>
  <c r="E632" i="1"/>
  <c r="D632" i="1"/>
  <c r="C632" i="1"/>
  <c r="B632" i="1"/>
  <c r="A632" i="1"/>
  <c r="F631" i="1"/>
  <c r="E631" i="1"/>
  <c r="D631" i="1"/>
  <c r="C631" i="1"/>
  <c r="B631" i="1"/>
  <c r="A631" i="1"/>
  <c r="F630" i="1"/>
  <c r="E630" i="1"/>
  <c r="D630" i="1"/>
  <c r="C630" i="1"/>
  <c r="B630" i="1"/>
  <c r="A630" i="1"/>
  <c r="F629" i="1"/>
  <c r="E629" i="1"/>
  <c r="D629" i="1"/>
  <c r="C629" i="1"/>
  <c r="B629" i="1"/>
  <c r="A629" i="1"/>
  <c r="F628" i="1"/>
  <c r="E628" i="1"/>
  <c r="D628" i="1"/>
  <c r="C628" i="1"/>
  <c r="B628" i="1"/>
  <c r="A628" i="1"/>
  <c r="F627" i="1"/>
  <c r="E627" i="1"/>
  <c r="D627" i="1"/>
  <c r="C627" i="1"/>
  <c r="B627" i="1"/>
  <c r="A627" i="1"/>
  <c r="F626" i="1"/>
  <c r="E626" i="1"/>
  <c r="D626" i="1"/>
  <c r="C626" i="1"/>
  <c r="B626" i="1"/>
  <c r="A626" i="1"/>
  <c r="F625" i="1"/>
  <c r="E625" i="1"/>
  <c r="D625" i="1"/>
  <c r="C625" i="1"/>
  <c r="B625" i="1"/>
  <c r="A625" i="1"/>
  <c r="F624" i="1"/>
  <c r="E624" i="1"/>
  <c r="D624" i="1"/>
  <c r="C624" i="1"/>
  <c r="B624" i="1"/>
  <c r="A624" i="1"/>
  <c r="F623" i="1"/>
  <c r="E623" i="1"/>
  <c r="D623" i="1"/>
  <c r="C623" i="1"/>
  <c r="B623" i="1"/>
  <c r="A623" i="1"/>
  <c r="F622" i="1"/>
  <c r="E622" i="1"/>
  <c r="D622" i="1"/>
  <c r="C622" i="1"/>
  <c r="B622" i="1"/>
  <c r="A622" i="1"/>
  <c r="F621" i="1"/>
  <c r="E621" i="1"/>
  <c r="D621" i="1"/>
  <c r="C621" i="1"/>
  <c r="B621" i="1"/>
  <c r="A621" i="1"/>
  <c r="F620" i="1"/>
  <c r="E620" i="1"/>
  <c r="D620" i="1"/>
  <c r="C620" i="1"/>
  <c r="B620" i="1"/>
  <c r="A620" i="1"/>
  <c r="F619" i="1"/>
  <c r="E619" i="1"/>
  <c r="D619" i="1"/>
  <c r="C619" i="1"/>
  <c r="B619" i="1"/>
  <c r="A619" i="1"/>
  <c r="F618" i="1"/>
  <c r="E618" i="1"/>
  <c r="D618" i="1"/>
  <c r="C618" i="1"/>
  <c r="B618" i="1"/>
  <c r="A618" i="1"/>
  <c r="F617" i="1"/>
  <c r="E617" i="1"/>
  <c r="D617" i="1"/>
  <c r="C617" i="1"/>
  <c r="B617" i="1"/>
  <c r="A617" i="1"/>
  <c r="F616" i="1"/>
  <c r="E616" i="1"/>
  <c r="D616" i="1"/>
  <c r="C616" i="1"/>
  <c r="B616" i="1"/>
  <c r="A616" i="1"/>
  <c r="F615" i="1"/>
  <c r="E615" i="1"/>
  <c r="D615" i="1"/>
  <c r="C615" i="1"/>
  <c r="B615" i="1"/>
  <c r="A615" i="1"/>
  <c r="F614" i="1"/>
  <c r="E614" i="1"/>
  <c r="D614" i="1"/>
  <c r="C614" i="1"/>
  <c r="B614" i="1"/>
  <c r="A614" i="1"/>
  <c r="F613" i="1"/>
  <c r="E613" i="1"/>
  <c r="D613" i="1"/>
  <c r="C613" i="1"/>
  <c r="B613" i="1"/>
  <c r="A613" i="1"/>
  <c r="F612" i="1"/>
  <c r="E612" i="1"/>
  <c r="D612" i="1"/>
  <c r="C612" i="1"/>
  <c r="B612" i="1"/>
  <c r="A612" i="1"/>
  <c r="F611" i="1"/>
  <c r="E611" i="1"/>
  <c r="D611" i="1"/>
  <c r="C611" i="1"/>
  <c r="B611" i="1"/>
  <c r="A611" i="1"/>
  <c r="F610" i="1"/>
  <c r="E610" i="1"/>
  <c r="D610" i="1"/>
  <c r="C610" i="1"/>
  <c r="B610" i="1"/>
  <c r="A610" i="1"/>
  <c r="F609" i="1"/>
  <c r="E609" i="1"/>
  <c r="D609" i="1"/>
  <c r="C609" i="1"/>
  <c r="B609" i="1"/>
  <c r="A609" i="1"/>
  <c r="F608" i="1"/>
  <c r="E608" i="1"/>
  <c r="D608" i="1"/>
  <c r="C608" i="1"/>
  <c r="B608" i="1"/>
  <c r="A608" i="1"/>
  <c r="F607" i="1"/>
  <c r="E607" i="1"/>
  <c r="D607" i="1"/>
  <c r="C607" i="1"/>
  <c r="B607" i="1"/>
  <c r="A607" i="1"/>
  <c r="F606" i="1"/>
  <c r="E606" i="1"/>
  <c r="D606" i="1"/>
  <c r="C606" i="1"/>
  <c r="B606" i="1"/>
  <c r="A606" i="1"/>
  <c r="F605" i="1"/>
  <c r="E605" i="1"/>
  <c r="D605" i="1"/>
  <c r="C605" i="1"/>
  <c r="B605" i="1"/>
  <c r="A605" i="1"/>
  <c r="F604" i="1"/>
  <c r="E604" i="1"/>
  <c r="D604" i="1"/>
  <c r="C604" i="1"/>
  <c r="B604" i="1"/>
  <c r="A604" i="1"/>
  <c r="F603" i="1"/>
  <c r="E603" i="1"/>
  <c r="D603" i="1"/>
  <c r="C603" i="1"/>
  <c r="B603" i="1"/>
  <c r="A603" i="1"/>
  <c r="F602" i="1"/>
  <c r="E602" i="1"/>
  <c r="D602" i="1"/>
  <c r="C602" i="1"/>
  <c r="B602" i="1"/>
  <c r="A602" i="1"/>
  <c r="F601" i="1"/>
  <c r="E601" i="1"/>
  <c r="D601" i="1"/>
  <c r="C601" i="1"/>
  <c r="B601" i="1"/>
  <c r="A601" i="1"/>
  <c r="F600" i="1"/>
  <c r="E600" i="1"/>
  <c r="D600" i="1"/>
  <c r="C600" i="1"/>
  <c r="B600" i="1"/>
  <c r="A600" i="1"/>
  <c r="F599" i="1"/>
  <c r="E599" i="1"/>
  <c r="D599" i="1"/>
  <c r="C599" i="1"/>
  <c r="B599" i="1"/>
  <c r="A599" i="1"/>
  <c r="F598" i="1"/>
  <c r="E598" i="1"/>
  <c r="D598" i="1"/>
  <c r="C598" i="1"/>
  <c r="B598" i="1"/>
  <c r="A598" i="1"/>
  <c r="F597" i="1"/>
  <c r="E597" i="1"/>
  <c r="D597" i="1"/>
  <c r="C597" i="1"/>
  <c r="B597" i="1"/>
  <c r="A597" i="1"/>
  <c r="F596" i="1"/>
  <c r="E596" i="1"/>
  <c r="D596" i="1"/>
  <c r="C596" i="1"/>
  <c r="B596" i="1"/>
  <c r="A596" i="1"/>
  <c r="F595" i="1"/>
  <c r="E595" i="1"/>
  <c r="D595" i="1"/>
  <c r="C595" i="1"/>
  <c r="B595" i="1"/>
  <c r="A595" i="1"/>
  <c r="F594" i="1"/>
  <c r="E594" i="1"/>
  <c r="D594" i="1"/>
  <c r="C594" i="1"/>
  <c r="B594" i="1"/>
  <c r="A594" i="1"/>
  <c r="F593" i="1"/>
  <c r="E593" i="1"/>
  <c r="D593" i="1"/>
  <c r="C593" i="1"/>
  <c r="B593" i="1"/>
  <c r="A593" i="1"/>
  <c r="F592" i="1"/>
  <c r="E592" i="1"/>
  <c r="D592" i="1"/>
  <c r="C592" i="1"/>
  <c r="B592" i="1"/>
  <c r="A592" i="1"/>
  <c r="F591" i="1"/>
  <c r="E591" i="1"/>
  <c r="D591" i="1"/>
  <c r="C591" i="1"/>
  <c r="B591" i="1"/>
  <c r="A591" i="1"/>
  <c r="F590" i="1"/>
  <c r="E590" i="1"/>
  <c r="D590" i="1"/>
  <c r="C590" i="1"/>
  <c r="B590" i="1"/>
  <c r="A590" i="1"/>
  <c r="F589" i="1"/>
  <c r="E589" i="1"/>
  <c r="D589" i="1"/>
  <c r="C589" i="1"/>
  <c r="B589" i="1"/>
  <c r="A589" i="1"/>
  <c r="F588" i="1"/>
  <c r="E588" i="1"/>
  <c r="D588" i="1"/>
  <c r="C588" i="1"/>
  <c r="B588" i="1"/>
  <c r="A588" i="1"/>
  <c r="F587" i="1"/>
  <c r="E587" i="1"/>
  <c r="D587" i="1"/>
  <c r="C587" i="1"/>
  <c r="B587" i="1"/>
  <c r="A587" i="1"/>
  <c r="F586" i="1"/>
  <c r="E586" i="1"/>
  <c r="D586" i="1"/>
  <c r="C586" i="1"/>
  <c r="B586" i="1"/>
  <c r="A586" i="1"/>
  <c r="F585" i="1"/>
  <c r="E585" i="1"/>
  <c r="D585" i="1"/>
  <c r="C585" i="1"/>
  <c r="B585" i="1"/>
  <c r="A585" i="1"/>
  <c r="F584" i="1"/>
  <c r="E584" i="1"/>
  <c r="D584" i="1"/>
  <c r="C584" i="1"/>
  <c r="B584" i="1"/>
  <c r="A584" i="1"/>
  <c r="F583" i="1"/>
  <c r="E583" i="1"/>
  <c r="D583" i="1"/>
  <c r="C583" i="1"/>
  <c r="B583" i="1"/>
  <c r="A583" i="1"/>
  <c r="F582" i="1"/>
  <c r="E582" i="1"/>
  <c r="D582" i="1"/>
  <c r="C582" i="1"/>
  <c r="B582" i="1"/>
  <c r="A582" i="1"/>
  <c r="F581" i="1"/>
  <c r="E581" i="1"/>
  <c r="D581" i="1"/>
  <c r="C581" i="1"/>
  <c r="B581" i="1"/>
  <c r="A581" i="1"/>
  <c r="F580" i="1"/>
  <c r="E580" i="1"/>
  <c r="D580" i="1"/>
  <c r="C580" i="1"/>
  <c r="B580" i="1"/>
  <c r="A580" i="1"/>
  <c r="F579" i="1"/>
  <c r="E579" i="1"/>
  <c r="D579" i="1"/>
  <c r="C579" i="1"/>
  <c r="B579" i="1"/>
  <c r="A579" i="1"/>
  <c r="F578" i="1"/>
  <c r="E578" i="1"/>
  <c r="D578" i="1"/>
  <c r="C578" i="1"/>
  <c r="B578" i="1"/>
  <c r="A578" i="1"/>
  <c r="F577" i="1"/>
  <c r="E577" i="1"/>
  <c r="D577" i="1"/>
  <c r="C577" i="1"/>
  <c r="B577" i="1"/>
  <c r="A577" i="1"/>
  <c r="F576" i="1"/>
  <c r="E576" i="1"/>
  <c r="D576" i="1"/>
  <c r="C576" i="1"/>
  <c r="B576" i="1"/>
  <c r="A576" i="1"/>
  <c r="F575" i="1"/>
  <c r="E575" i="1"/>
  <c r="D575" i="1"/>
  <c r="C575" i="1"/>
  <c r="B575" i="1"/>
  <c r="A575" i="1"/>
  <c r="F574" i="1"/>
  <c r="E574" i="1"/>
  <c r="D574" i="1"/>
  <c r="C574" i="1"/>
  <c r="B574" i="1"/>
  <c r="A574" i="1"/>
  <c r="F573" i="1"/>
  <c r="E573" i="1"/>
  <c r="D573" i="1"/>
  <c r="C573" i="1"/>
  <c r="B573" i="1"/>
  <c r="A573" i="1"/>
  <c r="F572" i="1"/>
  <c r="E572" i="1"/>
  <c r="D572" i="1"/>
  <c r="C572" i="1"/>
  <c r="B572" i="1"/>
  <c r="A572" i="1"/>
  <c r="F571" i="1"/>
  <c r="E571" i="1"/>
  <c r="D571" i="1"/>
  <c r="C571" i="1"/>
  <c r="B571" i="1"/>
  <c r="A571" i="1"/>
  <c r="F570" i="1"/>
  <c r="E570" i="1"/>
  <c r="D570" i="1"/>
  <c r="C570" i="1"/>
  <c r="B570" i="1"/>
  <c r="A570" i="1"/>
  <c r="F569" i="1"/>
  <c r="E569" i="1"/>
  <c r="D569" i="1"/>
  <c r="C569" i="1"/>
  <c r="B569" i="1"/>
  <c r="A569" i="1"/>
  <c r="F568" i="1"/>
  <c r="E568" i="1"/>
  <c r="D568" i="1"/>
  <c r="C568" i="1"/>
  <c r="B568" i="1"/>
  <c r="A568" i="1"/>
  <c r="F567" i="1"/>
  <c r="E567" i="1"/>
  <c r="D567" i="1"/>
  <c r="C567" i="1"/>
  <c r="B567" i="1"/>
  <c r="A567" i="1"/>
  <c r="F566" i="1"/>
  <c r="E566" i="1"/>
  <c r="D566" i="1"/>
  <c r="C566" i="1"/>
  <c r="B566" i="1"/>
  <c r="A566" i="1"/>
  <c r="F565" i="1"/>
  <c r="E565" i="1"/>
  <c r="D565" i="1"/>
  <c r="C565" i="1"/>
  <c r="B565" i="1"/>
  <c r="A565" i="1"/>
  <c r="F564" i="1"/>
  <c r="E564" i="1"/>
  <c r="D564" i="1"/>
  <c r="C564" i="1"/>
  <c r="B564" i="1"/>
  <c r="A564" i="1"/>
  <c r="F563" i="1"/>
  <c r="E563" i="1"/>
  <c r="D563" i="1"/>
  <c r="C563" i="1"/>
  <c r="B563" i="1"/>
  <c r="A563" i="1"/>
  <c r="F562" i="1"/>
  <c r="E562" i="1"/>
  <c r="D562" i="1"/>
  <c r="C562" i="1"/>
  <c r="B562" i="1"/>
  <c r="A562" i="1"/>
  <c r="F561" i="1"/>
  <c r="E561" i="1"/>
  <c r="D561" i="1"/>
  <c r="C561" i="1"/>
  <c r="B561" i="1"/>
  <c r="A561" i="1"/>
  <c r="F560" i="1"/>
  <c r="E560" i="1"/>
  <c r="D560" i="1"/>
  <c r="C560" i="1"/>
  <c r="B560" i="1"/>
  <c r="A560" i="1"/>
  <c r="F559" i="1"/>
  <c r="E559" i="1"/>
  <c r="D559" i="1"/>
  <c r="C559" i="1"/>
  <c r="B559" i="1"/>
  <c r="A559" i="1"/>
  <c r="F558" i="1"/>
  <c r="E558" i="1"/>
  <c r="D558" i="1"/>
  <c r="C558" i="1"/>
  <c r="B558" i="1"/>
  <c r="A558" i="1"/>
  <c r="F557" i="1"/>
  <c r="E557" i="1"/>
  <c r="D557" i="1"/>
  <c r="C557" i="1"/>
  <c r="B557" i="1"/>
  <c r="A557" i="1"/>
  <c r="F556" i="1"/>
  <c r="E556" i="1"/>
  <c r="D556" i="1"/>
  <c r="C556" i="1"/>
  <c r="B556" i="1"/>
  <c r="A556" i="1"/>
  <c r="F555" i="1"/>
  <c r="E555" i="1"/>
  <c r="D555" i="1"/>
  <c r="C555" i="1"/>
  <c r="B555" i="1"/>
  <c r="A555" i="1"/>
  <c r="F554" i="1"/>
  <c r="E554" i="1"/>
  <c r="D554" i="1"/>
  <c r="C554" i="1"/>
  <c r="B554" i="1"/>
  <c r="A554" i="1"/>
  <c r="F553" i="1"/>
  <c r="E553" i="1"/>
  <c r="D553" i="1"/>
  <c r="C553" i="1"/>
  <c r="B553" i="1"/>
  <c r="A553" i="1"/>
  <c r="F552" i="1"/>
  <c r="E552" i="1"/>
  <c r="D552" i="1"/>
  <c r="C552" i="1"/>
  <c r="B552" i="1"/>
  <c r="A552" i="1"/>
  <c r="F551" i="1"/>
  <c r="E551" i="1"/>
  <c r="D551" i="1"/>
  <c r="C551" i="1"/>
  <c r="B551" i="1"/>
  <c r="A551" i="1"/>
  <c r="F550" i="1"/>
  <c r="E550" i="1"/>
  <c r="D550" i="1"/>
  <c r="C550" i="1"/>
  <c r="B550" i="1"/>
  <c r="A550" i="1"/>
  <c r="F549" i="1"/>
  <c r="E549" i="1"/>
  <c r="D549" i="1"/>
  <c r="C549" i="1"/>
  <c r="B549" i="1"/>
  <c r="A549" i="1"/>
  <c r="F548" i="1"/>
  <c r="E548" i="1"/>
  <c r="D548" i="1"/>
  <c r="C548" i="1"/>
  <c r="B548" i="1"/>
  <c r="A548" i="1"/>
  <c r="F547" i="1"/>
  <c r="E547" i="1"/>
  <c r="D547" i="1"/>
  <c r="C547" i="1"/>
  <c r="B547" i="1"/>
  <c r="A547" i="1"/>
  <c r="F546" i="1"/>
  <c r="E546" i="1"/>
  <c r="D546" i="1"/>
  <c r="C546" i="1"/>
  <c r="B546" i="1"/>
  <c r="A546" i="1"/>
  <c r="F545" i="1"/>
  <c r="E545" i="1"/>
  <c r="D545" i="1"/>
  <c r="C545" i="1"/>
  <c r="B545" i="1"/>
  <c r="A545" i="1"/>
  <c r="F544" i="1"/>
  <c r="E544" i="1"/>
  <c r="D544" i="1"/>
  <c r="C544" i="1"/>
  <c r="B544" i="1"/>
  <c r="A544" i="1"/>
  <c r="F543" i="1"/>
  <c r="E543" i="1"/>
  <c r="D543" i="1"/>
  <c r="C543" i="1"/>
  <c r="B543" i="1"/>
  <c r="A543" i="1"/>
  <c r="F542" i="1"/>
  <c r="E542" i="1"/>
  <c r="D542" i="1"/>
  <c r="C542" i="1"/>
  <c r="B542" i="1"/>
  <c r="A542" i="1"/>
  <c r="F541" i="1"/>
  <c r="E541" i="1"/>
  <c r="D541" i="1"/>
  <c r="C541" i="1"/>
  <c r="B541" i="1"/>
  <c r="A541" i="1"/>
  <c r="F540" i="1"/>
  <c r="E540" i="1"/>
  <c r="D540" i="1"/>
  <c r="C540" i="1"/>
  <c r="B540" i="1"/>
  <c r="A540" i="1"/>
  <c r="F539" i="1"/>
  <c r="E539" i="1"/>
  <c r="D539" i="1"/>
  <c r="C539" i="1"/>
  <c r="B539" i="1"/>
  <c r="A539" i="1"/>
  <c r="F538" i="1"/>
  <c r="E538" i="1"/>
  <c r="D538" i="1"/>
  <c r="C538" i="1"/>
  <c r="B538" i="1"/>
  <c r="A538" i="1"/>
  <c r="F537" i="1"/>
  <c r="E537" i="1"/>
  <c r="D537" i="1"/>
  <c r="C537" i="1"/>
  <c r="B537" i="1"/>
  <c r="A537" i="1"/>
  <c r="F536" i="1"/>
  <c r="E536" i="1"/>
  <c r="D536" i="1"/>
  <c r="C536" i="1"/>
  <c r="B536" i="1"/>
  <c r="A536" i="1"/>
  <c r="F535" i="1"/>
  <c r="E535" i="1"/>
  <c r="D535" i="1"/>
  <c r="C535" i="1"/>
  <c r="B535" i="1"/>
  <c r="A535" i="1"/>
  <c r="F534" i="1"/>
  <c r="E534" i="1"/>
  <c r="D534" i="1"/>
  <c r="C534" i="1"/>
  <c r="B534" i="1"/>
  <c r="A534" i="1"/>
  <c r="F533" i="1"/>
  <c r="E533" i="1"/>
  <c r="D533" i="1"/>
  <c r="C533" i="1"/>
  <c r="B533" i="1"/>
  <c r="A533" i="1"/>
  <c r="F532" i="1"/>
  <c r="E532" i="1"/>
  <c r="D532" i="1"/>
  <c r="C532" i="1"/>
  <c r="B532" i="1"/>
  <c r="A532" i="1"/>
  <c r="F531" i="1"/>
  <c r="E531" i="1"/>
  <c r="D531" i="1"/>
  <c r="C531" i="1"/>
  <c r="B531" i="1"/>
  <c r="A531" i="1"/>
  <c r="F530" i="1"/>
  <c r="E530" i="1"/>
  <c r="D530" i="1"/>
  <c r="C530" i="1"/>
  <c r="B530" i="1"/>
  <c r="A530" i="1"/>
  <c r="F529" i="1"/>
  <c r="E529" i="1"/>
  <c r="D529" i="1"/>
  <c r="C529" i="1"/>
  <c r="B529" i="1"/>
  <c r="A529" i="1"/>
  <c r="F528" i="1"/>
  <c r="E528" i="1"/>
  <c r="D528" i="1"/>
  <c r="C528" i="1"/>
  <c r="B528" i="1"/>
  <c r="A528" i="1"/>
  <c r="F527" i="1"/>
  <c r="E527" i="1"/>
  <c r="D527" i="1"/>
  <c r="C527" i="1"/>
  <c r="B527" i="1"/>
  <c r="A527" i="1"/>
  <c r="F526" i="1"/>
  <c r="E526" i="1"/>
  <c r="D526" i="1"/>
  <c r="C526" i="1"/>
  <c r="B526" i="1"/>
  <c r="A526" i="1"/>
  <c r="F525" i="1"/>
  <c r="E525" i="1"/>
  <c r="D525" i="1"/>
  <c r="C525" i="1"/>
  <c r="B525" i="1"/>
  <c r="A525" i="1"/>
  <c r="F524" i="1"/>
  <c r="E524" i="1"/>
  <c r="D524" i="1"/>
  <c r="C524" i="1"/>
  <c r="B524" i="1"/>
  <c r="A524" i="1"/>
  <c r="F523" i="1"/>
  <c r="E523" i="1"/>
  <c r="D523" i="1"/>
  <c r="C523" i="1"/>
  <c r="B523" i="1"/>
  <c r="A523" i="1"/>
  <c r="F522" i="1"/>
  <c r="E522" i="1"/>
  <c r="D522" i="1"/>
  <c r="C522" i="1"/>
  <c r="B522" i="1"/>
  <c r="A522" i="1"/>
  <c r="F521" i="1"/>
  <c r="E521" i="1"/>
  <c r="D521" i="1"/>
  <c r="C521" i="1"/>
  <c r="B521" i="1"/>
  <c r="A521" i="1"/>
  <c r="F520" i="1"/>
  <c r="E520" i="1"/>
  <c r="D520" i="1"/>
  <c r="C520" i="1"/>
  <c r="B520" i="1"/>
  <c r="A520" i="1"/>
  <c r="F519" i="1"/>
  <c r="E519" i="1"/>
  <c r="D519" i="1"/>
  <c r="C519" i="1"/>
  <c r="B519" i="1"/>
  <c r="A519" i="1"/>
  <c r="F518" i="1"/>
  <c r="E518" i="1"/>
  <c r="D518" i="1"/>
  <c r="C518" i="1"/>
  <c r="B518" i="1"/>
  <c r="A518" i="1"/>
  <c r="F517" i="1"/>
  <c r="E517" i="1"/>
  <c r="D517" i="1"/>
  <c r="C517" i="1"/>
  <c r="B517" i="1"/>
  <c r="A517" i="1"/>
  <c r="F516" i="1"/>
  <c r="E516" i="1"/>
  <c r="D516" i="1"/>
  <c r="C516" i="1"/>
  <c r="B516" i="1"/>
  <c r="A516" i="1"/>
  <c r="F515" i="1"/>
  <c r="E515" i="1"/>
  <c r="D515" i="1"/>
  <c r="C515" i="1"/>
  <c r="B515" i="1"/>
  <c r="A515" i="1"/>
  <c r="F514" i="1"/>
  <c r="E514" i="1"/>
  <c r="D514" i="1"/>
  <c r="C514" i="1"/>
  <c r="B514" i="1"/>
  <c r="A514" i="1"/>
  <c r="F513" i="1"/>
  <c r="E513" i="1"/>
  <c r="D513" i="1"/>
  <c r="C513" i="1"/>
  <c r="B513" i="1"/>
  <c r="A513" i="1"/>
  <c r="F512" i="1"/>
  <c r="E512" i="1"/>
  <c r="D512" i="1"/>
  <c r="C512" i="1"/>
  <c r="B512" i="1"/>
  <c r="A512" i="1"/>
  <c r="F511" i="1"/>
  <c r="E511" i="1"/>
  <c r="D511" i="1"/>
  <c r="C511" i="1"/>
  <c r="B511" i="1"/>
  <c r="A511" i="1"/>
  <c r="F510" i="1"/>
  <c r="E510" i="1"/>
  <c r="D510" i="1"/>
  <c r="C510" i="1"/>
  <c r="B510" i="1"/>
  <c r="A510" i="1"/>
  <c r="F509" i="1"/>
  <c r="E509" i="1"/>
  <c r="D509" i="1"/>
  <c r="C509" i="1"/>
  <c r="B509" i="1"/>
  <c r="A509" i="1"/>
  <c r="F508" i="1"/>
  <c r="E508" i="1"/>
  <c r="D508" i="1"/>
  <c r="C508" i="1"/>
  <c r="B508" i="1"/>
  <c r="A508" i="1"/>
  <c r="F507" i="1"/>
  <c r="E507" i="1"/>
  <c r="D507" i="1"/>
  <c r="C507" i="1"/>
  <c r="B507" i="1"/>
  <c r="A507" i="1"/>
  <c r="F506" i="1"/>
  <c r="E506" i="1"/>
  <c r="D506" i="1"/>
  <c r="C506" i="1"/>
  <c r="B506" i="1"/>
  <c r="A506" i="1"/>
  <c r="F505" i="1"/>
  <c r="E505" i="1"/>
  <c r="D505" i="1"/>
  <c r="C505" i="1"/>
  <c r="B505" i="1"/>
  <c r="A505" i="1"/>
  <c r="F504" i="1"/>
  <c r="E504" i="1"/>
  <c r="D504" i="1"/>
  <c r="C504" i="1"/>
  <c r="B504" i="1"/>
  <c r="A504" i="1"/>
  <c r="F503" i="1"/>
  <c r="E503" i="1"/>
  <c r="D503" i="1"/>
  <c r="C503" i="1"/>
  <c r="B503" i="1"/>
  <c r="A503" i="1"/>
  <c r="F502" i="1"/>
  <c r="E502" i="1"/>
  <c r="D502" i="1"/>
  <c r="C502" i="1"/>
  <c r="B502" i="1"/>
  <c r="A502" i="1"/>
  <c r="F501" i="1"/>
  <c r="E501" i="1"/>
  <c r="D501" i="1"/>
  <c r="C501" i="1"/>
  <c r="B501" i="1"/>
  <c r="A501" i="1"/>
  <c r="F500" i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<sst xmlns="http://schemas.openxmlformats.org/spreadsheetml/2006/main" count="22" uniqueCount="22">
  <si>
    <t xml:space="preserve"> Ticker</t>
  </si>
  <si>
    <t>Symbol Name</t>
  </si>
  <si>
    <t>Last Trade time</t>
  </si>
  <si>
    <t>Last Price</t>
  </si>
  <si>
    <t>Previous Day Price</t>
  </si>
  <si>
    <t>Change</t>
  </si>
  <si>
    <t>Change Pct</t>
  </si>
  <si>
    <t>Volume</t>
  </si>
  <si>
    <t>Volume Avg</t>
  </si>
  <si>
    <t>Shares</t>
  </si>
  <si>
    <t>Day High</t>
  </si>
  <si>
    <t>Day Low</t>
  </si>
  <si>
    <t>Market Cap</t>
  </si>
  <si>
    <t>P/E Ratio</t>
  </si>
  <si>
    <t>EPS</t>
  </si>
  <si>
    <t>AAPL</t>
  </si>
  <si>
    <t>AMZN</t>
  </si>
  <si>
    <t>SNOW</t>
  </si>
  <si>
    <t>TSLA</t>
  </si>
  <si>
    <t>META</t>
  </si>
  <si>
    <t>MSFT</t>
  </si>
  <si>
    <t>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</si>
</sst>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8"/>
  <sheetViews>
    <sheetView workbookViewId="0"/>
  </sheetViews>
  <sheetFormatPr defaultColWidth="12.5703125" defaultRowHeight="15.75" customHeight="1"/>
  <cols>
    <col min="2" max="2" width="16.42578125" customWidth="1"/>
    <col min="3" max="3" width="15.28515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1" t="s">
        <v>15</v>
      </c>
      <c r="B2" s="1" t="str">
        <f ca="1">IFERROR(__xludf.DUMMYFUNCTION("GOOGLEFINANCE(A2,""name"")"),"Apple Inc")</f>
        <v>Apple Inc</v>
      </c>
      <c r="C2" s="2">
        <f ca="1">IFERROR(__xludf.DUMMYFUNCTION("GOOGLEFINANCE(A2,""tradetime"")"),45856.6666782407)</f>
        <v>45856.666678240697</v>
      </c>
      <c r="D2" s="1">
        <f ca="1">IFERROR(__xludf.DUMMYFUNCTION("GOOGLEFINANCE(A2,""price"")"),211.18)</f>
        <v>211.18</v>
      </c>
      <c r="E2" s="1">
        <f ca="1">IFERROR(__xludf.DUMMYFUNCTION("GOOGLEFINANCE(A2,""closeyest"")"),210.02)</f>
        <v>210.02</v>
      </c>
      <c r="F2" s="1">
        <f ca="1">IFERROR(__xludf.DUMMYFUNCTION("GOOGLEFINANCE(A2,""change"")"),1.16)</f>
        <v>1.1599999999999999</v>
      </c>
      <c r="G2" s="1">
        <f ca="1">IFERROR(__xludf.DUMMYFUNCTION("GOOGLEFINANCE(A2,""changepct"")"),0.55)</f>
        <v>0.55000000000000004</v>
      </c>
      <c r="H2" s="1">
        <f ca="1">IFERROR(__xludf.DUMMYFUNCTION("GOOGLEFINANCE(A2,""volume"")"),48317864)</f>
        <v>48317864</v>
      </c>
      <c r="I2" s="1">
        <f ca="1">IFERROR(__xludf.DUMMYFUNCTION("GOOGLEFINANCE(A2,""volumeavg"")"),53437226)</f>
        <v>53437226</v>
      </c>
      <c r="J2" s="1">
        <f ca="1">IFERROR(__xludf.DUMMYFUNCTION("GOOGLEFINANCE(A2,""shares"")"),14935830000)</f>
        <v>14935830000</v>
      </c>
      <c r="K2" s="1">
        <f ca="1">IFERROR(__xludf.DUMMYFUNCTION("GOOGLEFINANCE(A2,""high"")"),211.79)</f>
        <v>211.79</v>
      </c>
      <c r="L2" s="1">
        <f ca="1">IFERROR(__xludf.DUMMYFUNCTION("GOOGLEFINANCE(A2,""low"")"),209.7)</f>
        <v>209.7</v>
      </c>
      <c r="M2" s="1">
        <f ca="1">IFERROR(__xludf.DUMMYFUNCTION("GOOGLEFINANCE(A2,""marketcap"")"),3154146358206)</f>
        <v>3154146358206</v>
      </c>
      <c r="N2" s="1">
        <f ca="1">IFERROR(__xludf.DUMMYFUNCTION("GOOGLEFINANCE(A2,""pe"")"),32.96)</f>
        <v>32.96</v>
      </c>
      <c r="O2" s="1">
        <f ca="1">IFERROR(__xludf.DUMMYFUNCTION("GOOGLEFINANCE(A2,""EPS"")"),6.41)</f>
        <v>6.41</v>
      </c>
    </row>
    <row r="3" spans="1:15" ht="15.75" customHeight="1">
      <c r="A3" s="1" t="s">
        <v>16</v>
      </c>
      <c r="B3" s="1" t="str">
        <f ca="1">IFERROR(__xludf.DUMMYFUNCTION("GOOGLEFINANCE(A3,""name"")"),"Amazon.com Inc")</f>
        <v>Amazon.com Inc</v>
      </c>
      <c r="C3" s="2">
        <f ca="1">IFERROR(__xludf.DUMMYFUNCTION("GOOGLEFINANCE(A3,""tradetime"")"),45856.6666782407)</f>
        <v>45856.666678240697</v>
      </c>
      <c r="D3" s="1">
        <f ca="1">IFERROR(__xludf.DUMMYFUNCTION("GOOGLEFINANCE(A3,""price"")"),226.13)</f>
        <v>226.13</v>
      </c>
      <c r="E3" s="1">
        <f ca="1">IFERROR(__xludf.DUMMYFUNCTION("GOOGLEFINANCE(A3,""closeyest"")"),223.88)</f>
        <v>223.88</v>
      </c>
      <c r="F3" s="1">
        <f ca="1">IFERROR(__xludf.DUMMYFUNCTION("GOOGLEFINANCE(A3,""change"")"),2.25)</f>
        <v>2.25</v>
      </c>
      <c r="G3" s="1">
        <f ca="1">IFERROR(__xludf.DUMMYFUNCTION("GOOGLEFINANCE(A3,""changepct"")"),1.01)</f>
        <v>1.01</v>
      </c>
      <c r="H3" s="1">
        <f ca="1">IFERROR(__xludf.DUMMYFUNCTION("GOOGLEFINANCE(A3,""volume"")"),37216988)</f>
        <v>37216988</v>
      </c>
      <c r="I3" s="1">
        <f ca="1">IFERROR(__xludf.DUMMYFUNCTION("GOOGLEFINANCE(A3,""volumeavg"")"),41722502)</f>
        <v>41722502</v>
      </c>
      <c r="J3" s="1">
        <f ca="1">IFERROR(__xludf.DUMMYFUNCTION("GOOGLEFINANCE(A3,""shares"")"),10616350000)</f>
        <v>10616350000</v>
      </c>
      <c r="K3" s="1">
        <f ca="1">IFERROR(__xludf.DUMMYFUNCTION("GOOGLEFINANCE(A3,""high"")"),226.4)</f>
        <v>226.4</v>
      </c>
      <c r="L3" s="1">
        <f ca="1">IFERROR(__xludf.DUMMYFUNCTION("GOOGLEFINANCE(A3,""low"")"),222.98)</f>
        <v>222.98</v>
      </c>
      <c r="M3" s="1">
        <f ca="1">IFERROR(__xludf.DUMMYFUNCTION("GOOGLEFINANCE(A3,""marketcap"")"),2400675277337)</f>
        <v>2400675277337</v>
      </c>
      <c r="N3" s="1">
        <f ca="1">IFERROR(__xludf.DUMMYFUNCTION("GOOGLEFINANCE(A3,""pe"")"),36.88)</f>
        <v>36.880000000000003</v>
      </c>
      <c r="O3" s="1">
        <f ca="1">IFERROR(__xludf.DUMMYFUNCTION("GOOGLEFINANCE(A3,""EPS"")"),6.13)</f>
        <v>6.13</v>
      </c>
    </row>
    <row r="4" spans="1:15" ht="15.75" customHeight="1">
      <c r="A4" s="1" t="s">
        <v>17</v>
      </c>
      <c r="B4" s="1" t="str">
        <f ca="1">IFERROR(__xludf.DUMMYFUNCTION("GOOGLEFINANCE(A4,""name"")"),"Snowflake Inc")</f>
        <v>Snowflake Inc</v>
      </c>
      <c r="C4" s="2">
        <f ca="1">IFERROR(__xludf.DUMMYFUNCTION("GOOGLEFINANCE(A4,""tradetime"")"),45856.6667129629)</f>
        <v>45856.666712962899</v>
      </c>
      <c r="D4" s="1">
        <f ca="1">IFERROR(__xludf.DUMMYFUNCTION("GOOGLEFINANCE(A4,""price"")"),216.89)</f>
        <v>216.89</v>
      </c>
      <c r="E4" s="1">
        <f ca="1">IFERROR(__xludf.DUMMYFUNCTION("GOOGLEFINANCE(A4,""closeyest"")"),211.58)</f>
        <v>211.58</v>
      </c>
      <c r="F4" s="1">
        <f ca="1">IFERROR(__xludf.DUMMYFUNCTION("GOOGLEFINANCE(A4,""change"")"),5.31)</f>
        <v>5.31</v>
      </c>
      <c r="G4" s="1">
        <f ca="1">IFERROR(__xludf.DUMMYFUNCTION("GOOGLEFINANCE(A4,""changepct"")"),2.51)</f>
        <v>2.5099999999999998</v>
      </c>
      <c r="H4" s="1">
        <f ca="1">IFERROR(__xludf.DUMMYFUNCTION("GOOGLEFINANCE(A4,""volume"")"),3342415)</f>
        <v>3342415</v>
      </c>
      <c r="I4" s="1">
        <f ca="1">IFERROR(__xludf.DUMMYFUNCTION("GOOGLEFINANCE(A4,""volumeavg"")"),3945009)</f>
        <v>3945009</v>
      </c>
      <c r="J4" s="1">
        <f ca="1">IFERROR(__xludf.DUMMYFUNCTION("GOOGLEFINANCE(A4,""shares"")"),333658000)</f>
        <v>333658000</v>
      </c>
      <c r="K4" s="1">
        <f ca="1">IFERROR(__xludf.DUMMYFUNCTION("GOOGLEFINANCE(A4,""high"")"),217.54)</f>
        <v>217.54</v>
      </c>
      <c r="L4" s="1">
        <f ca="1">IFERROR(__xludf.DUMMYFUNCTION("GOOGLEFINANCE(A4,""low"")"),212.2)</f>
        <v>212.2</v>
      </c>
      <c r="M4" s="1">
        <f ca="1">IFERROR(__xludf.DUMMYFUNCTION("GOOGLEFINANCE(A4,""marketcap"")"),72367083416)</f>
        <v>72367083416</v>
      </c>
      <c r="N4" s="1" t="str">
        <f ca="1">IFERROR(__xludf.DUMMYFUNCTION("GOOGLEFINANCE(A4,""pe"")"),"#N/A")</f>
        <v>#N/A</v>
      </c>
      <c r="O4" s="1">
        <f ca="1">IFERROR(__xludf.DUMMYFUNCTION("GOOGLEFINANCE(A4,""EPS"")"),-4.21)</f>
        <v>-4.21</v>
      </c>
    </row>
    <row r="5" spans="1:15" ht="15.75" customHeight="1">
      <c r="A5" s="1" t="s">
        <v>18</v>
      </c>
      <c r="B5" s="1" t="str">
        <f ca="1">IFERROR(__xludf.DUMMYFUNCTION("GOOGLEFINANCE(A5,""name"")"),"Tesla Inc")</f>
        <v>Tesla Inc</v>
      </c>
      <c r="C5" s="2">
        <f ca="1">IFERROR(__xludf.DUMMYFUNCTION("GOOGLEFINANCE(A5,""tradetime"")"),45856.6666666666)</f>
        <v>45856.666666666599</v>
      </c>
      <c r="D5" s="1">
        <f ca="1">IFERROR(__xludf.DUMMYFUNCTION("GOOGLEFINANCE(A5,""price"")"),329.65)</f>
        <v>329.65</v>
      </c>
      <c r="E5" s="1">
        <f ca="1">IFERROR(__xludf.DUMMYFUNCTION("GOOGLEFINANCE(A5,""closeyest"")"),319.41)</f>
        <v>319.41000000000003</v>
      </c>
      <c r="F5" s="1">
        <f ca="1">IFERROR(__xludf.DUMMYFUNCTION("GOOGLEFINANCE(A5,""change"")"),10.24)</f>
        <v>10.24</v>
      </c>
      <c r="G5" s="1">
        <f ca="1">IFERROR(__xludf.DUMMYFUNCTION("GOOGLEFINANCE(A5,""changepct"")"),3.21)</f>
        <v>3.21</v>
      </c>
      <c r="H5" s="1">
        <f ca="1">IFERROR(__xludf.DUMMYFUNCTION("GOOGLEFINANCE(A5,""volume"")"),93598593)</f>
        <v>93598593</v>
      </c>
      <c r="I5" s="1">
        <f ca="1">IFERROR(__xludf.DUMMYFUNCTION("GOOGLEFINANCE(A5,""volumeavg"")"),113197144)</f>
        <v>113197144</v>
      </c>
      <c r="J5" s="1">
        <f ca="1">IFERROR(__xludf.DUMMYFUNCTION("GOOGLEFINANCE(A5,""shares"")"),3216517000)</f>
        <v>3216517000</v>
      </c>
      <c r="K5" s="1">
        <f ca="1">IFERROR(__xludf.DUMMYFUNCTION("GOOGLEFINANCE(A5,""high"")"),330.9)</f>
        <v>330.9</v>
      </c>
      <c r="L5" s="1">
        <f ca="1">IFERROR(__xludf.DUMMYFUNCTION("GOOGLEFINANCE(A5,""low"")"),321.42)</f>
        <v>321.42</v>
      </c>
      <c r="M5" s="1">
        <f ca="1">IFERROR(__xludf.DUMMYFUNCTION("GOOGLEFINANCE(A5,""marketcap"")"),1032948366374)</f>
        <v>1032948366374</v>
      </c>
      <c r="N5" s="1">
        <f ca="1">IFERROR(__xludf.DUMMYFUNCTION("GOOGLEFINANCE(A5,""pe"")"),181.44)</f>
        <v>181.44</v>
      </c>
      <c r="O5" s="1">
        <f ca="1">IFERROR(__xludf.DUMMYFUNCTION("GOOGLEFINANCE(A5,""EPS"")"),1.82)</f>
        <v>1.82</v>
      </c>
    </row>
    <row r="6" spans="1:15" ht="15.75" customHeight="1">
      <c r="A6" s="1" t="s">
        <v>19</v>
      </c>
      <c r="B6" s="1" t="str">
        <f ca="1">IFERROR(__xludf.DUMMYFUNCTION("GOOGLEFINANCE(A6,""name"")"),"Meta Platforms Inc")</f>
        <v>Meta Platforms Inc</v>
      </c>
      <c r="C6" s="2">
        <f ca="1">IFERROR(__xludf.DUMMYFUNCTION("GOOGLEFINANCE(A6,""tradetime"")"),45856.6666782407)</f>
        <v>45856.666678240697</v>
      </c>
      <c r="D6" s="1">
        <f ca="1">IFERROR(__xludf.DUMMYFUNCTION("GOOGLEFINANCE(A6,""price"")"),704.28)</f>
        <v>704.28</v>
      </c>
      <c r="E6" s="1">
        <f ca="1">IFERROR(__xludf.DUMMYFUNCTION("GOOGLEFINANCE(A6,""closeyest"")"),701.41)</f>
        <v>701.41</v>
      </c>
      <c r="F6" s="1">
        <f ca="1">IFERROR(__xludf.DUMMYFUNCTION("GOOGLEFINANCE(A6,""change"")"),2.87)</f>
        <v>2.87</v>
      </c>
      <c r="G6" s="1">
        <f ca="1">IFERROR(__xludf.DUMMYFUNCTION("GOOGLEFINANCE(A6,""changepct"")"),0.41)</f>
        <v>0.41</v>
      </c>
      <c r="H6" s="1">
        <f ca="1">IFERROR(__xludf.DUMMYFUNCTION("GOOGLEFINANCE(A6,""volume"")"),12718144)</f>
        <v>12718144</v>
      </c>
      <c r="I6" s="1">
        <f ca="1">IFERROR(__xludf.DUMMYFUNCTION("GOOGLEFINANCE(A6,""volumeavg"")"),11786458)</f>
        <v>11786458</v>
      </c>
      <c r="J6" s="1">
        <f ca="1">IFERROR(__xludf.DUMMYFUNCTION("GOOGLEFINANCE(A6,""shares"")"),2171148000)</f>
        <v>2171148000</v>
      </c>
      <c r="K6" s="1">
        <f ca="1">IFERROR(__xludf.DUMMYFUNCTION("GOOGLEFINANCE(A6,""high"")"),704.71)</f>
        <v>704.71</v>
      </c>
      <c r="L6" s="1">
        <f ca="1">IFERROR(__xludf.DUMMYFUNCTION("GOOGLEFINANCE(A6,""low"")"),691.65)</f>
        <v>691.65</v>
      </c>
      <c r="M6" s="1">
        <f ca="1">IFERROR(__xludf.DUMMYFUNCTION("GOOGLEFINANCE(A6,""marketcap"")"),1770789588941)</f>
        <v>1770789588941</v>
      </c>
      <c r="N6" s="1">
        <f ca="1">IFERROR(__xludf.DUMMYFUNCTION("GOOGLEFINANCE(A6,""pe"")"),27.51)</f>
        <v>27.51</v>
      </c>
      <c r="O6" s="1">
        <f ca="1">IFERROR(__xludf.DUMMYFUNCTION("GOOGLEFINANCE(A6,""EPS"")"),25.6)</f>
        <v>25.6</v>
      </c>
    </row>
    <row r="7" spans="1:15" ht="15.75" customHeight="1">
      <c r="A7" s="1" t="s">
        <v>20</v>
      </c>
      <c r="B7" s="1" t="str">
        <f ca="1">IFERROR(__xludf.DUMMYFUNCTION("GOOGLEFINANCE(A7,""name"")"),"Microsoft Corp")</f>
        <v>Microsoft Corp</v>
      </c>
      <c r="C7" s="2">
        <f ca="1">IFERROR(__xludf.DUMMYFUNCTION("GOOGLEFINANCE(A7,""tradetime"")"),45856.6666666666)</f>
        <v>45856.666666666599</v>
      </c>
      <c r="D7" s="1">
        <f ca="1">IFERROR(__xludf.DUMMYFUNCTION("GOOGLEFINANCE(A7,""price"")"),510.05)</f>
        <v>510.05</v>
      </c>
      <c r="E7" s="1">
        <f ca="1">IFERROR(__xludf.DUMMYFUNCTION("GOOGLEFINANCE(A7,""closeyest"")"),511.7)</f>
        <v>511.7</v>
      </c>
      <c r="F7" s="1">
        <f ca="1">IFERROR(__xludf.DUMMYFUNCTION("GOOGLEFINANCE(A7,""change"")"),-1.65)</f>
        <v>-1.65</v>
      </c>
      <c r="G7" s="1">
        <f ca="1">IFERROR(__xludf.DUMMYFUNCTION("GOOGLEFINANCE(A7,""changepct"")"),-0.32)</f>
        <v>-0.32</v>
      </c>
      <c r="H7" s="1">
        <f ca="1">IFERROR(__xludf.DUMMYFUNCTION("GOOGLEFINANCE(A7,""volume"")"),21096746)</f>
        <v>21096746</v>
      </c>
      <c r="I7" s="1">
        <f ca="1">IFERROR(__xludf.DUMMYFUNCTION("GOOGLEFINANCE(A7,""volumeavg"")"),18541552)</f>
        <v>18541552</v>
      </c>
      <c r="J7" s="1">
        <f ca="1">IFERROR(__xludf.DUMMYFUNCTION("GOOGLEFINANCE(A7,""shares"")"),7432544000)</f>
        <v>7432544000</v>
      </c>
      <c r="K7" s="1">
        <f ca="1">IFERROR(__xludf.DUMMYFUNCTION("GOOGLEFINANCE(A7,""high"")"),514.64)</f>
        <v>514.64</v>
      </c>
      <c r="L7" s="1">
        <f ca="1">IFERROR(__xludf.DUMMYFUNCTION("GOOGLEFINANCE(A7,""low"")"),507.43)</f>
        <v>507.43</v>
      </c>
      <c r="M7" s="1">
        <f ca="1">IFERROR(__xludf.DUMMYFUNCTION("GOOGLEFINANCE(A7,""marketcap"")"),3790968976470)</f>
        <v>3790968976470</v>
      </c>
      <c r="N7" s="1">
        <f ca="1">IFERROR(__xludf.DUMMYFUNCTION("GOOGLEFINANCE(A7,""pe"")"),39.42)</f>
        <v>39.42</v>
      </c>
      <c r="O7" s="1">
        <f ca="1">IFERROR(__xludf.DUMMYFUNCTION("GOOGLEFINANCE(A7,""EPS"")"),12.94)</f>
        <v>12.94</v>
      </c>
    </row>
    <row r="8" spans="1:15" ht="15.75" customHeight="1">
      <c r="A8" s="1" t="s">
        <v>21</v>
      </c>
      <c r="B8" s="1" t="str">
        <f ca="1">IFERROR(__xludf.DUMMYFUNCTION("GOOGLEFINANCE(A8,""name"")"),"Alphabet Inc Class C")</f>
        <v>Alphabet Inc Class C</v>
      </c>
      <c r="C8" s="2">
        <f ca="1">IFERROR(__xludf.DUMMYFUNCTION("GOOGLEFINANCE(A8,""tradetime"")"),45856.6666782407)</f>
        <v>45856.666678240697</v>
      </c>
      <c r="D8" s="1">
        <f ca="1">IFERROR(__xludf.DUMMYFUNCTION("GOOGLEFINANCE(A8,""price"")"),185.94)</f>
        <v>185.94</v>
      </c>
      <c r="E8" s="1">
        <f ca="1">IFERROR(__xludf.DUMMYFUNCTION("GOOGLEFINANCE(A8,""closeyest"")"),184.7)</f>
        <v>184.7</v>
      </c>
      <c r="F8" s="1">
        <f ca="1">IFERROR(__xludf.DUMMYFUNCTION("GOOGLEFINANCE(A8,""change"")"),1.24)</f>
        <v>1.24</v>
      </c>
      <c r="G8" s="1">
        <f ca="1">IFERROR(__xludf.DUMMYFUNCTION("GOOGLEFINANCE(A8,""changepct"")"),0.67)</f>
        <v>0.67</v>
      </c>
      <c r="H8" s="1">
        <f ca="1">IFERROR(__xludf.DUMMYFUNCTION("GOOGLEFINANCE(A8,""volume"")"),20738284)</f>
        <v>20738284</v>
      </c>
      <c r="I8" s="1">
        <f ca="1">IFERROR(__xludf.DUMMYFUNCTION("GOOGLEFINANCE(A8,""volumeavg"")"),26728271)</f>
        <v>26728271</v>
      </c>
      <c r="J8" s="1">
        <f ca="1">IFERROR(__xludf.DUMMYFUNCTION("GOOGLEFINANCE(A8,""shares"")"),5459000000)</f>
        <v>5459000000</v>
      </c>
      <c r="K8" s="1">
        <f ca="1">IFERROR(__xludf.DUMMYFUNCTION("GOOGLEFINANCE(A8,""high"")"),187.36)</f>
        <v>187.36</v>
      </c>
      <c r="L8" s="1">
        <f ca="1">IFERROR(__xludf.DUMMYFUNCTION("GOOGLEFINANCE(A8,""low"")"),184.73)</f>
        <v>184.73</v>
      </c>
      <c r="M8" s="1">
        <f ca="1">IFERROR(__xludf.DUMMYFUNCTION("GOOGLEFINANCE(A8,""marketcap"")"),2251865568292)</f>
        <v>2251865568292</v>
      </c>
      <c r="N8" s="1">
        <f ca="1">IFERROR(__xludf.DUMMYFUNCTION("GOOGLEFINANCE(A8,""pe"")"),21.07)</f>
        <v>21.07</v>
      </c>
      <c r="O8" s="1">
        <f ca="1">IFERROR(__xludf.DUMMYFUNCTION("GOOGLEFINANCE(A8,""EPS"")"),8.83)</f>
        <v>8.83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88"/>
  <sheetViews>
    <sheetView workbookViewId="0"/>
  </sheetViews>
  <sheetFormatPr defaultColWidth="12.5703125" defaultRowHeight="15.75" customHeight="1"/>
  <sheetData>
    <row r="1" spans="1:6" ht="15.75" customHeight="1">
      <c r="A1" s="1" t="str">
        <f ca="1">IFERROR(__xludf.DUMMYFUNCTION("GOOGLEFINANCE(""AAPL"",""all"",DATE(2022,1,1),today())"),"Date")</f>
        <v>Date</v>
      </c>
      <c r="B1" s="1" t="str">
        <f ca="1">IFERROR(__xludf.DUMMYFUNCTION("""COMPUTED_VALUE"""),"Open")</f>
        <v>Open</v>
      </c>
      <c r="C1" s="1" t="str">
        <f ca="1">IFERROR(__xludf.DUMMYFUNCTION("""COMPUTED_VALUE"""),"High")</f>
        <v>High</v>
      </c>
      <c r="D1" s="1" t="str">
        <f ca="1">IFERROR(__xludf.DUMMYFUNCTION("""COMPUTED_VALUE"""),"Low")</f>
        <v>Low</v>
      </c>
      <c r="E1" s="1" t="str">
        <f ca="1">IFERROR(__xludf.DUMMYFUNCTION("""COMPUTED_VALUE"""),"Close")</f>
        <v>Close</v>
      </c>
      <c r="F1" s="1" t="str">
        <f ca="1">IFERROR(__xludf.DUMMYFUNCTION("""COMPUTED_VALUE"""),"Volume")</f>
        <v>Volume</v>
      </c>
    </row>
    <row r="2" spans="1:6" ht="15.75" customHeight="1">
      <c r="A2" s="2">
        <f ca="1">IFERROR(__xludf.DUMMYFUNCTION("""COMPUTED_VALUE"""),44564.6666666666)</f>
        <v>44564.666666666599</v>
      </c>
      <c r="B2" s="1">
        <f ca="1">IFERROR(__xludf.DUMMYFUNCTION("""COMPUTED_VALUE"""),177.83)</f>
        <v>177.83</v>
      </c>
      <c r="C2" s="1">
        <f ca="1">IFERROR(__xludf.DUMMYFUNCTION("""COMPUTED_VALUE"""),182.88)</f>
        <v>182.88</v>
      </c>
      <c r="D2" s="1">
        <f ca="1">IFERROR(__xludf.DUMMYFUNCTION("""COMPUTED_VALUE"""),177.71)</f>
        <v>177.71</v>
      </c>
      <c r="E2" s="1">
        <f ca="1">IFERROR(__xludf.DUMMYFUNCTION("""COMPUTED_VALUE"""),182.01)</f>
        <v>182.01</v>
      </c>
      <c r="F2" s="1">
        <f ca="1">IFERROR(__xludf.DUMMYFUNCTION("""COMPUTED_VALUE"""),104701220)</f>
        <v>104701220</v>
      </c>
    </row>
    <row r="3" spans="1:6" ht="15.75" customHeight="1">
      <c r="A3" s="2">
        <f ca="1">IFERROR(__xludf.DUMMYFUNCTION("""COMPUTED_VALUE"""),44565.6666666666)</f>
        <v>44565.666666666599</v>
      </c>
      <c r="B3" s="1">
        <f ca="1">IFERROR(__xludf.DUMMYFUNCTION("""COMPUTED_VALUE"""),182.63)</f>
        <v>182.63</v>
      </c>
      <c r="C3" s="1">
        <f ca="1">IFERROR(__xludf.DUMMYFUNCTION("""COMPUTED_VALUE"""),182.94)</f>
        <v>182.94</v>
      </c>
      <c r="D3" s="1">
        <f ca="1">IFERROR(__xludf.DUMMYFUNCTION("""COMPUTED_VALUE"""),179.12)</f>
        <v>179.12</v>
      </c>
      <c r="E3" s="1">
        <f ca="1">IFERROR(__xludf.DUMMYFUNCTION("""COMPUTED_VALUE"""),179.7)</f>
        <v>179.7</v>
      </c>
      <c r="F3" s="1">
        <f ca="1">IFERROR(__xludf.DUMMYFUNCTION("""COMPUTED_VALUE"""),99310438)</f>
        <v>99310438</v>
      </c>
    </row>
    <row r="4" spans="1:6" ht="15.75" customHeight="1">
      <c r="A4" s="2">
        <f ca="1">IFERROR(__xludf.DUMMYFUNCTION("""COMPUTED_VALUE"""),44566.6666666666)</f>
        <v>44566.666666666599</v>
      </c>
      <c r="B4" s="1">
        <f ca="1">IFERROR(__xludf.DUMMYFUNCTION("""COMPUTED_VALUE"""),179.61)</f>
        <v>179.61</v>
      </c>
      <c r="C4" s="1">
        <f ca="1">IFERROR(__xludf.DUMMYFUNCTION("""COMPUTED_VALUE"""),180.17)</f>
        <v>180.17</v>
      </c>
      <c r="D4" s="1">
        <f ca="1">IFERROR(__xludf.DUMMYFUNCTION("""COMPUTED_VALUE"""),174.64)</f>
        <v>174.64</v>
      </c>
      <c r="E4" s="1">
        <f ca="1">IFERROR(__xludf.DUMMYFUNCTION("""COMPUTED_VALUE"""),174.92)</f>
        <v>174.92</v>
      </c>
      <c r="F4" s="1">
        <f ca="1">IFERROR(__xludf.DUMMYFUNCTION("""COMPUTED_VALUE"""),94537602)</f>
        <v>94537602</v>
      </c>
    </row>
    <row r="5" spans="1:6" ht="15.75" customHeight="1">
      <c r="A5" s="2">
        <f ca="1">IFERROR(__xludf.DUMMYFUNCTION("""COMPUTED_VALUE"""),44567.6666666666)</f>
        <v>44567.666666666599</v>
      </c>
      <c r="B5" s="1">
        <f ca="1">IFERROR(__xludf.DUMMYFUNCTION("""COMPUTED_VALUE"""),172.7)</f>
        <v>172.7</v>
      </c>
      <c r="C5" s="1">
        <f ca="1">IFERROR(__xludf.DUMMYFUNCTION("""COMPUTED_VALUE"""),175.3)</f>
        <v>175.3</v>
      </c>
      <c r="D5" s="1">
        <f ca="1">IFERROR(__xludf.DUMMYFUNCTION("""COMPUTED_VALUE"""),171.64)</f>
        <v>171.64</v>
      </c>
      <c r="E5" s="1">
        <f ca="1">IFERROR(__xludf.DUMMYFUNCTION("""COMPUTED_VALUE"""),172)</f>
        <v>172</v>
      </c>
      <c r="F5" s="1">
        <f ca="1">IFERROR(__xludf.DUMMYFUNCTION("""COMPUTED_VALUE"""),96903955)</f>
        <v>96903955</v>
      </c>
    </row>
    <row r="6" spans="1:6" ht="15.75" customHeight="1">
      <c r="A6" s="2">
        <f ca="1">IFERROR(__xludf.DUMMYFUNCTION("""COMPUTED_VALUE"""),44568.6666666666)</f>
        <v>44568.666666666599</v>
      </c>
      <c r="B6" s="1">
        <f ca="1">IFERROR(__xludf.DUMMYFUNCTION("""COMPUTED_VALUE"""),172.89)</f>
        <v>172.89</v>
      </c>
      <c r="C6" s="1">
        <f ca="1">IFERROR(__xludf.DUMMYFUNCTION("""COMPUTED_VALUE"""),174.14)</f>
        <v>174.14</v>
      </c>
      <c r="D6" s="1">
        <f ca="1">IFERROR(__xludf.DUMMYFUNCTION("""COMPUTED_VALUE"""),171.03)</f>
        <v>171.03</v>
      </c>
      <c r="E6" s="1">
        <f ca="1">IFERROR(__xludf.DUMMYFUNCTION("""COMPUTED_VALUE"""),172.17)</f>
        <v>172.17</v>
      </c>
      <c r="F6" s="1">
        <f ca="1">IFERROR(__xludf.DUMMYFUNCTION("""COMPUTED_VALUE"""),86709147)</f>
        <v>86709147</v>
      </c>
    </row>
    <row r="7" spans="1:6" ht="15.75" customHeight="1">
      <c r="A7" s="2">
        <f ca="1">IFERROR(__xludf.DUMMYFUNCTION("""COMPUTED_VALUE"""),44571.6666666666)</f>
        <v>44571.666666666599</v>
      </c>
      <c r="B7" s="1">
        <f ca="1">IFERROR(__xludf.DUMMYFUNCTION("""COMPUTED_VALUE"""),169.08)</f>
        <v>169.08</v>
      </c>
      <c r="C7" s="1">
        <f ca="1">IFERROR(__xludf.DUMMYFUNCTION("""COMPUTED_VALUE"""),172.5)</f>
        <v>172.5</v>
      </c>
      <c r="D7" s="1">
        <f ca="1">IFERROR(__xludf.DUMMYFUNCTION("""COMPUTED_VALUE"""),168.17)</f>
        <v>168.17</v>
      </c>
      <c r="E7" s="1">
        <f ca="1">IFERROR(__xludf.DUMMYFUNCTION("""COMPUTED_VALUE"""),172.19)</f>
        <v>172.19</v>
      </c>
      <c r="F7" s="1">
        <f ca="1">IFERROR(__xludf.DUMMYFUNCTION("""COMPUTED_VALUE"""),106765552)</f>
        <v>106765552</v>
      </c>
    </row>
    <row r="8" spans="1:6" ht="15.75" customHeight="1">
      <c r="A8" s="2">
        <f ca="1">IFERROR(__xludf.DUMMYFUNCTION("""COMPUTED_VALUE"""),44572.6666666666)</f>
        <v>44572.666666666599</v>
      </c>
      <c r="B8" s="1">
        <f ca="1">IFERROR(__xludf.DUMMYFUNCTION("""COMPUTED_VALUE"""),172.32)</f>
        <v>172.32</v>
      </c>
      <c r="C8" s="1">
        <f ca="1">IFERROR(__xludf.DUMMYFUNCTION("""COMPUTED_VALUE"""),175.18)</f>
        <v>175.18</v>
      </c>
      <c r="D8" s="1">
        <f ca="1">IFERROR(__xludf.DUMMYFUNCTION("""COMPUTED_VALUE"""),170.82)</f>
        <v>170.82</v>
      </c>
      <c r="E8" s="1">
        <f ca="1">IFERROR(__xludf.DUMMYFUNCTION("""COMPUTED_VALUE"""),175.08)</f>
        <v>175.08</v>
      </c>
      <c r="F8" s="1">
        <f ca="1">IFERROR(__xludf.DUMMYFUNCTION("""COMPUTED_VALUE"""),76138312)</f>
        <v>76138312</v>
      </c>
    </row>
    <row r="9" spans="1:6" ht="15.75" customHeight="1">
      <c r="A9" s="2">
        <f ca="1">IFERROR(__xludf.DUMMYFUNCTION("""COMPUTED_VALUE"""),44573.6666666666)</f>
        <v>44573.666666666599</v>
      </c>
      <c r="B9" s="1">
        <f ca="1">IFERROR(__xludf.DUMMYFUNCTION("""COMPUTED_VALUE"""),176.12)</f>
        <v>176.12</v>
      </c>
      <c r="C9" s="1">
        <f ca="1">IFERROR(__xludf.DUMMYFUNCTION("""COMPUTED_VALUE"""),177.18)</f>
        <v>177.18</v>
      </c>
      <c r="D9" s="1">
        <f ca="1">IFERROR(__xludf.DUMMYFUNCTION("""COMPUTED_VALUE"""),174.82)</f>
        <v>174.82</v>
      </c>
      <c r="E9" s="1">
        <f ca="1">IFERROR(__xludf.DUMMYFUNCTION("""COMPUTED_VALUE"""),175.53)</f>
        <v>175.53</v>
      </c>
      <c r="F9" s="1">
        <f ca="1">IFERROR(__xludf.DUMMYFUNCTION("""COMPUTED_VALUE"""),74805173)</f>
        <v>74805173</v>
      </c>
    </row>
    <row r="10" spans="1:6" ht="15.75" customHeight="1">
      <c r="A10" s="2">
        <f ca="1">IFERROR(__xludf.DUMMYFUNCTION("""COMPUTED_VALUE"""),44574.6666666666)</f>
        <v>44574.666666666599</v>
      </c>
      <c r="B10" s="1">
        <f ca="1">IFERROR(__xludf.DUMMYFUNCTION("""COMPUTED_VALUE"""),175.78)</f>
        <v>175.78</v>
      </c>
      <c r="C10" s="1">
        <f ca="1">IFERROR(__xludf.DUMMYFUNCTION("""COMPUTED_VALUE"""),176.62)</f>
        <v>176.62</v>
      </c>
      <c r="D10" s="1">
        <f ca="1">IFERROR(__xludf.DUMMYFUNCTION("""COMPUTED_VALUE"""),171.79)</f>
        <v>171.79</v>
      </c>
      <c r="E10" s="1">
        <f ca="1">IFERROR(__xludf.DUMMYFUNCTION("""COMPUTED_VALUE"""),172.19)</f>
        <v>172.19</v>
      </c>
      <c r="F10" s="1">
        <f ca="1">IFERROR(__xludf.DUMMYFUNCTION("""COMPUTED_VALUE"""),84505760)</f>
        <v>84505760</v>
      </c>
    </row>
    <row r="11" spans="1:6" ht="15.75" customHeight="1">
      <c r="A11" s="2">
        <f ca="1">IFERROR(__xludf.DUMMYFUNCTION("""COMPUTED_VALUE"""),44575.6666666666)</f>
        <v>44575.666666666599</v>
      </c>
      <c r="B11" s="1">
        <f ca="1">IFERROR(__xludf.DUMMYFUNCTION("""COMPUTED_VALUE"""),171.34)</f>
        <v>171.34</v>
      </c>
      <c r="C11" s="1">
        <f ca="1">IFERROR(__xludf.DUMMYFUNCTION("""COMPUTED_VALUE"""),173.78)</f>
        <v>173.78</v>
      </c>
      <c r="D11" s="1">
        <f ca="1">IFERROR(__xludf.DUMMYFUNCTION("""COMPUTED_VALUE"""),171.09)</f>
        <v>171.09</v>
      </c>
      <c r="E11" s="1">
        <f ca="1">IFERROR(__xludf.DUMMYFUNCTION("""COMPUTED_VALUE"""),173.07)</f>
        <v>173.07</v>
      </c>
      <c r="F11" s="1">
        <f ca="1">IFERROR(__xludf.DUMMYFUNCTION("""COMPUTED_VALUE"""),80440780)</f>
        <v>80440780</v>
      </c>
    </row>
    <row r="12" spans="1:6" ht="15.75" customHeight="1">
      <c r="A12" s="2">
        <f ca="1">IFERROR(__xludf.DUMMYFUNCTION("""COMPUTED_VALUE"""),44579.6666666666)</f>
        <v>44579.666666666599</v>
      </c>
      <c r="B12" s="1">
        <f ca="1">IFERROR(__xludf.DUMMYFUNCTION("""COMPUTED_VALUE"""),171.51)</f>
        <v>171.51</v>
      </c>
      <c r="C12" s="1">
        <f ca="1">IFERROR(__xludf.DUMMYFUNCTION("""COMPUTED_VALUE"""),172.54)</f>
        <v>172.54</v>
      </c>
      <c r="D12" s="1">
        <f ca="1">IFERROR(__xludf.DUMMYFUNCTION("""COMPUTED_VALUE"""),169.41)</f>
        <v>169.41</v>
      </c>
      <c r="E12" s="1">
        <f ca="1">IFERROR(__xludf.DUMMYFUNCTION("""COMPUTED_VALUE"""),169.8)</f>
        <v>169.8</v>
      </c>
      <c r="F12" s="1">
        <f ca="1">IFERROR(__xludf.DUMMYFUNCTION("""COMPUTED_VALUE"""),91168729)</f>
        <v>91168729</v>
      </c>
    </row>
    <row r="13" spans="1:6" ht="15.75" customHeight="1">
      <c r="A13" s="2">
        <f ca="1">IFERROR(__xludf.DUMMYFUNCTION("""COMPUTED_VALUE"""),44580.6666666666)</f>
        <v>44580.666666666599</v>
      </c>
      <c r="B13" s="1">
        <f ca="1">IFERROR(__xludf.DUMMYFUNCTION("""COMPUTED_VALUE"""),170)</f>
        <v>170</v>
      </c>
      <c r="C13" s="1">
        <f ca="1">IFERROR(__xludf.DUMMYFUNCTION("""COMPUTED_VALUE"""),171.08)</f>
        <v>171.08</v>
      </c>
      <c r="D13" s="1">
        <f ca="1">IFERROR(__xludf.DUMMYFUNCTION("""COMPUTED_VALUE"""),165.94)</f>
        <v>165.94</v>
      </c>
      <c r="E13" s="1">
        <f ca="1">IFERROR(__xludf.DUMMYFUNCTION("""COMPUTED_VALUE"""),166.23)</f>
        <v>166.23</v>
      </c>
      <c r="F13" s="1">
        <f ca="1">IFERROR(__xludf.DUMMYFUNCTION("""COMPUTED_VALUE"""),94814990)</f>
        <v>94814990</v>
      </c>
    </row>
    <row r="14" spans="1:6" ht="15.75" customHeight="1">
      <c r="A14" s="2">
        <f ca="1">IFERROR(__xludf.DUMMYFUNCTION("""COMPUTED_VALUE"""),44581.6666666666)</f>
        <v>44581.666666666599</v>
      </c>
      <c r="B14" s="1">
        <f ca="1">IFERROR(__xludf.DUMMYFUNCTION("""COMPUTED_VALUE"""),166.98)</f>
        <v>166.98</v>
      </c>
      <c r="C14" s="1">
        <f ca="1">IFERROR(__xludf.DUMMYFUNCTION("""COMPUTED_VALUE"""),169.68)</f>
        <v>169.68</v>
      </c>
      <c r="D14" s="1">
        <f ca="1">IFERROR(__xludf.DUMMYFUNCTION("""COMPUTED_VALUE"""),164.18)</f>
        <v>164.18</v>
      </c>
      <c r="E14" s="1">
        <f ca="1">IFERROR(__xludf.DUMMYFUNCTION("""COMPUTED_VALUE"""),164.51)</f>
        <v>164.51</v>
      </c>
      <c r="F14" s="1">
        <f ca="1">IFERROR(__xludf.DUMMYFUNCTION("""COMPUTED_VALUE"""),91420515)</f>
        <v>91420515</v>
      </c>
    </row>
    <row r="15" spans="1:6" ht="15.75" customHeight="1">
      <c r="A15" s="2">
        <f ca="1">IFERROR(__xludf.DUMMYFUNCTION("""COMPUTED_VALUE"""),44582.6666666666)</f>
        <v>44582.666666666599</v>
      </c>
      <c r="B15" s="1">
        <f ca="1">IFERROR(__xludf.DUMMYFUNCTION("""COMPUTED_VALUE"""),164.42)</f>
        <v>164.42</v>
      </c>
      <c r="C15" s="1">
        <f ca="1">IFERROR(__xludf.DUMMYFUNCTION("""COMPUTED_VALUE"""),166.33)</f>
        <v>166.33</v>
      </c>
      <c r="D15" s="1">
        <f ca="1">IFERROR(__xludf.DUMMYFUNCTION("""COMPUTED_VALUE"""),162.3)</f>
        <v>162.30000000000001</v>
      </c>
      <c r="E15" s="1">
        <f ca="1">IFERROR(__xludf.DUMMYFUNCTION("""COMPUTED_VALUE"""),162.41)</f>
        <v>162.41</v>
      </c>
      <c r="F15" s="1">
        <f ca="1">IFERROR(__xludf.DUMMYFUNCTION("""COMPUTED_VALUE"""),122848858)</f>
        <v>122848858</v>
      </c>
    </row>
    <row r="16" spans="1:6" ht="15.75" customHeight="1">
      <c r="A16" s="2">
        <f ca="1">IFERROR(__xludf.DUMMYFUNCTION("""COMPUTED_VALUE"""),44585.6666666666)</f>
        <v>44585.666666666599</v>
      </c>
      <c r="B16" s="1">
        <f ca="1">IFERROR(__xludf.DUMMYFUNCTION("""COMPUTED_VALUE"""),160.02)</f>
        <v>160.02000000000001</v>
      </c>
      <c r="C16" s="1">
        <f ca="1">IFERROR(__xludf.DUMMYFUNCTION("""COMPUTED_VALUE"""),162.3)</f>
        <v>162.30000000000001</v>
      </c>
      <c r="D16" s="1">
        <f ca="1">IFERROR(__xludf.DUMMYFUNCTION("""COMPUTED_VALUE"""),154.7)</f>
        <v>154.69999999999999</v>
      </c>
      <c r="E16" s="1">
        <f ca="1">IFERROR(__xludf.DUMMYFUNCTION("""COMPUTED_VALUE"""),161.62)</f>
        <v>161.62</v>
      </c>
      <c r="F16" s="1">
        <f ca="1">IFERROR(__xludf.DUMMYFUNCTION("""COMPUTED_VALUE"""),162706686)</f>
        <v>162706686</v>
      </c>
    </row>
    <row r="17" spans="1:6" ht="15.75" customHeight="1">
      <c r="A17" s="2">
        <f ca="1">IFERROR(__xludf.DUMMYFUNCTION("""COMPUTED_VALUE"""),44586.6666666666)</f>
        <v>44586.666666666599</v>
      </c>
      <c r="B17" s="1">
        <f ca="1">IFERROR(__xludf.DUMMYFUNCTION("""COMPUTED_VALUE"""),158.98)</f>
        <v>158.97999999999999</v>
      </c>
      <c r="C17" s="1">
        <f ca="1">IFERROR(__xludf.DUMMYFUNCTION("""COMPUTED_VALUE"""),162.76)</f>
        <v>162.76</v>
      </c>
      <c r="D17" s="1">
        <f ca="1">IFERROR(__xludf.DUMMYFUNCTION("""COMPUTED_VALUE"""),157.02)</f>
        <v>157.02000000000001</v>
      </c>
      <c r="E17" s="1">
        <f ca="1">IFERROR(__xludf.DUMMYFUNCTION("""COMPUTED_VALUE"""),159.78)</f>
        <v>159.78</v>
      </c>
      <c r="F17" s="1">
        <f ca="1">IFERROR(__xludf.DUMMYFUNCTION("""COMPUTED_VALUE"""),115798367)</f>
        <v>115798367</v>
      </c>
    </row>
    <row r="18" spans="1:6" ht="15.75" customHeight="1">
      <c r="A18" s="2">
        <f ca="1">IFERROR(__xludf.DUMMYFUNCTION("""COMPUTED_VALUE"""),44587.6666666666)</f>
        <v>44587.666666666599</v>
      </c>
      <c r="B18" s="1">
        <f ca="1">IFERROR(__xludf.DUMMYFUNCTION("""COMPUTED_VALUE"""),163.5)</f>
        <v>163.5</v>
      </c>
      <c r="C18" s="1">
        <f ca="1">IFERROR(__xludf.DUMMYFUNCTION("""COMPUTED_VALUE"""),164.39)</f>
        <v>164.39</v>
      </c>
      <c r="D18" s="1">
        <f ca="1">IFERROR(__xludf.DUMMYFUNCTION("""COMPUTED_VALUE"""),157.82)</f>
        <v>157.82</v>
      </c>
      <c r="E18" s="1">
        <f ca="1">IFERROR(__xludf.DUMMYFUNCTION("""COMPUTED_VALUE"""),159.69)</f>
        <v>159.69</v>
      </c>
      <c r="F18" s="1">
        <f ca="1">IFERROR(__xludf.DUMMYFUNCTION("""COMPUTED_VALUE"""),108275308)</f>
        <v>108275308</v>
      </c>
    </row>
    <row r="19" spans="1:6" ht="15.75" customHeight="1">
      <c r="A19" s="2">
        <f ca="1">IFERROR(__xludf.DUMMYFUNCTION("""COMPUTED_VALUE"""),44588.6666666666)</f>
        <v>44588.666666666599</v>
      </c>
      <c r="B19" s="1">
        <f ca="1">IFERROR(__xludf.DUMMYFUNCTION("""COMPUTED_VALUE"""),162.45)</f>
        <v>162.44999999999999</v>
      </c>
      <c r="C19" s="1">
        <f ca="1">IFERROR(__xludf.DUMMYFUNCTION("""COMPUTED_VALUE"""),163.84)</f>
        <v>163.84</v>
      </c>
      <c r="D19" s="1">
        <f ca="1">IFERROR(__xludf.DUMMYFUNCTION("""COMPUTED_VALUE"""),158.28)</f>
        <v>158.28</v>
      </c>
      <c r="E19" s="1">
        <f ca="1">IFERROR(__xludf.DUMMYFUNCTION("""COMPUTED_VALUE"""),159.22)</f>
        <v>159.22</v>
      </c>
      <c r="F19" s="1">
        <f ca="1">IFERROR(__xludf.DUMMYFUNCTION("""COMPUTED_VALUE"""),121954638)</f>
        <v>121954638</v>
      </c>
    </row>
    <row r="20" spans="1:6" ht="15.75" customHeight="1">
      <c r="A20" s="2">
        <f ca="1">IFERROR(__xludf.DUMMYFUNCTION("""COMPUTED_VALUE"""),44589.6666666666)</f>
        <v>44589.666666666599</v>
      </c>
      <c r="B20" s="1">
        <f ca="1">IFERROR(__xludf.DUMMYFUNCTION("""COMPUTED_VALUE"""),165.71)</f>
        <v>165.71</v>
      </c>
      <c r="C20" s="1">
        <f ca="1">IFERROR(__xludf.DUMMYFUNCTION("""COMPUTED_VALUE"""),170.35)</f>
        <v>170.35</v>
      </c>
      <c r="D20" s="1">
        <f ca="1">IFERROR(__xludf.DUMMYFUNCTION("""COMPUTED_VALUE"""),162.8)</f>
        <v>162.80000000000001</v>
      </c>
      <c r="E20" s="1">
        <f ca="1">IFERROR(__xludf.DUMMYFUNCTION("""COMPUTED_VALUE"""),170.33)</f>
        <v>170.33</v>
      </c>
      <c r="F20" s="1">
        <f ca="1">IFERROR(__xludf.DUMMYFUNCTION("""COMPUTED_VALUE"""),179935660)</f>
        <v>179935660</v>
      </c>
    </row>
    <row r="21" spans="1:6" ht="15.75" customHeight="1">
      <c r="A21" s="2">
        <f ca="1">IFERROR(__xludf.DUMMYFUNCTION("""COMPUTED_VALUE"""),44592.6666666666)</f>
        <v>44592.666666666599</v>
      </c>
      <c r="B21" s="1">
        <f ca="1">IFERROR(__xludf.DUMMYFUNCTION("""COMPUTED_VALUE"""),170.16)</f>
        <v>170.16</v>
      </c>
      <c r="C21" s="1">
        <f ca="1">IFERROR(__xludf.DUMMYFUNCTION("""COMPUTED_VALUE"""),175)</f>
        <v>175</v>
      </c>
      <c r="D21" s="1">
        <f ca="1">IFERROR(__xludf.DUMMYFUNCTION("""COMPUTED_VALUE"""),169.51)</f>
        <v>169.51</v>
      </c>
      <c r="E21" s="1">
        <f ca="1">IFERROR(__xludf.DUMMYFUNCTION("""COMPUTED_VALUE"""),174.78)</f>
        <v>174.78</v>
      </c>
      <c r="F21" s="1">
        <f ca="1">IFERROR(__xludf.DUMMYFUNCTION("""COMPUTED_VALUE"""),115541590)</f>
        <v>115541590</v>
      </c>
    </row>
    <row r="22" spans="1:6" ht="15.75" customHeight="1">
      <c r="A22" s="2">
        <f ca="1">IFERROR(__xludf.DUMMYFUNCTION("""COMPUTED_VALUE"""),44593.6666666666)</f>
        <v>44593.666666666599</v>
      </c>
      <c r="B22" s="1">
        <f ca="1">IFERROR(__xludf.DUMMYFUNCTION("""COMPUTED_VALUE"""),174.01)</f>
        <v>174.01</v>
      </c>
      <c r="C22" s="1">
        <f ca="1">IFERROR(__xludf.DUMMYFUNCTION("""COMPUTED_VALUE"""),174.84)</f>
        <v>174.84</v>
      </c>
      <c r="D22" s="1">
        <f ca="1">IFERROR(__xludf.DUMMYFUNCTION("""COMPUTED_VALUE"""),172.31)</f>
        <v>172.31</v>
      </c>
      <c r="E22" s="1">
        <f ca="1">IFERROR(__xludf.DUMMYFUNCTION("""COMPUTED_VALUE"""),174.61)</f>
        <v>174.61</v>
      </c>
      <c r="F22" s="1">
        <f ca="1">IFERROR(__xludf.DUMMYFUNCTION("""COMPUTED_VALUE"""),86213911)</f>
        <v>86213911</v>
      </c>
    </row>
    <row r="23" spans="1:6" ht="15.75" customHeight="1">
      <c r="A23" s="2">
        <f ca="1">IFERROR(__xludf.DUMMYFUNCTION("""COMPUTED_VALUE"""),44594.6666666666)</f>
        <v>44594.666666666599</v>
      </c>
      <c r="B23" s="1">
        <f ca="1">IFERROR(__xludf.DUMMYFUNCTION("""COMPUTED_VALUE"""),174.75)</f>
        <v>174.75</v>
      </c>
      <c r="C23" s="1">
        <f ca="1">IFERROR(__xludf.DUMMYFUNCTION("""COMPUTED_VALUE"""),175.88)</f>
        <v>175.88</v>
      </c>
      <c r="D23" s="1">
        <f ca="1">IFERROR(__xludf.DUMMYFUNCTION("""COMPUTED_VALUE"""),173.33)</f>
        <v>173.33</v>
      </c>
      <c r="E23" s="1">
        <f ca="1">IFERROR(__xludf.DUMMYFUNCTION("""COMPUTED_VALUE"""),175.84)</f>
        <v>175.84</v>
      </c>
      <c r="F23" s="1">
        <f ca="1">IFERROR(__xludf.DUMMYFUNCTION("""COMPUTED_VALUE"""),84914256)</f>
        <v>84914256</v>
      </c>
    </row>
    <row r="24" spans="1:6" ht="15.75" customHeight="1">
      <c r="A24" s="2">
        <f ca="1">IFERROR(__xludf.DUMMYFUNCTION("""COMPUTED_VALUE"""),44595.6666666666)</f>
        <v>44595.666666666599</v>
      </c>
      <c r="B24" s="1">
        <f ca="1">IFERROR(__xludf.DUMMYFUNCTION("""COMPUTED_VALUE"""),174.48)</f>
        <v>174.48</v>
      </c>
      <c r="C24" s="1">
        <f ca="1">IFERROR(__xludf.DUMMYFUNCTION("""COMPUTED_VALUE"""),176.24)</f>
        <v>176.24</v>
      </c>
      <c r="D24" s="1">
        <f ca="1">IFERROR(__xludf.DUMMYFUNCTION("""COMPUTED_VALUE"""),172.12)</f>
        <v>172.12</v>
      </c>
      <c r="E24" s="1">
        <f ca="1">IFERROR(__xludf.DUMMYFUNCTION("""COMPUTED_VALUE"""),172.9)</f>
        <v>172.9</v>
      </c>
      <c r="F24" s="1">
        <f ca="1">IFERROR(__xludf.DUMMYFUNCTION("""COMPUTED_VALUE"""),89418074)</f>
        <v>89418074</v>
      </c>
    </row>
    <row r="25" spans="1:6" ht="15.75" customHeight="1">
      <c r="A25" s="2">
        <f ca="1">IFERROR(__xludf.DUMMYFUNCTION("""COMPUTED_VALUE"""),44596.6666666666)</f>
        <v>44596.666666666599</v>
      </c>
      <c r="B25" s="1">
        <f ca="1">IFERROR(__xludf.DUMMYFUNCTION("""COMPUTED_VALUE"""),171.68)</f>
        <v>171.68</v>
      </c>
      <c r="C25" s="1">
        <f ca="1">IFERROR(__xludf.DUMMYFUNCTION("""COMPUTED_VALUE"""),174.1)</f>
        <v>174.1</v>
      </c>
      <c r="D25" s="1">
        <f ca="1">IFERROR(__xludf.DUMMYFUNCTION("""COMPUTED_VALUE"""),170.68)</f>
        <v>170.68</v>
      </c>
      <c r="E25" s="1">
        <f ca="1">IFERROR(__xludf.DUMMYFUNCTION("""COMPUTED_VALUE"""),172.39)</f>
        <v>172.39</v>
      </c>
      <c r="F25" s="1">
        <f ca="1">IFERROR(__xludf.DUMMYFUNCTION("""COMPUTED_VALUE"""),82465400)</f>
        <v>82465400</v>
      </c>
    </row>
    <row r="26" spans="1:6" ht="15.75" customHeight="1">
      <c r="A26" s="2">
        <f ca="1">IFERROR(__xludf.DUMMYFUNCTION("""COMPUTED_VALUE"""),44599.6666666666)</f>
        <v>44599.666666666599</v>
      </c>
      <c r="B26" s="1">
        <f ca="1">IFERROR(__xludf.DUMMYFUNCTION("""COMPUTED_VALUE"""),172.86)</f>
        <v>172.86</v>
      </c>
      <c r="C26" s="1">
        <f ca="1">IFERROR(__xludf.DUMMYFUNCTION("""COMPUTED_VALUE"""),173.95)</f>
        <v>173.95</v>
      </c>
      <c r="D26" s="1">
        <f ca="1">IFERROR(__xludf.DUMMYFUNCTION("""COMPUTED_VALUE"""),170.95)</f>
        <v>170.95</v>
      </c>
      <c r="E26" s="1">
        <f ca="1">IFERROR(__xludf.DUMMYFUNCTION("""COMPUTED_VALUE"""),171.66)</f>
        <v>171.66</v>
      </c>
      <c r="F26" s="1">
        <f ca="1">IFERROR(__xludf.DUMMYFUNCTION("""COMPUTED_VALUE"""),77251204)</f>
        <v>77251204</v>
      </c>
    </row>
    <row r="27" spans="1:6" ht="15.75" customHeight="1">
      <c r="A27" s="2">
        <f ca="1">IFERROR(__xludf.DUMMYFUNCTION("""COMPUTED_VALUE"""),44600.6666666666)</f>
        <v>44600.666666666599</v>
      </c>
      <c r="B27" s="1">
        <f ca="1">IFERROR(__xludf.DUMMYFUNCTION("""COMPUTED_VALUE"""),171.73)</f>
        <v>171.73</v>
      </c>
      <c r="C27" s="1">
        <f ca="1">IFERROR(__xludf.DUMMYFUNCTION("""COMPUTED_VALUE"""),175.35)</f>
        <v>175.35</v>
      </c>
      <c r="D27" s="1">
        <f ca="1">IFERROR(__xludf.DUMMYFUNCTION("""COMPUTED_VALUE"""),171.43)</f>
        <v>171.43</v>
      </c>
      <c r="E27" s="1">
        <f ca="1">IFERROR(__xludf.DUMMYFUNCTION("""COMPUTED_VALUE"""),174.83)</f>
        <v>174.83</v>
      </c>
      <c r="F27" s="1">
        <f ca="1">IFERROR(__xludf.DUMMYFUNCTION("""COMPUTED_VALUE"""),74829217)</f>
        <v>74829217</v>
      </c>
    </row>
    <row r="28" spans="1:6" ht="15.75" customHeight="1">
      <c r="A28" s="2">
        <f ca="1">IFERROR(__xludf.DUMMYFUNCTION("""COMPUTED_VALUE"""),44601.6666666666)</f>
        <v>44601.666666666599</v>
      </c>
      <c r="B28" s="1">
        <f ca="1">IFERROR(__xludf.DUMMYFUNCTION("""COMPUTED_VALUE"""),176.05)</f>
        <v>176.05</v>
      </c>
      <c r="C28" s="1">
        <f ca="1">IFERROR(__xludf.DUMMYFUNCTION("""COMPUTED_VALUE"""),176.65)</f>
        <v>176.65</v>
      </c>
      <c r="D28" s="1">
        <f ca="1">IFERROR(__xludf.DUMMYFUNCTION("""COMPUTED_VALUE"""),174.9)</f>
        <v>174.9</v>
      </c>
      <c r="E28" s="1">
        <f ca="1">IFERROR(__xludf.DUMMYFUNCTION("""COMPUTED_VALUE"""),176.28)</f>
        <v>176.28</v>
      </c>
      <c r="F28" s="1">
        <f ca="1">IFERROR(__xludf.DUMMYFUNCTION("""COMPUTED_VALUE"""),71285038)</f>
        <v>71285038</v>
      </c>
    </row>
    <row r="29" spans="1:6" ht="15.75" customHeight="1">
      <c r="A29" s="2">
        <f ca="1">IFERROR(__xludf.DUMMYFUNCTION("""COMPUTED_VALUE"""),44602.6666666666)</f>
        <v>44602.666666666599</v>
      </c>
      <c r="B29" s="1">
        <f ca="1">IFERROR(__xludf.DUMMYFUNCTION("""COMPUTED_VALUE"""),174.14)</f>
        <v>174.14</v>
      </c>
      <c r="C29" s="1">
        <f ca="1">IFERROR(__xludf.DUMMYFUNCTION("""COMPUTED_VALUE"""),175.48)</f>
        <v>175.48</v>
      </c>
      <c r="D29" s="1">
        <f ca="1">IFERROR(__xludf.DUMMYFUNCTION("""COMPUTED_VALUE"""),171.55)</f>
        <v>171.55</v>
      </c>
      <c r="E29" s="1">
        <f ca="1">IFERROR(__xludf.DUMMYFUNCTION("""COMPUTED_VALUE"""),172.12)</f>
        <v>172.12</v>
      </c>
      <c r="F29" s="1">
        <f ca="1">IFERROR(__xludf.DUMMYFUNCTION("""COMPUTED_VALUE"""),90865899)</f>
        <v>90865899</v>
      </c>
    </row>
    <row r="30" spans="1:6" ht="15.75" customHeight="1">
      <c r="A30" s="2">
        <f ca="1">IFERROR(__xludf.DUMMYFUNCTION("""COMPUTED_VALUE"""),44603.6666666666)</f>
        <v>44603.666666666599</v>
      </c>
      <c r="B30" s="1">
        <f ca="1">IFERROR(__xludf.DUMMYFUNCTION("""COMPUTED_VALUE"""),172.33)</f>
        <v>172.33</v>
      </c>
      <c r="C30" s="1">
        <f ca="1">IFERROR(__xludf.DUMMYFUNCTION("""COMPUTED_VALUE"""),173.08)</f>
        <v>173.08</v>
      </c>
      <c r="D30" s="1">
        <f ca="1">IFERROR(__xludf.DUMMYFUNCTION("""COMPUTED_VALUE"""),168.04)</f>
        <v>168.04</v>
      </c>
      <c r="E30" s="1">
        <f ca="1">IFERROR(__xludf.DUMMYFUNCTION("""COMPUTED_VALUE"""),168.64)</f>
        <v>168.64</v>
      </c>
      <c r="F30" s="1">
        <f ca="1">IFERROR(__xludf.DUMMYFUNCTION("""COMPUTED_VALUE"""),98670687)</f>
        <v>98670687</v>
      </c>
    </row>
    <row r="31" spans="1:6" ht="15.75" customHeight="1">
      <c r="A31" s="2">
        <f ca="1">IFERROR(__xludf.DUMMYFUNCTION("""COMPUTED_VALUE"""),44606.6666666666)</f>
        <v>44606.666666666599</v>
      </c>
      <c r="B31" s="1">
        <f ca="1">IFERROR(__xludf.DUMMYFUNCTION("""COMPUTED_VALUE"""),167.37)</f>
        <v>167.37</v>
      </c>
      <c r="C31" s="1">
        <f ca="1">IFERROR(__xludf.DUMMYFUNCTION("""COMPUTED_VALUE"""),169.58)</f>
        <v>169.58</v>
      </c>
      <c r="D31" s="1">
        <f ca="1">IFERROR(__xludf.DUMMYFUNCTION("""COMPUTED_VALUE"""),166.56)</f>
        <v>166.56</v>
      </c>
      <c r="E31" s="1">
        <f ca="1">IFERROR(__xludf.DUMMYFUNCTION("""COMPUTED_VALUE"""),168.88)</f>
        <v>168.88</v>
      </c>
      <c r="F31" s="1">
        <f ca="1">IFERROR(__xludf.DUMMYFUNCTION("""COMPUTED_VALUE"""),86185530)</f>
        <v>86185530</v>
      </c>
    </row>
    <row r="32" spans="1:6" ht="15.75" customHeight="1">
      <c r="A32" s="2">
        <f ca="1">IFERROR(__xludf.DUMMYFUNCTION("""COMPUTED_VALUE"""),44607.6666666666)</f>
        <v>44607.666666666599</v>
      </c>
      <c r="B32" s="1">
        <f ca="1">IFERROR(__xludf.DUMMYFUNCTION("""COMPUTED_VALUE"""),170.97)</f>
        <v>170.97</v>
      </c>
      <c r="C32" s="1">
        <f ca="1">IFERROR(__xludf.DUMMYFUNCTION("""COMPUTED_VALUE"""),172.95)</f>
        <v>172.95</v>
      </c>
      <c r="D32" s="1">
        <f ca="1">IFERROR(__xludf.DUMMYFUNCTION("""COMPUTED_VALUE"""),170.25)</f>
        <v>170.25</v>
      </c>
      <c r="E32" s="1">
        <f ca="1">IFERROR(__xludf.DUMMYFUNCTION("""COMPUTED_VALUE"""),172.79)</f>
        <v>172.79</v>
      </c>
      <c r="F32" s="1">
        <f ca="1">IFERROR(__xludf.DUMMYFUNCTION("""COMPUTED_VALUE"""),64286320)</f>
        <v>64286320</v>
      </c>
    </row>
    <row r="33" spans="1:6" ht="15.75" customHeight="1">
      <c r="A33" s="2">
        <f ca="1">IFERROR(__xludf.DUMMYFUNCTION("""COMPUTED_VALUE"""),44608.6666666666)</f>
        <v>44608.666666666599</v>
      </c>
      <c r="B33" s="1">
        <f ca="1">IFERROR(__xludf.DUMMYFUNCTION("""COMPUTED_VALUE"""),171.85)</f>
        <v>171.85</v>
      </c>
      <c r="C33" s="1">
        <f ca="1">IFERROR(__xludf.DUMMYFUNCTION("""COMPUTED_VALUE"""),173.34)</f>
        <v>173.34</v>
      </c>
      <c r="D33" s="1">
        <f ca="1">IFERROR(__xludf.DUMMYFUNCTION("""COMPUTED_VALUE"""),170.05)</f>
        <v>170.05</v>
      </c>
      <c r="E33" s="1">
        <f ca="1">IFERROR(__xludf.DUMMYFUNCTION("""COMPUTED_VALUE"""),172.55)</f>
        <v>172.55</v>
      </c>
      <c r="F33" s="1">
        <f ca="1">IFERROR(__xludf.DUMMYFUNCTION("""COMPUTED_VALUE"""),61177398)</f>
        <v>61177398</v>
      </c>
    </row>
    <row r="34" spans="1:6" ht="15.75" customHeight="1">
      <c r="A34" s="2">
        <f ca="1">IFERROR(__xludf.DUMMYFUNCTION("""COMPUTED_VALUE"""),44609.6666666666)</f>
        <v>44609.666666666599</v>
      </c>
      <c r="B34" s="1">
        <f ca="1">IFERROR(__xludf.DUMMYFUNCTION("""COMPUTED_VALUE"""),171.03)</f>
        <v>171.03</v>
      </c>
      <c r="C34" s="1">
        <f ca="1">IFERROR(__xludf.DUMMYFUNCTION("""COMPUTED_VALUE"""),171.91)</f>
        <v>171.91</v>
      </c>
      <c r="D34" s="1">
        <f ca="1">IFERROR(__xludf.DUMMYFUNCTION("""COMPUTED_VALUE"""),168.47)</f>
        <v>168.47</v>
      </c>
      <c r="E34" s="1">
        <f ca="1">IFERROR(__xludf.DUMMYFUNCTION("""COMPUTED_VALUE"""),168.88)</f>
        <v>168.88</v>
      </c>
      <c r="F34" s="1">
        <f ca="1">IFERROR(__xludf.DUMMYFUNCTION("""COMPUTED_VALUE"""),69589344)</f>
        <v>69589344</v>
      </c>
    </row>
    <row r="35" spans="1:6" ht="15.75" customHeight="1">
      <c r="A35" s="2">
        <f ca="1">IFERROR(__xludf.DUMMYFUNCTION("""COMPUTED_VALUE"""),44610.6666666666)</f>
        <v>44610.666666666599</v>
      </c>
      <c r="B35" s="1">
        <f ca="1">IFERROR(__xludf.DUMMYFUNCTION("""COMPUTED_VALUE"""),169.82)</f>
        <v>169.82</v>
      </c>
      <c r="C35" s="1">
        <f ca="1">IFERROR(__xludf.DUMMYFUNCTION("""COMPUTED_VALUE"""),170.54)</f>
        <v>170.54</v>
      </c>
      <c r="D35" s="1">
        <f ca="1">IFERROR(__xludf.DUMMYFUNCTION("""COMPUTED_VALUE"""),166.19)</f>
        <v>166.19</v>
      </c>
      <c r="E35" s="1">
        <f ca="1">IFERROR(__xludf.DUMMYFUNCTION("""COMPUTED_VALUE"""),167.3)</f>
        <v>167.3</v>
      </c>
      <c r="F35" s="1">
        <f ca="1">IFERROR(__xludf.DUMMYFUNCTION("""COMPUTED_VALUE"""),82772674)</f>
        <v>82772674</v>
      </c>
    </row>
    <row r="36" spans="1:6" ht="15.75" customHeight="1">
      <c r="A36" s="2">
        <f ca="1">IFERROR(__xludf.DUMMYFUNCTION("""COMPUTED_VALUE"""),44614.6666666666)</f>
        <v>44614.666666666599</v>
      </c>
      <c r="B36" s="1">
        <f ca="1">IFERROR(__xludf.DUMMYFUNCTION("""COMPUTED_VALUE"""),164.98)</f>
        <v>164.98</v>
      </c>
      <c r="C36" s="1">
        <f ca="1">IFERROR(__xludf.DUMMYFUNCTION("""COMPUTED_VALUE"""),166.69)</f>
        <v>166.69</v>
      </c>
      <c r="D36" s="1">
        <f ca="1">IFERROR(__xludf.DUMMYFUNCTION("""COMPUTED_VALUE"""),162.15)</f>
        <v>162.15</v>
      </c>
      <c r="E36" s="1">
        <f ca="1">IFERROR(__xludf.DUMMYFUNCTION("""COMPUTED_VALUE"""),164.32)</f>
        <v>164.32</v>
      </c>
      <c r="F36" s="1">
        <f ca="1">IFERROR(__xludf.DUMMYFUNCTION("""COMPUTED_VALUE"""),91162758)</f>
        <v>91162758</v>
      </c>
    </row>
    <row r="37" spans="1:6" ht="12.6">
      <c r="A37" s="2">
        <f ca="1">IFERROR(__xludf.DUMMYFUNCTION("""COMPUTED_VALUE"""),44615.6666666666)</f>
        <v>44615.666666666599</v>
      </c>
      <c r="B37" s="1">
        <f ca="1">IFERROR(__xludf.DUMMYFUNCTION("""COMPUTED_VALUE"""),165.54)</f>
        <v>165.54</v>
      </c>
      <c r="C37" s="1">
        <f ca="1">IFERROR(__xludf.DUMMYFUNCTION("""COMPUTED_VALUE"""),166.15)</f>
        <v>166.15</v>
      </c>
      <c r="D37" s="1">
        <f ca="1">IFERROR(__xludf.DUMMYFUNCTION("""COMPUTED_VALUE"""),159.75)</f>
        <v>159.75</v>
      </c>
      <c r="E37" s="1">
        <f ca="1">IFERROR(__xludf.DUMMYFUNCTION("""COMPUTED_VALUE"""),160.07)</f>
        <v>160.07</v>
      </c>
      <c r="F37" s="1">
        <f ca="1">IFERROR(__xludf.DUMMYFUNCTION("""COMPUTED_VALUE"""),90009247)</f>
        <v>90009247</v>
      </c>
    </row>
    <row r="38" spans="1:6" ht="12.6">
      <c r="A38" s="2">
        <f ca="1">IFERROR(__xludf.DUMMYFUNCTION("""COMPUTED_VALUE"""),44616.6666666666)</f>
        <v>44616.666666666599</v>
      </c>
      <c r="B38" s="1">
        <f ca="1">IFERROR(__xludf.DUMMYFUNCTION("""COMPUTED_VALUE"""),152.58)</f>
        <v>152.58000000000001</v>
      </c>
      <c r="C38" s="1">
        <f ca="1">IFERROR(__xludf.DUMMYFUNCTION("""COMPUTED_VALUE"""),162.85)</f>
        <v>162.85</v>
      </c>
      <c r="D38" s="1">
        <f ca="1">IFERROR(__xludf.DUMMYFUNCTION("""COMPUTED_VALUE"""),152)</f>
        <v>152</v>
      </c>
      <c r="E38" s="1">
        <f ca="1">IFERROR(__xludf.DUMMYFUNCTION("""COMPUTED_VALUE"""),162.74)</f>
        <v>162.74</v>
      </c>
      <c r="F38" s="1">
        <f ca="1">IFERROR(__xludf.DUMMYFUNCTION("""COMPUTED_VALUE"""),141147540)</f>
        <v>141147540</v>
      </c>
    </row>
    <row r="39" spans="1:6" ht="12.6">
      <c r="A39" s="2">
        <f ca="1">IFERROR(__xludf.DUMMYFUNCTION("""COMPUTED_VALUE"""),44617.6666666666)</f>
        <v>44617.666666666599</v>
      </c>
      <c r="B39" s="1">
        <f ca="1">IFERROR(__xludf.DUMMYFUNCTION("""COMPUTED_VALUE"""),163.84)</f>
        <v>163.84</v>
      </c>
      <c r="C39" s="1">
        <f ca="1">IFERROR(__xludf.DUMMYFUNCTION("""COMPUTED_VALUE"""),165.12)</f>
        <v>165.12</v>
      </c>
      <c r="D39" s="1">
        <f ca="1">IFERROR(__xludf.DUMMYFUNCTION("""COMPUTED_VALUE"""),160.87)</f>
        <v>160.87</v>
      </c>
      <c r="E39" s="1">
        <f ca="1">IFERROR(__xludf.DUMMYFUNCTION("""COMPUTED_VALUE"""),164.85)</f>
        <v>164.85</v>
      </c>
      <c r="F39" s="1">
        <f ca="1">IFERROR(__xludf.DUMMYFUNCTION("""COMPUTED_VALUE"""),91974222)</f>
        <v>91974222</v>
      </c>
    </row>
    <row r="40" spans="1:6" ht="12.6">
      <c r="A40" s="2">
        <f ca="1">IFERROR(__xludf.DUMMYFUNCTION("""COMPUTED_VALUE"""),44620.6666666666)</f>
        <v>44620.666666666599</v>
      </c>
      <c r="B40" s="1">
        <f ca="1">IFERROR(__xludf.DUMMYFUNCTION("""COMPUTED_VALUE"""),163.06)</f>
        <v>163.06</v>
      </c>
      <c r="C40" s="1">
        <f ca="1">IFERROR(__xludf.DUMMYFUNCTION("""COMPUTED_VALUE"""),165.42)</f>
        <v>165.42</v>
      </c>
      <c r="D40" s="1">
        <f ca="1">IFERROR(__xludf.DUMMYFUNCTION("""COMPUTED_VALUE"""),162.43)</f>
        <v>162.43</v>
      </c>
      <c r="E40" s="1">
        <f ca="1">IFERROR(__xludf.DUMMYFUNCTION("""COMPUTED_VALUE"""),165.12)</f>
        <v>165.12</v>
      </c>
      <c r="F40" s="1">
        <f ca="1">IFERROR(__xludf.DUMMYFUNCTION("""COMPUTED_VALUE"""),95056629)</f>
        <v>95056629</v>
      </c>
    </row>
    <row r="41" spans="1:6" ht="12.6">
      <c r="A41" s="2">
        <f ca="1">IFERROR(__xludf.DUMMYFUNCTION("""COMPUTED_VALUE"""),44621.6666666666)</f>
        <v>44621.666666666599</v>
      </c>
      <c r="B41" s="1">
        <f ca="1">IFERROR(__xludf.DUMMYFUNCTION("""COMPUTED_VALUE"""),164.7)</f>
        <v>164.7</v>
      </c>
      <c r="C41" s="1">
        <f ca="1">IFERROR(__xludf.DUMMYFUNCTION("""COMPUTED_VALUE"""),166.6)</f>
        <v>166.6</v>
      </c>
      <c r="D41" s="1">
        <f ca="1">IFERROR(__xludf.DUMMYFUNCTION("""COMPUTED_VALUE"""),161.97)</f>
        <v>161.97</v>
      </c>
      <c r="E41" s="1">
        <f ca="1">IFERROR(__xludf.DUMMYFUNCTION("""COMPUTED_VALUE"""),163.2)</f>
        <v>163.19999999999999</v>
      </c>
      <c r="F41" s="1">
        <f ca="1">IFERROR(__xludf.DUMMYFUNCTION("""COMPUTED_VALUE"""),83474425)</f>
        <v>83474425</v>
      </c>
    </row>
    <row r="42" spans="1:6" ht="12.6">
      <c r="A42" s="2">
        <f ca="1">IFERROR(__xludf.DUMMYFUNCTION("""COMPUTED_VALUE"""),44622.6666666666)</f>
        <v>44622.666666666599</v>
      </c>
      <c r="B42" s="1">
        <f ca="1">IFERROR(__xludf.DUMMYFUNCTION("""COMPUTED_VALUE"""),164.39)</f>
        <v>164.39</v>
      </c>
      <c r="C42" s="1">
        <f ca="1">IFERROR(__xludf.DUMMYFUNCTION("""COMPUTED_VALUE"""),167.36)</f>
        <v>167.36</v>
      </c>
      <c r="D42" s="1">
        <f ca="1">IFERROR(__xludf.DUMMYFUNCTION("""COMPUTED_VALUE"""),162.95)</f>
        <v>162.94999999999999</v>
      </c>
      <c r="E42" s="1">
        <f ca="1">IFERROR(__xludf.DUMMYFUNCTION("""COMPUTED_VALUE"""),166.56)</f>
        <v>166.56</v>
      </c>
      <c r="F42" s="1">
        <f ca="1">IFERROR(__xludf.DUMMYFUNCTION("""COMPUTED_VALUE"""),79724750)</f>
        <v>79724750</v>
      </c>
    </row>
    <row r="43" spans="1:6" ht="12.6">
      <c r="A43" s="2">
        <f ca="1">IFERROR(__xludf.DUMMYFUNCTION("""COMPUTED_VALUE"""),44623.6666666666)</f>
        <v>44623.666666666599</v>
      </c>
      <c r="B43" s="1">
        <f ca="1">IFERROR(__xludf.DUMMYFUNCTION("""COMPUTED_VALUE"""),168.47)</f>
        <v>168.47</v>
      </c>
      <c r="C43" s="1">
        <f ca="1">IFERROR(__xludf.DUMMYFUNCTION("""COMPUTED_VALUE"""),168.91)</f>
        <v>168.91</v>
      </c>
      <c r="D43" s="1">
        <f ca="1">IFERROR(__xludf.DUMMYFUNCTION("""COMPUTED_VALUE"""),165.55)</f>
        <v>165.55</v>
      </c>
      <c r="E43" s="1">
        <f ca="1">IFERROR(__xludf.DUMMYFUNCTION("""COMPUTED_VALUE"""),166.23)</f>
        <v>166.23</v>
      </c>
      <c r="F43" s="1">
        <f ca="1">IFERROR(__xludf.DUMMYFUNCTION("""COMPUTED_VALUE"""),76678441)</f>
        <v>76678441</v>
      </c>
    </row>
    <row r="44" spans="1:6" ht="12.6">
      <c r="A44" s="2">
        <f ca="1">IFERROR(__xludf.DUMMYFUNCTION("""COMPUTED_VALUE"""),44624.6666666666)</f>
        <v>44624.666666666599</v>
      </c>
      <c r="B44" s="1">
        <f ca="1">IFERROR(__xludf.DUMMYFUNCTION("""COMPUTED_VALUE"""),164.49)</f>
        <v>164.49</v>
      </c>
      <c r="C44" s="1">
        <f ca="1">IFERROR(__xludf.DUMMYFUNCTION("""COMPUTED_VALUE"""),165.55)</f>
        <v>165.55</v>
      </c>
      <c r="D44" s="1">
        <f ca="1">IFERROR(__xludf.DUMMYFUNCTION("""COMPUTED_VALUE"""),162.1)</f>
        <v>162.1</v>
      </c>
      <c r="E44" s="1">
        <f ca="1">IFERROR(__xludf.DUMMYFUNCTION("""COMPUTED_VALUE"""),163.17)</f>
        <v>163.16999999999999</v>
      </c>
      <c r="F44" s="1">
        <f ca="1">IFERROR(__xludf.DUMMYFUNCTION("""COMPUTED_VALUE"""),83819592)</f>
        <v>83819592</v>
      </c>
    </row>
    <row r="45" spans="1:6" ht="12.6">
      <c r="A45" s="2">
        <f ca="1">IFERROR(__xludf.DUMMYFUNCTION("""COMPUTED_VALUE"""),44627.6666666666)</f>
        <v>44627.666666666599</v>
      </c>
      <c r="B45" s="1">
        <f ca="1">IFERROR(__xludf.DUMMYFUNCTION("""COMPUTED_VALUE"""),163.36)</f>
        <v>163.36000000000001</v>
      </c>
      <c r="C45" s="1">
        <f ca="1">IFERROR(__xludf.DUMMYFUNCTION("""COMPUTED_VALUE"""),165.02)</f>
        <v>165.02</v>
      </c>
      <c r="D45" s="1">
        <f ca="1">IFERROR(__xludf.DUMMYFUNCTION("""COMPUTED_VALUE"""),159.04)</f>
        <v>159.04</v>
      </c>
      <c r="E45" s="1">
        <f ca="1">IFERROR(__xludf.DUMMYFUNCTION("""COMPUTED_VALUE"""),159.3)</f>
        <v>159.30000000000001</v>
      </c>
      <c r="F45" s="1">
        <f ca="1">IFERROR(__xludf.DUMMYFUNCTION("""COMPUTED_VALUE"""),96418845)</f>
        <v>96418845</v>
      </c>
    </row>
    <row r="46" spans="1:6" ht="12.6">
      <c r="A46" s="2">
        <f ca="1">IFERROR(__xludf.DUMMYFUNCTION("""COMPUTED_VALUE"""),44628.6666666666)</f>
        <v>44628.666666666599</v>
      </c>
      <c r="B46" s="1">
        <f ca="1">IFERROR(__xludf.DUMMYFUNCTION("""COMPUTED_VALUE"""),158.82)</f>
        <v>158.82</v>
      </c>
      <c r="C46" s="1">
        <f ca="1">IFERROR(__xludf.DUMMYFUNCTION("""COMPUTED_VALUE"""),162.88)</f>
        <v>162.88</v>
      </c>
      <c r="D46" s="1">
        <f ca="1">IFERROR(__xludf.DUMMYFUNCTION("""COMPUTED_VALUE"""),155.8)</f>
        <v>155.80000000000001</v>
      </c>
      <c r="E46" s="1">
        <f ca="1">IFERROR(__xludf.DUMMYFUNCTION("""COMPUTED_VALUE"""),157.44)</f>
        <v>157.44</v>
      </c>
      <c r="F46" s="1">
        <f ca="1">IFERROR(__xludf.DUMMYFUNCTION("""COMPUTED_VALUE"""),131148280)</f>
        <v>131148280</v>
      </c>
    </row>
    <row r="47" spans="1:6" ht="12.6">
      <c r="A47" s="2">
        <f ca="1">IFERROR(__xludf.DUMMYFUNCTION("""COMPUTED_VALUE"""),44629.6666666666)</f>
        <v>44629.666666666599</v>
      </c>
      <c r="B47" s="1">
        <f ca="1">IFERROR(__xludf.DUMMYFUNCTION("""COMPUTED_VALUE"""),161.48)</f>
        <v>161.47999999999999</v>
      </c>
      <c r="C47" s="1">
        <f ca="1">IFERROR(__xludf.DUMMYFUNCTION("""COMPUTED_VALUE"""),163.41)</f>
        <v>163.41</v>
      </c>
      <c r="D47" s="1">
        <f ca="1">IFERROR(__xludf.DUMMYFUNCTION("""COMPUTED_VALUE"""),159.41)</f>
        <v>159.41</v>
      </c>
      <c r="E47" s="1">
        <f ca="1">IFERROR(__xludf.DUMMYFUNCTION("""COMPUTED_VALUE"""),162.95)</f>
        <v>162.94999999999999</v>
      </c>
      <c r="F47" s="1">
        <f ca="1">IFERROR(__xludf.DUMMYFUNCTION("""COMPUTED_VALUE"""),91454905)</f>
        <v>91454905</v>
      </c>
    </row>
    <row r="48" spans="1:6" ht="12.6">
      <c r="A48" s="2">
        <f ca="1">IFERROR(__xludf.DUMMYFUNCTION("""COMPUTED_VALUE"""),44630.6666666666)</f>
        <v>44630.666666666599</v>
      </c>
      <c r="B48" s="1">
        <f ca="1">IFERROR(__xludf.DUMMYFUNCTION("""COMPUTED_VALUE"""),160.2)</f>
        <v>160.19999999999999</v>
      </c>
      <c r="C48" s="1">
        <f ca="1">IFERROR(__xludf.DUMMYFUNCTION("""COMPUTED_VALUE"""),160.39)</f>
        <v>160.38999999999999</v>
      </c>
      <c r="D48" s="1">
        <f ca="1">IFERROR(__xludf.DUMMYFUNCTION("""COMPUTED_VALUE"""),155.98)</f>
        <v>155.97999999999999</v>
      </c>
      <c r="E48" s="1">
        <f ca="1">IFERROR(__xludf.DUMMYFUNCTION("""COMPUTED_VALUE"""),158.52)</f>
        <v>158.52000000000001</v>
      </c>
      <c r="F48" s="1">
        <f ca="1">IFERROR(__xludf.DUMMYFUNCTION("""COMPUTED_VALUE"""),105342033)</f>
        <v>105342033</v>
      </c>
    </row>
    <row r="49" spans="1:6" ht="12.6">
      <c r="A49" s="2">
        <f ca="1">IFERROR(__xludf.DUMMYFUNCTION("""COMPUTED_VALUE"""),44631.6666666666)</f>
        <v>44631.666666666599</v>
      </c>
      <c r="B49" s="1">
        <f ca="1">IFERROR(__xludf.DUMMYFUNCTION("""COMPUTED_VALUE"""),158.93)</f>
        <v>158.93</v>
      </c>
      <c r="C49" s="1">
        <f ca="1">IFERROR(__xludf.DUMMYFUNCTION("""COMPUTED_VALUE"""),159.28)</f>
        <v>159.28</v>
      </c>
      <c r="D49" s="1">
        <f ca="1">IFERROR(__xludf.DUMMYFUNCTION("""COMPUTED_VALUE"""),154.5)</f>
        <v>154.5</v>
      </c>
      <c r="E49" s="1">
        <f ca="1">IFERROR(__xludf.DUMMYFUNCTION("""COMPUTED_VALUE"""),154.73)</f>
        <v>154.72999999999999</v>
      </c>
      <c r="F49" s="1">
        <f ca="1">IFERROR(__xludf.DUMMYFUNCTION("""COMPUTED_VALUE"""),96970102)</f>
        <v>96970102</v>
      </c>
    </row>
    <row r="50" spans="1:6" ht="12.6">
      <c r="A50" s="2">
        <f ca="1">IFERROR(__xludf.DUMMYFUNCTION("""COMPUTED_VALUE"""),44634.6666666666)</f>
        <v>44634.666666666599</v>
      </c>
      <c r="B50" s="1">
        <f ca="1">IFERROR(__xludf.DUMMYFUNCTION("""COMPUTED_VALUE"""),151.45)</f>
        <v>151.44999999999999</v>
      </c>
      <c r="C50" s="1">
        <f ca="1">IFERROR(__xludf.DUMMYFUNCTION("""COMPUTED_VALUE"""),154.12)</f>
        <v>154.12</v>
      </c>
      <c r="D50" s="1">
        <f ca="1">IFERROR(__xludf.DUMMYFUNCTION("""COMPUTED_VALUE"""),150.1)</f>
        <v>150.1</v>
      </c>
      <c r="E50" s="1">
        <f ca="1">IFERROR(__xludf.DUMMYFUNCTION("""COMPUTED_VALUE"""),150.62)</f>
        <v>150.62</v>
      </c>
      <c r="F50" s="1">
        <f ca="1">IFERROR(__xludf.DUMMYFUNCTION("""COMPUTED_VALUE"""),108732111)</f>
        <v>108732111</v>
      </c>
    </row>
    <row r="51" spans="1:6" ht="12.6">
      <c r="A51" s="2">
        <f ca="1">IFERROR(__xludf.DUMMYFUNCTION("""COMPUTED_VALUE"""),44635.6666666666)</f>
        <v>44635.666666666599</v>
      </c>
      <c r="B51" s="1">
        <f ca="1">IFERROR(__xludf.DUMMYFUNCTION("""COMPUTED_VALUE"""),150.9)</f>
        <v>150.9</v>
      </c>
      <c r="C51" s="1">
        <f ca="1">IFERROR(__xludf.DUMMYFUNCTION("""COMPUTED_VALUE"""),155.57)</f>
        <v>155.57</v>
      </c>
      <c r="D51" s="1">
        <f ca="1">IFERROR(__xludf.DUMMYFUNCTION("""COMPUTED_VALUE"""),150.38)</f>
        <v>150.38</v>
      </c>
      <c r="E51" s="1">
        <f ca="1">IFERROR(__xludf.DUMMYFUNCTION("""COMPUTED_VALUE"""),155.09)</f>
        <v>155.09</v>
      </c>
      <c r="F51" s="1">
        <f ca="1">IFERROR(__xludf.DUMMYFUNCTION("""COMPUTED_VALUE"""),92964302)</f>
        <v>92964302</v>
      </c>
    </row>
    <row r="52" spans="1:6" ht="12.6">
      <c r="A52" s="2">
        <f ca="1">IFERROR(__xludf.DUMMYFUNCTION("""COMPUTED_VALUE"""),44636.6666666666)</f>
        <v>44636.666666666599</v>
      </c>
      <c r="B52" s="1">
        <f ca="1">IFERROR(__xludf.DUMMYFUNCTION("""COMPUTED_VALUE"""),157.05)</f>
        <v>157.05000000000001</v>
      </c>
      <c r="C52" s="1">
        <f ca="1">IFERROR(__xludf.DUMMYFUNCTION("""COMPUTED_VALUE"""),160)</f>
        <v>160</v>
      </c>
      <c r="D52" s="1">
        <f ca="1">IFERROR(__xludf.DUMMYFUNCTION("""COMPUTED_VALUE"""),154.46)</f>
        <v>154.46</v>
      </c>
      <c r="E52" s="1">
        <f ca="1">IFERROR(__xludf.DUMMYFUNCTION("""COMPUTED_VALUE"""),159.59)</f>
        <v>159.59</v>
      </c>
      <c r="F52" s="1">
        <f ca="1">IFERROR(__xludf.DUMMYFUNCTION("""COMPUTED_VALUE"""),102300157)</f>
        <v>102300157</v>
      </c>
    </row>
    <row r="53" spans="1:6" ht="12.6">
      <c r="A53" s="2">
        <f ca="1">IFERROR(__xludf.DUMMYFUNCTION("""COMPUTED_VALUE"""),44637.6666666666)</f>
        <v>44637.666666666599</v>
      </c>
      <c r="B53" s="1">
        <f ca="1">IFERROR(__xludf.DUMMYFUNCTION("""COMPUTED_VALUE"""),158.61)</f>
        <v>158.61000000000001</v>
      </c>
      <c r="C53" s="1">
        <f ca="1">IFERROR(__xludf.DUMMYFUNCTION("""COMPUTED_VALUE"""),161)</f>
        <v>161</v>
      </c>
      <c r="D53" s="1">
        <f ca="1">IFERROR(__xludf.DUMMYFUNCTION("""COMPUTED_VALUE"""),157.63)</f>
        <v>157.63</v>
      </c>
      <c r="E53" s="1">
        <f ca="1">IFERROR(__xludf.DUMMYFUNCTION("""COMPUTED_VALUE"""),160.62)</f>
        <v>160.62</v>
      </c>
      <c r="F53" s="1">
        <f ca="1">IFERROR(__xludf.DUMMYFUNCTION("""COMPUTED_VALUE"""),75615376)</f>
        <v>75615376</v>
      </c>
    </row>
    <row r="54" spans="1:6" ht="12.6">
      <c r="A54" s="2">
        <f ca="1">IFERROR(__xludf.DUMMYFUNCTION("""COMPUTED_VALUE"""),44638.6666666666)</f>
        <v>44638.666666666599</v>
      </c>
      <c r="B54" s="1">
        <f ca="1">IFERROR(__xludf.DUMMYFUNCTION("""COMPUTED_VALUE"""),160.51)</f>
        <v>160.51</v>
      </c>
      <c r="C54" s="1">
        <f ca="1">IFERROR(__xludf.DUMMYFUNCTION("""COMPUTED_VALUE"""),164.48)</f>
        <v>164.48</v>
      </c>
      <c r="D54" s="1">
        <f ca="1">IFERROR(__xludf.DUMMYFUNCTION("""COMPUTED_VALUE"""),159.76)</f>
        <v>159.76</v>
      </c>
      <c r="E54" s="1">
        <f ca="1">IFERROR(__xludf.DUMMYFUNCTION("""COMPUTED_VALUE"""),163.98)</f>
        <v>163.98</v>
      </c>
      <c r="F54" s="1">
        <f ca="1">IFERROR(__xludf.DUMMYFUNCTION("""COMPUTED_VALUE"""),123511692)</f>
        <v>123511692</v>
      </c>
    </row>
    <row r="55" spans="1:6" ht="12.6">
      <c r="A55" s="2">
        <f ca="1">IFERROR(__xludf.DUMMYFUNCTION("""COMPUTED_VALUE"""),44641.6666666666)</f>
        <v>44641.666666666599</v>
      </c>
      <c r="B55" s="1">
        <f ca="1">IFERROR(__xludf.DUMMYFUNCTION("""COMPUTED_VALUE"""),163.51)</f>
        <v>163.51</v>
      </c>
      <c r="C55" s="1">
        <f ca="1">IFERROR(__xludf.DUMMYFUNCTION("""COMPUTED_VALUE"""),166.35)</f>
        <v>166.35</v>
      </c>
      <c r="D55" s="1">
        <f ca="1">IFERROR(__xludf.DUMMYFUNCTION("""COMPUTED_VALUE"""),163.01)</f>
        <v>163.01</v>
      </c>
      <c r="E55" s="1">
        <f ca="1">IFERROR(__xludf.DUMMYFUNCTION("""COMPUTED_VALUE"""),165.38)</f>
        <v>165.38</v>
      </c>
      <c r="F55" s="1">
        <f ca="1">IFERROR(__xludf.DUMMYFUNCTION("""COMPUTED_VALUE"""),95811352)</f>
        <v>95811352</v>
      </c>
    </row>
    <row r="56" spans="1:6" ht="12.6">
      <c r="A56" s="2">
        <f ca="1">IFERROR(__xludf.DUMMYFUNCTION("""COMPUTED_VALUE"""),44642.6666666666)</f>
        <v>44642.666666666599</v>
      </c>
      <c r="B56" s="1">
        <f ca="1">IFERROR(__xludf.DUMMYFUNCTION("""COMPUTED_VALUE"""),165.51)</f>
        <v>165.51</v>
      </c>
      <c r="C56" s="1">
        <f ca="1">IFERROR(__xludf.DUMMYFUNCTION("""COMPUTED_VALUE"""),169.42)</f>
        <v>169.42</v>
      </c>
      <c r="D56" s="1">
        <f ca="1">IFERROR(__xludf.DUMMYFUNCTION("""COMPUTED_VALUE"""),164.91)</f>
        <v>164.91</v>
      </c>
      <c r="E56" s="1">
        <f ca="1">IFERROR(__xludf.DUMMYFUNCTION("""COMPUTED_VALUE"""),168.82)</f>
        <v>168.82</v>
      </c>
      <c r="F56" s="1">
        <f ca="1">IFERROR(__xludf.DUMMYFUNCTION("""COMPUTED_VALUE"""),81532007)</f>
        <v>81532007</v>
      </c>
    </row>
    <row r="57" spans="1:6" ht="12.6">
      <c r="A57" s="2">
        <f ca="1">IFERROR(__xludf.DUMMYFUNCTION("""COMPUTED_VALUE"""),44643.6666666666)</f>
        <v>44643.666666666599</v>
      </c>
      <c r="B57" s="1">
        <f ca="1">IFERROR(__xludf.DUMMYFUNCTION("""COMPUTED_VALUE"""),167.99)</f>
        <v>167.99</v>
      </c>
      <c r="C57" s="1">
        <f ca="1">IFERROR(__xludf.DUMMYFUNCTION("""COMPUTED_VALUE"""),172.64)</f>
        <v>172.64</v>
      </c>
      <c r="D57" s="1">
        <f ca="1">IFERROR(__xludf.DUMMYFUNCTION("""COMPUTED_VALUE"""),167.65)</f>
        <v>167.65</v>
      </c>
      <c r="E57" s="1">
        <f ca="1">IFERROR(__xludf.DUMMYFUNCTION("""COMPUTED_VALUE"""),170.21)</f>
        <v>170.21</v>
      </c>
      <c r="F57" s="1">
        <f ca="1">IFERROR(__xludf.DUMMYFUNCTION("""COMPUTED_VALUE"""),98062674)</f>
        <v>98062674</v>
      </c>
    </row>
    <row r="58" spans="1:6" ht="12.6">
      <c r="A58" s="2">
        <f ca="1">IFERROR(__xludf.DUMMYFUNCTION("""COMPUTED_VALUE"""),44644.6666666666)</f>
        <v>44644.666666666599</v>
      </c>
      <c r="B58" s="1">
        <f ca="1">IFERROR(__xludf.DUMMYFUNCTION("""COMPUTED_VALUE"""),171.06)</f>
        <v>171.06</v>
      </c>
      <c r="C58" s="1">
        <f ca="1">IFERROR(__xludf.DUMMYFUNCTION("""COMPUTED_VALUE"""),174.14)</f>
        <v>174.14</v>
      </c>
      <c r="D58" s="1">
        <f ca="1">IFERROR(__xludf.DUMMYFUNCTION("""COMPUTED_VALUE"""),170.21)</f>
        <v>170.21</v>
      </c>
      <c r="E58" s="1">
        <f ca="1">IFERROR(__xludf.DUMMYFUNCTION("""COMPUTED_VALUE"""),174.07)</f>
        <v>174.07</v>
      </c>
      <c r="F58" s="1">
        <f ca="1">IFERROR(__xludf.DUMMYFUNCTION("""COMPUTED_VALUE"""),90131418)</f>
        <v>90131418</v>
      </c>
    </row>
    <row r="59" spans="1:6" ht="12.6">
      <c r="A59" s="2">
        <f ca="1">IFERROR(__xludf.DUMMYFUNCTION("""COMPUTED_VALUE"""),44645.6666666666)</f>
        <v>44645.666666666599</v>
      </c>
      <c r="B59" s="1">
        <f ca="1">IFERROR(__xludf.DUMMYFUNCTION("""COMPUTED_VALUE"""),173.88)</f>
        <v>173.88</v>
      </c>
      <c r="C59" s="1">
        <f ca="1">IFERROR(__xludf.DUMMYFUNCTION("""COMPUTED_VALUE"""),175.28)</f>
        <v>175.28</v>
      </c>
      <c r="D59" s="1">
        <f ca="1">IFERROR(__xludf.DUMMYFUNCTION("""COMPUTED_VALUE"""),172.75)</f>
        <v>172.75</v>
      </c>
      <c r="E59" s="1">
        <f ca="1">IFERROR(__xludf.DUMMYFUNCTION("""COMPUTED_VALUE"""),174.72)</f>
        <v>174.72</v>
      </c>
      <c r="F59" s="1">
        <f ca="1">IFERROR(__xludf.DUMMYFUNCTION("""COMPUTED_VALUE"""),80546156)</f>
        <v>80546156</v>
      </c>
    </row>
    <row r="60" spans="1:6" ht="12.6">
      <c r="A60" s="2">
        <f ca="1">IFERROR(__xludf.DUMMYFUNCTION("""COMPUTED_VALUE"""),44648.6666666666)</f>
        <v>44648.666666666599</v>
      </c>
      <c r="B60" s="1">
        <f ca="1">IFERROR(__xludf.DUMMYFUNCTION("""COMPUTED_VALUE"""),172.17)</f>
        <v>172.17</v>
      </c>
      <c r="C60" s="1">
        <f ca="1">IFERROR(__xludf.DUMMYFUNCTION("""COMPUTED_VALUE"""),175.73)</f>
        <v>175.73</v>
      </c>
      <c r="D60" s="1">
        <f ca="1">IFERROR(__xludf.DUMMYFUNCTION("""COMPUTED_VALUE"""),172)</f>
        <v>172</v>
      </c>
      <c r="E60" s="1">
        <f ca="1">IFERROR(__xludf.DUMMYFUNCTION("""COMPUTED_VALUE"""),175.6)</f>
        <v>175.6</v>
      </c>
      <c r="F60" s="1">
        <f ca="1">IFERROR(__xludf.DUMMYFUNCTION("""COMPUTED_VALUE"""),90371916)</f>
        <v>90371916</v>
      </c>
    </row>
    <row r="61" spans="1:6" ht="12.6">
      <c r="A61" s="2">
        <f ca="1">IFERROR(__xludf.DUMMYFUNCTION("""COMPUTED_VALUE"""),44649.6666666666)</f>
        <v>44649.666666666599</v>
      </c>
      <c r="B61" s="1">
        <f ca="1">IFERROR(__xludf.DUMMYFUNCTION("""COMPUTED_VALUE"""),176.69)</f>
        <v>176.69</v>
      </c>
      <c r="C61" s="1">
        <f ca="1">IFERROR(__xludf.DUMMYFUNCTION("""COMPUTED_VALUE"""),179.01)</f>
        <v>179.01</v>
      </c>
      <c r="D61" s="1">
        <f ca="1">IFERROR(__xludf.DUMMYFUNCTION("""COMPUTED_VALUE"""),176.34)</f>
        <v>176.34</v>
      </c>
      <c r="E61" s="1">
        <f ca="1">IFERROR(__xludf.DUMMYFUNCTION("""COMPUTED_VALUE"""),178.96)</f>
        <v>178.96</v>
      </c>
      <c r="F61" s="1">
        <f ca="1">IFERROR(__xludf.DUMMYFUNCTION("""COMPUTED_VALUE"""),100589440)</f>
        <v>100589440</v>
      </c>
    </row>
    <row r="62" spans="1:6" ht="12.6">
      <c r="A62" s="2">
        <f ca="1">IFERROR(__xludf.DUMMYFUNCTION("""COMPUTED_VALUE"""),44650.6666666666)</f>
        <v>44650.666666666599</v>
      </c>
      <c r="B62" s="1">
        <f ca="1">IFERROR(__xludf.DUMMYFUNCTION("""COMPUTED_VALUE"""),178.55)</f>
        <v>178.55</v>
      </c>
      <c r="C62" s="1">
        <f ca="1">IFERROR(__xludf.DUMMYFUNCTION("""COMPUTED_VALUE"""),179.61)</f>
        <v>179.61</v>
      </c>
      <c r="D62" s="1">
        <f ca="1">IFERROR(__xludf.DUMMYFUNCTION("""COMPUTED_VALUE"""),176.7)</f>
        <v>176.7</v>
      </c>
      <c r="E62" s="1">
        <f ca="1">IFERROR(__xludf.DUMMYFUNCTION("""COMPUTED_VALUE"""),177.77)</f>
        <v>177.77</v>
      </c>
      <c r="F62" s="1">
        <f ca="1">IFERROR(__xludf.DUMMYFUNCTION("""COMPUTED_VALUE"""),92633154)</f>
        <v>92633154</v>
      </c>
    </row>
    <row r="63" spans="1:6" ht="12.6">
      <c r="A63" s="2">
        <f ca="1">IFERROR(__xludf.DUMMYFUNCTION("""COMPUTED_VALUE"""),44651.6666666666)</f>
        <v>44651.666666666599</v>
      </c>
      <c r="B63" s="1">
        <f ca="1">IFERROR(__xludf.DUMMYFUNCTION("""COMPUTED_VALUE"""),177.84)</f>
        <v>177.84</v>
      </c>
      <c r="C63" s="1">
        <f ca="1">IFERROR(__xludf.DUMMYFUNCTION("""COMPUTED_VALUE"""),178.03)</f>
        <v>178.03</v>
      </c>
      <c r="D63" s="1">
        <f ca="1">IFERROR(__xludf.DUMMYFUNCTION("""COMPUTED_VALUE"""),174.4)</f>
        <v>174.4</v>
      </c>
      <c r="E63" s="1">
        <f ca="1">IFERROR(__xludf.DUMMYFUNCTION("""COMPUTED_VALUE"""),174.61)</f>
        <v>174.61</v>
      </c>
      <c r="F63" s="1">
        <f ca="1">IFERROR(__xludf.DUMMYFUNCTION("""COMPUTED_VALUE"""),103049285)</f>
        <v>103049285</v>
      </c>
    </row>
    <row r="64" spans="1:6" ht="12.6">
      <c r="A64" s="2">
        <f ca="1">IFERROR(__xludf.DUMMYFUNCTION("""COMPUTED_VALUE"""),44652.6666666666)</f>
        <v>44652.666666666599</v>
      </c>
      <c r="B64" s="1">
        <f ca="1">IFERROR(__xludf.DUMMYFUNCTION("""COMPUTED_VALUE"""),174.03)</f>
        <v>174.03</v>
      </c>
      <c r="C64" s="1">
        <f ca="1">IFERROR(__xludf.DUMMYFUNCTION("""COMPUTED_VALUE"""),174.88)</f>
        <v>174.88</v>
      </c>
      <c r="D64" s="1">
        <f ca="1">IFERROR(__xludf.DUMMYFUNCTION("""COMPUTED_VALUE"""),171.94)</f>
        <v>171.94</v>
      </c>
      <c r="E64" s="1">
        <f ca="1">IFERROR(__xludf.DUMMYFUNCTION("""COMPUTED_VALUE"""),174.31)</f>
        <v>174.31</v>
      </c>
      <c r="F64" s="1">
        <f ca="1">IFERROR(__xludf.DUMMYFUNCTION("""COMPUTED_VALUE"""),78751328)</f>
        <v>78751328</v>
      </c>
    </row>
    <row r="65" spans="1:6" ht="12.6">
      <c r="A65" s="2">
        <f ca="1">IFERROR(__xludf.DUMMYFUNCTION("""COMPUTED_VALUE"""),44655.6666666666)</f>
        <v>44655.666666666599</v>
      </c>
      <c r="B65" s="1">
        <f ca="1">IFERROR(__xludf.DUMMYFUNCTION("""COMPUTED_VALUE"""),174.57)</f>
        <v>174.57</v>
      </c>
      <c r="C65" s="1">
        <f ca="1">IFERROR(__xludf.DUMMYFUNCTION("""COMPUTED_VALUE"""),178.49)</f>
        <v>178.49</v>
      </c>
      <c r="D65" s="1">
        <f ca="1">IFERROR(__xludf.DUMMYFUNCTION("""COMPUTED_VALUE"""),174.44)</f>
        <v>174.44</v>
      </c>
      <c r="E65" s="1">
        <f ca="1">IFERROR(__xludf.DUMMYFUNCTION("""COMPUTED_VALUE"""),178.44)</f>
        <v>178.44</v>
      </c>
      <c r="F65" s="1">
        <f ca="1">IFERROR(__xludf.DUMMYFUNCTION("""COMPUTED_VALUE"""),76545983)</f>
        <v>76545983</v>
      </c>
    </row>
    <row r="66" spans="1:6" ht="12.6">
      <c r="A66" s="2">
        <f ca="1">IFERROR(__xludf.DUMMYFUNCTION("""COMPUTED_VALUE"""),44656.6666666666)</f>
        <v>44656.666666666599</v>
      </c>
      <c r="B66" s="1">
        <f ca="1">IFERROR(__xludf.DUMMYFUNCTION("""COMPUTED_VALUE"""),177.5)</f>
        <v>177.5</v>
      </c>
      <c r="C66" s="1">
        <f ca="1">IFERROR(__xludf.DUMMYFUNCTION("""COMPUTED_VALUE"""),178.3)</f>
        <v>178.3</v>
      </c>
      <c r="D66" s="1">
        <f ca="1">IFERROR(__xludf.DUMMYFUNCTION("""COMPUTED_VALUE"""),174.42)</f>
        <v>174.42</v>
      </c>
      <c r="E66" s="1">
        <f ca="1">IFERROR(__xludf.DUMMYFUNCTION("""COMPUTED_VALUE"""),175.06)</f>
        <v>175.06</v>
      </c>
      <c r="F66" s="1">
        <f ca="1">IFERROR(__xludf.DUMMYFUNCTION("""COMPUTED_VALUE"""),73401786)</f>
        <v>73401786</v>
      </c>
    </row>
    <row r="67" spans="1:6" ht="12.6">
      <c r="A67" s="2">
        <f ca="1">IFERROR(__xludf.DUMMYFUNCTION("""COMPUTED_VALUE"""),44657.6666666666)</f>
        <v>44657.666666666599</v>
      </c>
      <c r="B67" s="1">
        <f ca="1">IFERROR(__xludf.DUMMYFUNCTION("""COMPUTED_VALUE"""),172.36)</f>
        <v>172.36</v>
      </c>
      <c r="C67" s="1">
        <f ca="1">IFERROR(__xludf.DUMMYFUNCTION("""COMPUTED_VALUE"""),173.63)</f>
        <v>173.63</v>
      </c>
      <c r="D67" s="1">
        <f ca="1">IFERROR(__xludf.DUMMYFUNCTION("""COMPUTED_VALUE"""),170.13)</f>
        <v>170.13</v>
      </c>
      <c r="E67" s="1">
        <f ca="1">IFERROR(__xludf.DUMMYFUNCTION("""COMPUTED_VALUE"""),171.83)</f>
        <v>171.83</v>
      </c>
      <c r="F67" s="1">
        <f ca="1">IFERROR(__xludf.DUMMYFUNCTION("""COMPUTED_VALUE"""),89058782)</f>
        <v>89058782</v>
      </c>
    </row>
    <row r="68" spans="1:6" ht="12.6">
      <c r="A68" s="2">
        <f ca="1">IFERROR(__xludf.DUMMYFUNCTION("""COMPUTED_VALUE"""),44658.6666666666)</f>
        <v>44658.666666666599</v>
      </c>
      <c r="B68" s="1">
        <f ca="1">IFERROR(__xludf.DUMMYFUNCTION("""COMPUTED_VALUE"""),171.16)</f>
        <v>171.16</v>
      </c>
      <c r="C68" s="1">
        <f ca="1">IFERROR(__xludf.DUMMYFUNCTION("""COMPUTED_VALUE"""),173.36)</f>
        <v>173.36</v>
      </c>
      <c r="D68" s="1">
        <f ca="1">IFERROR(__xludf.DUMMYFUNCTION("""COMPUTED_VALUE"""),169.85)</f>
        <v>169.85</v>
      </c>
      <c r="E68" s="1">
        <f ca="1">IFERROR(__xludf.DUMMYFUNCTION("""COMPUTED_VALUE"""),172.14)</f>
        <v>172.14</v>
      </c>
      <c r="F68" s="1">
        <f ca="1">IFERROR(__xludf.DUMMYFUNCTION("""COMPUTED_VALUE"""),77594650)</f>
        <v>77594650</v>
      </c>
    </row>
    <row r="69" spans="1:6" ht="12.6">
      <c r="A69" s="2">
        <f ca="1">IFERROR(__xludf.DUMMYFUNCTION("""COMPUTED_VALUE"""),44659.6666666666)</f>
        <v>44659.666666666599</v>
      </c>
      <c r="B69" s="1">
        <f ca="1">IFERROR(__xludf.DUMMYFUNCTION("""COMPUTED_VALUE"""),171.78)</f>
        <v>171.78</v>
      </c>
      <c r="C69" s="1">
        <f ca="1">IFERROR(__xludf.DUMMYFUNCTION("""COMPUTED_VALUE"""),171.78)</f>
        <v>171.78</v>
      </c>
      <c r="D69" s="1">
        <f ca="1">IFERROR(__xludf.DUMMYFUNCTION("""COMPUTED_VALUE"""),169.2)</f>
        <v>169.2</v>
      </c>
      <c r="E69" s="1">
        <f ca="1">IFERROR(__xludf.DUMMYFUNCTION("""COMPUTED_VALUE"""),170.09)</f>
        <v>170.09</v>
      </c>
      <c r="F69" s="1">
        <f ca="1">IFERROR(__xludf.DUMMYFUNCTION("""COMPUTED_VALUE"""),76575508)</f>
        <v>76575508</v>
      </c>
    </row>
    <row r="70" spans="1:6" ht="12.6">
      <c r="A70" s="2">
        <f ca="1">IFERROR(__xludf.DUMMYFUNCTION("""COMPUTED_VALUE"""),44662.6666666666)</f>
        <v>44662.666666666599</v>
      </c>
      <c r="B70" s="1">
        <f ca="1">IFERROR(__xludf.DUMMYFUNCTION("""COMPUTED_VALUE"""),168.71)</f>
        <v>168.71</v>
      </c>
      <c r="C70" s="1">
        <f ca="1">IFERROR(__xludf.DUMMYFUNCTION("""COMPUTED_VALUE"""),169.03)</f>
        <v>169.03</v>
      </c>
      <c r="D70" s="1">
        <f ca="1">IFERROR(__xludf.DUMMYFUNCTION("""COMPUTED_VALUE"""),165.5)</f>
        <v>165.5</v>
      </c>
      <c r="E70" s="1">
        <f ca="1">IFERROR(__xludf.DUMMYFUNCTION("""COMPUTED_VALUE"""),165.75)</f>
        <v>165.75</v>
      </c>
      <c r="F70" s="1">
        <f ca="1">IFERROR(__xludf.DUMMYFUNCTION("""COMPUTED_VALUE"""),72246706)</f>
        <v>72246706</v>
      </c>
    </row>
    <row r="71" spans="1:6" ht="12.6">
      <c r="A71" s="2">
        <f ca="1">IFERROR(__xludf.DUMMYFUNCTION("""COMPUTED_VALUE"""),44663.6666666666)</f>
        <v>44663.666666666599</v>
      </c>
      <c r="B71" s="1">
        <f ca="1">IFERROR(__xludf.DUMMYFUNCTION("""COMPUTED_VALUE"""),168.02)</f>
        <v>168.02</v>
      </c>
      <c r="C71" s="1">
        <f ca="1">IFERROR(__xludf.DUMMYFUNCTION("""COMPUTED_VALUE"""),169.87)</f>
        <v>169.87</v>
      </c>
      <c r="D71" s="1">
        <f ca="1">IFERROR(__xludf.DUMMYFUNCTION("""COMPUTED_VALUE"""),166.64)</f>
        <v>166.64</v>
      </c>
      <c r="E71" s="1">
        <f ca="1">IFERROR(__xludf.DUMMYFUNCTION("""COMPUTED_VALUE"""),167.66)</f>
        <v>167.66</v>
      </c>
      <c r="F71" s="1">
        <f ca="1">IFERROR(__xludf.DUMMYFUNCTION("""COMPUTED_VALUE"""),79265181)</f>
        <v>79265181</v>
      </c>
    </row>
    <row r="72" spans="1:6" ht="12.6">
      <c r="A72" s="2">
        <f ca="1">IFERROR(__xludf.DUMMYFUNCTION("""COMPUTED_VALUE"""),44664.6666666666)</f>
        <v>44664.666666666599</v>
      </c>
      <c r="B72" s="1">
        <f ca="1">IFERROR(__xludf.DUMMYFUNCTION("""COMPUTED_VALUE"""),167.39)</f>
        <v>167.39</v>
      </c>
      <c r="C72" s="1">
        <f ca="1">IFERROR(__xludf.DUMMYFUNCTION("""COMPUTED_VALUE"""),171.04)</f>
        <v>171.04</v>
      </c>
      <c r="D72" s="1">
        <f ca="1">IFERROR(__xludf.DUMMYFUNCTION("""COMPUTED_VALUE"""),166.77)</f>
        <v>166.77</v>
      </c>
      <c r="E72" s="1">
        <f ca="1">IFERROR(__xludf.DUMMYFUNCTION("""COMPUTED_VALUE"""),170.4)</f>
        <v>170.4</v>
      </c>
      <c r="F72" s="1">
        <f ca="1">IFERROR(__xludf.DUMMYFUNCTION("""COMPUTED_VALUE"""),70618925)</f>
        <v>70618925</v>
      </c>
    </row>
    <row r="73" spans="1:6" ht="12.6">
      <c r="A73" s="2">
        <f ca="1">IFERROR(__xludf.DUMMYFUNCTION("""COMPUTED_VALUE"""),44665.6666666666)</f>
        <v>44665.666666666599</v>
      </c>
      <c r="B73" s="1">
        <f ca="1">IFERROR(__xludf.DUMMYFUNCTION("""COMPUTED_VALUE"""),170.62)</f>
        <v>170.62</v>
      </c>
      <c r="C73" s="1">
        <f ca="1">IFERROR(__xludf.DUMMYFUNCTION("""COMPUTED_VALUE"""),171.27)</f>
        <v>171.27</v>
      </c>
      <c r="D73" s="1">
        <f ca="1">IFERROR(__xludf.DUMMYFUNCTION("""COMPUTED_VALUE"""),165.04)</f>
        <v>165.04</v>
      </c>
      <c r="E73" s="1">
        <f ca="1">IFERROR(__xludf.DUMMYFUNCTION("""COMPUTED_VALUE"""),165.29)</f>
        <v>165.29</v>
      </c>
      <c r="F73" s="1">
        <f ca="1">IFERROR(__xludf.DUMMYFUNCTION("""COMPUTED_VALUE"""),75329376)</f>
        <v>75329376</v>
      </c>
    </row>
    <row r="74" spans="1:6" ht="12.6">
      <c r="A74" s="2">
        <f ca="1">IFERROR(__xludf.DUMMYFUNCTION("""COMPUTED_VALUE"""),44669.6666666666)</f>
        <v>44669.666666666599</v>
      </c>
      <c r="B74" s="1">
        <f ca="1">IFERROR(__xludf.DUMMYFUNCTION("""COMPUTED_VALUE"""),163.92)</f>
        <v>163.92</v>
      </c>
      <c r="C74" s="1">
        <f ca="1">IFERROR(__xludf.DUMMYFUNCTION("""COMPUTED_VALUE"""),166.6)</f>
        <v>166.6</v>
      </c>
      <c r="D74" s="1">
        <f ca="1">IFERROR(__xludf.DUMMYFUNCTION("""COMPUTED_VALUE"""),163.57)</f>
        <v>163.57</v>
      </c>
      <c r="E74" s="1">
        <f ca="1">IFERROR(__xludf.DUMMYFUNCTION("""COMPUTED_VALUE"""),165.07)</f>
        <v>165.07</v>
      </c>
      <c r="F74" s="1">
        <f ca="1">IFERROR(__xludf.DUMMYFUNCTION("""COMPUTED_VALUE"""),69023941)</f>
        <v>69023941</v>
      </c>
    </row>
    <row r="75" spans="1:6" ht="12.6">
      <c r="A75" s="2">
        <f ca="1">IFERROR(__xludf.DUMMYFUNCTION("""COMPUTED_VALUE"""),44670.6666666666)</f>
        <v>44670.666666666599</v>
      </c>
      <c r="B75" s="1">
        <f ca="1">IFERROR(__xludf.DUMMYFUNCTION("""COMPUTED_VALUE"""),165.02)</f>
        <v>165.02</v>
      </c>
      <c r="C75" s="1">
        <f ca="1">IFERROR(__xludf.DUMMYFUNCTION("""COMPUTED_VALUE"""),167.82)</f>
        <v>167.82</v>
      </c>
      <c r="D75" s="1">
        <f ca="1">IFERROR(__xludf.DUMMYFUNCTION("""COMPUTED_VALUE"""),163.91)</f>
        <v>163.91</v>
      </c>
      <c r="E75" s="1">
        <f ca="1">IFERROR(__xludf.DUMMYFUNCTION("""COMPUTED_VALUE"""),167.4)</f>
        <v>167.4</v>
      </c>
      <c r="F75" s="1">
        <f ca="1">IFERROR(__xludf.DUMMYFUNCTION("""COMPUTED_VALUE"""),67723833)</f>
        <v>67723833</v>
      </c>
    </row>
    <row r="76" spans="1:6" ht="12.6">
      <c r="A76" s="2">
        <f ca="1">IFERROR(__xludf.DUMMYFUNCTION("""COMPUTED_VALUE"""),44671.6666666666)</f>
        <v>44671.666666666599</v>
      </c>
      <c r="B76" s="1">
        <f ca="1">IFERROR(__xludf.DUMMYFUNCTION("""COMPUTED_VALUE"""),168.76)</f>
        <v>168.76</v>
      </c>
      <c r="C76" s="1">
        <f ca="1">IFERROR(__xludf.DUMMYFUNCTION("""COMPUTED_VALUE"""),168.88)</f>
        <v>168.88</v>
      </c>
      <c r="D76" s="1">
        <f ca="1">IFERROR(__xludf.DUMMYFUNCTION("""COMPUTED_VALUE"""),166.1)</f>
        <v>166.1</v>
      </c>
      <c r="E76" s="1">
        <f ca="1">IFERROR(__xludf.DUMMYFUNCTION("""COMPUTED_VALUE"""),167.23)</f>
        <v>167.23</v>
      </c>
      <c r="F76" s="1">
        <f ca="1">IFERROR(__xludf.DUMMYFUNCTION("""COMPUTED_VALUE"""),67929814)</f>
        <v>67929814</v>
      </c>
    </row>
    <row r="77" spans="1:6" ht="12.6">
      <c r="A77" s="2">
        <f ca="1">IFERROR(__xludf.DUMMYFUNCTION("""COMPUTED_VALUE"""),44672.6666666666)</f>
        <v>44672.666666666599</v>
      </c>
      <c r="B77" s="1">
        <f ca="1">IFERROR(__xludf.DUMMYFUNCTION("""COMPUTED_VALUE"""),168.91)</f>
        <v>168.91</v>
      </c>
      <c r="C77" s="1">
        <f ca="1">IFERROR(__xludf.DUMMYFUNCTION("""COMPUTED_VALUE"""),171.53)</f>
        <v>171.53</v>
      </c>
      <c r="D77" s="1">
        <f ca="1">IFERROR(__xludf.DUMMYFUNCTION("""COMPUTED_VALUE"""),165.91)</f>
        <v>165.91</v>
      </c>
      <c r="E77" s="1">
        <f ca="1">IFERROR(__xludf.DUMMYFUNCTION("""COMPUTED_VALUE"""),166.42)</f>
        <v>166.42</v>
      </c>
      <c r="F77" s="1">
        <f ca="1">IFERROR(__xludf.DUMMYFUNCTION("""COMPUTED_VALUE"""),87227768)</f>
        <v>87227768</v>
      </c>
    </row>
    <row r="78" spans="1:6" ht="12.6">
      <c r="A78" s="2">
        <f ca="1">IFERROR(__xludf.DUMMYFUNCTION("""COMPUTED_VALUE"""),44673.6666666666)</f>
        <v>44673.666666666599</v>
      </c>
      <c r="B78" s="1">
        <f ca="1">IFERROR(__xludf.DUMMYFUNCTION("""COMPUTED_VALUE"""),166.46)</f>
        <v>166.46</v>
      </c>
      <c r="C78" s="1">
        <f ca="1">IFERROR(__xludf.DUMMYFUNCTION("""COMPUTED_VALUE"""),167.87)</f>
        <v>167.87</v>
      </c>
      <c r="D78" s="1">
        <f ca="1">IFERROR(__xludf.DUMMYFUNCTION("""COMPUTED_VALUE"""),161.5)</f>
        <v>161.5</v>
      </c>
      <c r="E78" s="1">
        <f ca="1">IFERROR(__xludf.DUMMYFUNCTION("""COMPUTED_VALUE"""),161.79)</f>
        <v>161.79</v>
      </c>
      <c r="F78" s="1">
        <f ca="1">IFERROR(__xludf.DUMMYFUNCTION("""COMPUTED_VALUE"""),84882424)</f>
        <v>84882424</v>
      </c>
    </row>
    <row r="79" spans="1:6" ht="12.6">
      <c r="A79" s="2">
        <f ca="1">IFERROR(__xludf.DUMMYFUNCTION("""COMPUTED_VALUE"""),44676.6666666666)</f>
        <v>44676.666666666599</v>
      </c>
      <c r="B79" s="1">
        <f ca="1">IFERROR(__xludf.DUMMYFUNCTION("""COMPUTED_VALUE"""),161.12)</f>
        <v>161.12</v>
      </c>
      <c r="C79" s="1">
        <f ca="1">IFERROR(__xludf.DUMMYFUNCTION("""COMPUTED_VALUE"""),163.17)</f>
        <v>163.16999999999999</v>
      </c>
      <c r="D79" s="1">
        <f ca="1">IFERROR(__xludf.DUMMYFUNCTION("""COMPUTED_VALUE"""),158.46)</f>
        <v>158.46</v>
      </c>
      <c r="E79" s="1">
        <f ca="1">IFERROR(__xludf.DUMMYFUNCTION("""COMPUTED_VALUE"""),162.88)</f>
        <v>162.88</v>
      </c>
      <c r="F79" s="1">
        <f ca="1">IFERROR(__xludf.DUMMYFUNCTION("""COMPUTED_VALUE"""),96046376)</f>
        <v>96046376</v>
      </c>
    </row>
    <row r="80" spans="1:6" ht="12.6">
      <c r="A80" s="2">
        <f ca="1">IFERROR(__xludf.DUMMYFUNCTION("""COMPUTED_VALUE"""),44677.6666666666)</f>
        <v>44677.666666666599</v>
      </c>
      <c r="B80" s="1">
        <f ca="1">IFERROR(__xludf.DUMMYFUNCTION("""COMPUTED_VALUE"""),162.25)</f>
        <v>162.25</v>
      </c>
      <c r="C80" s="1">
        <f ca="1">IFERROR(__xludf.DUMMYFUNCTION("""COMPUTED_VALUE"""),162.34)</f>
        <v>162.34</v>
      </c>
      <c r="D80" s="1">
        <f ca="1">IFERROR(__xludf.DUMMYFUNCTION("""COMPUTED_VALUE"""),156.72)</f>
        <v>156.72</v>
      </c>
      <c r="E80" s="1">
        <f ca="1">IFERROR(__xludf.DUMMYFUNCTION("""COMPUTED_VALUE"""),156.8)</f>
        <v>156.80000000000001</v>
      </c>
      <c r="F80" s="1">
        <f ca="1">IFERROR(__xludf.DUMMYFUNCTION("""COMPUTED_VALUE"""),95623240)</f>
        <v>95623240</v>
      </c>
    </row>
    <row r="81" spans="1:6" ht="12.6">
      <c r="A81" s="2">
        <f ca="1">IFERROR(__xludf.DUMMYFUNCTION("""COMPUTED_VALUE"""),44678.6666666666)</f>
        <v>44678.666666666599</v>
      </c>
      <c r="B81" s="1">
        <f ca="1">IFERROR(__xludf.DUMMYFUNCTION("""COMPUTED_VALUE"""),155.91)</f>
        <v>155.91</v>
      </c>
      <c r="C81" s="1">
        <f ca="1">IFERROR(__xludf.DUMMYFUNCTION("""COMPUTED_VALUE"""),159.79)</f>
        <v>159.79</v>
      </c>
      <c r="D81" s="1">
        <f ca="1">IFERROR(__xludf.DUMMYFUNCTION("""COMPUTED_VALUE"""),155.38)</f>
        <v>155.38</v>
      </c>
      <c r="E81" s="1">
        <f ca="1">IFERROR(__xludf.DUMMYFUNCTION("""COMPUTED_VALUE"""),156.57)</f>
        <v>156.57</v>
      </c>
      <c r="F81" s="1">
        <f ca="1">IFERROR(__xludf.DUMMYFUNCTION("""COMPUTED_VALUE"""),88063191)</f>
        <v>88063191</v>
      </c>
    </row>
    <row r="82" spans="1:6" ht="12.6">
      <c r="A82" s="2">
        <f ca="1">IFERROR(__xludf.DUMMYFUNCTION("""COMPUTED_VALUE"""),44679.6666666666)</f>
        <v>44679.666666666599</v>
      </c>
      <c r="B82" s="1">
        <f ca="1">IFERROR(__xludf.DUMMYFUNCTION("""COMPUTED_VALUE"""),159.25)</f>
        <v>159.25</v>
      </c>
      <c r="C82" s="1">
        <f ca="1">IFERROR(__xludf.DUMMYFUNCTION("""COMPUTED_VALUE"""),164.52)</f>
        <v>164.52</v>
      </c>
      <c r="D82" s="1">
        <f ca="1">IFERROR(__xludf.DUMMYFUNCTION("""COMPUTED_VALUE"""),158.93)</f>
        <v>158.93</v>
      </c>
      <c r="E82" s="1">
        <f ca="1">IFERROR(__xludf.DUMMYFUNCTION("""COMPUTED_VALUE"""),163.64)</f>
        <v>163.63999999999999</v>
      </c>
      <c r="F82" s="1">
        <f ca="1">IFERROR(__xludf.DUMMYFUNCTION("""COMPUTED_VALUE"""),130216792)</f>
        <v>130216792</v>
      </c>
    </row>
    <row r="83" spans="1:6" ht="12.6">
      <c r="A83" s="2">
        <f ca="1">IFERROR(__xludf.DUMMYFUNCTION("""COMPUTED_VALUE"""),44680.6666666666)</f>
        <v>44680.666666666599</v>
      </c>
      <c r="B83" s="1">
        <f ca="1">IFERROR(__xludf.DUMMYFUNCTION("""COMPUTED_VALUE"""),161.84)</f>
        <v>161.84</v>
      </c>
      <c r="C83" s="1">
        <f ca="1">IFERROR(__xludf.DUMMYFUNCTION("""COMPUTED_VALUE"""),166.2)</f>
        <v>166.2</v>
      </c>
      <c r="D83" s="1">
        <f ca="1">IFERROR(__xludf.DUMMYFUNCTION("""COMPUTED_VALUE"""),157.25)</f>
        <v>157.25</v>
      </c>
      <c r="E83" s="1">
        <f ca="1">IFERROR(__xludf.DUMMYFUNCTION("""COMPUTED_VALUE"""),157.65)</f>
        <v>157.65</v>
      </c>
      <c r="F83" s="1">
        <f ca="1">IFERROR(__xludf.DUMMYFUNCTION("""COMPUTED_VALUE"""),131747571)</f>
        <v>131747571</v>
      </c>
    </row>
    <row r="84" spans="1:6" ht="12.6">
      <c r="A84" s="2">
        <f ca="1">IFERROR(__xludf.DUMMYFUNCTION("""COMPUTED_VALUE"""),44683.6666666666)</f>
        <v>44683.666666666599</v>
      </c>
      <c r="B84" s="1">
        <f ca="1">IFERROR(__xludf.DUMMYFUNCTION("""COMPUTED_VALUE"""),156.71)</f>
        <v>156.71</v>
      </c>
      <c r="C84" s="1">
        <f ca="1">IFERROR(__xludf.DUMMYFUNCTION("""COMPUTED_VALUE"""),158.23)</f>
        <v>158.22999999999999</v>
      </c>
      <c r="D84" s="1">
        <f ca="1">IFERROR(__xludf.DUMMYFUNCTION("""COMPUTED_VALUE"""),153.27)</f>
        <v>153.27000000000001</v>
      </c>
      <c r="E84" s="1">
        <f ca="1">IFERROR(__xludf.DUMMYFUNCTION("""COMPUTED_VALUE"""),157.96)</f>
        <v>157.96</v>
      </c>
      <c r="F84" s="1">
        <f ca="1">IFERROR(__xludf.DUMMYFUNCTION("""COMPUTED_VALUE"""),123055265)</f>
        <v>123055265</v>
      </c>
    </row>
    <row r="85" spans="1:6" ht="12.6">
      <c r="A85" s="2">
        <f ca="1">IFERROR(__xludf.DUMMYFUNCTION("""COMPUTED_VALUE"""),44684.6666666666)</f>
        <v>44684.666666666599</v>
      </c>
      <c r="B85" s="1">
        <f ca="1">IFERROR(__xludf.DUMMYFUNCTION("""COMPUTED_VALUE"""),158.15)</f>
        <v>158.15</v>
      </c>
      <c r="C85" s="1">
        <f ca="1">IFERROR(__xludf.DUMMYFUNCTION("""COMPUTED_VALUE"""),160.71)</f>
        <v>160.71</v>
      </c>
      <c r="D85" s="1">
        <f ca="1">IFERROR(__xludf.DUMMYFUNCTION("""COMPUTED_VALUE"""),156.32)</f>
        <v>156.32</v>
      </c>
      <c r="E85" s="1">
        <f ca="1">IFERROR(__xludf.DUMMYFUNCTION("""COMPUTED_VALUE"""),159.48)</f>
        <v>159.47999999999999</v>
      </c>
      <c r="F85" s="1">
        <f ca="1">IFERROR(__xludf.DUMMYFUNCTION("""COMPUTED_VALUE"""),88966526)</f>
        <v>88966526</v>
      </c>
    </row>
    <row r="86" spans="1:6" ht="12.6">
      <c r="A86" s="2">
        <f ca="1">IFERROR(__xludf.DUMMYFUNCTION("""COMPUTED_VALUE"""),44685.6666666666)</f>
        <v>44685.666666666599</v>
      </c>
      <c r="B86" s="1">
        <f ca="1">IFERROR(__xludf.DUMMYFUNCTION("""COMPUTED_VALUE"""),159.67)</f>
        <v>159.66999999999999</v>
      </c>
      <c r="C86" s="1">
        <f ca="1">IFERROR(__xludf.DUMMYFUNCTION("""COMPUTED_VALUE"""),166.48)</f>
        <v>166.48</v>
      </c>
      <c r="D86" s="1">
        <f ca="1">IFERROR(__xludf.DUMMYFUNCTION("""COMPUTED_VALUE"""),159.26)</f>
        <v>159.26</v>
      </c>
      <c r="E86" s="1">
        <f ca="1">IFERROR(__xludf.DUMMYFUNCTION("""COMPUTED_VALUE"""),166.02)</f>
        <v>166.02</v>
      </c>
      <c r="F86" s="1">
        <f ca="1">IFERROR(__xludf.DUMMYFUNCTION("""COMPUTED_VALUE"""),108256503)</f>
        <v>108256503</v>
      </c>
    </row>
    <row r="87" spans="1:6" ht="12.6">
      <c r="A87" s="2">
        <f ca="1">IFERROR(__xludf.DUMMYFUNCTION("""COMPUTED_VALUE"""),44686.6666666666)</f>
        <v>44686.666666666599</v>
      </c>
      <c r="B87" s="1">
        <f ca="1">IFERROR(__xludf.DUMMYFUNCTION("""COMPUTED_VALUE"""),163.85)</f>
        <v>163.85</v>
      </c>
      <c r="C87" s="1">
        <f ca="1">IFERROR(__xludf.DUMMYFUNCTION("""COMPUTED_VALUE"""),164.08)</f>
        <v>164.08</v>
      </c>
      <c r="D87" s="1">
        <f ca="1">IFERROR(__xludf.DUMMYFUNCTION("""COMPUTED_VALUE"""),154.95)</f>
        <v>154.94999999999999</v>
      </c>
      <c r="E87" s="1">
        <f ca="1">IFERROR(__xludf.DUMMYFUNCTION("""COMPUTED_VALUE"""),156.77)</f>
        <v>156.77000000000001</v>
      </c>
      <c r="F87" s="1">
        <f ca="1">IFERROR(__xludf.DUMMYFUNCTION("""COMPUTED_VALUE"""),130525275)</f>
        <v>130525275</v>
      </c>
    </row>
    <row r="88" spans="1:6" ht="12.6">
      <c r="A88" s="2">
        <f ca="1">IFERROR(__xludf.DUMMYFUNCTION("""COMPUTED_VALUE"""),44687.6666666666)</f>
        <v>44687.666666666599</v>
      </c>
      <c r="B88" s="1">
        <f ca="1">IFERROR(__xludf.DUMMYFUNCTION("""COMPUTED_VALUE"""),156.01)</f>
        <v>156.01</v>
      </c>
      <c r="C88" s="1">
        <f ca="1">IFERROR(__xludf.DUMMYFUNCTION("""COMPUTED_VALUE"""),159.44)</f>
        <v>159.44</v>
      </c>
      <c r="D88" s="1">
        <f ca="1">IFERROR(__xludf.DUMMYFUNCTION("""COMPUTED_VALUE"""),154.18)</f>
        <v>154.18</v>
      </c>
      <c r="E88" s="1">
        <f ca="1">IFERROR(__xludf.DUMMYFUNCTION("""COMPUTED_VALUE"""),157.28)</f>
        <v>157.28</v>
      </c>
      <c r="F88" s="1">
        <f ca="1">IFERROR(__xludf.DUMMYFUNCTION("""COMPUTED_VALUE"""),116124647)</f>
        <v>116124647</v>
      </c>
    </row>
    <row r="89" spans="1:6" ht="12.6">
      <c r="A89" s="2">
        <f ca="1">IFERROR(__xludf.DUMMYFUNCTION("""COMPUTED_VALUE"""),44690.6666666666)</f>
        <v>44690.666666666599</v>
      </c>
      <c r="B89" s="1">
        <f ca="1">IFERROR(__xludf.DUMMYFUNCTION("""COMPUTED_VALUE"""),154.93)</f>
        <v>154.93</v>
      </c>
      <c r="C89" s="1">
        <f ca="1">IFERROR(__xludf.DUMMYFUNCTION("""COMPUTED_VALUE"""),155.83)</f>
        <v>155.83000000000001</v>
      </c>
      <c r="D89" s="1">
        <f ca="1">IFERROR(__xludf.DUMMYFUNCTION("""COMPUTED_VALUE"""),151.49)</f>
        <v>151.49</v>
      </c>
      <c r="E89" s="1">
        <f ca="1">IFERROR(__xludf.DUMMYFUNCTION("""COMPUTED_VALUE"""),152.06)</f>
        <v>152.06</v>
      </c>
      <c r="F89" s="1">
        <f ca="1">IFERROR(__xludf.DUMMYFUNCTION("""COMPUTED_VALUE"""),131577921)</f>
        <v>131577921</v>
      </c>
    </row>
    <row r="90" spans="1:6" ht="12.6">
      <c r="A90" s="2">
        <f ca="1">IFERROR(__xludf.DUMMYFUNCTION("""COMPUTED_VALUE"""),44691.6666666666)</f>
        <v>44691.666666666599</v>
      </c>
      <c r="B90" s="1">
        <f ca="1">IFERROR(__xludf.DUMMYFUNCTION("""COMPUTED_VALUE"""),155.52)</f>
        <v>155.52000000000001</v>
      </c>
      <c r="C90" s="1">
        <f ca="1">IFERROR(__xludf.DUMMYFUNCTION("""COMPUTED_VALUE"""),156.74)</f>
        <v>156.74</v>
      </c>
      <c r="D90" s="1">
        <f ca="1">IFERROR(__xludf.DUMMYFUNCTION("""COMPUTED_VALUE"""),152.93)</f>
        <v>152.93</v>
      </c>
      <c r="E90" s="1">
        <f ca="1">IFERROR(__xludf.DUMMYFUNCTION("""COMPUTED_VALUE"""),154.51)</f>
        <v>154.51</v>
      </c>
      <c r="F90" s="1">
        <f ca="1">IFERROR(__xludf.DUMMYFUNCTION("""COMPUTED_VALUE"""),115366736)</f>
        <v>115366736</v>
      </c>
    </row>
    <row r="91" spans="1:6" ht="12.6">
      <c r="A91" s="2">
        <f ca="1">IFERROR(__xludf.DUMMYFUNCTION("""COMPUTED_VALUE"""),44692.6666666666)</f>
        <v>44692.666666666599</v>
      </c>
      <c r="B91" s="1">
        <f ca="1">IFERROR(__xludf.DUMMYFUNCTION("""COMPUTED_VALUE"""),153.5)</f>
        <v>153.5</v>
      </c>
      <c r="C91" s="1">
        <f ca="1">IFERROR(__xludf.DUMMYFUNCTION("""COMPUTED_VALUE"""),155.45)</f>
        <v>155.44999999999999</v>
      </c>
      <c r="D91" s="1">
        <f ca="1">IFERROR(__xludf.DUMMYFUNCTION("""COMPUTED_VALUE"""),145.81)</f>
        <v>145.81</v>
      </c>
      <c r="E91" s="1">
        <f ca="1">IFERROR(__xludf.DUMMYFUNCTION("""COMPUTED_VALUE"""),146.5)</f>
        <v>146.5</v>
      </c>
      <c r="F91" s="1">
        <f ca="1">IFERROR(__xludf.DUMMYFUNCTION("""COMPUTED_VALUE"""),142689825)</f>
        <v>142689825</v>
      </c>
    </row>
    <row r="92" spans="1:6" ht="12.6">
      <c r="A92" s="2">
        <f ca="1">IFERROR(__xludf.DUMMYFUNCTION("""COMPUTED_VALUE"""),44693.6666666666)</f>
        <v>44693.666666666599</v>
      </c>
      <c r="B92" s="1">
        <f ca="1">IFERROR(__xludf.DUMMYFUNCTION("""COMPUTED_VALUE"""),142.77)</f>
        <v>142.77000000000001</v>
      </c>
      <c r="C92" s="1">
        <f ca="1">IFERROR(__xludf.DUMMYFUNCTION("""COMPUTED_VALUE"""),146.2)</f>
        <v>146.19999999999999</v>
      </c>
      <c r="D92" s="1">
        <f ca="1">IFERROR(__xludf.DUMMYFUNCTION("""COMPUTED_VALUE"""),138.8)</f>
        <v>138.80000000000001</v>
      </c>
      <c r="E92" s="1">
        <f ca="1">IFERROR(__xludf.DUMMYFUNCTION("""COMPUTED_VALUE"""),142.56)</f>
        <v>142.56</v>
      </c>
      <c r="F92" s="1">
        <f ca="1">IFERROR(__xludf.DUMMYFUNCTION("""COMPUTED_VALUE"""),182602041)</f>
        <v>182602041</v>
      </c>
    </row>
    <row r="93" spans="1:6" ht="12.6">
      <c r="A93" s="2">
        <f ca="1">IFERROR(__xludf.DUMMYFUNCTION("""COMPUTED_VALUE"""),44694.6666666666)</f>
        <v>44694.666666666599</v>
      </c>
      <c r="B93" s="1">
        <f ca="1">IFERROR(__xludf.DUMMYFUNCTION("""COMPUTED_VALUE"""),144.59)</f>
        <v>144.59</v>
      </c>
      <c r="C93" s="1">
        <f ca="1">IFERROR(__xludf.DUMMYFUNCTION("""COMPUTED_VALUE"""),148.1)</f>
        <v>148.1</v>
      </c>
      <c r="D93" s="1">
        <f ca="1">IFERROR(__xludf.DUMMYFUNCTION("""COMPUTED_VALUE"""),143.11)</f>
        <v>143.11000000000001</v>
      </c>
      <c r="E93" s="1">
        <f ca="1">IFERROR(__xludf.DUMMYFUNCTION("""COMPUTED_VALUE"""),147.11)</f>
        <v>147.11000000000001</v>
      </c>
      <c r="F93" s="1">
        <f ca="1">IFERROR(__xludf.DUMMYFUNCTION("""COMPUTED_VALUE"""),113990852)</f>
        <v>113990852</v>
      </c>
    </row>
    <row r="94" spans="1:6" ht="12.6">
      <c r="A94" s="2">
        <f ca="1">IFERROR(__xludf.DUMMYFUNCTION("""COMPUTED_VALUE"""),44697.6666666666)</f>
        <v>44697.666666666599</v>
      </c>
      <c r="B94" s="1">
        <f ca="1">IFERROR(__xludf.DUMMYFUNCTION("""COMPUTED_VALUE"""),145.55)</f>
        <v>145.55000000000001</v>
      </c>
      <c r="C94" s="1">
        <f ca="1">IFERROR(__xludf.DUMMYFUNCTION("""COMPUTED_VALUE"""),147.52)</f>
        <v>147.52000000000001</v>
      </c>
      <c r="D94" s="1">
        <f ca="1">IFERROR(__xludf.DUMMYFUNCTION("""COMPUTED_VALUE"""),144.18)</f>
        <v>144.18</v>
      </c>
      <c r="E94" s="1">
        <f ca="1">IFERROR(__xludf.DUMMYFUNCTION("""COMPUTED_VALUE"""),145.54)</f>
        <v>145.54</v>
      </c>
      <c r="F94" s="1">
        <f ca="1">IFERROR(__xludf.DUMMYFUNCTION("""COMPUTED_VALUE"""),86643781)</f>
        <v>86643781</v>
      </c>
    </row>
    <row r="95" spans="1:6" ht="12.6">
      <c r="A95" s="2">
        <f ca="1">IFERROR(__xludf.DUMMYFUNCTION("""COMPUTED_VALUE"""),44698.6666666666)</f>
        <v>44698.666666666599</v>
      </c>
      <c r="B95" s="1">
        <f ca="1">IFERROR(__xludf.DUMMYFUNCTION("""COMPUTED_VALUE"""),148.86)</f>
        <v>148.86000000000001</v>
      </c>
      <c r="C95" s="1">
        <f ca="1">IFERROR(__xludf.DUMMYFUNCTION("""COMPUTED_VALUE"""),149.77)</f>
        <v>149.77000000000001</v>
      </c>
      <c r="D95" s="1">
        <f ca="1">IFERROR(__xludf.DUMMYFUNCTION("""COMPUTED_VALUE"""),146.68)</f>
        <v>146.68</v>
      </c>
      <c r="E95" s="1">
        <f ca="1">IFERROR(__xludf.DUMMYFUNCTION("""COMPUTED_VALUE"""),149.24)</f>
        <v>149.24</v>
      </c>
      <c r="F95" s="1">
        <f ca="1">IFERROR(__xludf.DUMMYFUNCTION("""COMPUTED_VALUE"""),78336254)</f>
        <v>78336254</v>
      </c>
    </row>
    <row r="96" spans="1:6" ht="12.6">
      <c r="A96" s="2">
        <f ca="1">IFERROR(__xludf.DUMMYFUNCTION("""COMPUTED_VALUE"""),44699.6666666666)</f>
        <v>44699.666666666599</v>
      </c>
      <c r="B96" s="1">
        <f ca="1">IFERROR(__xludf.DUMMYFUNCTION("""COMPUTED_VALUE"""),146.85)</f>
        <v>146.85</v>
      </c>
      <c r="C96" s="1">
        <f ca="1">IFERROR(__xludf.DUMMYFUNCTION("""COMPUTED_VALUE"""),147.36)</f>
        <v>147.36000000000001</v>
      </c>
      <c r="D96" s="1">
        <f ca="1">IFERROR(__xludf.DUMMYFUNCTION("""COMPUTED_VALUE"""),139.9)</f>
        <v>139.9</v>
      </c>
      <c r="E96" s="1">
        <f ca="1">IFERROR(__xludf.DUMMYFUNCTION("""COMPUTED_VALUE"""),140.82)</f>
        <v>140.82</v>
      </c>
      <c r="F96" s="1">
        <f ca="1">IFERROR(__xludf.DUMMYFUNCTION("""COMPUTED_VALUE"""),109742890)</f>
        <v>109742890</v>
      </c>
    </row>
    <row r="97" spans="1:6" ht="12.6">
      <c r="A97" s="2">
        <f ca="1">IFERROR(__xludf.DUMMYFUNCTION("""COMPUTED_VALUE"""),44700.6666666666)</f>
        <v>44700.666666666599</v>
      </c>
      <c r="B97" s="1">
        <f ca="1">IFERROR(__xludf.DUMMYFUNCTION("""COMPUTED_VALUE"""),139.88)</f>
        <v>139.88</v>
      </c>
      <c r="C97" s="1">
        <f ca="1">IFERROR(__xludf.DUMMYFUNCTION("""COMPUTED_VALUE"""),141.66)</f>
        <v>141.66</v>
      </c>
      <c r="D97" s="1">
        <f ca="1">IFERROR(__xludf.DUMMYFUNCTION("""COMPUTED_VALUE"""),136.6)</f>
        <v>136.6</v>
      </c>
      <c r="E97" s="1">
        <f ca="1">IFERROR(__xludf.DUMMYFUNCTION("""COMPUTED_VALUE"""),137.35)</f>
        <v>137.35</v>
      </c>
      <c r="F97" s="1">
        <f ca="1">IFERROR(__xludf.DUMMYFUNCTION("""COMPUTED_VALUE"""),136095640)</f>
        <v>136095640</v>
      </c>
    </row>
    <row r="98" spans="1:6" ht="12.6">
      <c r="A98" s="2">
        <f ca="1">IFERROR(__xludf.DUMMYFUNCTION("""COMPUTED_VALUE"""),44701.6666666666)</f>
        <v>44701.666666666599</v>
      </c>
      <c r="B98" s="1">
        <f ca="1">IFERROR(__xludf.DUMMYFUNCTION("""COMPUTED_VALUE"""),139.09)</f>
        <v>139.09</v>
      </c>
      <c r="C98" s="1">
        <f ca="1">IFERROR(__xludf.DUMMYFUNCTION("""COMPUTED_VALUE"""),140.7)</f>
        <v>140.69999999999999</v>
      </c>
      <c r="D98" s="1">
        <f ca="1">IFERROR(__xludf.DUMMYFUNCTION("""COMPUTED_VALUE"""),132.61)</f>
        <v>132.61000000000001</v>
      </c>
      <c r="E98" s="1">
        <f ca="1">IFERROR(__xludf.DUMMYFUNCTION("""COMPUTED_VALUE"""),137.59)</f>
        <v>137.59</v>
      </c>
      <c r="F98" s="1">
        <f ca="1">IFERROR(__xludf.DUMMYFUNCTION("""COMPUTED_VALUE"""),137426125)</f>
        <v>137426125</v>
      </c>
    </row>
    <row r="99" spans="1:6" ht="12.6">
      <c r="A99" s="2">
        <f ca="1">IFERROR(__xludf.DUMMYFUNCTION("""COMPUTED_VALUE"""),44704.6666666666)</f>
        <v>44704.666666666599</v>
      </c>
      <c r="B99" s="1">
        <f ca="1">IFERROR(__xludf.DUMMYFUNCTION("""COMPUTED_VALUE"""),137.79)</f>
        <v>137.79</v>
      </c>
      <c r="C99" s="1">
        <f ca="1">IFERROR(__xludf.DUMMYFUNCTION("""COMPUTED_VALUE"""),143.26)</f>
        <v>143.26</v>
      </c>
      <c r="D99" s="1">
        <f ca="1">IFERROR(__xludf.DUMMYFUNCTION("""COMPUTED_VALUE"""),137.65)</f>
        <v>137.65</v>
      </c>
      <c r="E99" s="1">
        <f ca="1">IFERROR(__xludf.DUMMYFUNCTION("""COMPUTED_VALUE"""),143.11)</f>
        <v>143.11000000000001</v>
      </c>
      <c r="F99" s="1">
        <f ca="1">IFERROR(__xludf.DUMMYFUNCTION("""COMPUTED_VALUE"""),117726265)</f>
        <v>117726265</v>
      </c>
    </row>
    <row r="100" spans="1:6" ht="12.6">
      <c r="A100" s="2">
        <f ca="1">IFERROR(__xludf.DUMMYFUNCTION("""COMPUTED_VALUE"""),44705.6666666666)</f>
        <v>44705.666666666599</v>
      </c>
      <c r="B100" s="1">
        <f ca="1">IFERROR(__xludf.DUMMYFUNCTION("""COMPUTED_VALUE"""),140.81)</f>
        <v>140.81</v>
      </c>
      <c r="C100" s="1">
        <f ca="1">IFERROR(__xludf.DUMMYFUNCTION("""COMPUTED_VALUE"""),141.97)</f>
        <v>141.97</v>
      </c>
      <c r="D100" s="1">
        <f ca="1">IFERROR(__xludf.DUMMYFUNCTION("""COMPUTED_VALUE"""),137.33)</f>
        <v>137.33000000000001</v>
      </c>
      <c r="E100" s="1">
        <f ca="1">IFERROR(__xludf.DUMMYFUNCTION("""COMPUTED_VALUE"""),140.36)</f>
        <v>140.36000000000001</v>
      </c>
      <c r="F100" s="1">
        <f ca="1">IFERROR(__xludf.DUMMYFUNCTION("""COMPUTED_VALUE"""),104132746)</f>
        <v>104132746</v>
      </c>
    </row>
    <row r="101" spans="1:6" ht="12.6">
      <c r="A101" s="2">
        <f ca="1">IFERROR(__xludf.DUMMYFUNCTION("""COMPUTED_VALUE"""),44706.6666666666)</f>
        <v>44706.666666666599</v>
      </c>
      <c r="B101" s="1">
        <f ca="1">IFERROR(__xludf.DUMMYFUNCTION("""COMPUTED_VALUE"""),138.43)</f>
        <v>138.43</v>
      </c>
      <c r="C101" s="1">
        <f ca="1">IFERROR(__xludf.DUMMYFUNCTION("""COMPUTED_VALUE"""),141.79)</f>
        <v>141.79</v>
      </c>
      <c r="D101" s="1">
        <f ca="1">IFERROR(__xludf.DUMMYFUNCTION("""COMPUTED_VALUE"""),138.34)</f>
        <v>138.34</v>
      </c>
      <c r="E101" s="1">
        <f ca="1">IFERROR(__xludf.DUMMYFUNCTION("""COMPUTED_VALUE"""),140.52)</f>
        <v>140.52000000000001</v>
      </c>
      <c r="F101" s="1">
        <f ca="1">IFERROR(__xludf.DUMMYFUNCTION("""COMPUTED_VALUE"""),92482696)</f>
        <v>92482696</v>
      </c>
    </row>
    <row r="102" spans="1:6" ht="12.6">
      <c r="A102" s="2">
        <f ca="1">IFERROR(__xludf.DUMMYFUNCTION("""COMPUTED_VALUE"""),44707.6666666666)</f>
        <v>44707.666666666599</v>
      </c>
      <c r="B102" s="1">
        <f ca="1">IFERROR(__xludf.DUMMYFUNCTION("""COMPUTED_VALUE"""),137.39)</f>
        <v>137.38999999999999</v>
      </c>
      <c r="C102" s="1">
        <f ca="1">IFERROR(__xludf.DUMMYFUNCTION("""COMPUTED_VALUE"""),144.34)</f>
        <v>144.34</v>
      </c>
      <c r="D102" s="1">
        <f ca="1">IFERROR(__xludf.DUMMYFUNCTION("""COMPUTED_VALUE"""),137.14)</f>
        <v>137.13999999999999</v>
      </c>
      <c r="E102" s="1">
        <f ca="1">IFERROR(__xludf.DUMMYFUNCTION("""COMPUTED_VALUE"""),143.78)</f>
        <v>143.78</v>
      </c>
      <c r="F102" s="1">
        <f ca="1">IFERROR(__xludf.DUMMYFUNCTION("""COMPUTED_VALUE"""),90601548)</f>
        <v>90601548</v>
      </c>
    </row>
    <row r="103" spans="1:6" ht="12.6">
      <c r="A103" s="2">
        <f ca="1">IFERROR(__xludf.DUMMYFUNCTION("""COMPUTED_VALUE"""),44708.6666666666)</f>
        <v>44708.666666666599</v>
      </c>
      <c r="B103" s="1">
        <f ca="1">IFERROR(__xludf.DUMMYFUNCTION("""COMPUTED_VALUE"""),145.39)</f>
        <v>145.38999999999999</v>
      </c>
      <c r="C103" s="1">
        <f ca="1">IFERROR(__xludf.DUMMYFUNCTION("""COMPUTED_VALUE"""),149.68)</f>
        <v>149.68</v>
      </c>
      <c r="D103" s="1">
        <f ca="1">IFERROR(__xludf.DUMMYFUNCTION("""COMPUTED_VALUE"""),145.26)</f>
        <v>145.26</v>
      </c>
      <c r="E103" s="1">
        <f ca="1">IFERROR(__xludf.DUMMYFUNCTION("""COMPUTED_VALUE"""),149.64)</f>
        <v>149.63999999999999</v>
      </c>
      <c r="F103" s="1">
        <f ca="1">IFERROR(__xludf.DUMMYFUNCTION("""COMPUTED_VALUE"""),90978503)</f>
        <v>90978503</v>
      </c>
    </row>
    <row r="104" spans="1:6" ht="12.6">
      <c r="A104" s="2">
        <f ca="1">IFERROR(__xludf.DUMMYFUNCTION("""COMPUTED_VALUE"""),44712.6666666666)</f>
        <v>44712.666666666599</v>
      </c>
      <c r="B104" s="1">
        <f ca="1">IFERROR(__xludf.DUMMYFUNCTION("""COMPUTED_VALUE"""),149.07)</f>
        <v>149.07</v>
      </c>
      <c r="C104" s="1">
        <f ca="1">IFERROR(__xludf.DUMMYFUNCTION("""COMPUTED_VALUE"""),150.66)</f>
        <v>150.66</v>
      </c>
      <c r="D104" s="1">
        <f ca="1">IFERROR(__xludf.DUMMYFUNCTION("""COMPUTED_VALUE"""),146.84)</f>
        <v>146.84</v>
      </c>
      <c r="E104" s="1">
        <f ca="1">IFERROR(__xludf.DUMMYFUNCTION("""COMPUTED_VALUE"""),148.84)</f>
        <v>148.84</v>
      </c>
      <c r="F104" s="1">
        <f ca="1">IFERROR(__xludf.DUMMYFUNCTION("""COMPUTED_VALUE"""),103718416)</f>
        <v>103718416</v>
      </c>
    </row>
    <row r="105" spans="1:6" ht="12.6">
      <c r="A105" s="2">
        <f ca="1">IFERROR(__xludf.DUMMYFUNCTION("""COMPUTED_VALUE"""),44713.6666666666)</f>
        <v>44713.666666666599</v>
      </c>
      <c r="B105" s="1">
        <f ca="1">IFERROR(__xludf.DUMMYFUNCTION("""COMPUTED_VALUE"""),149.9)</f>
        <v>149.9</v>
      </c>
      <c r="C105" s="1">
        <f ca="1">IFERROR(__xludf.DUMMYFUNCTION("""COMPUTED_VALUE"""),151.74)</f>
        <v>151.74</v>
      </c>
      <c r="D105" s="1">
        <f ca="1">IFERROR(__xludf.DUMMYFUNCTION("""COMPUTED_VALUE"""),147.68)</f>
        <v>147.68</v>
      </c>
      <c r="E105" s="1">
        <f ca="1">IFERROR(__xludf.DUMMYFUNCTION("""COMPUTED_VALUE"""),148.71)</f>
        <v>148.71</v>
      </c>
      <c r="F105" s="1">
        <f ca="1">IFERROR(__xludf.DUMMYFUNCTION("""COMPUTED_VALUE"""),74286635)</f>
        <v>74286635</v>
      </c>
    </row>
    <row r="106" spans="1:6" ht="12.6">
      <c r="A106" s="2">
        <f ca="1">IFERROR(__xludf.DUMMYFUNCTION("""COMPUTED_VALUE"""),44714.6666666666)</f>
        <v>44714.666666666599</v>
      </c>
      <c r="B106" s="1">
        <f ca="1">IFERROR(__xludf.DUMMYFUNCTION("""COMPUTED_VALUE"""),147.83)</f>
        <v>147.83000000000001</v>
      </c>
      <c r="C106" s="1">
        <f ca="1">IFERROR(__xludf.DUMMYFUNCTION("""COMPUTED_VALUE"""),151.27)</f>
        <v>151.27000000000001</v>
      </c>
      <c r="D106" s="1">
        <f ca="1">IFERROR(__xludf.DUMMYFUNCTION("""COMPUTED_VALUE"""),146.86)</f>
        <v>146.86000000000001</v>
      </c>
      <c r="E106" s="1">
        <f ca="1">IFERROR(__xludf.DUMMYFUNCTION("""COMPUTED_VALUE"""),151.21)</f>
        <v>151.21</v>
      </c>
      <c r="F106" s="1">
        <f ca="1">IFERROR(__xludf.DUMMYFUNCTION("""COMPUTED_VALUE"""),72348055)</f>
        <v>72348055</v>
      </c>
    </row>
    <row r="107" spans="1:6" ht="12.6">
      <c r="A107" s="2">
        <f ca="1">IFERROR(__xludf.DUMMYFUNCTION("""COMPUTED_VALUE"""),44715.6666666666)</f>
        <v>44715.666666666599</v>
      </c>
      <c r="B107" s="1">
        <f ca="1">IFERROR(__xludf.DUMMYFUNCTION("""COMPUTED_VALUE"""),146.9)</f>
        <v>146.9</v>
      </c>
      <c r="C107" s="1">
        <f ca="1">IFERROR(__xludf.DUMMYFUNCTION("""COMPUTED_VALUE"""),147.97)</f>
        <v>147.97</v>
      </c>
      <c r="D107" s="1">
        <f ca="1">IFERROR(__xludf.DUMMYFUNCTION("""COMPUTED_VALUE"""),144.46)</f>
        <v>144.46</v>
      </c>
      <c r="E107" s="1">
        <f ca="1">IFERROR(__xludf.DUMMYFUNCTION("""COMPUTED_VALUE"""),145.38)</f>
        <v>145.38</v>
      </c>
      <c r="F107" s="1">
        <f ca="1">IFERROR(__xludf.DUMMYFUNCTION("""COMPUTED_VALUE"""),88570289)</f>
        <v>88570289</v>
      </c>
    </row>
    <row r="108" spans="1:6" ht="12.6">
      <c r="A108" s="2">
        <f ca="1">IFERROR(__xludf.DUMMYFUNCTION("""COMPUTED_VALUE"""),44718.6666666666)</f>
        <v>44718.666666666599</v>
      </c>
      <c r="B108" s="1">
        <f ca="1">IFERROR(__xludf.DUMMYFUNCTION("""COMPUTED_VALUE"""),147.03)</f>
        <v>147.03</v>
      </c>
      <c r="C108" s="1">
        <f ca="1">IFERROR(__xludf.DUMMYFUNCTION("""COMPUTED_VALUE"""),148.57)</f>
        <v>148.57</v>
      </c>
      <c r="D108" s="1">
        <f ca="1">IFERROR(__xludf.DUMMYFUNCTION("""COMPUTED_VALUE"""),144.9)</f>
        <v>144.9</v>
      </c>
      <c r="E108" s="1">
        <f ca="1">IFERROR(__xludf.DUMMYFUNCTION("""COMPUTED_VALUE"""),146.14)</f>
        <v>146.13999999999999</v>
      </c>
      <c r="F108" s="1">
        <f ca="1">IFERROR(__xludf.DUMMYFUNCTION("""COMPUTED_VALUE"""),71598380)</f>
        <v>71598380</v>
      </c>
    </row>
    <row r="109" spans="1:6" ht="12.6">
      <c r="A109" s="2">
        <f ca="1">IFERROR(__xludf.DUMMYFUNCTION("""COMPUTED_VALUE"""),44719.6666666666)</f>
        <v>44719.666666666599</v>
      </c>
      <c r="B109" s="1">
        <f ca="1">IFERROR(__xludf.DUMMYFUNCTION("""COMPUTED_VALUE"""),144.35)</f>
        <v>144.35</v>
      </c>
      <c r="C109" s="1">
        <f ca="1">IFERROR(__xludf.DUMMYFUNCTION("""COMPUTED_VALUE"""),149)</f>
        <v>149</v>
      </c>
      <c r="D109" s="1">
        <f ca="1">IFERROR(__xludf.DUMMYFUNCTION("""COMPUTED_VALUE"""),144.1)</f>
        <v>144.1</v>
      </c>
      <c r="E109" s="1">
        <f ca="1">IFERROR(__xludf.DUMMYFUNCTION("""COMPUTED_VALUE"""),148.71)</f>
        <v>148.71</v>
      </c>
      <c r="F109" s="1">
        <f ca="1">IFERROR(__xludf.DUMMYFUNCTION("""COMPUTED_VALUE"""),67808150)</f>
        <v>67808150</v>
      </c>
    </row>
    <row r="110" spans="1:6" ht="12.6">
      <c r="A110" s="2">
        <f ca="1">IFERROR(__xludf.DUMMYFUNCTION("""COMPUTED_VALUE"""),44720.6666666666)</f>
        <v>44720.666666666599</v>
      </c>
      <c r="B110" s="1">
        <f ca="1">IFERROR(__xludf.DUMMYFUNCTION("""COMPUTED_VALUE"""),148.58)</f>
        <v>148.58000000000001</v>
      </c>
      <c r="C110" s="1">
        <f ca="1">IFERROR(__xludf.DUMMYFUNCTION("""COMPUTED_VALUE"""),149.87)</f>
        <v>149.87</v>
      </c>
      <c r="D110" s="1">
        <f ca="1">IFERROR(__xludf.DUMMYFUNCTION("""COMPUTED_VALUE"""),147.46)</f>
        <v>147.46</v>
      </c>
      <c r="E110" s="1">
        <f ca="1">IFERROR(__xludf.DUMMYFUNCTION("""COMPUTED_VALUE"""),147.96)</f>
        <v>147.96</v>
      </c>
      <c r="F110" s="1">
        <f ca="1">IFERROR(__xludf.DUMMYFUNCTION("""COMPUTED_VALUE"""),53950201)</f>
        <v>53950201</v>
      </c>
    </row>
    <row r="111" spans="1:6" ht="12.6">
      <c r="A111" s="2">
        <f ca="1">IFERROR(__xludf.DUMMYFUNCTION("""COMPUTED_VALUE"""),44721.6666666666)</f>
        <v>44721.666666666599</v>
      </c>
      <c r="B111" s="1">
        <f ca="1">IFERROR(__xludf.DUMMYFUNCTION("""COMPUTED_VALUE"""),147.08)</f>
        <v>147.08000000000001</v>
      </c>
      <c r="C111" s="1">
        <f ca="1">IFERROR(__xludf.DUMMYFUNCTION("""COMPUTED_VALUE"""),147.95)</f>
        <v>147.94999999999999</v>
      </c>
      <c r="D111" s="1">
        <f ca="1">IFERROR(__xludf.DUMMYFUNCTION("""COMPUTED_VALUE"""),142.53)</f>
        <v>142.53</v>
      </c>
      <c r="E111" s="1">
        <f ca="1">IFERROR(__xludf.DUMMYFUNCTION("""COMPUTED_VALUE"""),142.64)</f>
        <v>142.63999999999999</v>
      </c>
      <c r="F111" s="1">
        <f ca="1">IFERROR(__xludf.DUMMYFUNCTION("""COMPUTED_VALUE"""),69472976)</f>
        <v>69472976</v>
      </c>
    </row>
    <row r="112" spans="1:6" ht="12.6">
      <c r="A112" s="2">
        <f ca="1">IFERROR(__xludf.DUMMYFUNCTION("""COMPUTED_VALUE"""),44722.6666666666)</f>
        <v>44722.666666666599</v>
      </c>
      <c r="B112" s="1">
        <f ca="1">IFERROR(__xludf.DUMMYFUNCTION("""COMPUTED_VALUE"""),140.28)</f>
        <v>140.28</v>
      </c>
      <c r="C112" s="1">
        <f ca="1">IFERROR(__xludf.DUMMYFUNCTION("""COMPUTED_VALUE"""),140.76)</f>
        <v>140.76</v>
      </c>
      <c r="D112" s="1">
        <f ca="1">IFERROR(__xludf.DUMMYFUNCTION("""COMPUTED_VALUE"""),137.06)</f>
        <v>137.06</v>
      </c>
      <c r="E112" s="1">
        <f ca="1">IFERROR(__xludf.DUMMYFUNCTION("""COMPUTED_VALUE"""),137.13)</f>
        <v>137.13</v>
      </c>
      <c r="F112" s="1">
        <f ca="1">IFERROR(__xludf.DUMMYFUNCTION("""COMPUTED_VALUE"""),91566637)</f>
        <v>91566637</v>
      </c>
    </row>
    <row r="113" spans="1:6" ht="12.6">
      <c r="A113" s="2">
        <f ca="1">IFERROR(__xludf.DUMMYFUNCTION("""COMPUTED_VALUE"""),44725.6666666666)</f>
        <v>44725.666666666599</v>
      </c>
      <c r="B113" s="1">
        <f ca="1">IFERROR(__xludf.DUMMYFUNCTION("""COMPUTED_VALUE"""),132.87)</f>
        <v>132.87</v>
      </c>
      <c r="C113" s="1">
        <f ca="1">IFERROR(__xludf.DUMMYFUNCTION("""COMPUTED_VALUE"""),135.2)</f>
        <v>135.19999999999999</v>
      </c>
      <c r="D113" s="1">
        <f ca="1">IFERROR(__xludf.DUMMYFUNCTION("""COMPUTED_VALUE"""),131.44)</f>
        <v>131.44</v>
      </c>
      <c r="E113" s="1">
        <f ca="1">IFERROR(__xludf.DUMMYFUNCTION("""COMPUTED_VALUE"""),131.88)</f>
        <v>131.88</v>
      </c>
      <c r="F113" s="1">
        <f ca="1">IFERROR(__xludf.DUMMYFUNCTION("""COMPUTED_VALUE"""),122207099)</f>
        <v>122207099</v>
      </c>
    </row>
    <row r="114" spans="1:6" ht="12.6">
      <c r="A114" s="2">
        <f ca="1">IFERROR(__xludf.DUMMYFUNCTION("""COMPUTED_VALUE"""),44726.6666666666)</f>
        <v>44726.666666666599</v>
      </c>
      <c r="B114" s="1">
        <f ca="1">IFERROR(__xludf.DUMMYFUNCTION("""COMPUTED_VALUE"""),133.13)</f>
        <v>133.13</v>
      </c>
      <c r="C114" s="1">
        <f ca="1">IFERROR(__xludf.DUMMYFUNCTION("""COMPUTED_VALUE"""),133.89)</f>
        <v>133.88999999999999</v>
      </c>
      <c r="D114" s="1">
        <f ca="1">IFERROR(__xludf.DUMMYFUNCTION("""COMPUTED_VALUE"""),131.48)</f>
        <v>131.47999999999999</v>
      </c>
      <c r="E114" s="1">
        <f ca="1">IFERROR(__xludf.DUMMYFUNCTION("""COMPUTED_VALUE"""),132.76)</f>
        <v>132.76</v>
      </c>
      <c r="F114" s="1">
        <f ca="1">IFERROR(__xludf.DUMMYFUNCTION("""COMPUTED_VALUE"""),84784326)</f>
        <v>84784326</v>
      </c>
    </row>
    <row r="115" spans="1:6" ht="12.6">
      <c r="A115" s="2">
        <f ca="1">IFERROR(__xludf.DUMMYFUNCTION("""COMPUTED_VALUE"""),44727.6666666666)</f>
        <v>44727.666666666599</v>
      </c>
      <c r="B115" s="1">
        <f ca="1">IFERROR(__xludf.DUMMYFUNCTION("""COMPUTED_VALUE"""),134.29)</f>
        <v>134.29</v>
      </c>
      <c r="C115" s="1">
        <f ca="1">IFERROR(__xludf.DUMMYFUNCTION("""COMPUTED_VALUE"""),137.34)</f>
        <v>137.34</v>
      </c>
      <c r="D115" s="1">
        <f ca="1">IFERROR(__xludf.DUMMYFUNCTION("""COMPUTED_VALUE"""),132.16)</f>
        <v>132.16</v>
      </c>
      <c r="E115" s="1">
        <f ca="1">IFERROR(__xludf.DUMMYFUNCTION("""COMPUTED_VALUE"""),135.43)</f>
        <v>135.43</v>
      </c>
      <c r="F115" s="1">
        <f ca="1">IFERROR(__xludf.DUMMYFUNCTION("""COMPUTED_VALUE"""),91532972)</f>
        <v>91532972</v>
      </c>
    </row>
    <row r="116" spans="1:6" ht="12.6">
      <c r="A116" s="2">
        <f ca="1">IFERROR(__xludf.DUMMYFUNCTION("""COMPUTED_VALUE"""),44728.6666666666)</f>
        <v>44728.666666666599</v>
      </c>
      <c r="B116" s="1">
        <f ca="1">IFERROR(__xludf.DUMMYFUNCTION("""COMPUTED_VALUE"""),132.08)</f>
        <v>132.08000000000001</v>
      </c>
      <c r="C116" s="1">
        <f ca="1">IFERROR(__xludf.DUMMYFUNCTION("""COMPUTED_VALUE"""),132.39)</f>
        <v>132.38999999999999</v>
      </c>
      <c r="D116" s="1">
        <f ca="1">IFERROR(__xludf.DUMMYFUNCTION("""COMPUTED_VALUE"""),129.04)</f>
        <v>129.04</v>
      </c>
      <c r="E116" s="1">
        <f ca="1">IFERROR(__xludf.DUMMYFUNCTION("""COMPUTED_VALUE"""),130.06)</f>
        <v>130.06</v>
      </c>
      <c r="F116" s="1">
        <f ca="1">IFERROR(__xludf.DUMMYFUNCTION("""COMPUTED_VALUE"""),107961508)</f>
        <v>107961508</v>
      </c>
    </row>
    <row r="117" spans="1:6" ht="12.6">
      <c r="A117" s="2">
        <f ca="1">IFERROR(__xludf.DUMMYFUNCTION("""COMPUTED_VALUE"""),44729.6666666666)</f>
        <v>44729.666666666599</v>
      </c>
      <c r="B117" s="1">
        <f ca="1">IFERROR(__xludf.DUMMYFUNCTION("""COMPUTED_VALUE"""),130.07)</f>
        <v>130.07</v>
      </c>
      <c r="C117" s="1">
        <f ca="1">IFERROR(__xludf.DUMMYFUNCTION("""COMPUTED_VALUE"""),133.08)</f>
        <v>133.08000000000001</v>
      </c>
      <c r="D117" s="1">
        <f ca="1">IFERROR(__xludf.DUMMYFUNCTION("""COMPUTED_VALUE"""),129.81)</f>
        <v>129.81</v>
      </c>
      <c r="E117" s="1">
        <f ca="1">IFERROR(__xludf.DUMMYFUNCTION("""COMPUTED_VALUE"""),131.56)</f>
        <v>131.56</v>
      </c>
      <c r="F117" s="1">
        <f ca="1">IFERROR(__xludf.DUMMYFUNCTION("""COMPUTED_VALUE"""),134520290)</f>
        <v>134520290</v>
      </c>
    </row>
    <row r="118" spans="1:6" ht="12.6">
      <c r="A118" s="2">
        <f ca="1">IFERROR(__xludf.DUMMYFUNCTION("""COMPUTED_VALUE"""),44733.6666666666)</f>
        <v>44733.666666666599</v>
      </c>
      <c r="B118" s="1">
        <f ca="1">IFERROR(__xludf.DUMMYFUNCTION("""COMPUTED_VALUE"""),133.42)</f>
        <v>133.41999999999999</v>
      </c>
      <c r="C118" s="1">
        <f ca="1">IFERROR(__xludf.DUMMYFUNCTION("""COMPUTED_VALUE"""),137.06)</f>
        <v>137.06</v>
      </c>
      <c r="D118" s="1">
        <f ca="1">IFERROR(__xludf.DUMMYFUNCTION("""COMPUTED_VALUE"""),133.32)</f>
        <v>133.32</v>
      </c>
      <c r="E118" s="1">
        <f ca="1">IFERROR(__xludf.DUMMYFUNCTION("""COMPUTED_VALUE"""),135.87)</f>
        <v>135.87</v>
      </c>
      <c r="F118" s="1">
        <f ca="1">IFERROR(__xludf.DUMMYFUNCTION("""COMPUTED_VALUE"""),81000488)</f>
        <v>81000488</v>
      </c>
    </row>
    <row r="119" spans="1:6" ht="12.6">
      <c r="A119" s="2">
        <f ca="1">IFERROR(__xludf.DUMMYFUNCTION("""COMPUTED_VALUE"""),44734.6666666666)</f>
        <v>44734.666666666599</v>
      </c>
      <c r="B119" s="1">
        <f ca="1">IFERROR(__xludf.DUMMYFUNCTION("""COMPUTED_VALUE"""),134.79)</f>
        <v>134.79</v>
      </c>
      <c r="C119" s="1">
        <f ca="1">IFERROR(__xludf.DUMMYFUNCTION("""COMPUTED_VALUE"""),137.76)</f>
        <v>137.76</v>
      </c>
      <c r="D119" s="1">
        <f ca="1">IFERROR(__xludf.DUMMYFUNCTION("""COMPUTED_VALUE"""),133.91)</f>
        <v>133.91</v>
      </c>
      <c r="E119" s="1">
        <f ca="1">IFERROR(__xludf.DUMMYFUNCTION("""COMPUTED_VALUE"""),135.35)</f>
        <v>135.35</v>
      </c>
      <c r="F119" s="1">
        <f ca="1">IFERROR(__xludf.DUMMYFUNCTION("""COMPUTED_VALUE"""),73409234)</f>
        <v>73409234</v>
      </c>
    </row>
    <row r="120" spans="1:6" ht="12.6">
      <c r="A120" s="2">
        <f ca="1">IFERROR(__xludf.DUMMYFUNCTION("""COMPUTED_VALUE"""),44735.6666666666)</f>
        <v>44735.666666666599</v>
      </c>
      <c r="B120" s="1">
        <f ca="1">IFERROR(__xludf.DUMMYFUNCTION("""COMPUTED_VALUE"""),136.82)</f>
        <v>136.82</v>
      </c>
      <c r="C120" s="1">
        <f ca="1">IFERROR(__xludf.DUMMYFUNCTION("""COMPUTED_VALUE"""),138.59)</f>
        <v>138.59</v>
      </c>
      <c r="D120" s="1">
        <f ca="1">IFERROR(__xludf.DUMMYFUNCTION("""COMPUTED_VALUE"""),135.63)</f>
        <v>135.63</v>
      </c>
      <c r="E120" s="1">
        <f ca="1">IFERROR(__xludf.DUMMYFUNCTION("""COMPUTED_VALUE"""),138.27)</f>
        <v>138.27000000000001</v>
      </c>
      <c r="F120" s="1">
        <f ca="1">IFERROR(__xludf.DUMMYFUNCTION("""COMPUTED_VALUE"""),72433768)</f>
        <v>72433768</v>
      </c>
    </row>
    <row r="121" spans="1:6" ht="12.6">
      <c r="A121" s="2">
        <f ca="1">IFERROR(__xludf.DUMMYFUNCTION("""COMPUTED_VALUE"""),44736.6666666666)</f>
        <v>44736.666666666599</v>
      </c>
      <c r="B121" s="1">
        <f ca="1">IFERROR(__xludf.DUMMYFUNCTION("""COMPUTED_VALUE"""),139.9)</f>
        <v>139.9</v>
      </c>
      <c r="C121" s="1">
        <f ca="1">IFERROR(__xludf.DUMMYFUNCTION("""COMPUTED_VALUE"""),141.91)</f>
        <v>141.91</v>
      </c>
      <c r="D121" s="1">
        <f ca="1">IFERROR(__xludf.DUMMYFUNCTION("""COMPUTED_VALUE"""),139.77)</f>
        <v>139.77000000000001</v>
      </c>
      <c r="E121" s="1">
        <f ca="1">IFERROR(__xludf.DUMMYFUNCTION("""COMPUTED_VALUE"""),141.66)</f>
        <v>141.66</v>
      </c>
      <c r="F121" s="1">
        <f ca="1">IFERROR(__xludf.DUMMYFUNCTION("""COMPUTED_VALUE"""),89116837)</f>
        <v>89116837</v>
      </c>
    </row>
    <row r="122" spans="1:6" ht="12.6">
      <c r="A122" s="2">
        <f ca="1">IFERROR(__xludf.DUMMYFUNCTION("""COMPUTED_VALUE"""),44739.6666666666)</f>
        <v>44739.666666666599</v>
      </c>
      <c r="B122" s="1">
        <f ca="1">IFERROR(__xludf.DUMMYFUNCTION("""COMPUTED_VALUE"""),142.7)</f>
        <v>142.69999999999999</v>
      </c>
      <c r="C122" s="1">
        <f ca="1">IFERROR(__xludf.DUMMYFUNCTION("""COMPUTED_VALUE"""),143.49)</f>
        <v>143.49</v>
      </c>
      <c r="D122" s="1">
        <f ca="1">IFERROR(__xludf.DUMMYFUNCTION("""COMPUTED_VALUE"""),140.97)</f>
        <v>140.97</v>
      </c>
      <c r="E122" s="1">
        <f ca="1">IFERROR(__xludf.DUMMYFUNCTION("""COMPUTED_VALUE"""),141.66)</f>
        <v>141.66</v>
      </c>
      <c r="F122" s="1">
        <f ca="1">IFERROR(__xludf.DUMMYFUNCTION("""COMPUTED_VALUE"""),70207908)</f>
        <v>70207908</v>
      </c>
    </row>
    <row r="123" spans="1:6" ht="12.6">
      <c r="A123" s="2">
        <f ca="1">IFERROR(__xludf.DUMMYFUNCTION("""COMPUTED_VALUE"""),44740.6666666666)</f>
        <v>44740.666666666599</v>
      </c>
      <c r="B123" s="1">
        <f ca="1">IFERROR(__xludf.DUMMYFUNCTION("""COMPUTED_VALUE"""),142.13)</f>
        <v>142.13</v>
      </c>
      <c r="C123" s="1">
        <f ca="1">IFERROR(__xludf.DUMMYFUNCTION("""COMPUTED_VALUE"""),143.42)</f>
        <v>143.41999999999999</v>
      </c>
      <c r="D123" s="1">
        <f ca="1">IFERROR(__xludf.DUMMYFUNCTION("""COMPUTED_VALUE"""),137.32)</f>
        <v>137.32</v>
      </c>
      <c r="E123" s="1">
        <f ca="1">IFERROR(__xludf.DUMMYFUNCTION("""COMPUTED_VALUE"""),137.44)</f>
        <v>137.44</v>
      </c>
      <c r="F123" s="1">
        <f ca="1">IFERROR(__xludf.DUMMYFUNCTION("""COMPUTED_VALUE"""),67315328)</f>
        <v>67315328</v>
      </c>
    </row>
    <row r="124" spans="1:6" ht="12.6">
      <c r="A124" s="2">
        <f ca="1">IFERROR(__xludf.DUMMYFUNCTION("""COMPUTED_VALUE"""),44741.6666666666)</f>
        <v>44741.666666666599</v>
      </c>
      <c r="B124" s="1">
        <f ca="1">IFERROR(__xludf.DUMMYFUNCTION("""COMPUTED_VALUE"""),137.46)</f>
        <v>137.46</v>
      </c>
      <c r="C124" s="1">
        <f ca="1">IFERROR(__xludf.DUMMYFUNCTION("""COMPUTED_VALUE"""),140.67)</f>
        <v>140.66999999999999</v>
      </c>
      <c r="D124" s="1">
        <f ca="1">IFERROR(__xludf.DUMMYFUNCTION("""COMPUTED_VALUE"""),136.67)</f>
        <v>136.66999999999999</v>
      </c>
      <c r="E124" s="1">
        <f ca="1">IFERROR(__xludf.DUMMYFUNCTION("""COMPUTED_VALUE"""),139.23)</f>
        <v>139.22999999999999</v>
      </c>
      <c r="F124" s="1">
        <f ca="1">IFERROR(__xludf.DUMMYFUNCTION("""COMPUTED_VALUE"""),66242411)</f>
        <v>66242411</v>
      </c>
    </row>
    <row r="125" spans="1:6" ht="12.6">
      <c r="A125" s="2">
        <f ca="1">IFERROR(__xludf.DUMMYFUNCTION("""COMPUTED_VALUE"""),44742.6666666666)</f>
        <v>44742.666666666599</v>
      </c>
      <c r="B125" s="1">
        <f ca="1">IFERROR(__xludf.DUMMYFUNCTION("""COMPUTED_VALUE"""),137.25)</f>
        <v>137.25</v>
      </c>
      <c r="C125" s="1">
        <f ca="1">IFERROR(__xludf.DUMMYFUNCTION("""COMPUTED_VALUE"""),138.37)</f>
        <v>138.37</v>
      </c>
      <c r="D125" s="1">
        <f ca="1">IFERROR(__xludf.DUMMYFUNCTION("""COMPUTED_VALUE"""),133.77)</f>
        <v>133.77000000000001</v>
      </c>
      <c r="E125" s="1">
        <f ca="1">IFERROR(__xludf.DUMMYFUNCTION("""COMPUTED_VALUE"""),136.72)</f>
        <v>136.72</v>
      </c>
      <c r="F125" s="1">
        <f ca="1">IFERROR(__xludf.DUMMYFUNCTION("""COMPUTED_VALUE"""),98964467)</f>
        <v>98964467</v>
      </c>
    </row>
    <row r="126" spans="1:6" ht="12.6">
      <c r="A126" s="2">
        <f ca="1">IFERROR(__xludf.DUMMYFUNCTION("""COMPUTED_VALUE"""),44743.6666666666)</f>
        <v>44743.666666666599</v>
      </c>
      <c r="B126" s="1">
        <f ca="1">IFERROR(__xludf.DUMMYFUNCTION("""COMPUTED_VALUE"""),136.04)</f>
        <v>136.04</v>
      </c>
      <c r="C126" s="1">
        <f ca="1">IFERROR(__xludf.DUMMYFUNCTION("""COMPUTED_VALUE"""),139.04)</f>
        <v>139.04</v>
      </c>
      <c r="D126" s="1">
        <f ca="1">IFERROR(__xludf.DUMMYFUNCTION("""COMPUTED_VALUE"""),135.66)</f>
        <v>135.66</v>
      </c>
      <c r="E126" s="1">
        <f ca="1">IFERROR(__xludf.DUMMYFUNCTION("""COMPUTED_VALUE"""),138.93)</f>
        <v>138.93</v>
      </c>
      <c r="F126" s="1">
        <f ca="1">IFERROR(__xludf.DUMMYFUNCTION("""COMPUTED_VALUE"""),71051552)</f>
        <v>71051552</v>
      </c>
    </row>
    <row r="127" spans="1:6" ht="12.6">
      <c r="A127" s="2">
        <f ca="1">IFERROR(__xludf.DUMMYFUNCTION("""COMPUTED_VALUE"""),44747.6666666666)</f>
        <v>44747.666666666599</v>
      </c>
      <c r="B127" s="1">
        <f ca="1">IFERROR(__xludf.DUMMYFUNCTION("""COMPUTED_VALUE"""),137.77)</f>
        <v>137.77000000000001</v>
      </c>
      <c r="C127" s="1">
        <f ca="1">IFERROR(__xludf.DUMMYFUNCTION("""COMPUTED_VALUE"""),141.61)</f>
        <v>141.61000000000001</v>
      </c>
      <c r="D127" s="1">
        <f ca="1">IFERROR(__xludf.DUMMYFUNCTION("""COMPUTED_VALUE"""),136.93)</f>
        <v>136.93</v>
      </c>
      <c r="E127" s="1">
        <f ca="1">IFERROR(__xludf.DUMMYFUNCTION("""COMPUTED_VALUE"""),141.56)</f>
        <v>141.56</v>
      </c>
      <c r="F127" s="1">
        <f ca="1">IFERROR(__xludf.DUMMYFUNCTION("""COMPUTED_VALUE"""),73429641)</f>
        <v>73429641</v>
      </c>
    </row>
    <row r="128" spans="1:6" ht="12.6">
      <c r="A128" s="2">
        <f ca="1">IFERROR(__xludf.DUMMYFUNCTION("""COMPUTED_VALUE"""),44748.6666666666)</f>
        <v>44748.666666666599</v>
      </c>
      <c r="B128" s="1">
        <f ca="1">IFERROR(__xludf.DUMMYFUNCTION("""COMPUTED_VALUE"""),141.35)</f>
        <v>141.35</v>
      </c>
      <c r="C128" s="1">
        <f ca="1">IFERROR(__xludf.DUMMYFUNCTION("""COMPUTED_VALUE"""),144.12)</f>
        <v>144.12</v>
      </c>
      <c r="D128" s="1">
        <f ca="1">IFERROR(__xludf.DUMMYFUNCTION("""COMPUTED_VALUE"""),141.08)</f>
        <v>141.08000000000001</v>
      </c>
      <c r="E128" s="1">
        <f ca="1">IFERROR(__xludf.DUMMYFUNCTION("""COMPUTED_VALUE"""),142.92)</f>
        <v>142.91999999999999</v>
      </c>
      <c r="F128" s="1">
        <f ca="1">IFERROR(__xludf.DUMMYFUNCTION("""COMPUTED_VALUE"""),74064254)</f>
        <v>74064254</v>
      </c>
    </row>
    <row r="129" spans="1:6" ht="12.6">
      <c r="A129" s="2">
        <f ca="1">IFERROR(__xludf.DUMMYFUNCTION("""COMPUTED_VALUE"""),44749.6666666666)</f>
        <v>44749.666666666599</v>
      </c>
      <c r="B129" s="1">
        <f ca="1">IFERROR(__xludf.DUMMYFUNCTION("""COMPUTED_VALUE"""),143.29)</f>
        <v>143.29</v>
      </c>
      <c r="C129" s="1">
        <f ca="1">IFERROR(__xludf.DUMMYFUNCTION("""COMPUTED_VALUE"""),146.55)</f>
        <v>146.55000000000001</v>
      </c>
      <c r="D129" s="1">
        <f ca="1">IFERROR(__xludf.DUMMYFUNCTION("""COMPUTED_VALUE"""),143.28)</f>
        <v>143.28</v>
      </c>
      <c r="E129" s="1">
        <f ca="1">IFERROR(__xludf.DUMMYFUNCTION("""COMPUTED_VALUE"""),146.35)</f>
        <v>146.35</v>
      </c>
      <c r="F129" s="1">
        <f ca="1">IFERROR(__xludf.DUMMYFUNCTION("""COMPUTED_VALUE"""),66253709)</f>
        <v>66253709</v>
      </c>
    </row>
    <row r="130" spans="1:6" ht="12.6">
      <c r="A130" s="2">
        <f ca="1">IFERROR(__xludf.DUMMYFUNCTION("""COMPUTED_VALUE"""),44750.6666666666)</f>
        <v>44750.666666666599</v>
      </c>
      <c r="B130" s="1">
        <f ca="1">IFERROR(__xludf.DUMMYFUNCTION("""COMPUTED_VALUE"""),145.26)</f>
        <v>145.26</v>
      </c>
      <c r="C130" s="1">
        <f ca="1">IFERROR(__xludf.DUMMYFUNCTION("""COMPUTED_VALUE"""),147.55)</f>
        <v>147.55000000000001</v>
      </c>
      <c r="D130" s="1">
        <f ca="1">IFERROR(__xludf.DUMMYFUNCTION("""COMPUTED_VALUE"""),145)</f>
        <v>145</v>
      </c>
      <c r="E130" s="1">
        <f ca="1">IFERROR(__xludf.DUMMYFUNCTION("""COMPUTED_VALUE"""),147.04)</f>
        <v>147.04</v>
      </c>
      <c r="F130" s="1">
        <f ca="1">IFERROR(__xludf.DUMMYFUNCTION("""COMPUTED_VALUE"""),64547798)</f>
        <v>64547798</v>
      </c>
    </row>
    <row r="131" spans="1:6" ht="12.6">
      <c r="A131" s="2">
        <f ca="1">IFERROR(__xludf.DUMMYFUNCTION("""COMPUTED_VALUE"""),44753.6666666666)</f>
        <v>44753.666666666599</v>
      </c>
      <c r="B131" s="1">
        <f ca="1">IFERROR(__xludf.DUMMYFUNCTION("""COMPUTED_VALUE"""),145.67)</f>
        <v>145.66999999999999</v>
      </c>
      <c r="C131" s="1">
        <f ca="1">IFERROR(__xludf.DUMMYFUNCTION("""COMPUTED_VALUE"""),146.64)</f>
        <v>146.63999999999999</v>
      </c>
      <c r="D131" s="1">
        <f ca="1">IFERROR(__xludf.DUMMYFUNCTION("""COMPUTED_VALUE"""),143.78)</f>
        <v>143.78</v>
      </c>
      <c r="E131" s="1">
        <f ca="1">IFERROR(__xludf.DUMMYFUNCTION("""COMPUTED_VALUE"""),144.87)</f>
        <v>144.87</v>
      </c>
      <c r="F131" s="1">
        <f ca="1">IFERROR(__xludf.DUMMYFUNCTION("""COMPUTED_VALUE"""),63305113)</f>
        <v>63305113</v>
      </c>
    </row>
    <row r="132" spans="1:6" ht="12.6">
      <c r="A132" s="2">
        <f ca="1">IFERROR(__xludf.DUMMYFUNCTION("""COMPUTED_VALUE"""),44754.6666666666)</f>
        <v>44754.666666666599</v>
      </c>
      <c r="B132" s="1">
        <f ca="1">IFERROR(__xludf.DUMMYFUNCTION("""COMPUTED_VALUE"""),145.76)</f>
        <v>145.76</v>
      </c>
      <c r="C132" s="1">
        <f ca="1">IFERROR(__xludf.DUMMYFUNCTION("""COMPUTED_VALUE"""),148.45)</f>
        <v>148.44999999999999</v>
      </c>
      <c r="D132" s="1">
        <f ca="1">IFERROR(__xludf.DUMMYFUNCTION("""COMPUTED_VALUE"""),145.05)</f>
        <v>145.05000000000001</v>
      </c>
      <c r="E132" s="1">
        <f ca="1">IFERROR(__xludf.DUMMYFUNCTION("""COMPUTED_VALUE"""),145.86)</f>
        <v>145.86000000000001</v>
      </c>
      <c r="F132" s="1">
        <f ca="1">IFERROR(__xludf.DUMMYFUNCTION("""COMPUTED_VALUE"""),77588759)</f>
        <v>77588759</v>
      </c>
    </row>
    <row r="133" spans="1:6" ht="12.6">
      <c r="A133" s="2">
        <f ca="1">IFERROR(__xludf.DUMMYFUNCTION("""COMPUTED_VALUE"""),44755.6666666666)</f>
        <v>44755.666666666599</v>
      </c>
      <c r="B133" s="1">
        <f ca="1">IFERROR(__xludf.DUMMYFUNCTION("""COMPUTED_VALUE"""),142.99)</f>
        <v>142.99</v>
      </c>
      <c r="C133" s="1">
        <f ca="1">IFERROR(__xludf.DUMMYFUNCTION("""COMPUTED_VALUE"""),146.45)</f>
        <v>146.44999999999999</v>
      </c>
      <c r="D133" s="1">
        <f ca="1">IFERROR(__xludf.DUMMYFUNCTION("""COMPUTED_VALUE"""),142.12)</f>
        <v>142.12</v>
      </c>
      <c r="E133" s="1">
        <f ca="1">IFERROR(__xludf.DUMMYFUNCTION("""COMPUTED_VALUE"""),145.49)</f>
        <v>145.49</v>
      </c>
      <c r="F133" s="1">
        <f ca="1">IFERROR(__xludf.DUMMYFUNCTION("""COMPUTED_VALUE"""),71185560)</f>
        <v>71185560</v>
      </c>
    </row>
    <row r="134" spans="1:6" ht="12.6">
      <c r="A134" s="2">
        <f ca="1">IFERROR(__xludf.DUMMYFUNCTION("""COMPUTED_VALUE"""),44756.6666666666)</f>
        <v>44756.666666666599</v>
      </c>
      <c r="B134" s="1">
        <f ca="1">IFERROR(__xludf.DUMMYFUNCTION("""COMPUTED_VALUE"""),144.08)</f>
        <v>144.08000000000001</v>
      </c>
      <c r="C134" s="1">
        <f ca="1">IFERROR(__xludf.DUMMYFUNCTION("""COMPUTED_VALUE"""),148.95)</f>
        <v>148.94999999999999</v>
      </c>
      <c r="D134" s="1">
        <f ca="1">IFERROR(__xludf.DUMMYFUNCTION("""COMPUTED_VALUE"""),143.25)</f>
        <v>143.25</v>
      </c>
      <c r="E134" s="1">
        <f ca="1">IFERROR(__xludf.DUMMYFUNCTION("""COMPUTED_VALUE"""),148.47)</f>
        <v>148.47</v>
      </c>
      <c r="F134" s="1">
        <f ca="1">IFERROR(__xludf.DUMMYFUNCTION("""COMPUTED_VALUE"""),78140744)</f>
        <v>78140744</v>
      </c>
    </row>
    <row r="135" spans="1:6" ht="12.6">
      <c r="A135" s="2">
        <f ca="1">IFERROR(__xludf.DUMMYFUNCTION("""COMPUTED_VALUE"""),44757.6666666666)</f>
        <v>44757.666666666599</v>
      </c>
      <c r="B135" s="1">
        <f ca="1">IFERROR(__xludf.DUMMYFUNCTION("""COMPUTED_VALUE"""),149.78)</f>
        <v>149.78</v>
      </c>
      <c r="C135" s="1">
        <f ca="1">IFERROR(__xludf.DUMMYFUNCTION("""COMPUTED_VALUE"""),150.86)</f>
        <v>150.86000000000001</v>
      </c>
      <c r="D135" s="1">
        <f ca="1">IFERROR(__xludf.DUMMYFUNCTION("""COMPUTED_VALUE"""),148.2)</f>
        <v>148.19999999999999</v>
      </c>
      <c r="E135" s="1">
        <f ca="1">IFERROR(__xludf.DUMMYFUNCTION("""COMPUTED_VALUE"""),150.17)</f>
        <v>150.16999999999999</v>
      </c>
      <c r="F135" s="1">
        <f ca="1">IFERROR(__xludf.DUMMYFUNCTION("""COMPUTED_VALUE"""),76259931)</f>
        <v>76259931</v>
      </c>
    </row>
    <row r="136" spans="1:6" ht="12.6">
      <c r="A136" s="2">
        <f ca="1">IFERROR(__xludf.DUMMYFUNCTION("""COMPUTED_VALUE"""),44760.6666666666)</f>
        <v>44760.666666666599</v>
      </c>
      <c r="B136" s="1">
        <f ca="1">IFERROR(__xludf.DUMMYFUNCTION("""COMPUTED_VALUE"""),150.74)</f>
        <v>150.74</v>
      </c>
      <c r="C136" s="1">
        <f ca="1">IFERROR(__xludf.DUMMYFUNCTION("""COMPUTED_VALUE"""),151.57)</f>
        <v>151.57</v>
      </c>
      <c r="D136" s="1">
        <f ca="1">IFERROR(__xludf.DUMMYFUNCTION("""COMPUTED_VALUE"""),146.7)</f>
        <v>146.69999999999999</v>
      </c>
      <c r="E136" s="1">
        <f ca="1">IFERROR(__xludf.DUMMYFUNCTION("""COMPUTED_VALUE"""),147.07)</f>
        <v>147.07</v>
      </c>
      <c r="F136" s="1">
        <f ca="1">IFERROR(__xludf.DUMMYFUNCTION("""COMPUTED_VALUE"""),81420868)</f>
        <v>81420868</v>
      </c>
    </row>
    <row r="137" spans="1:6" ht="12.6">
      <c r="A137" s="2">
        <f ca="1">IFERROR(__xludf.DUMMYFUNCTION("""COMPUTED_VALUE"""),44761.6666666666)</f>
        <v>44761.666666666599</v>
      </c>
      <c r="B137" s="1">
        <f ca="1">IFERROR(__xludf.DUMMYFUNCTION("""COMPUTED_VALUE"""),147.92)</f>
        <v>147.91999999999999</v>
      </c>
      <c r="C137" s="1">
        <f ca="1">IFERROR(__xludf.DUMMYFUNCTION("""COMPUTED_VALUE"""),151.23)</f>
        <v>151.22999999999999</v>
      </c>
      <c r="D137" s="1">
        <f ca="1">IFERROR(__xludf.DUMMYFUNCTION("""COMPUTED_VALUE"""),146.91)</f>
        <v>146.91</v>
      </c>
      <c r="E137" s="1">
        <f ca="1">IFERROR(__xludf.DUMMYFUNCTION("""COMPUTED_VALUE"""),151)</f>
        <v>151</v>
      </c>
      <c r="F137" s="1">
        <f ca="1">IFERROR(__xludf.DUMMYFUNCTION("""COMPUTED_VALUE"""),82982367)</f>
        <v>82982367</v>
      </c>
    </row>
    <row r="138" spans="1:6" ht="12.6">
      <c r="A138" s="2">
        <f ca="1">IFERROR(__xludf.DUMMYFUNCTION("""COMPUTED_VALUE"""),44762.6666666666)</f>
        <v>44762.666666666599</v>
      </c>
      <c r="B138" s="1">
        <f ca="1">IFERROR(__xludf.DUMMYFUNCTION("""COMPUTED_VALUE"""),151.12)</f>
        <v>151.12</v>
      </c>
      <c r="C138" s="1">
        <f ca="1">IFERROR(__xludf.DUMMYFUNCTION("""COMPUTED_VALUE"""),153.72)</f>
        <v>153.72</v>
      </c>
      <c r="D138" s="1">
        <f ca="1">IFERROR(__xludf.DUMMYFUNCTION("""COMPUTED_VALUE"""),150.37)</f>
        <v>150.37</v>
      </c>
      <c r="E138" s="1">
        <f ca="1">IFERROR(__xludf.DUMMYFUNCTION("""COMPUTED_VALUE"""),153.04)</f>
        <v>153.04</v>
      </c>
      <c r="F138" s="1">
        <f ca="1">IFERROR(__xludf.DUMMYFUNCTION("""COMPUTED_VALUE"""),64823413)</f>
        <v>64823413</v>
      </c>
    </row>
    <row r="139" spans="1:6" ht="12.6">
      <c r="A139" s="2">
        <f ca="1">IFERROR(__xludf.DUMMYFUNCTION("""COMPUTED_VALUE"""),44763.6666666666)</f>
        <v>44763.666666666599</v>
      </c>
      <c r="B139" s="1">
        <f ca="1">IFERROR(__xludf.DUMMYFUNCTION("""COMPUTED_VALUE"""),154.5)</f>
        <v>154.5</v>
      </c>
      <c r="C139" s="1">
        <f ca="1">IFERROR(__xludf.DUMMYFUNCTION("""COMPUTED_VALUE"""),155.57)</f>
        <v>155.57</v>
      </c>
      <c r="D139" s="1">
        <f ca="1">IFERROR(__xludf.DUMMYFUNCTION("""COMPUTED_VALUE"""),151.94)</f>
        <v>151.94</v>
      </c>
      <c r="E139" s="1">
        <f ca="1">IFERROR(__xludf.DUMMYFUNCTION("""COMPUTED_VALUE"""),155.35)</f>
        <v>155.35</v>
      </c>
      <c r="F139" s="1">
        <f ca="1">IFERROR(__xludf.DUMMYFUNCTION("""COMPUTED_VALUE"""),65086636)</f>
        <v>65086636</v>
      </c>
    </row>
    <row r="140" spans="1:6" ht="12.6">
      <c r="A140" s="2">
        <f ca="1">IFERROR(__xludf.DUMMYFUNCTION("""COMPUTED_VALUE"""),44764.6666666666)</f>
        <v>44764.666666666599</v>
      </c>
      <c r="B140" s="1">
        <f ca="1">IFERROR(__xludf.DUMMYFUNCTION("""COMPUTED_VALUE"""),155.39)</f>
        <v>155.38999999999999</v>
      </c>
      <c r="C140" s="1">
        <f ca="1">IFERROR(__xludf.DUMMYFUNCTION("""COMPUTED_VALUE"""),156.28)</f>
        <v>156.28</v>
      </c>
      <c r="D140" s="1">
        <f ca="1">IFERROR(__xludf.DUMMYFUNCTION("""COMPUTED_VALUE"""),153.41)</f>
        <v>153.41</v>
      </c>
      <c r="E140" s="1">
        <f ca="1">IFERROR(__xludf.DUMMYFUNCTION("""COMPUTED_VALUE"""),154.09)</f>
        <v>154.09</v>
      </c>
      <c r="F140" s="1">
        <f ca="1">IFERROR(__xludf.DUMMYFUNCTION("""COMPUTED_VALUE"""),66675408)</f>
        <v>66675408</v>
      </c>
    </row>
    <row r="141" spans="1:6" ht="12.6">
      <c r="A141" s="2">
        <f ca="1">IFERROR(__xludf.DUMMYFUNCTION("""COMPUTED_VALUE"""),44767.6666666666)</f>
        <v>44767.666666666599</v>
      </c>
      <c r="B141" s="1">
        <f ca="1">IFERROR(__xludf.DUMMYFUNCTION("""COMPUTED_VALUE"""),154.01)</f>
        <v>154.01</v>
      </c>
      <c r="C141" s="1">
        <f ca="1">IFERROR(__xludf.DUMMYFUNCTION("""COMPUTED_VALUE"""),155.04)</f>
        <v>155.04</v>
      </c>
      <c r="D141" s="1">
        <f ca="1">IFERROR(__xludf.DUMMYFUNCTION("""COMPUTED_VALUE"""),152.28)</f>
        <v>152.28</v>
      </c>
      <c r="E141" s="1">
        <f ca="1">IFERROR(__xludf.DUMMYFUNCTION("""COMPUTED_VALUE"""),152.95)</f>
        <v>152.94999999999999</v>
      </c>
      <c r="F141" s="1">
        <f ca="1">IFERROR(__xludf.DUMMYFUNCTION("""COMPUTED_VALUE"""),53623945)</f>
        <v>53623945</v>
      </c>
    </row>
    <row r="142" spans="1:6" ht="12.6">
      <c r="A142" s="2">
        <f ca="1">IFERROR(__xludf.DUMMYFUNCTION("""COMPUTED_VALUE"""),44768.6666666666)</f>
        <v>44768.666666666599</v>
      </c>
      <c r="B142" s="1">
        <f ca="1">IFERROR(__xludf.DUMMYFUNCTION("""COMPUTED_VALUE"""),152.26)</f>
        <v>152.26</v>
      </c>
      <c r="C142" s="1">
        <f ca="1">IFERROR(__xludf.DUMMYFUNCTION("""COMPUTED_VALUE"""),153.09)</f>
        <v>153.09</v>
      </c>
      <c r="D142" s="1">
        <f ca="1">IFERROR(__xludf.DUMMYFUNCTION("""COMPUTED_VALUE"""),150.8)</f>
        <v>150.80000000000001</v>
      </c>
      <c r="E142" s="1">
        <f ca="1">IFERROR(__xludf.DUMMYFUNCTION("""COMPUTED_VALUE"""),151.6)</f>
        <v>151.6</v>
      </c>
      <c r="F142" s="1">
        <f ca="1">IFERROR(__xludf.DUMMYFUNCTION("""COMPUTED_VALUE"""),55138691)</f>
        <v>55138691</v>
      </c>
    </row>
    <row r="143" spans="1:6" ht="12.6">
      <c r="A143" s="2">
        <f ca="1">IFERROR(__xludf.DUMMYFUNCTION("""COMPUTED_VALUE"""),44769.6666666666)</f>
        <v>44769.666666666599</v>
      </c>
      <c r="B143" s="1">
        <f ca="1">IFERROR(__xludf.DUMMYFUNCTION("""COMPUTED_VALUE"""),152.58)</f>
        <v>152.58000000000001</v>
      </c>
      <c r="C143" s="1">
        <f ca="1">IFERROR(__xludf.DUMMYFUNCTION("""COMPUTED_VALUE"""),157.33)</f>
        <v>157.33000000000001</v>
      </c>
      <c r="D143" s="1">
        <f ca="1">IFERROR(__xludf.DUMMYFUNCTION("""COMPUTED_VALUE"""),152.16)</f>
        <v>152.16</v>
      </c>
      <c r="E143" s="1">
        <f ca="1">IFERROR(__xludf.DUMMYFUNCTION("""COMPUTED_VALUE"""),156.79)</f>
        <v>156.79</v>
      </c>
      <c r="F143" s="1">
        <f ca="1">IFERROR(__xludf.DUMMYFUNCTION("""COMPUTED_VALUE"""),78620688)</f>
        <v>78620688</v>
      </c>
    </row>
    <row r="144" spans="1:6" ht="12.6">
      <c r="A144" s="2">
        <f ca="1">IFERROR(__xludf.DUMMYFUNCTION("""COMPUTED_VALUE"""),44770.6666666666)</f>
        <v>44770.666666666599</v>
      </c>
      <c r="B144" s="1">
        <f ca="1">IFERROR(__xludf.DUMMYFUNCTION("""COMPUTED_VALUE"""),156.98)</f>
        <v>156.97999999999999</v>
      </c>
      <c r="C144" s="1">
        <f ca="1">IFERROR(__xludf.DUMMYFUNCTION("""COMPUTED_VALUE"""),157.64)</f>
        <v>157.63999999999999</v>
      </c>
      <c r="D144" s="1">
        <f ca="1">IFERROR(__xludf.DUMMYFUNCTION("""COMPUTED_VALUE"""),154.41)</f>
        <v>154.41</v>
      </c>
      <c r="E144" s="1">
        <f ca="1">IFERROR(__xludf.DUMMYFUNCTION("""COMPUTED_VALUE"""),157.35)</f>
        <v>157.35</v>
      </c>
      <c r="F144" s="1">
        <f ca="1">IFERROR(__xludf.DUMMYFUNCTION("""COMPUTED_VALUE"""),81378731)</f>
        <v>81378731</v>
      </c>
    </row>
    <row r="145" spans="1:6" ht="12.6">
      <c r="A145" s="2">
        <f ca="1">IFERROR(__xludf.DUMMYFUNCTION("""COMPUTED_VALUE"""),44771.6666666666)</f>
        <v>44771.666666666599</v>
      </c>
      <c r="B145" s="1">
        <f ca="1">IFERROR(__xludf.DUMMYFUNCTION("""COMPUTED_VALUE"""),161.24)</f>
        <v>161.24</v>
      </c>
      <c r="C145" s="1">
        <f ca="1">IFERROR(__xludf.DUMMYFUNCTION("""COMPUTED_VALUE"""),163.63)</f>
        <v>163.63</v>
      </c>
      <c r="D145" s="1">
        <f ca="1">IFERROR(__xludf.DUMMYFUNCTION("""COMPUTED_VALUE"""),159.5)</f>
        <v>159.5</v>
      </c>
      <c r="E145" s="1">
        <f ca="1">IFERROR(__xludf.DUMMYFUNCTION("""COMPUTED_VALUE"""),162.51)</f>
        <v>162.51</v>
      </c>
      <c r="F145" s="1">
        <f ca="1">IFERROR(__xludf.DUMMYFUNCTION("""COMPUTED_VALUE"""),101786860)</f>
        <v>101786860</v>
      </c>
    </row>
    <row r="146" spans="1:6" ht="12.6">
      <c r="A146" s="2">
        <f ca="1">IFERROR(__xludf.DUMMYFUNCTION("""COMPUTED_VALUE"""),44774.6666666666)</f>
        <v>44774.666666666599</v>
      </c>
      <c r="B146" s="1">
        <f ca="1">IFERROR(__xludf.DUMMYFUNCTION("""COMPUTED_VALUE"""),161.01)</f>
        <v>161.01</v>
      </c>
      <c r="C146" s="1">
        <f ca="1">IFERROR(__xludf.DUMMYFUNCTION("""COMPUTED_VALUE"""),163.59)</f>
        <v>163.59</v>
      </c>
      <c r="D146" s="1">
        <f ca="1">IFERROR(__xludf.DUMMYFUNCTION("""COMPUTED_VALUE"""),160.89)</f>
        <v>160.88999999999999</v>
      </c>
      <c r="E146" s="1">
        <f ca="1">IFERROR(__xludf.DUMMYFUNCTION("""COMPUTED_VALUE"""),161.51)</f>
        <v>161.51</v>
      </c>
      <c r="F146" s="1">
        <f ca="1">IFERROR(__xludf.DUMMYFUNCTION("""COMPUTED_VALUE"""),67829379)</f>
        <v>67829379</v>
      </c>
    </row>
    <row r="147" spans="1:6" ht="12.6">
      <c r="A147" s="2">
        <f ca="1">IFERROR(__xludf.DUMMYFUNCTION("""COMPUTED_VALUE"""),44775.6666666666)</f>
        <v>44775.666666666599</v>
      </c>
      <c r="B147" s="1">
        <f ca="1">IFERROR(__xludf.DUMMYFUNCTION("""COMPUTED_VALUE"""),160.1)</f>
        <v>160.1</v>
      </c>
      <c r="C147" s="1">
        <f ca="1">IFERROR(__xludf.DUMMYFUNCTION("""COMPUTED_VALUE"""),162.41)</f>
        <v>162.41</v>
      </c>
      <c r="D147" s="1">
        <f ca="1">IFERROR(__xludf.DUMMYFUNCTION("""COMPUTED_VALUE"""),159.63)</f>
        <v>159.63</v>
      </c>
      <c r="E147" s="1">
        <f ca="1">IFERROR(__xludf.DUMMYFUNCTION("""COMPUTED_VALUE"""),160.01)</f>
        <v>160.01</v>
      </c>
      <c r="F147" s="1">
        <f ca="1">IFERROR(__xludf.DUMMYFUNCTION("""COMPUTED_VALUE"""),59907025)</f>
        <v>59907025</v>
      </c>
    </row>
    <row r="148" spans="1:6" ht="12.6">
      <c r="A148" s="2">
        <f ca="1">IFERROR(__xludf.DUMMYFUNCTION("""COMPUTED_VALUE"""),44776.6666666666)</f>
        <v>44776.666666666599</v>
      </c>
      <c r="B148" s="1">
        <f ca="1">IFERROR(__xludf.DUMMYFUNCTION("""COMPUTED_VALUE"""),160.84)</f>
        <v>160.84</v>
      </c>
      <c r="C148" s="1">
        <f ca="1">IFERROR(__xludf.DUMMYFUNCTION("""COMPUTED_VALUE"""),166.59)</f>
        <v>166.59</v>
      </c>
      <c r="D148" s="1">
        <f ca="1">IFERROR(__xludf.DUMMYFUNCTION("""COMPUTED_VALUE"""),160.75)</f>
        <v>160.75</v>
      </c>
      <c r="E148" s="1">
        <f ca="1">IFERROR(__xludf.DUMMYFUNCTION("""COMPUTED_VALUE"""),166.13)</f>
        <v>166.13</v>
      </c>
      <c r="F148" s="1">
        <f ca="1">IFERROR(__xludf.DUMMYFUNCTION("""COMPUTED_VALUE"""),82507488)</f>
        <v>82507488</v>
      </c>
    </row>
    <row r="149" spans="1:6" ht="12.6">
      <c r="A149" s="2">
        <f ca="1">IFERROR(__xludf.DUMMYFUNCTION("""COMPUTED_VALUE"""),44777.6666666666)</f>
        <v>44777.666666666599</v>
      </c>
      <c r="B149" s="1">
        <f ca="1">IFERROR(__xludf.DUMMYFUNCTION("""COMPUTED_VALUE"""),166.01)</f>
        <v>166.01</v>
      </c>
      <c r="C149" s="1">
        <f ca="1">IFERROR(__xludf.DUMMYFUNCTION("""COMPUTED_VALUE"""),167.19)</f>
        <v>167.19</v>
      </c>
      <c r="D149" s="1">
        <f ca="1">IFERROR(__xludf.DUMMYFUNCTION("""COMPUTED_VALUE"""),164.43)</f>
        <v>164.43</v>
      </c>
      <c r="E149" s="1">
        <f ca="1">IFERROR(__xludf.DUMMYFUNCTION("""COMPUTED_VALUE"""),165.81)</f>
        <v>165.81</v>
      </c>
      <c r="F149" s="1">
        <f ca="1">IFERROR(__xludf.DUMMYFUNCTION("""COMPUTED_VALUE"""),55474144)</f>
        <v>55474144</v>
      </c>
    </row>
    <row r="150" spans="1:6" ht="12.6">
      <c r="A150" s="2">
        <f ca="1">IFERROR(__xludf.DUMMYFUNCTION("""COMPUTED_VALUE"""),44778.6666666666)</f>
        <v>44778.666666666599</v>
      </c>
      <c r="B150" s="1">
        <f ca="1">IFERROR(__xludf.DUMMYFUNCTION("""COMPUTED_VALUE"""),163.21)</f>
        <v>163.21</v>
      </c>
      <c r="C150" s="1">
        <f ca="1">IFERROR(__xludf.DUMMYFUNCTION("""COMPUTED_VALUE"""),165.85)</f>
        <v>165.85</v>
      </c>
      <c r="D150" s="1">
        <f ca="1">IFERROR(__xludf.DUMMYFUNCTION("""COMPUTED_VALUE"""),163)</f>
        <v>163</v>
      </c>
      <c r="E150" s="1">
        <f ca="1">IFERROR(__xludf.DUMMYFUNCTION("""COMPUTED_VALUE"""),165.35)</f>
        <v>165.35</v>
      </c>
      <c r="F150" s="1">
        <f ca="1">IFERROR(__xludf.DUMMYFUNCTION("""COMPUTED_VALUE"""),56696985)</f>
        <v>56696985</v>
      </c>
    </row>
    <row r="151" spans="1:6" ht="12.6">
      <c r="A151" s="2">
        <f ca="1">IFERROR(__xludf.DUMMYFUNCTION("""COMPUTED_VALUE"""),44781.6666666666)</f>
        <v>44781.666666666599</v>
      </c>
      <c r="B151" s="1">
        <f ca="1">IFERROR(__xludf.DUMMYFUNCTION("""COMPUTED_VALUE"""),166.37)</f>
        <v>166.37</v>
      </c>
      <c r="C151" s="1">
        <f ca="1">IFERROR(__xludf.DUMMYFUNCTION("""COMPUTED_VALUE"""),167.81)</f>
        <v>167.81</v>
      </c>
      <c r="D151" s="1">
        <f ca="1">IFERROR(__xludf.DUMMYFUNCTION("""COMPUTED_VALUE"""),164.2)</f>
        <v>164.2</v>
      </c>
      <c r="E151" s="1">
        <f ca="1">IFERROR(__xludf.DUMMYFUNCTION("""COMPUTED_VALUE"""),164.87)</f>
        <v>164.87</v>
      </c>
      <c r="F151" s="1">
        <f ca="1">IFERROR(__xludf.DUMMYFUNCTION("""COMPUTED_VALUE"""),60362338)</f>
        <v>60362338</v>
      </c>
    </row>
    <row r="152" spans="1:6" ht="12.6">
      <c r="A152" s="2">
        <f ca="1">IFERROR(__xludf.DUMMYFUNCTION("""COMPUTED_VALUE"""),44782.6666666666)</f>
        <v>44782.666666666599</v>
      </c>
      <c r="B152" s="1">
        <f ca="1">IFERROR(__xludf.DUMMYFUNCTION("""COMPUTED_VALUE"""),164.02)</f>
        <v>164.02</v>
      </c>
      <c r="C152" s="1">
        <f ca="1">IFERROR(__xludf.DUMMYFUNCTION("""COMPUTED_VALUE"""),165.82)</f>
        <v>165.82</v>
      </c>
      <c r="D152" s="1">
        <f ca="1">IFERROR(__xludf.DUMMYFUNCTION("""COMPUTED_VALUE"""),163.25)</f>
        <v>163.25</v>
      </c>
      <c r="E152" s="1">
        <f ca="1">IFERROR(__xludf.DUMMYFUNCTION("""COMPUTED_VALUE"""),164.92)</f>
        <v>164.92</v>
      </c>
      <c r="F152" s="1">
        <f ca="1">IFERROR(__xludf.DUMMYFUNCTION("""COMPUTED_VALUE"""),63135503)</f>
        <v>63135503</v>
      </c>
    </row>
    <row r="153" spans="1:6" ht="12.6">
      <c r="A153" s="2">
        <f ca="1">IFERROR(__xludf.DUMMYFUNCTION("""COMPUTED_VALUE"""),44783.6666666666)</f>
        <v>44783.666666666599</v>
      </c>
      <c r="B153" s="1">
        <f ca="1">IFERROR(__xludf.DUMMYFUNCTION("""COMPUTED_VALUE"""),167.68)</f>
        <v>167.68</v>
      </c>
      <c r="C153" s="1">
        <f ca="1">IFERROR(__xludf.DUMMYFUNCTION("""COMPUTED_VALUE"""),169.34)</f>
        <v>169.34</v>
      </c>
      <c r="D153" s="1">
        <f ca="1">IFERROR(__xludf.DUMMYFUNCTION("""COMPUTED_VALUE"""),166.9)</f>
        <v>166.9</v>
      </c>
      <c r="E153" s="1">
        <f ca="1">IFERROR(__xludf.DUMMYFUNCTION("""COMPUTED_VALUE"""),169.24)</f>
        <v>169.24</v>
      </c>
      <c r="F153" s="1">
        <f ca="1">IFERROR(__xludf.DUMMYFUNCTION("""COMPUTED_VALUE"""),70170540)</f>
        <v>70170540</v>
      </c>
    </row>
    <row r="154" spans="1:6" ht="12.6">
      <c r="A154" s="2">
        <f ca="1">IFERROR(__xludf.DUMMYFUNCTION("""COMPUTED_VALUE"""),44784.6666666666)</f>
        <v>44784.666666666599</v>
      </c>
      <c r="B154" s="1">
        <f ca="1">IFERROR(__xludf.DUMMYFUNCTION("""COMPUTED_VALUE"""),170.06)</f>
        <v>170.06</v>
      </c>
      <c r="C154" s="1">
        <f ca="1">IFERROR(__xludf.DUMMYFUNCTION("""COMPUTED_VALUE"""),170.99)</f>
        <v>170.99</v>
      </c>
      <c r="D154" s="1">
        <f ca="1">IFERROR(__xludf.DUMMYFUNCTION("""COMPUTED_VALUE"""),168.19)</f>
        <v>168.19</v>
      </c>
      <c r="E154" s="1">
        <f ca="1">IFERROR(__xludf.DUMMYFUNCTION("""COMPUTED_VALUE"""),168.49)</f>
        <v>168.49</v>
      </c>
      <c r="F154" s="1">
        <f ca="1">IFERROR(__xludf.DUMMYFUNCTION("""COMPUTED_VALUE"""),57149159)</f>
        <v>57149159</v>
      </c>
    </row>
    <row r="155" spans="1:6" ht="12.6">
      <c r="A155" s="2">
        <f ca="1">IFERROR(__xludf.DUMMYFUNCTION("""COMPUTED_VALUE"""),44785.6666666666)</f>
        <v>44785.666666666599</v>
      </c>
      <c r="B155" s="1">
        <f ca="1">IFERROR(__xludf.DUMMYFUNCTION("""COMPUTED_VALUE"""),169.82)</f>
        <v>169.82</v>
      </c>
      <c r="C155" s="1">
        <f ca="1">IFERROR(__xludf.DUMMYFUNCTION("""COMPUTED_VALUE"""),172.17)</f>
        <v>172.17</v>
      </c>
      <c r="D155" s="1">
        <f ca="1">IFERROR(__xludf.DUMMYFUNCTION("""COMPUTED_VALUE"""),169.4)</f>
        <v>169.4</v>
      </c>
      <c r="E155" s="1">
        <f ca="1">IFERROR(__xludf.DUMMYFUNCTION("""COMPUTED_VALUE"""),172.1)</f>
        <v>172.1</v>
      </c>
      <c r="F155" s="1">
        <f ca="1">IFERROR(__xludf.DUMMYFUNCTION("""COMPUTED_VALUE"""),68039382)</f>
        <v>68039382</v>
      </c>
    </row>
    <row r="156" spans="1:6" ht="12.6">
      <c r="A156" s="2">
        <f ca="1">IFERROR(__xludf.DUMMYFUNCTION("""COMPUTED_VALUE"""),44788.6666666666)</f>
        <v>44788.666666666599</v>
      </c>
      <c r="B156" s="1">
        <f ca="1">IFERROR(__xludf.DUMMYFUNCTION("""COMPUTED_VALUE"""),171.52)</f>
        <v>171.52</v>
      </c>
      <c r="C156" s="1">
        <f ca="1">IFERROR(__xludf.DUMMYFUNCTION("""COMPUTED_VALUE"""),173.39)</f>
        <v>173.39</v>
      </c>
      <c r="D156" s="1">
        <f ca="1">IFERROR(__xludf.DUMMYFUNCTION("""COMPUTED_VALUE"""),171.35)</f>
        <v>171.35</v>
      </c>
      <c r="E156" s="1">
        <f ca="1">IFERROR(__xludf.DUMMYFUNCTION("""COMPUTED_VALUE"""),173.19)</f>
        <v>173.19</v>
      </c>
      <c r="F156" s="1">
        <f ca="1">IFERROR(__xludf.DUMMYFUNCTION("""COMPUTED_VALUE"""),54091694)</f>
        <v>54091694</v>
      </c>
    </row>
    <row r="157" spans="1:6" ht="12.6">
      <c r="A157" s="2">
        <f ca="1">IFERROR(__xludf.DUMMYFUNCTION("""COMPUTED_VALUE"""),44789.6666666666)</f>
        <v>44789.666666666599</v>
      </c>
      <c r="B157" s="1">
        <f ca="1">IFERROR(__xludf.DUMMYFUNCTION("""COMPUTED_VALUE"""),172.78)</f>
        <v>172.78</v>
      </c>
      <c r="C157" s="1">
        <f ca="1">IFERROR(__xludf.DUMMYFUNCTION("""COMPUTED_VALUE"""),173.71)</f>
        <v>173.71</v>
      </c>
      <c r="D157" s="1">
        <f ca="1">IFERROR(__xludf.DUMMYFUNCTION("""COMPUTED_VALUE"""),171.66)</f>
        <v>171.66</v>
      </c>
      <c r="E157" s="1">
        <f ca="1">IFERROR(__xludf.DUMMYFUNCTION("""COMPUTED_VALUE"""),173.03)</f>
        <v>173.03</v>
      </c>
      <c r="F157" s="1">
        <f ca="1">IFERROR(__xludf.DUMMYFUNCTION("""COMPUTED_VALUE"""),56377050)</f>
        <v>56377050</v>
      </c>
    </row>
    <row r="158" spans="1:6" ht="12.6">
      <c r="A158" s="2">
        <f ca="1">IFERROR(__xludf.DUMMYFUNCTION("""COMPUTED_VALUE"""),44790.6666666666)</f>
        <v>44790.666666666599</v>
      </c>
      <c r="B158" s="1">
        <f ca="1">IFERROR(__xludf.DUMMYFUNCTION("""COMPUTED_VALUE"""),172.77)</f>
        <v>172.77</v>
      </c>
      <c r="C158" s="1">
        <f ca="1">IFERROR(__xludf.DUMMYFUNCTION("""COMPUTED_VALUE"""),176.15)</f>
        <v>176.15</v>
      </c>
      <c r="D158" s="1">
        <f ca="1">IFERROR(__xludf.DUMMYFUNCTION("""COMPUTED_VALUE"""),172.57)</f>
        <v>172.57</v>
      </c>
      <c r="E158" s="1">
        <f ca="1">IFERROR(__xludf.DUMMYFUNCTION("""COMPUTED_VALUE"""),174.55)</f>
        <v>174.55</v>
      </c>
      <c r="F158" s="1">
        <f ca="1">IFERROR(__xludf.DUMMYFUNCTION("""COMPUTED_VALUE"""),79542037)</f>
        <v>79542037</v>
      </c>
    </row>
    <row r="159" spans="1:6" ht="12.6">
      <c r="A159" s="2">
        <f ca="1">IFERROR(__xludf.DUMMYFUNCTION("""COMPUTED_VALUE"""),44791.6666666666)</f>
        <v>44791.666666666599</v>
      </c>
      <c r="B159" s="1">
        <f ca="1">IFERROR(__xludf.DUMMYFUNCTION("""COMPUTED_VALUE"""),173.75)</f>
        <v>173.75</v>
      </c>
      <c r="C159" s="1">
        <f ca="1">IFERROR(__xludf.DUMMYFUNCTION("""COMPUTED_VALUE"""),174.9)</f>
        <v>174.9</v>
      </c>
      <c r="D159" s="1">
        <f ca="1">IFERROR(__xludf.DUMMYFUNCTION("""COMPUTED_VALUE"""),173.12)</f>
        <v>173.12</v>
      </c>
      <c r="E159" s="1">
        <f ca="1">IFERROR(__xludf.DUMMYFUNCTION("""COMPUTED_VALUE"""),174.15)</f>
        <v>174.15</v>
      </c>
      <c r="F159" s="1">
        <f ca="1">IFERROR(__xludf.DUMMYFUNCTION("""COMPUTED_VALUE"""),62290075)</f>
        <v>62290075</v>
      </c>
    </row>
    <row r="160" spans="1:6" ht="12.6">
      <c r="A160" s="2">
        <f ca="1">IFERROR(__xludf.DUMMYFUNCTION("""COMPUTED_VALUE"""),44792.6666666666)</f>
        <v>44792.666666666599</v>
      </c>
      <c r="B160" s="1">
        <f ca="1">IFERROR(__xludf.DUMMYFUNCTION("""COMPUTED_VALUE"""),173.03)</f>
        <v>173.03</v>
      </c>
      <c r="C160" s="1">
        <f ca="1">IFERROR(__xludf.DUMMYFUNCTION("""COMPUTED_VALUE"""),173.74)</f>
        <v>173.74</v>
      </c>
      <c r="D160" s="1">
        <f ca="1">IFERROR(__xludf.DUMMYFUNCTION("""COMPUTED_VALUE"""),171.31)</f>
        <v>171.31</v>
      </c>
      <c r="E160" s="1">
        <f ca="1">IFERROR(__xludf.DUMMYFUNCTION("""COMPUTED_VALUE"""),171.52)</f>
        <v>171.52</v>
      </c>
      <c r="F160" s="1">
        <f ca="1">IFERROR(__xludf.DUMMYFUNCTION("""COMPUTED_VALUE"""),70346295)</f>
        <v>70346295</v>
      </c>
    </row>
    <row r="161" spans="1:6" ht="12.6">
      <c r="A161" s="2">
        <f ca="1">IFERROR(__xludf.DUMMYFUNCTION("""COMPUTED_VALUE"""),44795.6666666666)</f>
        <v>44795.666666666599</v>
      </c>
      <c r="B161" s="1">
        <f ca="1">IFERROR(__xludf.DUMMYFUNCTION("""COMPUTED_VALUE"""),169.69)</f>
        <v>169.69</v>
      </c>
      <c r="C161" s="1">
        <f ca="1">IFERROR(__xludf.DUMMYFUNCTION("""COMPUTED_VALUE"""),169.86)</f>
        <v>169.86</v>
      </c>
      <c r="D161" s="1">
        <f ca="1">IFERROR(__xludf.DUMMYFUNCTION("""COMPUTED_VALUE"""),167.14)</f>
        <v>167.14</v>
      </c>
      <c r="E161" s="1">
        <f ca="1">IFERROR(__xludf.DUMMYFUNCTION("""COMPUTED_VALUE"""),167.57)</f>
        <v>167.57</v>
      </c>
      <c r="F161" s="1">
        <f ca="1">IFERROR(__xludf.DUMMYFUNCTION("""COMPUTED_VALUE"""),69026809)</f>
        <v>69026809</v>
      </c>
    </row>
    <row r="162" spans="1:6" ht="12.6">
      <c r="A162" s="2">
        <f ca="1">IFERROR(__xludf.DUMMYFUNCTION("""COMPUTED_VALUE"""),44796.6666666666)</f>
        <v>44796.666666666599</v>
      </c>
      <c r="B162" s="1">
        <f ca="1">IFERROR(__xludf.DUMMYFUNCTION("""COMPUTED_VALUE"""),167.08)</f>
        <v>167.08</v>
      </c>
      <c r="C162" s="1">
        <f ca="1">IFERROR(__xludf.DUMMYFUNCTION("""COMPUTED_VALUE"""),168.71)</f>
        <v>168.71</v>
      </c>
      <c r="D162" s="1">
        <f ca="1">IFERROR(__xludf.DUMMYFUNCTION("""COMPUTED_VALUE"""),166.65)</f>
        <v>166.65</v>
      </c>
      <c r="E162" s="1">
        <f ca="1">IFERROR(__xludf.DUMMYFUNCTION("""COMPUTED_VALUE"""),167.23)</f>
        <v>167.23</v>
      </c>
      <c r="F162" s="1">
        <f ca="1">IFERROR(__xludf.DUMMYFUNCTION("""COMPUTED_VALUE"""),54147079)</f>
        <v>54147079</v>
      </c>
    </row>
    <row r="163" spans="1:6" ht="12.6">
      <c r="A163" s="2">
        <f ca="1">IFERROR(__xludf.DUMMYFUNCTION("""COMPUTED_VALUE"""),44797.6666666666)</f>
        <v>44797.666666666599</v>
      </c>
      <c r="B163" s="1">
        <f ca="1">IFERROR(__xludf.DUMMYFUNCTION("""COMPUTED_VALUE"""),167.32)</f>
        <v>167.32</v>
      </c>
      <c r="C163" s="1">
        <f ca="1">IFERROR(__xludf.DUMMYFUNCTION("""COMPUTED_VALUE"""),168.11)</f>
        <v>168.11</v>
      </c>
      <c r="D163" s="1">
        <f ca="1">IFERROR(__xludf.DUMMYFUNCTION("""COMPUTED_VALUE"""),166.25)</f>
        <v>166.25</v>
      </c>
      <c r="E163" s="1">
        <f ca="1">IFERROR(__xludf.DUMMYFUNCTION("""COMPUTED_VALUE"""),167.53)</f>
        <v>167.53</v>
      </c>
      <c r="F163" s="1">
        <f ca="1">IFERROR(__xludf.DUMMYFUNCTION("""COMPUTED_VALUE"""),53841524)</f>
        <v>53841524</v>
      </c>
    </row>
    <row r="164" spans="1:6" ht="12.6">
      <c r="A164" s="2">
        <f ca="1">IFERROR(__xludf.DUMMYFUNCTION("""COMPUTED_VALUE"""),44798.6666666666)</f>
        <v>44798.666666666599</v>
      </c>
      <c r="B164" s="1">
        <f ca="1">IFERROR(__xludf.DUMMYFUNCTION("""COMPUTED_VALUE"""),168.78)</f>
        <v>168.78</v>
      </c>
      <c r="C164" s="1">
        <f ca="1">IFERROR(__xludf.DUMMYFUNCTION("""COMPUTED_VALUE"""),170.14)</f>
        <v>170.14</v>
      </c>
      <c r="D164" s="1">
        <f ca="1">IFERROR(__xludf.DUMMYFUNCTION("""COMPUTED_VALUE"""),168.35)</f>
        <v>168.35</v>
      </c>
      <c r="E164" s="1">
        <f ca="1">IFERROR(__xludf.DUMMYFUNCTION("""COMPUTED_VALUE"""),170.03)</f>
        <v>170.03</v>
      </c>
      <c r="F164" s="1">
        <f ca="1">IFERROR(__xludf.DUMMYFUNCTION("""COMPUTED_VALUE"""),51218209)</f>
        <v>51218209</v>
      </c>
    </row>
    <row r="165" spans="1:6" ht="12.6">
      <c r="A165" s="2">
        <f ca="1">IFERROR(__xludf.DUMMYFUNCTION("""COMPUTED_VALUE"""),44799.6666666666)</f>
        <v>44799.666666666599</v>
      </c>
      <c r="B165" s="1">
        <f ca="1">IFERROR(__xludf.DUMMYFUNCTION("""COMPUTED_VALUE"""),170.57)</f>
        <v>170.57</v>
      </c>
      <c r="C165" s="1">
        <f ca="1">IFERROR(__xludf.DUMMYFUNCTION("""COMPUTED_VALUE"""),171.05)</f>
        <v>171.05</v>
      </c>
      <c r="D165" s="1">
        <f ca="1">IFERROR(__xludf.DUMMYFUNCTION("""COMPUTED_VALUE"""),163.56)</f>
        <v>163.56</v>
      </c>
      <c r="E165" s="1">
        <f ca="1">IFERROR(__xludf.DUMMYFUNCTION("""COMPUTED_VALUE"""),163.62)</f>
        <v>163.62</v>
      </c>
      <c r="F165" s="1">
        <f ca="1">IFERROR(__xludf.DUMMYFUNCTION("""COMPUTED_VALUE"""),78960980)</f>
        <v>78960980</v>
      </c>
    </row>
    <row r="166" spans="1:6" ht="12.6">
      <c r="A166" s="2">
        <f ca="1">IFERROR(__xludf.DUMMYFUNCTION("""COMPUTED_VALUE"""),44802.6666666666)</f>
        <v>44802.666666666599</v>
      </c>
      <c r="B166" s="1">
        <f ca="1">IFERROR(__xludf.DUMMYFUNCTION("""COMPUTED_VALUE"""),161.15)</f>
        <v>161.15</v>
      </c>
      <c r="C166" s="1">
        <f ca="1">IFERROR(__xludf.DUMMYFUNCTION("""COMPUTED_VALUE"""),162.9)</f>
        <v>162.9</v>
      </c>
      <c r="D166" s="1">
        <f ca="1">IFERROR(__xludf.DUMMYFUNCTION("""COMPUTED_VALUE"""),159.82)</f>
        <v>159.82</v>
      </c>
      <c r="E166" s="1">
        <f ca="1">IFERROR(__xludf.DUMMYFUNCTION("""COMPUTED_VALUE"""),161.38)</f>
        <v>161.38</v>
      </c>
      <c r="F166" s="1">
        <f ca="1">IFERROR(__xludf.DUMMYFUNCTION("""COMPUTED_VALUE"""),73313953)</f>
        <v>73313953</v>
      </c>
    </row>
    <row r="167" spans="1:6" ht="12.6">
      <c r="A167" s="2">
        <f ca="1">IFERROR(__xludf.DUMMYFUNCTION("""COMPUTED_VALUE"""),44803.6666666666)</f>
        <v>44803.666666666599</v>
      </c>
      <c r="B167" s="1">
        <f ca="1">IFERROR(__xludf.DUMMYFUNCTION("""COMPUTED_VALUE"""),162.13)</f>
        <v>162.13</v>
      </c>
      <c r="C167" s="1">
        <f ca="1">IFERROR(__xludf.DUMMYFUNCTION("""COMPUTED_VALUE"""),162.56)</f>
        <v>162.56</v>
      </c>
      <c r="D167" s="1">
        <f ca="1">IFERROR(__xludf.DUMMYFUNCTION("""COMPUTED_VALUE"""),157.72)</f>
        <v>157.72</v>
      </c>
      <c r="E167" s="1">
        <f ca="1">IFERROR(__xludf.DUMMYFUNCTION("""COMPUTED_VALUE"""),158.91)</f>
        <v>158.91</v>
      </c>
      <c r="F167" s="1">
        <f ca="1">IFERROR(__xludf.DUMMYFUNCTION("""COMPUTED_VALUE"""),77906197)</f>
        <v>77906197</v>
      </c>
    </row>
    <row r="168" spans="1:6" ht="12.6">
      <c r="A168" s="2">
        <f ca="1">IFERROR(__xludf.DUMMYFUNCTION("""COMPUTED_VALUE"""),44804.6666666666)</f>
        <v>44804.666666666599</v>
      </c>
      <c r="B168" s="1">
        <f ca="1">IFERROR(__xludf.DUMMYFUNCTION("""COMPUTED_VALUE"""),160.31)</f>
        <v>160.31</v>
      </c>
      <c r="C168" s="1">
        <f ca="1">IFERROR(__xludf.DUMMYFUNCTION("""COMPUTED_VALUE"""),160.58)</f>
        <v>160.58000000000001</v>
      </c>
      <c r="D168" s="1">
        <f ca="1">IFERROR(__xludf.DUMMYFUNCTION("""COMPUTED_VALUE"""),157.14)</f>
        <v>157.13999999999999</v>
      </c>
      <c r="E168" s="1">
        <f ca="1">IFERROR(__xludf.DUMMYFUNCTION("""COMPUTED_VALUE"""),157.22)</f>
        <v>157.22</v>
      </c>
      <c r="F168" s="1">
        <f ca="1">IFERROR(__xludf.DUMMYFUNCTION("""COMPUTED_VALUE"""),87991091)</f>
        <v>87991091</v>
      </c>
    </row>
    <row r="169" spans="1:6" ht="12.6">
      <c r="A169" s="2">
        <f ca="1">IFERROR(__xludf.DUMMYFUNCTION("""COMPUTED_VALUE"""),44805.6666666666)</f>
        <v>44805.666666666599</v>
      </c>
      <c r="B169" s="1">
        <f ca="1">IFERROR(__xludf.DUMMYFUNCTION("""COMPUTED_VALUE"""),156.64)</f>
        <v>156.63999999999999</v>
      </c>
      <c r="C169" s="1">
        <f ca="1">IFERROR(__xludf.DUMMYFUNCTION("""COMPUTED_VALUE"""),158.42)</f>
        <v>158.41999999999999</v>
      </c>
      <c r="D169" s="1">
        <f ca="1">IFERROR(__xludf.DUMMYFUNCTION("""COMPUTED_VALUE"""),154.67)</f>
        <v>154.66999999999999</v>
      </c>
      <c r="E169" s="1">
        <f ca="1">IFERROR(__xludf.DUMMYFUNCTION("""COMPUTED_VALUE"""),157.96)</f>
        <v>157.96</v>
      </c>
      <c r="F169" s="1">
        <f ca="1">IFERROR(__xludf.DUMMYFUNCTION("""COMPUTED_VALUE"""),74229896)</f>
        <v>74229896</v>
      </c>
    </row>
    <row r="170" spans="1:6" ht="12.6">
      <c r="A170" s="2">
        <f ca="1">IFERROR(__xludf.DUMMYFUNCTION("""COMPUTED_VALUE"""),44806.6666666666)</f>
        <v>44806.666666666599</v>
      </c>
      <c r="B170" s="1">
        <f ca="1">IFERROR(__xludf.DUMMYFUNCTION("""COMPUTED_VALUE"""),159.75)</f>
        <v>159.75</v>
      </c>
      <c r="C170" s="1">
        <f ca="1">IFERROR(__xludf.DUMMYFUNCTION("""COMPUTED_VALUE"""),160.36)</f>
        <v>160.36000000000001</v>
      </c>
      <c r="D170" s="1">
        <f ca="1">IFERROR(__xludf.DUMMYFUNCTION("""COMPUTED_VALUE"""),154.97)</f>
        <v>154.97</v>
      </c>
      <c r="E170" s="1">
        <f ca="1">IFERROR(__xludf.DUMMYFUNCTION("""COMPUTED_VALUE"""),155.81)</f>
        <v>155.81</v>
      </c>
      <c r="F170" s="1">
        <f ca="1">IFERROR(__xludf.DUMMYFUNCTION("""COMPUTED_VALUE"""),76957768)</f>
        <v>76957768</v>
      </c>
    </row>
    <row r="171" spans="1:6" ht="12.6">
      <c r="A171" s="2">
        <f ca="1">IFERROR(__xludf.DUMMYFUNCTION("""COMPUTED_VALUE"""),44810.6666666666)</f>
        <v>44810.666666666599</v>
      </c>
      <c r="B171" s="1">
        <f ca="1">IFERROR(__xludf.DUMMYFUNCTION("""COMPUTED_VALUE"""),156.47)</f>
        <v>156.47</v>
      </c>
      <c r="C171" s="1">
        <f ca="1">IFERROR(__xludf.DUMMYFUNCTION("""COMPUTED_VALUE"""),157.09)</f>
        <v>157.09</v>
      </c>
      <c r="D171" s="1">
        <f ca="1">IFERROR(__xludf.DUMMYFUNCTION("""COMPUTED_VALUE"""),153.69)</f>
        <v>153.69</v>
      </c>
      <c r="E171" s="1">
        <f ca="1">IFERROR(__xludf.DUMMYFUNCTION("""COMPUTED_VALUE"""),154.53)</f>
        <v>154.53</v>
      </c>
      <c r="F171" s="1">
        <f ca="1">IFERROR(__xludf.DUMMYFUNCTION("""COMPUTED_VALUE"""),73714843)</f>
        <v>73714843</v>
      </c>
    </row>
    <row r="172" spans="1:6" ht="12.6">
      <c r="A172" s="2">
        <f ca="1">IFERROR(__xludf.DUMMYFUNCTION("""COMPUTED_VALUE"""),44811.6666666666)</f>
        <v>44811.666666666599</v>
      </c>
      <c r="B172" s="1">
        <f ca="1">IFERROR(__xludf.DUMMYFUNCTION("""COMPUTED_VALUE"""),154.82)</f>
        <v>154.82</v>
      </c>
      <c r="C172" s="1">
        <f ca="1">IFERROR(__xludf.DUMMYFUNCTION("""COMPUTED_VALUE"""),156.67)</f>
        <v>156.66999999999999</v>
      </c>
      <c r="D172" s="1">
        <f ca="1">IFERROR(__xludf.DUMMYFUNCTION("""COMPUTED_VALUE"""),153.61)</f>
        <v>153.61000000000001</v>
      </c>
      <c r="E172" s="1">
        <f ca="1">IFERROR(__xludf.DUMMYFUNCTION("""COMPUTED_VALUE"""),155.96)</f>
        <v>155.96</v>
      </c>
      <c r="F172" s="1">
        <f ca="1">IFERROR(__xludf.DUMMYFUNCTION("""COMPUTED_VALUE"""),87449574)</f>
        <v>87449574</v>
      </c>
    </row>
    <row r="173" spans="1:6" ht="12.6">
      <c r="A173" s="2">
        <f ca="1">IFERROR(__xludf.DUMMYFUNCTION("""COMPUTED_VALUE"""),44812.6666666666)</f>
        <v>44812.666666666599</v>
      </c>
      <c r="B173" s="1">
        <f ca="1">IFERROR(__xludf.DUMMYFUNCTION("""COMPUTED_VALUE"""),154.64)</f>
        <v>154.63999999999999</v>
      </c>
      <c r="C173" s="1">
        <f ca="1">IFERROR(__xludf.DUMMYFUNCTION("""COMPUTED_VALUE"""),156.36)</f>
        <v>156.36000000000001</v>
      </c>
      <c r="D173" s="1">
        <f ca="1">IFERROR(__xludf.DUMMYFUNCTION("""COMPUTED_VALUE"""),152.68)</f>
        <v>152.68</v>
      </c>
      <c r="E173" s="1">
        <f ca="1">IFERROR(__xludf.DUMMYFUNCTION("""COMPUTED_VALUE"""),154.46)</f>
        <v>154.46</v>
      </c>
      <c r="F173" s="1">
        <f ca="1">IFERROR(__xludf.DUMMYFUNCTION("""COMPUTED_VALUE"""),84923847)</f>
        <v>84923847</v>
      </c>
    </row>
    <row r="174" spans="1:6" ht="12.6">
      <c r="A174" s="2">
        <f ca="1">IFERROR(__xludf.DUMMYFUNCTION("""COMPUTED_VALUE"""),44813.6666666666)</f>
        <v>44813.666666666599</v>
      </c>
      <c r="B174" s="1">
        <f ca="1">IFERROR(__xludf.DUMMYFUNCTION("""COMPUTED_VALUE"""),155.47)</f>
        <v>155.47</v>
      </c>
      <c r="C174" s="1">
        <f ca="1">IFERROR(__xludf.DUMMYFUNCTION("""COMPUTED_VALUE"""),157.82)</f>
        <v>157.82</v>
      </c>
      <c r="D174" s="1">
        <f ca="1">IFERROR(__xludf.DUMMYFUNCTION("""COMPUTED_VALUE"""),154.75)</f>
        <v>154.75</v>
      </c>
      <c r="E174" s="1">
        <f ca="1">IFERROR(__xludf.DUMMYFUNCTION("""COMPUTED_VALUE"""),157.37)</f>
        <v>157.37</v>
      </c>
      <c r="F174" s="1">
        <f ca="1">IFERROR(__xludf.DUMMYFUNCTION("""COMPUTED_VALUE"""),68081006)</f>
        <v>68081006</v>
      </c>
    </row>
    <row r="175" spans="1:6" ht="12.6">
      <c r="A175" s="2">
        <f ca="1">IFERROR(__xludf.DUMMYFUNCTION("""COMPUTED_VALUE"""),44816.6666666666)</f>
        <v>44816.666666666599</v>
      </c>
      <c r="B175" s="1">
        <f ca="1">IFERROR(__xludf.DUMMYFUNCTION("""COMPUTED_VALUE"""),159.59)</f>
        <v>159.59</v>
      </c>
      <c r="C175" s="1">
        <f ca="1">IFERROR(__xludf.DUMMYFUNCTION("""COMPUTED_VALUE"""),164.26)</f>
        <v>164.26</v>
      </c>
      <c r="D175" s="1">
        <f ca="1">IFERROR(__xludf.DUMMYFUNCTION("""COMPUTED_VALUE"""),159.3)</f>
        <v>159.30000000000001</v>
      </c>
      <c r="E175" s="1">
        <f ca="1">IFERROR(__xludf.DUMMYFUNCTION("""COMPUTED_VALUE"""),163.43)</f>
        <v>163.43</v>
      </c>
      <c r="F175" s="1">
        <f ca="1">IFERROR(__xludf.DUMMYFUNCTION("""COMPUTED_VALUE"""),104955962)</f>
        <v>104955962</v>
      </c>
    </row>
    <row r="176" spans="1:6" ht="12.6">
      <c r="A176" s="2">
        <f ca="1">IFERROR(__xludf.DUMMYFUNCTION("""COMPUTED_VALUE"""),44817.6666666666)</f>
        <v>44817.666666666599</v>
      </c>
      <c r="B176" s="1">
        <f ca="1">IFERROR(__xludf.DUMMYFUNCTION("""COMPUTED_VALUE"""),159.9)</f>
        <v>159.9</v>
      </c>
      <c r="C176" s="1">
        <f ca="1">IFERROR(__xludf.DUMMYFUNCTION("""COMPUTED_VALUE"""),160.54)</f>
        <v>160.54</v>
      </c>
      <c r="D176" s="1">
        <f ca="1">IFERROR(__xludf.DUMMYFUNCTION("""COMPUTED_VALUE"""),153.37)</f>
        <v>153.37</v>
      </c>
      <c r="E176" s="1">
        <f ca="1">IFERROR(__xludf.DUMMYFUNCTION("""COMPUTED_VALUE"""),153.84)</f>
        <v>153.84</v>
      </c>
      <c r="F176" s="1">
        <f ca="1">IFERROR(__xludf.DUMMYFUNCTION("""COMPUTED_VALUE"""),122656614)</f>
        <v>122656614</v>
      </c>
    </row>
    <row r="177" spans="1:6" ht="12.6">
      <c r="A177" s="2">
        <f ca="1">IFERROR(__xludf.DUMMYFUNCTION("""COMPUTED_VALUE"""),44818.6666666666)</f>
        <v>44818.666666666599</v>
      </c>
      <c r="B177" s="1">
        <f ca="1">IFERROR(__xludf.DUMMYFUNCTION("""COMPUTED_VALUE"""),154.79)</f>
        <v>154.79</v>
      </c>
      <c r="C177" s="1">
        <f ca="1">IFERROR(__xludf.DUMMYFUNCTION("""COMPUTED_VALUE"""),157.1)</f>
        <v>157.1</v>
      </c>
      <c r="D177" s="1">
        <f ca="1">IFERROR(__xludf.DUMMYFUNCTION("""COMPUTED_VALUE"""),153.61)</f>
        <v>153.61000000000001</v>
      </c>
      <c r="E177" s="1">
        <f ca="1">IFERROR(__xludf.DUMMYFUNCTION("""COMPUTED_VALUE"""),155.31)</f>
        <v>155.31</v>
      </c>
      <c r="F177" s="1">
        <f ca="1">IFERROR(__xludf.DUMMYFUNCTION("""COMPUTED_VALUE"""),87965409)</f>
        <v>87965409</v>
      </c>
    </row>
    <row r="178" spans="1:6" ht="12.6">
      <c r="A178" s="2">
        <f ca="1">IFERROR(__xludf.DUMMYFUNCTION("""COMPUTED_VALUE"""),44819.6666666666)</f>
        <v>44819.666666666599</v>
      </c>
      <c r="B178" s="1">
        <f ca="1">IFERROR(__xludf.DUMMYFUNCTION("""COMPUTED_VALUE"""),154.65)</f>
        <v>154.65</v>
      </c>
      <c r="C178" s="1">
        <f ca="1">IFERROR(__xludf.DUMMYFUNCTION("""COMPUTED_VALUE"""),155.24)</f>
        <v>155.24</v>
      </c>
      <c r="D178" s="1">
        <f ca="1">IFERROR(__xludf.DUMMYFUNCTION("""COMPUTED_VALUE"""),151.38)</f>
        <v>151.38</v>
      </c>
      <c r="E178" s="1">
        <f ca="1">IFERROR(__xludf.DUMMYFUNCTION("""COMPUTED_VALUE"""),152.37)</f>
        <v>152.37</v>
      </c>
      <c r="F178" s="1">
        <f ca="1">IFERROR(__xludf.DUMMYFUNCTION("""COMPUTED_VALUE"""),90481110)</f>
        <v>90481110</v>
      </c>
    </row>
    <row r="179" spans="1:6" ht="12.6">
      <c r="A179" s="2">
        <f ca="1">IFERROR(__xludf.DUMMYFUNCTION("""COMPUTED_VALUE"""),44820.6666666666)</f>
        <v>44820.666666666599</v>
      </c>
      <c r="B179" s="1">
        <f ca="1">IFERROR(__xludf.DUMMYFUNCTION("""COMPUTED_VALUE"""),151.21)</f>
        <v>151.21</v>
      </c>
      <c r="C179" s="1">
        <f ca="1">IFERROR(__xludf.DUMMYFUNCTION("""COMPUTED_VALUE"""),151.35)</f>
        <v>151.35</v>
      </c>
      <c r="D179" s="1">
        <f ca="1">IFERROR(__xludf.DUMMYFUNCTION("""COMPUTED_VALUE"""),148.37)</f>
        <v>148.37</v>
      </c>
      <c r="E179" s="1">
        <f ca="1">IFERROR(__xludf.DUMMYFUNCTION("""COMPUTED_VALUE"""),150.7)</f>
        <v>150.69999999999999</v>
      </c>
      <c r="F179" s="1">
        <f ca="1">IFERROR(__xludf.DUMMYFUNCTION("""COMPUTED_VALUE"""),162278841)</f>
        <v>162278841</v>
      </c>
    </row>
    <row r="180" spans="1:6" ht="12.6">
      <c r="A180" s="2">
        <f ca="1">IFERROR(__xludf.DUMMYFUNCTION("""COMPUTED_VALUE"""),44823.6666666666)</f>
        <v>44823.666666666599</v>
      </c>
      <c r="B180" s="1">
        <f ca="1">IFERROR(__xludf.DUMMYFUNCTION("""COMPUTED_VALUE"""),149.31)</f>
        <v>149.31</v>
      </c>
      <c r="C180" s="1">
        <f ca="1">IFERROR(__xludf.DUMMYFUNCTION("""COMPUTED_VALUE"""),154.56)</f>
        <v>154.56</v>
      </c>
      <c r="D180" s="1">
        <f ca="1">IFERROR(__xludf.DUMMYFUNCTION("""COMPUTED_VALUE"""),149.1)</f>
        <v>149.1</v>
      </c>
      <c r="E180" s="1">
        <f ca="1">IFERROR(__xludf.DUMMYFUNCTION("""COMPUTED_VALUE"""),154.48)</f>
        <v>154.47999999999999</v>
      </c>
      <c r="F180" s="1">
        <f ca="1">IFERROR(__xludf.DUMMYFUNCTION("""COMPUTED_VALUE"""),81474246)</f>
        <v>81474246</v>
      </c>
    </row>
    <row r="181" spans="1:6" ht="12.6">
      <c r="A181" s="2">
        <f ca="1">IFERROR(__xludf.DUMMYFUNCTION("""COMPUTED_VALUE"""),44824.6666666666)</f>
        <v>44824.666666666599</v>
      </c>
      <c r="B181" s="1">
        <f ca="1">IFERROR(__xludf.DUMMYFUNCTION("""COMPUTED_VALUE"""),153.4)</f>
        <v>153.4</v>
      </c>
      <c r="C181" s="1">
        <f ca="1">IFERROR(__xludf.DUMMYFUNCTION("""COMPUTED_VALUE"""),158.08)</f>
        <v>158.08000000000001</v>
      </c>
      <c r="D181" s="1">
        <f ca="1">IFERROR(__xludf.DUMMYFUNCTION("""COMPUTED_VALUE"""),153.08)</f>
        <v>153.08000000000001</v>
      </c>
      <c r="E181" s="1">
        <f ca="1">IFERROR(__xludf.DUMMYFUNCTION("""COMPUTED_VALUE"""),156.9)</f>
        <v>156.9</v>
      </c>
      <c r="F181" s="1">
        <f ca="1">IFERROR(__xludf.DUMMYFUNCTION("""COMPUTED_VALUE"""),107689796)</f>
        <v>107689796</v>
      </c>
    </row>
    <row r="182" spans="1:6" ht="12.6">
      <c r="A182" s="2">
        <f ca="1">IFERROR(__xludf.DUMMYFUNCTION("""COMPUTED_VALUE"""),44825.6666666666)</f>
        <v>44825.666666666599</v>
      </c>
      <c r="B182" s="1">
        <f ca="1">IFERROR(__xludf.DUMMYFUNCTION("""COMPUTED_VALUE"""),157.34)</f>
        <v>157.34</v>
      </c>
      <c r="C182" s="1">
        <f ca="1">IFERROR(__xludf.DUMMYFUNCTION("""COMPUTED_VALUE"""),158.74)</f>
        <v>158.74</v>
      </c>
      <c r="D182" s="1">
        <f ca="1">IFERROR(__xludf.DUMMYFUNCTION("""COMPUTED_VALUE"""),153.6)</f>
        <v>153.6</v>
      </c>
      <c r="E182" s="1">
        <f ca="1">IFERROR(__xludf.DUMMYFUNCTION("""COMPUTED_VALUE"""),153.72)</f>
        <v>153.72</v>
      </c>
      <c r="F182" s="1">
        <f ca="1">IFERROR(__xludf.DUMMYFUNCTION("""COMPUTED_VALUE"""),101696790)</f>
        <v>101696790</v>
      </c>
    </row>
    <row r="183" spans="1:6" ht="12.6">
      <c r="A183" s="2">
        <f ca="1">IFERROR(__xludf.DUMMYFUNCTION("""COMPUTED_VALUE"""),44826.6666666666)</f>
        <v>44826.666666666599</v>
      </c>
      <c r="B183" s="1">
        <f ca="1">IFERROR(__xludf.DUMMYFUNCTION("""COMPUTED_VALUE"""),152.38)</f>
        <v>152.38</v>
      </c>
      <c r="C183" s="1">
        <f ca="1">IFERROR(__xludf.DUMMYFUNCTION("""COMPUTED_VALUE"""),154.47)</f>
        <v>154.47</v>
      </c>
      <c r="D183" s="1">
        <f ca="1">IFERROR(__xludf.DUMMYFUNCTION("""COMPUTED_VALUE"""),150.91)</f>
        <v>150.91</v>
      </c>
      <c r="E183" s="1">
        <f ca="1">IFERROR(__xludf.DUMMYFUNCTION("""COMPUTED_VALUE"""),152.74)</f>
        <v>152.74</v>
      </c>
      <c r="F183" s="1">
        <f ca="1">IFERROR(__xludf.DUMMYFUNCTION("""COMPUTED_VALUE"""),86652542)</f>
        <v>86652542</v>
      </c>
    </row>
    <row r="184" spans="1:6" ht="12.6">
      <c r="A184" s="2">
        <f ca="1">IFERROR(__xludf.DUMMYFUNCTION("""COMPUTED_VALUE"""),44827.6666666666)</f>
        <v>44827.666666666599</v>
      </c>
      <c r="B184" s="1">
        <f ca="1">IFERROR(__xludf.DUMMYFUNCTION("""COMPUTED_VALUE"""),151.19)</f>
        <v>151.19</v>
      </c>
      <c r="C184" s="1">
        <f ca="1">IFERROR(__xludf.DUMMYFUNCTION("""COMPUTED_VALUE"""),151.47)</f>
        <v>151.47</v>
      </c>
      <c r="D184" s="1">
        <f ca="1">IFERROR(__xludf.DUMMYFUNCTION("""COMPUTED_VALUE"""),148.56)</f>
        <v>148.56</v>
      </c>
      <c r="E184" s="1">
        <f ca="1">IFERROR(__xludf.DUMMYFUNCTION("""COMPUTED_VALUE"""),150.43)</f>
        <v>150.43</v>
      </c>
      <c r="F184" s="1">
        <f ca="1">IFERROR(__xludf.DUMMYFUNCTION("""COMPUTED_VALUE"""),96029909)</f>
        <v>96029909</v>
      </c>
    </row>
    <row r="185" spans="1:6" ht="12.6">
      <c r="A185" s="2">
        <f ca="1">IFERROR(__xludf.DUMMYFUNCTION("""COMPUTED_VALUE"""),44830.6666666666)</f>
        <v>44830.666666666599</v>
      </c>
      <c r="B185" s="1">
        <f ca="1">IFERROR(__xludf.DUMMYFUNCTION("""COMPUTED_VALUE"""),149.66)</f>
        <v>149.66</v>
      </c>
      <c r="C185" s="1">
        <f ca="1">IFERROR(__xludf.DUMMYFUNCTION("""COMPUTED_VALUE"""),153.77)</f>
        <v>153.77000000000001</v>
      </c>
      <c r="D185" s="1">
        <f ca="1">IFERROR(__xludf.DUMMYFUNCTION("""COMPUTED_VALUE"""),149.64)</f>
        <v>149.63999999999999</v>
      </c>
      <c r="E185" s="1">
        <f ca="1">IFERROR(__xludf.DUMMYFUNCTION("""COMPUTED_VALUE"""),150.77)</f>
        <v>150.77000000000001</v>
      </c>
      <c r="F185" s="1">
        <f ca="1">IFERROR(__xludf.DUMMYFUNCTION("""COMPUTED_VALUE"""),93339409)</f>
        <v>93339409</v>
      </c>
    </row>
    <row r="186" spans="1:6" ht="12.6">
      <c r="A186" s="2">
        <f ca="1">IFERROR(__xludf.DUMMYFUNCTION("""COMPUTED_VALUE"""),44831.6666666666)</f>
        <v>44831.666666666599</v>
      </c>
      <c r="B186" s="1">
        <f ca="1">IFERROR(__xludf.DUMMYFUNCTION("""COMPUTED_VALUE"""),152.74)</f>
        <v>152.74</v>
      </c>
      <c r="C186" s="1">
        <f ca="1">IFERROR(__xludf.DUMMYFUNCTION("""COMPUTED_VALUE"""),154.72)</f>
        <v>154.72</v>
      </c>
      <c r="D186" s="1">
        <f ca="1">IFERROR(__xludf.DUMMYFUNCTION("""COMPUTED_VALUE"""),149.95)</f>
        <v>149.94999999999999</v>
      </c>
      <c r="E186" s="1">
        <f ca="1">IFERROR(__xludf.DUMMYFUNCTION("""COMPUTED_VALUE"""),151.76)</f>
        <v>151.76</v>
      </c>
      <c r="F186" s="1">
        <f ca="1">IFERROR(__xludf.DUMMYFUNCTION("""COMPUTED_VALUE"""),84442741)</f>
        <v>84442741</v>
      </c>
    </row>
    <row r="187" spans="1:6" ht="12.6">
      <c r="A187" s="2">
        <f ca="1">IFERROR(__xludf.DUMMYFUNCTION("""COMPUTED_VALUE"""),44832.6666666666)</f>
        <v>44832.666666666599</v>
      </c>
      <c r="B187" s="1">
        <f ca="1">IFERROR(__xludf.DUMMYFUNCTION("""COMPUTED_VALUE"""),147.64)</f>
        <v>147.63999999999999</v>
      </c>
      <c r="C187" s="1">
        <f ca="1">IFERROR(__xludf.DUMMYFUNCTION("""COMPUTED_VALUE"""),150.64)</f>
        <v>150.63999999999999</v>
      </c>
      <c r="D187" s="1">
        <f ca="1">IFERROR(__xludf.DUMMYFUNCTION("""COMPUTED_VALUE"""),144.84)</f>
        <v>144.84</v>
      </c>
      <c r="E187" s="1">
        <f ca="1">IFERROR(__xludf.DUMMYFUNCTION("""COMPUTED_VALUE"""),149.84)</f>
        <v>149.84</v>
      </c>
      <c r="F187" s="1">
        <f ca="1">IFERROR(__xludf.DUMMYFUNCTION("""COMPUTED_VALUE"""),146691387)</f>
        <v>146691387</v>
      </c>
    </row>
    <row r="188" spans="1:6" ht="12.6">
      <c r="A188" s="2">
        <f ca="1">IFERROR(__xludf.DUMMYFUNCTION("""COMPUTED_VALUE"""),44833.6666666666)</f>
        <v>44833.666666666599</v>
      </c>
      <c r="B188" s="1">
        <f ca="1">IFERROR(__xludf.DUMMYFUNCTION("""COMPUTED_VALUE"""),146.1)</f>
        <v>146.1</v>
      </c>
      <c r="C188" s="1">
        <f ca="1">IFERROR(__xludf.DUMMYFUNCTION("""COMPUTED_VALUE"""),146.72)</f>
        <v>146.72</v>
      </c>
      <c r="D188" s="1">
        <f ca="1">IFERROR(__xludf.DUMMYFUNCTION("""COMPUTED_VALUE"""),140.68)</f>
        <v>140.68</v>
      </c>
      <c r="E188" s="1">
        <f ca="1">IFERROR(__xludf.DUMMYFUNCTION("""COMPUTED_VALUE"""),142.48)</f>
        <v>142.47999999999999</v>
      </c>
      <c r="F188" s="1">
        <f ca="1">IFERROR(__xludf.DUMMYFUNCTION("""COMPUTED_VALUE"""),128138237)</f>
        <v>128138237</v>
      </c>
    </row>
    <row r="189" spans="1:6" ht="12.6">
      <c r="A189" s="2">
        <f ca="1">IFERROR(__xludf.DUMMYFUNCTION("""COMPUTED_VALUE"""),44834.6666666666)</f>
        <v>44834.666666666599</v>
      </c>
      <c r="B189" s="1">
        <f ca="1">IFERROR(__xludf.DUMMYFUNCTION("""COMPUTED_VALUE"""),141.28)</f>
        <v>141.28</v>
      </c>
      <c r="C189" s="1">
        <f ca="1">IFERROR(__xludf.DUMMYFUNCTION("""COMPUTED_VALUE"""),143.1)</f>
        <v>143.1</v>
      </c>
      <c r="D189" s="1">
        <f ca="1">IFERROR(__xludf.DUMMYFUNCTION("""COMPUTED_VALUE"""),138)</f>
        <v>138</v>
      </c>
      <c r="E189" s="1">
        <f ca="1">IFERROR(__xludf.DUMMYFUNCTION("""COMPUTED_VALUE"""),138.2)</f>
        <v>138.19999999999999</v>
      </c>
      <c r="F189" s="1">
        <f ca="1">IFERROR(__xludf.DUMMYFUNCTION("""COMPUTED_VALUE"""),124925274)</f>
        <v>124925274</v>
      </c>
    </row>
    <row r="190" spans="1:6" ht="12.6">
      <c r="A190" s="2">
        <f ca="1">IFERROR(__xludf.DUMMYFUNCTION("""COMPUTED_VALUE"""),44837.6666666666)</f>
        <v>44837.666666666599</v>
      </c>
      <c r="B190" s="1">
        <f ca="1">IFERROR(__xludf.DUMMYFUNCTION("""COMPUTED_VALUE"""),138.21)</f>
        <v>138.21</v>
      </c>
      <c r="C190" s="1">
        <f ca="1">IFERROR(__xludf.DUMMYFUNCTION("""COMPUTED_VALUE"""),143.07)</f>
        <v>143.07</v>
      </c>
      <c r="D190" s="1">
        <f ca="1">IFERROR(__xludf.DUMMYFUNCTION("""COMPUTED_VALUE"""),137.69)</f>
        <v>137.69</v>
      </c>
      <c r="E190" s="1">
        <f ca="1">IFERROR(__xludf.DUMMYFUNCTION("""COMPUTED_VALUE"""),142.45)</f>
        <v>142.44999999999999</v>
      </c>
      <c r="F190" s="1">
        <f ca="1">IFERROR(__xludf.DUMMYFUNCTION("""COMPUTED_VALUE"""),114311663)</f>
        <v>114311663</v>
      </c>
    </row>
    <row r="191" spans="1:6" ht="12.6">
      <c r="A191" s="2">
        <f ca="1">IFERROR(__xludf.DUMMYFUNCTION("""COMPUTED_VALUE"""),44838.6666666666)</f>
        <v>44838.666666666599</v>
      </c>
      <c r="B191" s="1">
        <f ca="1">IFERROR(__xludf.DUMMYFUNCTION("""COMPUTED_VALUE"""),145.03)</f>
        <v>145.03</v>
      </c>
      <c r="C191" s="1">
        <f ca="1">IFERROR(__xludf.DUMMYFUNCTION("""COMPUTED_VALUE"""),146.22)</f>
        <v>146.22</v>
      </c>
      <c r="D191" s="1">
        <f ca="1">IFERROR(__xludf.DUMMYFUNCTION("""COMPUTED_VALUE"""),144.26)</f>
        <v>144.26</v>
      </c>
      <c r="E191" s="1">
        <f ca="1">IFERROR(__xludf.DUMMYFUNCTION("""COMPUTED_VALUE"""),146.1)</f>
        <v>146.1</v>
      </c>
      <c r="F191" s="1">
        <f ca="1">IFERROR(__xludf.DUMMYFUNCTION("""COMPUTED_VALUE"""),87830064)</f>
        <v>87830064</v>
      </c>
    </row>
    <row r="192" spans="1:6" ht="12.6">
      <c r="A192" s="2">
        <f ca="1">IFERROR(__xludf.DUMMYFUNCTION("""COMPUTED_VALUE"""),44839.6666666666)</f>
        <v>44839.666666666599</v>
      </c>
      <c r="B192" s="1">
        <f ca="1">IFERROR(__xludf.DUMMYFUNCTION("""COMPUTED_VALUE"""),144.07)</f>
        <v>144.07</v>
      </c>
      <c r="C192" s="1">
        <f ca="1">IFERROR(__xludf.DUMMYFUNCTION("""COMPUTED_VALUE"""),147.38)</f>
        <v>147.38</v>
      </c>
      <c r="D192" s="1">
        <f ca="1">IFERROR(__xludf.DUMMYFUNCTION("""COMPUTED_VALUE"""),143.01)</f>
        <v>143.01</v>
      </c>
      <c r="E192" s="1">
        <f ca="1">IFERROR(__xludf.DUMMYFUNCTION("""COMPUTED_VALUE"""),146.4)</f>
        <v>146.4</v>
      </c>
      <c r="F192" s="1">
        <f ca="1">IFERROR(__xludf.DUMMYFUNCTION("""COMPUTED_VALUE"""),79470968)</f>
        <v>79470968</v>
      </c>
    </row>
    <row r="193" spans="1:6" ht="12.6">
      <c r="A193" s="2">
        <f ca="1">IFERROR(__xludf.DUMMYFUNCTION("""COMPUTED_VALUE"""),44840.6666666666)</f>
        <v>44840.666666666599</v>
      </c>
      <c r="B193" s="1">
        <f ca="1">IFERROR(__xludf.DUMMYFUNCTION("""COMPUTED_VALUE"""),145.81)</f>
        <v>145.81</v>
      </c>
      <c r="C193" s="1">
        <f ca="1">IFERROR(__xludf.DUMMYFUNCTION("""COMPUTED_VALUE"""),147.54)</f>
        <v>147.54</v>
      </c>
      <c r="D193" s="1">
        <f ca="1">IFERROR(__xludf.DUMMYFUNCTION("""COMPUTED_VALUE"""),145.22)</f>
        <v>145.22</v>
      </c>
      <c r="E193" s="1">
        <f ca="1">IFERROR(__xludf.DUMMYFUNCTION("""COMPUTED_VALUE"""),145.43)</f>
        <v>145.43</v>
      </c>
      <c r="F193" s="1">
        <f ca="1">IFERROR(__xludf.DUMMYFUNCTION("""COMPUTED_VALUE"""),68402169)</f>
        <v>68402169</v>
      </c>
    </row>
    <row r="194" spans="1:6" ht="12.6">
      <c r="A194" s="2">
        <f ca="1">IFERROR(__xludf.DUMMYFUNCTION("""COMPUTED_VALUE"""),44841.6666666666)</f>
        <v>44841.666666666599</v>
      </c>
      <c r="B194" s="1">
        <f ca="1">IFERROR(__xludf.DUMMYFUNCTION("""COMPUTED_VALUE"""),142.54)</f>
        <v>142.54</v>
      </c>
      <c r="C194" s="1">
        <f ca="1">IFERROR(__xludf.DUMMYFUNCTION("""COMPUTED_VALUE"""),143.1)</f>
        <v>143.1</v>
      </c>
      <c r="D194" s="1">
        <f ca="1">IFERROR(__xludf.DUMMYFUNCTION("""COMPUTED_VALUE"""),139.45)</f>
        <v>139.44999999999999</v>
      </c>
      <c r="E194" s="1">
        <f ca="1">IFERROR(__xludf.DUMMYFUNCTION("""COMPUTED_VALUE"""),140.09)</f>
        <v>140.09</v>
      </c>
      <c r="F194" s="1">
        <f ca="1">IFERROR(__xludf.DUMMYFUNCTION("""COMPUTED_VALUE"""),85925559)</f>
        <v>85925559</v>
      </c>
    </row>
    <row r="195" spans="1:6" ht="12.6">
      <c r="A195" s="2">
        <f ca="1">IFERROR(__xludf.DUMMYFUNCTION("""COMPUTED_VALUE"""),44844.6666666666)</f>
        <v>44844.666666666599</v>
      </c>
      <c r="B195" s="1">
        <f ca="1">IFERROR(__xludf.DUMMYFUNCTION("""COMPUTED_VALUE"""),140.42)</f>
        <v>140.41999999999999</v>
      </c>
      <c r="C195" s="1">
        <f ca="1">IFERROR(__xludf.DUMMYFUNCTION("""COMPUTED_VALUE"""),141.89)</f>
        <v>141.88999999999999</v>
      </c>
      <c r="D195" s="1">
        <f ca="1">IFERROR(__xludf.DUMMYFUNCTION("""COMPUTED_VALUE"""),138.57)</f>
        <v>138.57</v>
      </c>
      <c r="E195" s="1">
        <f ca="1">IFERROR(__xludf.DUMMYFUNCTION("""COMPUTED_VALUE"""),140.42)</f>
        <v>140.41999999999999</v>
      </c>
      <c r="F195" s="1">
        <f ca="1">IFERROR(__xludf.DUMMYFUNCTION("""COMPUTED_VALUE"""),74899002)</f>
        <v>74899002</v>
      </c>
    </row>
    <row r="196" spans="1:6" ht="12.6">
      <c r="A196" s="2">
        <f ca="1">IFERROR(__xludf.DUMMYFUNCTION("""COMPUTED_VALUE"""),44845.6666666666)</f>
        <v>44845.666666666599</v>
      </c>
      <c r="B196" s="1">
        <f ca="1">IFERROR(__xludf.DUMMYFUNCTION("""COMPUTED_VALUE"""),139.9)</f>
        <v>139.9</v>
      </c>
      <c r="C196" s="1">
        <f ca="1">IFERROR(__xludf.DUMMYFUNCTION("""COMPUTED_VALUE"""),141.35)</f>
        <v>141.35</v>
      </c>
      <c r="D196" s="1">
        <f ca="1">IFERROR(__xludf.DUMMYFUNCTION("""COMPUTED_VALUE"""),138.22)</f>
        <v>138.22</v>
      </c>
      <c r="E196" s="1">
        <f ca="1">IFERROR(__xludf.DUMMYFUNCTION("""COMPUTED_VALUE"""),138.98)</f>
        <v>138.97999999999999</v>
      </c>
      <c r="F196" s="1">
        <f ca="1">IFERROR(__xludf.DUMMYFUNCTION("""COMPUTED_VALUE"""),77033672)</f>
        <v>77033672</v>
      </c>
    </row>
    <row r="197" spans="1:6" ht="12.6">
      <c r="A197" s="2">
        <f ca="1">IFERROR(__xludf.DUMMYFUNCTION("""COMPUTED_VALUE"""),44846.6666666666)</f>
        <v>44846.666666666599</v>
      </c>
      <c r="B197" s="1">
        <f ca="1">IFERROR(__xludf.DUMMYFUNCTION("""COMPUTED_VALUE"""),139.13)</f>
        <v>139.13</v>
      </c>
      <c r="C197" s="1">
        <f ca="1">IFERROR(__xludf.DUMMYFUNCTION("""COMPUTED_VALUE"""),140.36)</f>
        <v>140.36000000000001</v>
      </c>
      <c r="D197" s="1">
        <f ca="1">IFERROR(__xludf.DUMMYFUNCTION("""COMPUTED_VALUE"""),138.16)</f>
        <v>138.16</v>
      </c>
      <c r="E197" s="1">
        <f ca="1">IFERROR(__xludf.DUMMYFUNCTION("""COMPUTED_VALUE"""),138.34)</f>
        <v>138.34</v>
      </c>
      <c r="F197" s="1">
        <f ca="1">IFERROR(__xludf.DUMMYFUNCTION("""COMPUTED_VALUE"""),70433744)</f>
        <v>70433744</v>
      </c>
    </row>
    <row r="198" spans="1:6" ht="12.6">
      <c r="A198" s="2">
        <f ca="1">IFERROR(__xludf.DUMMYFUNCTION("""COMPUTED_VALUE"""),44847.6666666666)</f>
        <v>44847.666666666599</v>
      </c>
      <c r="B198" s="1">
        <f ca="1">IFERROR(__xludf.DUMMYFUNCTION("""COMPUTED_VALUE"""),134.99)</f>
        <v>134.99</v>
      </c>
      <c r="C198" s="1">
        <f ca="1">IFERROR(__xludf.DUMMYFUNCTION("""COMPUTED_VALUE"""),143.59)</f>
        <v>143.59</v>
      </c>
      <c r="D198" s="1">
        <f ca="1">IFERROR(__xludf.DUMMYFUNCTION("""COMPUTED_VALUE"""),134.37)</f>
        <v>134.37</v>
      </c>
      <c r="E198" s="1">
        <f ca="1">IFERROR(__xludf.DUMMYFUNCTION("""COMPUTED_VALUE"""),142.99)</f>
        <v>142.99</v>
      </c>
      <c r="F198" s="1">
        <f ca="1">IFERROR(__xludf.DUMMYFUNCTION("""COMPUTED_VALUE"""),113223975)</f>
        <v>113223975</v>
      </c>
    </row>
    <row r="199" spans="1:6" ht="12.6">
      <c r="A199" s="2">
        <f ca="1">IFERROR(__xludf.DUMMYFUNCTION("""COMPUTED_VALUE"""),44848.6666666666)</f>
        <v>44848.666666666599</v>
      </c>
      <c r="B199" s="1">
        <f ca="1">IFERROR(__xludf.DUMMYFUNCTION("""COMPUTED_VALUE"""),144.31)</f>
        <v>144.31</v>
      </c>
      <c r="C199" s="1">
        <f ca="1">IFERROR(__xludf.DUMMYFUNCTION("""COMPUTED_VALUE"""),144.52)</f>
        <v>144.52000000000001</v>
      </c>
      <c r="D199" s="1">
        <f ca="1">IFERROR(__xludf.DUMMYFUNCTION("""COMPUTED_VALUE"""),138.19)</f>
        <v>138.19</v>
      </c>
      <c r="E199" s="1">
        <f ca="1">IFERROR(__xludf.DUMMYFUNCTION("""COMPUTED_VALUE"""),138.38)</f>
        <v>138.38</v>
      </c>
      <c r="F199" s="1">
        <f ca="1">IFERROR(__xludf.DUMMYFUNCTION("""COMPUTED_VALUE"""),88597969)</f>
        <v>88597969</v>
      </c>
    </row>
    <row r="200" spans="1:6" ht="12.6">
      <c r="A200" s="2">
        <f ca="1">IFERROR(__xludf.DUMMYFUNCTION("""COMPUTED_VALUE"""),44851.6666666666)</f>
        <v>44851.666666666599</v>
      </c>
      <c r="B200" s="1">
        <f ca="1">IFERROR(__xludf.DUMMYFUNCTION("""COMPUTED_VALUE"""),141.07)</f>
        <v>141.07</v>
      </c>
      <c r="C200" s="1">
        <f ca="1">IFERROR(__xludf.DUMMYFUNCTION("""COMPUTED_VALUE"""),142.9)</f>
        <v>142.9</v>
      </c>
      <c r="D200" s="1">
        <f ca="1">IFERROR(__xludf.DUMMYFUNCTION("""COMPUTED_VALUE"""),140.27)</f>
        <v>140.27000000000001</v>
      </c>
      <c r="E200" s="1">
        <f ca="1">IFERROR(__xludf.DUMMYFUNCTION("""COMPUTED_VALUE"""),142.41)</f>
        <v>142.41</v>
      </c>
      <c r="F200" s="1">
        <f ca="1">IFERROR(__xludf.DUMMYFUNCTION("""COMPUTED_VALUE"""),85250939)</f>
        <v>85250939</v>
      </c>
    </row>
    <row r="201" spans="1:6" ht="12.6">
      <c r="A201" s="2">
        <f ca="1">IFERROR(__xludf.DUMMYFUNCTION("""COMPUTED_VALUE"""),44852.6666666666)</f>
        <v>44852.666666666599</v>
      </c>
      <c r="B201" s="1">
        <f ca="1">IFERROR(__xludf.DUMMYFUNCTION("""COMPUTED_VALUE"""),145.49)</f>
        <v>145.49</v>
      </c>
      <c r="C201" s="1">
        <f ca="1">IFERROR(__xludf.DUMMYFUNCTION("""COMPUTED_VALUE"""),146.7)</f>
        <v>146.69999999999999</v>
      </c>
      <c r="D201" s="1">
        <f ca="1">IFERROR(__xludf.DUMMYFUNCTION("""COMPUTED_VALUE"""),140.61)</f>
        <v>140.61000000000001</v>
      </c>
      <c r="E201" s="1">
        <f ca="1">IFERROR(__xludf.DUMMYFUNCTION("""COMPUTED_VALUE"""),143.75)</f>
        <v>143.75</v>
      </c>
      <c r="F201" s="1">
        <f ca="1">IFERROR(__xludf.DUMMYFUNCTION("""COMPUTED_VALUE"""),99136610)</f>
        <v>99136610</v>
      </c>
    </row>
    <row r="202" spans="1:6" ht="12.6">
      <c r="A202" s="2">
        <f ca="1">IFERROR(__xludf.DUMMYFUNCTION("""COMPUTED_VALUE"""),44853.6666666666)</f>
        <v>44853.666666666599</v>
      </c>
      <c r="B202" s="1">
        <f ca="1">IFERROR(__xludf.DUMMYFUNCTION("""COMPUTED_VALUE"""),141.69)</f>
        <v>141.69</v>
      </c>
      <c r="C202" s="1">
        <f ca="1">IFERROR(__xludf.DUMMYFUNCTION("""COMPUTED_VALUE"""),144.95)</f>
        <v>144.94999999999999</v>
      </c>
      <c r="D202" s="1">
        <f ca="1">IFERROR(__xludf.DUMMYFUNCTION("""COMPUTED_VALUE"""),141.5)</f>
        <v>141.5</v>
      </c>
      <c r="E202" s="1">
        <f ca="1">IFERROR(__xludf.DUMMYFUNCTION("""COMPUTED_VALUE"""),143.86)</f>
        <v>143.86000000000001</v>
      </c>
      <c r="F202" s="1">
        <f ca="1">IFERROR(__xludf.DUMMYFUNCTION("""COMPUTED_VALUE"""),61758340)</f>
        <v>61758340</v>
      </c>
    </row>
    <row r="203" spans="1:6" ht="12.6">
      <c r="A203" s="2">
        <f ca="1">IFERROR(__xludf.DUMMYFUNCTION("""COMPUTED_VALUE"""),44854.6666666666)</f>
        <v>44854.666666666599</v>
      </c>
      <c r="B203" s="1">
        <f ca="1">IFERROR(__xludf.DUMMYFUNCTION("""COMPUTED_VALUE"""),143.02)</f>
        <v>143.02000000000001</v>
      </c>
      <c r="C203" s="1">
        <f ca="1">IFERROR(__xludf.DUMMYFUNCTION("""COMPUTED_VALUE"""),145.89)</f>
        <v>145.88999999999999</v>
      </c>
      <c r="D203" s="1">
        <f ca="1">IFERROR(__xludf.DUMMYFUNCTION("""COMPUTED_VALUE"""),142.65)</f>
        <v>142.65</v>
      </c>
      <c r="E203" s="1">
        <f ca="1">IFERROR(__xludf.DUMMYFUNCTION("""COMPUTED_VALUE"""),143.39)</f>
        <v>143.38999999999999</v>
      </c>
      <c r="F203" s="1">
        <f ca="1">IFERROR(__xludf.DUMMYFUNCTION("""COMPUTED_VALUE"""),64521989)</f>
        <v>64521989</v>
      </c>
    </row>
    <row r="204" spans="1:6" ht="12.6">
      <c r="A204" s="2">
        <f ca="1">IFERROR(__xludf.DUMMYFUNCTION("""COMPUTED_VALUE"""),44855.6666666666)</f>
        <v>44855.666666666599</v>
      </c>
      <c r="B204" s="1">
        <f ca="1">IFERROR(__xludf.DUMMYFUNCTION("""COMPUTED_VALUE"""),142.87)</f>
        <v>142.87</v>
      </c>
      <c r="C204" s="1">
        <f ca="1">IFERROR(__xludf.DUMMYFUNCTION("""COMPUTED_VALUE"""),147.85)</f>
        <v>147.85</v>
      </c>
      <c r="D204" s="1">
        <f ca="1">IFERROR(__xludf.DUMMYFUNCTION("""COMPUTED_VALUE"""),142.65)</f>
        <v>142.65</v>
      </c>
      <c r="E204" s="1">
        <f ca="1">IFERROR(__xludf.DUMMYFUNCTION("""COMPUTED_VALUE"""),147.27)</f>
        <v>147.27000000000001</v>
      </c>
      <c r="F204" s="1">
        <f ca="1">IFERROR(__xludf.DUMMYFUNCTION("""COMPUTED_VALUE"""),86548609)</f>
        <v>86548609</v>
      </c>
    </row>
    <row r="205" spans="1:6" ht="12.6">
      <c r="A205" s="2">
        <f ca="1">IFERROR(__xludf.DUMMYFUNCTION("""COMPUTED_VALUE"""),44858.6666666666)</f>
        <v>44858.666666666599</v>
      </c>
      <c r="B205" s="1">
        <f ca="1">IFERROR(__xludf.DUMMYFUNCTION("""COMPUTED_VALUE"""),147.19)</f>
        <v>147.19</v>
      </c>
      <c r="C205" s="1">
        <f ca="1">IFERROR(__xludf.DUMMYFUNCTION("""COMPUTED_VALUE"""),150.23)</f>
        <v>150.22999999999999</v>
      </c>
      <c r="D205" s="1">
        <f ca="1">IFERROR(__xludf.DUMMYFUNCTION("""COMPUTED_VALUE"""),146)</f>
        <v>146</v>
      </c>
      <c r="E205" s="1">
        <f ca="1">IFERROR(__xludf.DUMMYFUNCTION("""COMPUTED_VALUE"""),149.45)</f>
        <v>149.44999999999999</v>
      </c>
      <c r="F205" s="1">
        <f ca="1">IFERROR(__xludf.DUMMYFUNCTION("""COMPUTED_VALUE"""),75981918)</f>
        <v>75981918</v>
      </c>
    </row>
    <row r="206" spans="1:6" ht="12.6">
      <c r="A206" s="2">
        <f ca="1">IFERROR(__xludf.DUMMYFUNCTION("""COMPUTED_VALUE"""),44859.6666666666)</f>
        <v>44859.666666666599</v>
      </c>
      <c r="B206" s="1">
        <f ca="1">IFERROR(__xludf.DUMMYFUNCTION("""COMPUTED_VALUE"""),150.09)</f>
        <v>150.09</v>
      </c>
      <c r="C206" s="1">
        <f ca="1">IFERROR(__xludf.DUMMYFUNCTION("""COMPUTED_VALUE"""),152.49)</f>
        <v>152.49</v>
      </c>
      <c r="D206" s="1">
        <f ca="1">IFERROR(__xludf.DUMMYFUNCTION("""COMPUTED_VALUE"""),149.36)</f>
        <v>149.36000000000001</v>
      </c>
      <c r="E206" s="1">
        <f ca="1">IFERROR(__xludf.DUMMYFUNCTION("""COMPUTED_VALUE"""),152.34)</f>
        <v>152.34</v>
      </c>
      <c r="F206" s="1">
        <f ca="1">IFERROR(__xludf.DUMMYFUNCTION("""COMPUTED_VALUE"""),74732290)</f>
        <v>74732290</v>
      </c>
    </row>
    <row r="207" spans="1:6" ht="12.6">
      <c r="A207" s="2">
        <f ca="1">IFERROR(__xludf.DUMMYFUNCTION("""COMPUTED_VALUE"""),44860.6666666666)</f>
        <v>44860.666666666599</v>
      </c>
      <c r="B207" s="1">
        <f ca="1">IFERROR(__xludf.DUMMYFUNCTION("""COMPUTED_VALUE"""),150.96)</f>
        <v>150.96</v>
      </c>
      <c r="C207" s="1">
        <f ca="1">IFERROR(__xludf.DUMMYFUNCTION("""COMPUTED_VALUE"""),151.99)</f>
        <v>151.99</v>
      </c>
      <c r="D207" s="1">
        <f ca="1">IFERROR(__xludf.DUMMYFUNCTION("""COMPUTED_VALUE"""),148.04)</f>
        <v>148.04</v>
      </c>
      <c r="E207" s="1">
        <f ca="1">IFERROR(__xludf.DUMMYFUNCTION("""COMPUTED_VALUE"""),149.35)</f>
        <v>149.35</v>
      </c>
      <c r="F207" s="1">
        <f ca="1">IFERROR(__xludf.DUMMYFUNCTION("""COMPUTED_VALUE"""),88436172)</f>
        <v>88436172</v>
      </c>
    </row>
    <row r="208" spans="1:6" ht="12.6">
      <c r="A208" s="2">
        <f ca="1">IFERROR(__xludf.DUMMYFUNCTION("""COMPUTED_VALUE"""),44861.6666666666)</f>
        <v>44861.666666666599</v>
      </c>
      <c r="B208" s="1">
        <f ca="1">IFERROR(__xludf.DUMMYFUNCTION("""COMPUTED_VALUE"""),148.07)</f>
        <v>148.07</v>
      </c>
      <c r="C208" s="1">
        <f ca="1">IFERROR(__xludf.DUMMYFUNCTION("""COMPUTED_VALUE"""),149.05)</f>
        <v>149.05000000000001</v>
      </c>
      <c r="D208" s="1">
        <f ca="1">IFERROR(__xludf.DUMMYFUNCTION("""COMPUTED_VALUE"""),144.13)</f>
        <v>144.13</v>
      </c>
      <c r="E208" s="1">
        <f ca="1">IFERROR(__xludf.DUMMYFUNCTION("""COMPUTED_VALUE"""),144.8)</f>
        <v>144.80000000000001</v>
      </c>
      <c r="F208" s="1">
        <f ca="1">IFERROR(__xludf.DUMMYFUNCTION("""COMPUTED_VALUE"""),109180150)</f>
        <v>109180150</v>
      </c>
    </row>
    <row r="209" spans="1:6" ht="12.6">
      <c r="A209" s="2">
        <f ca="1">IFERROR(__xludf.DUMMYFUNCTION("""COMPUTED_VALUE"""),44862.6666666666)</f>
        <v>44862.666666666599</v>
      </c>
      <c r="B209" s="1">
        <f ca="1">IFERROR(__xludf.DUMMYFUNCTION("""COMPUTED_VALUE"""),148.2)</f>
        <v>148.19999999999999</v>
      </c>
      <c r="C209" s="1">
        <f ca="1">IFERROR(__xludf.DUMMYFUNCTION("""COMPUTED_VALUE"""),157.5)</f>
        <v>157.5</v>
      </c>
      <c r="D209" s="1">
        <f ca="1">IFERROR(__xludf.DUMMYFUNCTION("""COMPUTED_VALUE"""),147.82)</f>
        <v>147.82</v>
      </c>
      <c r="E209" s="1">
        <f ca="1">IFERROR(__xludf.DUMMYFUNCTION("""COMPUTED_VALUE"""),155.74)</f>
        <v>155.74</v>
      </c>
      <c r="F209" s="1">
        <f ca="1">IFERROR(__xludf.DUMMYFUNCTION("""COMPUTED_VALUE"""),164762371)</f>
        <v>164762371</v>
      </c>
    </row>
    <row r="210" spans="1:6" ht="12.6">
      <c r="A210" s="2">
        <f ca="1">IFERROR(__xludf.DUMMYFUNCTION("""COMPUTED_VALUE"""),44865.6666666666)</f>
        <v>44865.666666666599</v>
      </c>
      <c r="B210" s="1">
        <f ca="1">IFERROR(__xludf.DUMMYFUNCTION("""COMPUTED_VALUE"""),153.16)</f>
        <v>153.16</v>
      </c>
      <c r="C210" s="1">
        <f ca="1">IFERROR(__xludf.DUMMYFUNCTION("""COMPUTED_VALUE"""),154.24)</f>
        <v>154.24</v>
      </c>
      <c r="D210" s="1">
        <f ca="1">IFERROR(__xludf.DUMMYFUNCTION("""COMPUTED_VALUE"""),151.92)</f>
        <v>151.91999999999999</v>
      </c>
      <c r="E210" s="1">
        <f ca="1">IFERROR(__xludf.DUMMYFUNCTION("""COMPUTED_VALUE"""),153.34)</f>
        <v>153.34</v>
      </c>
      <c r="F210" s="1">
        <f ca="1">IFERROR(__xludf.DUMMYFUNCTION("""COMPUTED_VALUE"""),97943171)</f>
        <v>97943171</v>
      </c>
    </row>
    <row r="211" spans="1:6" ht="12.6">
      <c r="A211" s="2">
        <f ca="1">IFERROR(__xludf.DUMMYFUNCTION("""COMPUTED_VALUE"""),44866.6666666666)</f>
        <v>44866.666666666599</v>
      </c>
      <c r="B211" s="1">
        <f ca="1">IFERROR(__xludf.DUMMYFUNCTION("""COMPUTED_VALUE"""),155.08)</f>
        <v>155.08000000000001</v>
      </c>
      <c r="C211" s="1">
        <f ca="1">IFERROR(__xludf.DUMMYFUNCTION("""COMPUTED_VALUE"""),155.45)</f>
        <v>155.44999999999999</v>
      </c>
      <c r="D211" s="1">
        <f ca="1">IFERROR(__xludf.DUMMYFUNCTION("""COMPUTED_VALUE"""),149.13)</f>
        <v>149.13</v>
      </c>
      <c r="E211" s="1">
        <f ca="1">IFERROR(__xludf.DUMMYFUNCTION("""COMPUTED_VALUE"""),150.65)</f>
        <v>150.65</v>
      </c>
      <c r="F211" s="1">
        <f ca="1">IFERROR(__xludf.DUMMYFUNCTION("""COMPUTED_VALUE"""),80379345)</f>
        <v>80379345</v>
      </c>
    </row>
    <row r="212" spans="1:6" ht="12.6">
      <c r="A212" s="2">
        <f ca="1">IFERROR(__xludf.DUMMYFUNCTION("""COMPUTED_VALUE"""),44867.6666666666)</f>
        <v>44867.666666666599</v>
      </c>
      <c r="B212" s="1">
        <f ca="1">IFERROR(__xludf.DUMMYFUNCTION("""COMPUTED_VALUE"""),148.95)</f>
        <v>148.94999999999999</v>
      </c>
      <c r="C212" s="1">
        <f ca="1">IFERROR(__xludf.DUMMYFUNCTION("""COMPUTED_VALUE"""),152.17)</f>
        <v>152.16999999999999</v>
      </c>
      <c r="D212" s="1">
        <f ca="1">IFERROR(__xludf.DUMMYFUNCTION("""COMPUTED_VALUE"""),145)</f>
        <v>145</v>
      </c>
      <c r="E212" s="1">
        <f ca="1">IFERROR(__xludf.DUMMYFUNCTION("""COMPUTED_VALUE"""),145.03)</f>
        <v>145.03</v>
      </c>
      <c r="F212" s="1">
        <f ca="1">IFERROR(__xludf.DUMMYFUNCTION("""COMPUTED_VALUE"""),93604623)</f>
        <v>93604623</v>
      </c>
    </row>
    <row r="213" spans="1:6" ht="12.6">
      <c r="A213" s="2">
        <f ca="1">IFERROR(__xludf.DUMMYFUNCTION("""COMPUTED_VALUE"""),44868.6666666666)</f>
        <v>44868.666666666599</v>
      </c>
      <c r="B213" s="1">
        <f ca="1">IFERROR(__xludf.DUMMYFUNCTION("""COMPUTED_VALUE"""),142.06)</f>
        <v>142.06</v>
      </c>
      <c r="C213" s="1">
        <f ca="1">IFERROR(__xludf.DUMMYFUNCTION("""COMPUTED_VALUE"""),142.8)</f>
        <v>142.80000000000001</v>
      </c>
      <c r="D213" s="1">
        <f ca="1">IFERROR(__xludf.DUMMYFUNCTION("""COMPUTED_VALUE"""),138.75)</f>
        <v>138.75</v>
      </c>
      <c r="E213" s="1">
        <f ca="1">IFERROR(__xludf.DUMMYFUNCTION("""COMPUTED_VALUE"""),138.88)</f>
        <v>138.88</v>
      </c>
      <c r="F213" s="1">
        <f ca="1">IFERROR(__xludf.DUMMYFUNCTION("""COMPUTED_VALUE"""),97918516)</f>
        <v>97918516</v>
      </c>
    </row>
    <row r="214" spans="1:6" ht="12.6">
      <c r="A214" s="2">
        <f ca="1">IFERROR(__xludf.DUMMYFUNCTION("""COMPUTED_VALUE"""),44869.6666666666)</f>
        <v>44869.666666666599</v>
      </c>
      <c r="B214" s="1">
        <f ca="1">IFERROR(__xludf.DUMMYFUNCTION("""COMPUTED_VALUE"""),142.09)</f>
        <v>142.09</v>
      </c>
      <c r="C214" s="1">
        <f ca="1">IFERROR(__xludf.DUMMYFUNCTION("""COMPUTED_VALUE"""),142.67)</f>
        <v>142.66999999999999</v>
      </c>
      <c r="D214" s="1">
        <f ca="1">IFERROR(__xludf.DUMMYFUNCTION("""COMPUTED_VALUE"""),134.38)</f>
        <v>134.38</v>
      </c>
      <c r="E214" s="1">
        <f ca="1">IFERROR(__xludf.DUMMYFUNCTION("""COMPUTED_VALUE"""),138.38)</f>
        <v>138.38</v>
      </c>
      <c r="F214" s="1">
        <f ca="1">IFERROR(__xludf.DUMMYFUNCTION("""COMPUTED_VALUE"""),140814796)</f>
        <v>140814796</v>
      </c>
    </row>
    <row r="215" spans="1:6" ht="12.6">
      <c r="A215" s="2">
        <f ca="1">IFERROR(__xludf.DUMMYFUNCTION("""COMPUTED_VALUE"""),44872.6666666666)</f>
        <v>44872.666666666599</v>
      </c>
      <c r="B215" s="1">
        <f ca="1">IFERROR(__xludf.DUMMYFUNCTION("""COMPUTED_VALUE"""),137.11)</f>
        <v>137.11000000000001</v>
      </c>
      <c r="C215" s="1">
        <f ca="1">IFERROR(__xludf.DUMMYFUNCTION("""COMPUTED_VALUE"""),139.15)</f>
        <v>139.15</v>
      </c>
      <c r="D215" s="1">
        <f ca="1">IFERROR(__xludf.DUMMYFUNCTION("""COMPUTED_VALUE"""),135.67)</f>
        <v>135.66999999999999</v>
      </c>
      <c r="E215" s="1">
        <f ca="1">IFERROR(__xludf.DUMMYFUNCTION("""COMPUTED_VALUE"""),138.92)</f>
        <v>138.91999999999999</v>
      </c>
      <c r="F215" s="1">
        <f ca="1">IFERROR(__xludf.DUMMYFUNCTION("""COMPUTED_VALUE"""),83374628)</f>
        <v>83374628</v>
      </c>
    </row>
    <row r="216" spans="1:6" ht="12.6">
      <c r="A216" s="2">
        <f ca="1">IFERROR(__xludf.DUMMYFUNCTION("""COMPUTED_VALUE"""),44873.6666666666)</f>
        <v>44873.666666666599</v>
      </c>
      <c r="B216" s="1">
        <f ca="1">IFERROR(__xludf.DUMMYFUNCTION("""COMPUTED_VALUE"""),140.41)</f>
        <v>140.41</v>
      </c>
      <c r="C216" s="1">
        <f ca="1">IFERROR(__xludf.DUMMYFUNCTION("""COMPUTED_VALUE"""),141.43)</f>
        <v>141.43</v>
      </c>
      <c r="D216" s="1">
        <f ca="1">IFERROR(__xludf.DUMMYFUNCTION("""COMPUTED_VALUE"""),137.49)</f>
        <v>137.49</v>
      </c>
      <c r="E216" s="1">
        <f ca="1">IFERROR(__xludf.DUMMYFUNCTION("""COMPUTED_VALUE"""),139.5)</f>
        <v>139.5</v>
      </c>
      <c r="F216" s="1">
        <f ca="1">IFERROR(__xludf.DUMMYFUNCTION("""COMPUTED_VALUE"""),89908477)</f>
        <v>89908477</v>
      </c>
    </row>
    <row r="217" spans="1:6" ht="12.6">
      <c r="A217" s="2">
        <f ca="1">IFERROR(__xludf.DUMMYFUNCTION("""COMPUTED_VALUE"""),44874.6666666666)</f>
        <v>44874.666666666599</v>
      </c>
      <c r="B217" s="1">
        <f ca="1">IFERROR(__xludf.DUMMYFUNCTION("""COMPUTED_VALUE"""),138.5)</f>
        <v>138.5</v>
      </c>
      <c r="C217" s="1">
        <f ca="1">IFERROR(__xludf.DUMMYFUNCTION("""COMPUTED_VALUE"""),138.55)</f>
        <v>138.55000000000001</v>
      </c>
      <c r="D217" s="1">
        <f ca="1">IFERROR(__xludf.DUMMYFUNCTION("""COMPUTED_VALUE"""),134.59)</f>
        <v>134.59</v>
      </c>
      <c r="E217" s="1">
        <f ca="1">IFERROR(__xludf.DUMMYFUNCTION("""COMPUTED_VALUE"""),134.87)</f>
        <v>134.87</v>
      </c>
      <c r="F217" s="1">
        <f ca="1">IFERROR(__xludf.DUMMYFUNCTION("""COMPUTED_VALUE"""),74917794)</f>
        <v>74917794</v>
      </c>
    </row>
    <row r="218" spans="1:6" ht="12.6">
      <c r="A218" s="2">
        <f ca="1">IFERROR(__xludf.DUMMYFUNCTION("""COMPUTED_VALUE"""),44875.6666666666)</f>
        <v>44875.666666666599</v>
      </c>
      <c r="B218" s="1">
        <f ca="1">IFERROR(__xludf.DUMMYFUNCTION("""COMPUTED_VALUE"""),141.24)</f>
        <v>141.24</v>
      </c>
      <c r="C218" s="1">
        <f ca="1">IFERROR(__xludf.DUMMYFUNCTION("""COMPUTED_VALUE"""),146.87)</f>
        <v>146.87</v>
      </c>
      <c r="D218" s="1">
        <f ca="1">IFERROR(__xludf.DUMMYFUNCTION("""COMPUTED_VALUE"""),139.5)</f>
        <v>139.5</v>
      </c>
      <c r="E218" s="1">
        <f ca="1">IFERROR(__xludf.DUMMYFUNCTION("""COMPUTED_VALUE"""),146.87)</f>
        <v>146.87</v>
      </c>
      <c r="F218" s="1">
        <f ca="1">IFERROR(__xludf.DUMMYFUNCTION("""COMPUTED_VALUE"""),118854028)</f>
        <v>118854028</v>
      </c>
    </row>
    <row r="219" spans="1:6" ht="12.6">
      <c r="A219" s="2">
        <f ca="1">IFERROR(__xludf.DUMMYFUNCTION("""COMPUTED_VALUE"""),44876.6666666666)</f>
        <v>44876.666666666599</v>
      </c>
      <c r="B219" s="1">
        <f ca="1">IFERROR(__xludf.DUMMYFUNCTION("""COMPUTED_VALUE"""),145.82)</f>
        <v>145.82</v>
      </c>
      <c r="C219" s="1">
        <f ca="1">IFERROR(__xludf.DUMMYFUNCTION("""COMPUTED_VALUE"""),150.01)</f>
        <v>150.01</v>
      </c>
      <c r="D219" s="1">
        <f ca="1">IFERROR(__xludf.DUMMYFUNCTION("""COMPUTED_VALUE"""),144.37)</f>
        <v>144.37</v>
      </c>
      <c r="E219" s="1">
        <f ca="1">IFERROR(__xludf.DUMMYFUNCTION("""COMPUTED_VALUE"""),149.7)</f>
        <v>149.69999999999999</v>
      </c>
      <c r="F219" s="1">
        <f ca="1">IFERROR(__xludf.DUMMYFUNCTION("""COMPUTED_VALUE"""),93979665)</f>
        <v>93979665</v>
      </c>
    </row>
    <row r="220" spans="1:6" ht="12.6">
      <c r="A220" s="2">
        <f ca="1">IFERROR(__xludf.DUMMYFUNCTION("""COMPUTED_VALUE"""),44879.6666666666)</f>
        <v>44879.666666666599</v>
      </c>
      <c r="B220" s="1">
        <f ca="1">IFERROR(__xludf.DUMMYFUNCTION("""COMPUTED_VALUE"""),148.97)</f>
        <v>148.97</v>
      </c>
      <c r="C220" s="1">
        <f ca="1">IFERROR(__xludf.DUMMYFUNCTION("""COMPUTED_VALUE"""),150.28)</f>
        <v>150.28</v>
      </c>
      <c r="D220" s="1">
        <f ca="1">IFERROR(__xludf.DUMMYFUNCTION("""COMPUTED_VALUE"""),147.43)</f>
        <v>147.43</v>
      </c>
      <c r="E220" s="1">
        <f ca="1">IFERROR(__xludf.DUMMYFUNCTION("""COMPUTED_VALUE"""),148.28)</f>
        <v>148.28</v>
      </c>
      <c r="F220" s="1">
        <f ca="1">IFERROR(__xludf.DUMMYFUNCTION("""COMPUTED_VALUE"""),73374114)</f>
        <v>73374114</v>
      </c>
    </row>
    <row r="221" spans="1:6" ht="12.6">
      <c r="A221" s="2">
        <f ca="1">IFERROR(__xludf.DUMMYFUNCTION("""COMPUTED_VALUE"""),44880.6666666666)</f>
        <v>44880.666666666599</v>
      </c>
      <c r="B221" s="1">
        <f ca="1">IFERROR(__xludf.DUMMYFUNCTION("""COMPUTED_VALUE"""),152.22)</f>
        <v>152.22</v>
      </c>
      <c r="C221" s="1">
        <f ca="1">IFERROR(__xludf.DUMMYFUNCTION("""COMPUTED_VALUE"""),153.59)</f>
        <v>153.59</v>
      </c>
      <c r="D221" s="1">
        <f ca="1">IFERROR(__xludf.DUMMYFUNCTION("""COMPUTED_VALUE"""),148.56)</f>
        <v>148.56</v>
      </c>
      <c r="E221" s="1">
        <f ca="1">IFERROR(__xludf.DUMMYFUNCTION("""COMPUTED_VALUE"""),150.04)</f>
        <v>150.04</v>
      </c>
      <c r="F221" s="1">
        <f ca="1">IFERROR(__xludf.DUMMYFUNCTION("""COMPUTED_VALUE"""),89868332)</f>
        <v>89868332</v>
      </c>
    </row>
    <row r="222" spans="1:6" ht="12.6">
      <c r="A222" s="2">
        <f ca="1">IFERROR(__xludf.DUMMYFUNCTION("""COMPUTED_VALUE"""),44881.6666666666)</f>
        <v>44881.666666666599</v>
      </c>
      <c r="B222" s="1">
        <f ca="1">IFERROR(__xludf.DUMMYFUNCTION("""COMPUTED_VALUE"""),149.13)</f>
        <v>149.13</v>
      </c>
      <c r="C222" s="1">
        <f ca="1">IFERROR(__xludf.DUMMYFUNCTION("""COMPUTED_VALUE"""),149.87)</f>
        <v>149.87</v>
      </c>
      <c r="D222" s="1">
        <f ca="1">IFERROR(__xludf.DUMMYFUNCTION("""COMPUTED_VALUE"""),147.29)</f>
        <v>147.29</v>
      </c>
      <c r="E222" s="1">
        <f ca="1">IFERROR(__xludf.DUMMYFUNCTION("""COMPUTED_VALUE"""),148.79)</f>
        <v>148.79</v>
      </c>
      <c r="F222" s="1">
        <f ca="1">IFERROR(__xludf.DUMMYFUNCTION("""COMPUTED_VALUE"""),64218266)</f>
        <v>64218266</v>
      </c>
    </row>
    <row r="223" spans="1:6" ht="12.6">
      <c r="A223" s="2">
        <f ca="1">IFERROR(__xludf.DUMMYFUNCTION("""COMPUTED_VALUE"""),44882.6666666666)</f>
        <v>44882.666666666599</v>
      </c>
      <c r="B223" s="1">
        <f ca="1">IFERROR(__xludf.DUMMYFUNCTION("""COMPUTED_VALUE"""),146.43)</f>
        <v>146.43</v>
      </c>
      <c r="C223" s="1">
        <f ca="1">IFERROR(__xludf.DUMMYFUNCTION("""COMPUTED_VALUE"""),151.48)</f>
        <v>151.47999999999999</v>
      </c>
      <c r="D223" s="1">
        <f ca="1">IFERROR(__xludf.DUMMYFUNCTION("""COMPUTED_VALUE"""),146.15)</f>
        <v>146.15</v>
      </c>
      <c r="E223" s="1">
        <f ca="1">IFERROR(__xludf.DUMMYFUNCTION("""COMPUTED_VALUE"""),150.72)</f>
        <v>150.72</v>
      </c>
      <c r="F223" s="1">
        <f ca="1">IFERROR(__xludf.DUMMYFUNCTION("""COMPUTED_VALUE"""),80389400)</f>
        <v>80389400</v>
      </c>
    </row>
    <row r="224" spans="1:6" ht="12.6">
      <c r="A224" s="2">
        <f ca="1">IFERROR(__xludf.DUMMYFUNCTION("""COMPUTED_VALUE"""),44883.6666666666)</f>
        <v>44883.666666666599</v>
      </c>
      <c r="B224" s="1">
        <f ca="1">IFERROR(__xludf.DUMMYFUNCTION("""COMPUTED_VALUE"""),152.31)</f>
        <v>152.31</v>
      </c>
      <c r="C224" s="1">
        <f ca="1">IFERROR(__xludf.DUMMYFUNCTION("""COMPUTED_VALUE"""),152.7)</f>
        <v>152.69999999999999</v>
      </c>
      <c r="D224" s="1">
        <f ca="1">IFERROR(__xludf.DUMMYFUNCTION("""COMPUTED_VALUE"""),149.97)</f>
        <v>149.97</v>
      </c>
      <c r="E224" s="1">
        <f ca="1">IFERROR(__xludf.DUMMYFUNCTION("""COMPUTED_VALUE"""),151.29)</f>
        <v>151.29</v>
      </c>
      <c r="F224" s="1">
        <f ca="1">IFERROR(__xludf.DUMMYFUNCTION("""COMPUTED_VALUE"""),74829573)</f>
        <v>74829573</v>
      </c>
    </row>
    <row r="225" spans="1:6" ht="12.6">
      <c r="A225" s="2">
        <f ca="1">IFERROR(__xludf.DUMMYFUNCTION("""COMPUTED_VALUE"""),44886.6666666666)</f>
        <v>44886.666666666599</v>
      </c>
      <c r="B225" s="1">
        <f ca="1">IFERROR(__xludf.DUMMYFUNCTION("""COMPUTED_VALUE"""),150.16)</f>
        <v>150.16</v>
      </c>
      <c r="C225" s="1">
        <f ca="1">IFERROR(__xludf.DUMMYFUNCTION("""COMPUTED_VALUE"""),150.37)</f>
        <v>150.37</v>
      </c>
      <c r="D225" s="1">
        <f ca="1">IFERROR(__xludf.DUMMYFUNCTION("""COMPUTED_VALUE"""),147.72)</f>
        <v>147.72</v>
      </c>
      <c r="E225" s="1">
        <f ca="1">IFERROR(__xludf.DUMMYFUNCTION("""COMPUTED_VALUE"""),148.01)</f>
        <v>148.01</v>
      </c>
      <c r="F225" s="1">
        <f ca="1">IFERROR(__xludf.DUMMYFUNCTION("""COMPUTED_VALUE"""),58724070)</f>
        <v>58724070</v>
      </c>
    </row>
    <row r="226" spans="1:6" ht="12.6">
      <c r="A226" s="2">
        <f ca="1">IFERROR(__xludf.DUMMYFUNCTION("""COMPUTED_VALUE"""),44887.6666666666)</f>
        <v>44887.666666666599</v>
      </c>
      <c r="B226" s="1">
        <f ca="1">IFERROR(__xludf.DUMMYFUNCTION("""COMPUTED_VALUE"""),148.13)</f>
        <v>148.13</v>
      </c>
      <c r="C226" s="1">
        <f ca="1">IFERROR(__xludf.DUMMYFUNCTION("""COMPUTED_VALUE"""),150.42)</f>
        <v>150.41999999999999</v>
      </c>
      <c r="D226" s="1">
        <f ca="1">IFERROR(__xludf.DUMMYFUNCTION("""COMPUTED_VALUE"""),146.93)</f>
        <v>146.93</v>
      </c>
      <c r="E226" s="1">
        <f ca="1">IFERROR(__xludf.DUMMYFUNCTION("""COMPUTED_VALUE"""),150.18)</f>
        <v>150.18</v>
      </c>
      <c r="F226" s="1">
        <f ca="1">IFERROR(__xludf.DUMMYFUNCTION("""COMPUTED_VALUE"""),51804132)</f>
        <v>51804132</v>
      </c>
    </row>
    <row r="227" spans="1:6" ht="12.6">
      <c r="A227" s="2">
        <f ca="1">IFERROR(__xludf.DUMMYFUNCTION("""COMPUTED_VALUE"""),44888.6666666666)</f>
        <v>44888.666666666599</v>
      </c>
      <c r="B227" s="1">
        <f ca="1">IFERROR(__xludf.DUMMYFUNCTION("""COMPUTED_VALUE"""),149.45)</f>
        <v>149.44999999999999</v>
      </c>
      <c r="C227" s="1">
        <f ca="1">IFERROR(__xludf.DUMMYFUNCTION("""COMPUTED_VALUE"""),151.83)</f>
        <v>151.83000000000001</v>
      </c>
      <c r="D227" s="1">
        <f ca="1">IFERROR(__xludf.DUMMYFUNCTION("""COMPUTED_VALUE"""),149.34)</f>
        <v>149.34</v>
      </c>
      <c r="E227" s="1">
        <f ca="1">IFERROR(__xludf.DUMMYFUNCTION("""COMPUTED_VALUE"""),151.07)</f>
        <v>151.07</v>
      </c>
      <c r="F227" s="1">
        <f ca="1">IFERROR(__xludf.DUMMYFUNCTION("""COMPUTED_VALUE"""),58301395)</f>
        <v>58301395</v>
      </c>
    </row>
    <row r="228" spans="1:6" ht="12.6">
      <c r="A228" s="2">
        <f ca="1">IFERROR(__xludf.DUMMYFUNCTION("""COMPUTED_VALUE"""),44890.5451388888)</f>
        <v>44890.545138888803</v>
      </c>
      <c r="B228" s="1">
        <f ca="1">IFERROR(__xludf.DUMMYFUNCTION("""COMPUTED_VALUE"""),148.31)</f>
        <v>148.31</v>
      </c>
      <c r="C228" s="1">
        <f ca="1">IFERROR(__xludf.DUMMYFUNCTION("""COMPUTED_VALUE"""),148.88)</f>
        <v>148.88</v>
      </c>
      <c r="D228" s="1">
        <f ca="1">IFERROR(__xludf.DUMMYFUNCTION("""COMPUTED_VALUE"""),147.12)</f>
        <v>147.12</v>
      </c>
      <c r="E228" s="1">
        <f ca="1">IFERROR(__xludf.DUMMYFUNCTION("""COMPUTED_VALUE"""),148.11)</f>
        <v>148.11000000000001</v>
      </c>
      <c r="F228" s="1">
        <f ca="1">IFERROR(__xludf.DUMMYFUNCTION("""COMPUTED_VALUE"""),35195860)</f>
        <v>35195860</v>
      </c>
    </row>
    <row r="229" spans="1:6" ht="12.6">
      <c r="A229" s="2">
        <f ca="1">IFERROR(__xludf.DUMMYFUNCTION("""COMPUTED_VALUE"""),44893.6666666666)</f>
        <v>44893.666666666599</v>
      </c>
      <c r="B229" s="1">
        <f ca="1">IFERROR(__xludf.DUMMYFUNCTION("""COMPUTED_VALUE"""),145.14)</f>
        <v>145.13999999999999</v>
      </c>
      <c r="C229" s="1">
        <f ca="1">IFERROR(__xludf.DUMMYFUNCTION("""COMPUTED_VALUE"""),146.64)</f>
        <v>146.63999999999999</v>
      </c>
      <c r="D229" s="1">
        <f ca="1">IFERROR(__xludf.DUMMYFUNCTION("""COMPUTED_VALUE"""),143.38)</f>
        <v>143.38</v>
      </c>
      <c r="E229" s="1">
        <f ca="1">IFERROR(__xludf.DUMMYFUNCTION("""COMPUTED_VALUE"""),144.22)</f>
        <v>144.22</v>
      </c>
      <c r="F229" s="1">
        <f ca="1">IFERROR(__xludf.DUMMYFUNCTION("""COMPUTED_VALUE"""),69346522)</f>
        <v>69346522</v>
      </c>
    </row>
    <row r="230" spans="1:6" ht="12.6">
      <c r="A230" s="2">
        <f ca="1">IFERROR(__xludf.DUMMYFUNCTION("""COMPUTED_VALUE"""),44894.6666666666)</f>
        <v>44894.666666666599</v>
      </c>
      <c r="B230" s="1">
        <f ca="1">IFERROR(__xludf.DUMMYFUNCTION("""COMPUTED_VALUE"""),144.29)</f>
        <v>144.29</v>
      </c>
      <c r="C230" s="1">
        <f ca="1">IFERROR(__xludf.DUMMYFUNCTION("""COMPUTED_VALUE"""),144.81)</f>
        <v>144.81</v>
      </c>
      <c r="D230" s="1">
        <f ca="1">IFERROR(__xludf.DUMMYFUNCTION("""COMPUTED_VALUE"""),140.35)</f>
        <v>140.35</v>
      </c>
      <c r="E230" s="1">
        <f ca="1">IFERROR(__xludf.DUMMYFUNCTION("""COMPUTED_VALUE"""),141.17)</f>
        <v>141.16999999999999</v>
      </c>
      <c r="F230" s="1">
        <f ca="1">IFERROR(__xludf.DUMMYFUNCTION("""COMPUTED_VALUE"""),83763803)</f>
        <v>83763803</v>
      </c>
    </row>
    <row r="231" spans="1:6" ht="12.6">
      <c r="A231" s="2">
        <f ca="1">IFERROR(__xludf.DUMMYFUNCTION("""COMPUTED_VALUE"""),44895.6666666666)</f>
        <v>44895.666666666599</v>
      </c>
      <c r="B231" s="1">
        <f ca="1">IFERROR(__xludf.DUMMYFUNCTION("""COMPUTED_VALUE"""),141.4)</f>
        <v>141.4</v>
      </c>
      <c r="C231" s="1">
        <f ca="1">IFERROR(__xludf.DUMMYFUNCTION("""COMPUTED_VALUE"""),148.72)</f>
        <v>148.72</v>
      </c>
      <c r="D231" s="1">
        <f ca="1">IFERROR(__xludf.DUMMYFUNCTION("""COMPUTED_VALUE"""),140.55)</f>
        <v>140.55000000000001</v>
      </c>
      <c r="E231" s="1">
        <f ca="1">IFERROR(__xludf.DUMMYFUNCTION("""COMPUTED_VALUE"""),148.03)</f>
        <v>148.03</v>
      </c>
      <c r="F231" s="1">
        <f ca="1">IFERROR(__xludf.DUMMYFUNCTION("""COMPUTED_VALUE"""),111380880)</f>
        <v>111380880</v>
      </c>
    </row>
    <row r="232" spans="1:6" ht="12.6">
      <c r="A232" s="2">
        <f ca="1">IFERROR(__xludf.DUMMYFUNCTION("""COMPUTED_VALUE"""),44896.6666666666)</f>
        <v>44896.666666666599</v>
      </c>
      <c r="B232" s="1">
        <f ca="1">IFERROR(__xludf.DUMMYFUNCTION("""COMPUTED_VALUE"""),148.21)</f>
        <v>148.21</v>
      </c>
      <c r="C232" s="1">
        <f ca="1">IFERROR(__xludf.DUMMYFUNCTION("""COMPUTED_VALUE"""),149.13)</f>
        <v>149.13</v>
      </c>
      <c r="D232" s="1">
        <f ca="1">IFERROR(__xludf.DUMMYFUNCTION("""COMPUTED_VALUE"""),146.61)</f>
        <v>146.61000000000001</v>
      </c>
      <c r="E232" s="1">
        <f ca="1">IFERROR(__xludf.DUMMYFUNCTION("""COMPUTED_VALUE"""),148.31)</f>
        <v>148.31</v>
      </c>
      <c r="F232" s="1">
        <f ca="1">IFERROR(__xludf.DUMMYFUNCTION("""COMPUTED_VALUE"""),71250416)</f>
        <v>71250416</v>
      </c>
    </row>
    <row r="233" spans="1:6" ht="12.6">
      <c r="A233" s="2">
        <f ca="1">IFERROR(__xludf.DUMMYFUNCTION("""COMPUTED_VALUE"""),44897.6666666666)</f>
        <v>44897.666666666599</v>
      </c>
      <c r="B233" s="1">
        <f ca="1">IFERROR(__xludf.DUMMYFUNCTION("""COMPUTED_VALUE"""),145.96)</f>
        <v>145.96</v>
      </c>
      <c r="C233" s="1">
        <f ca="1">IFERROR(__xludf.DUMMYFUNCTION("""COMPUTED_VALUE"""),148)</f>
        <v>148</v>
      </c>
      <c r="D233" s="1">
        <f ca="1">IFERROR(__xludf.DUMMYFUNCTION("""COMPUTED_VALUE"""),145.65)</f>
        <v>145.65</v>
      </c>
      <c r="E233" s="1">
        <f ca="1">IFERROR(__xludf.DUMMYFUNCTION("""COMPUTED_VALUE"""),147.81)</f>
        <v>147.81</v>
      </c>
      <c r="F233" s="1">
        <f ca="1">IFERROR(__xludf.DUMMYFUNCTION("""COMPUTED_VALUE"""),65447446)</f>
        <v>65447446</v>
      </c>
    </row>
    <row r="234" spans="1:6" ht="12.6">
      <c r="A234" s="2">
        <f ca="1">IFERROR(__xludf.DUMMYFUNCTION("""COMPUTED_VALUE"""),44900.6666666666)</f>
        <v>44900.666666666599</v>
      </c>
      <c r="B234" s="1">
        <f ca="1">IFERROR(__xludf.DUMMYFUNCTION("""COMPUTED_VALUE"""),147.77)</f>
        <v>147.77000000000001</v>
      </c>
      <c r="C234" s="1">
        <f ca="1">IFERROR(__xludf.DUMMYFUNCTION("""COMPUTED_VALUE"""),150.92)</f>
        <v>150.91999999999999</v>
      </c>
      <c r="D234" s="1">
        <f ca="1">IFERROR(__xludf.DUMMYFUNCTION("""COMPUTED_VALUE"""),145.77)</f>
        <v>145.77000000000001</v>
      </c>
      <c r="E234" s="1">
        <f ca="1">IFERROR(__xludf.DUMMYFUNCTION("""COMPUTED_VALUE"""),146.63)</f>
        <v>146.63</v>
      </c>
      <c r="F234" s="1">
        <f ca="1">IFERROR(__xludf.DUMMYFUNCTION("""COMPUTED_VALUE"""),68826442)</f>
        <v>68826442</v>
      </c>
    </row>
    <row r="235" spans="1:6" ht="12.6">
      <c r="A235" s="2">
        <f ca="1">IFERROR(__xludf.DUMMYFUNCTION("""COMPUTED_VALUE"""),44901.6666666666)</f>
        <v>44901.666666666599</v>
      </c>
      <c r="B235" s="1">
        <f ca="1">IFERROR(__xludf.DUMMYFUNCTION("""COMPUTED_VALUE"""),147.07)</f>
        <v>147.07</v>
      </c>
      <c r="C235" s="1">
        <f ca="1">IFERROR(__xludf.DUMMYFUNCTION("""COMPUTED_VALUE"""),147.3)</f>
        <v>147.30000000000001</v>
      </c>
      <c r="D235" s="1">
        <f ca="1">IFERROR(__xludf.DUMMYFUNCTION("""COMPUTED_VALUE"""),141.92)</f>
        <v>141.91999999999999</v>
      </c>
      <c r="E235" s="1">
        <f ca="1">IFERROR(__xludf.DUMMYFUNCTION("""COMPUTED_VALUE"""),142.91)</f>
        <v>142.91</v>
      </c>
      <c r="F235" s="1">
        <f ca="1">IFERROR(__xludf.DUMMYFUNCTION("""COMPUTED_VALUE"""),64727186)</f>
        <v>64727186</v>
      </c>
    </row>
    <row r="236" spans="1:6" ht="12.6">
      <c r="A236" s="2">
        <f ca="1">IFERROR(__xludf.DUMMYFUNCTION("""COMPUTED_VALUE"""),44902.6666666666)</f>
        <v>44902.666666666599</v>
      </c>
      <c r="B236" s="1">
        <f ca="1">IFERROR(__xludf.DUMMYFUNCTION("""COMPUTED_VALUE"""),142.19)</f>
        <v>142.19</v>
      </c>
      <c r="C236" s="1">
        <f ca="1">IFERROR(__xludf.DUMMYFUNCTION("""COMPUTED_VALUE"""),143.37)</f>
        <v>143.37</v>
      </c>
      <c r="D236" s="1">
        <f ca="1">IFERROR(__xludf.DUMMYFUNCTION("""COMPUTED_VALUE"""),140)</f>
        <v>140</v>
      </c>
      <c r="E236" s="1">
        <f ca="1">IFERROR(__xludf.DUMMYFUNCTION("""COMPUTED_VALUE"""),140.94)</f>
        <v>140.94</v>
      </c>
      <c r="F236" s="1">
        <f ca="1">IFERROR(__xludf.DUMMYFUNCTION("""COMPUTED_VALUE"""),69721094)</f>
        <v>69721094</v>
      </c>
    </row>
    <row r="237" spans="1:6" ht="12.6">
      <c r="A237" s="2">
        <f ca="1">IFERROR(__xludf.DUMMYFUNCTION("""COMPUTED_VALUE"""),44903.6666666666)</f>
        <v>44903.666666666599</v>
      </c>
      <c r="B237" s="1">
        <f ca="1">IFERROR(__xludf.DUMMYFUNCTION("""COMPUTED_VALUE"""),142.36)</f>
        <v>142.36000000000001</v>
      </c>
      <c r="C237" s="1">
        <f ca="1">IFERROR(__xludf.DUMMYFUNCTION("""COMPUTED_VALUE"""),143.52)</f>
        <v>143.52000000000001</v>
      </c>
      <c r="D237" s="1">
        <f ca="1">IFERROR(__xludf.DUMMYFUNCTION("""COMPUTED_VALUE"""),141.1)</f>
        <v>141.1</v>
      </c>
      <c r="E237" s="1">
        <f ca="1">IFERROR(__xludf.DUMMYFUNCTION("""COMPUTED_VALUE"""),142.65)</f>
        <v>142.65</v>
      </c>
      <c r="F237" s="1">
        <f ca="1">IFERROR(__xludf.DUMMYFUNCTION("""COMPUTED_VALUE"""),62128338)</f>
        <v>62128338</v>
      </c>
    </row>
    <row r="238" spans="1:6" ht="12.6">
      <c r="A238" s="2">
        <f ca="1">IFERROR(__xludf.DUMMYFUNCTION("""COMPUTED_VALUE"""),44904.6666666666)</f>
        <v>44904.666666666599</v>
      </c>
      <c r="B238" s="1">
        <f ca="1">IFERROR(__xludf.DUMMYFUNCTION("""COMPUTED_VALUE"""),142.34)</f>
        <v>142.34</v>
      </c>
      <c r="C238" s="1">
        <f ca="1">IFERROR(__xludf.DUMMYFUNCTION("""COMPUTED_VALUE"""),145.57)</f>
        <v>145.57</v>
      </c>
      <c r="D238" s="1">
        <f ca="1">IFERROR(__xludf.DUMMYFUNCTION("""COMPUTED_VALUE"""),140.9)</f>
        <v>140.9</v>
      </c>
      <c r="E238" s="1">
        <f ca="1">IFERROR(__xludf.DUMMYFUNCTION("""COMPUTED_VALUE"""),142.16)</f>
        <v>142.16</v>
      </c>
      <c r="F238" s="1">
        <f ca="1">IFERROR(__xludf.DUMMYFUNCTION("""COMPUTED_VALUE"""),76097011)</f>
        <v>76097011</v>
      </c>
    </row>
    <row r="239" spans="1:6" ht="12.6">
      <c r="A239" s="2">
        <f ca="1">IFERROR(__xludf.DUMMYFUNCTION("""COMPUTED_VALUE"""),44907.6666666666)</f>
        <v>44907.666666666599</v>
      </c>
      <c r="B239" s="1">
        <f ca="1">IFERROR(__xludf.DUMMYFUNCTION("""COMPUTED_VALUE"""),142.7)</f>
        <v>142.69999999999999</v>
      </c>
      <c r="C239" s="1">
        <f ca="1">IFERROR(__xludf.DUMMYFUNCTION("""COMPUTED_VALUE"""),144.5)</f>
        <v>144.5</v>
      </c>
      <c r="D239" s="1">
        <f ca="1">IFERROR(__xludf.DUMMYFUNCTION("""COMPUTED_VALUE"""),141.06)</f>
        <v>141.06</v>
      </c>
      <c r="E239" s="1">
        <f ca="1">IFERROR(__xludf.DUMMYFUNCTION("""COMPUTED_VALUE"""),144.49)</f>
        <v>144.49</v>
      </c>
      <c r="F239" s="1">
        <f ca="1">IFERROR(__xludf.DUMMYFUNCTION("""COMPUTED_VALUE"""),70462654)</f>
        <v>70462654</v>
      </c>
    </row>
    <row r="240" spans="1:6" ht="12.6">
      <c r="A240" s="2">
        <f ca="1">IFERROR(__xludf.DUMMYFUNCTION("""COMPUTED_VALUE"""),44908.6666666666)</f>
        <v>44908.666666666599</v>
      </c>
      <c r="B240" s="1">
        <f ca="1">IFERROR(__xludf.DUMMYFUNCTION("""COMPUTED_VALUE"""),149.5)</f>
        <v>149.5</v>
      </c>
      <c r="C240" s="1">
        <f ca="1">IFERROR(__xludf.DUMMYFUNCTION("""COMPUTED_VALUE"""),149.97)</f>
        <v>149.97</v>
      </c>
      <c r="D240" s="1">
        <f ca="1">IFERROR(__xludf.DUMMYFUNCTION("""COMPUTED_VALUE"""),144.24)</f>
        <v>144.24</v>
      </c>
      <c r="E240" s="1">
        <f ca="1">IFERROR(__xludf.DUMMYFUNCTION("""COMPUTED_VALUE"""),145.47)</f>
        <v>145.47</v>
      </c>
      <c r="F240" s="1">
        <f ca="1">IFERROR(__xludf.DUMMYFUNCTION("""COMPUTED_VALUE"""),93886161)</f>
        <v>93886161</v>
      </c>
    </row>
    <row r="241" spans="1:6" ht="12.6">
      <c r="A241" s="2">
        <f ca="1">IFERROR(__xludf.DUMMYFUNCTION("""COMPUTED_VALUE"""),44909.6666666666)</f>
        <v>44909.666666666599</v>
      </c>
      <c r="B241" s="1">
        <f ca="1">IFERROR(__xludf.DUMMYFUNCTION("""COMPUTED_VALUE"""),145.35)</f>
        <v>145.35</v>
      </c>
      <c r="C241" s="1">
        <f ca="1">IFERROR(__xludf.DUMMYFUNCTION("""COMPUTED_VALUE"""),146.66)</f>
        <v>146.66</v>
      </c>
      <c r="D241" s="1">
        <f ca="1">IFERROR(__xludf.DUMMYFUNCTION("""COMPUTED_VALUE"""),141.16)</f>
        <v>141.16</v>
      </c>
      <c r="E241" s="1">
        <f ca="1">IFERROR(__xludf.DUMMYFUNCTION("""COMPUTED_VALUE"""),143.21)</f>
        <v>143.21</v>
      </c>
      <c r="F241" s="1">
        <f ca="1">IFERROR(__xludf.DUMMYFUNCTION("""COMPUTED_VALUE"""),82291182)</f>
        <v>82291182</v>
      </c>
    </row>
    <row r="242" spans="1:6" ht="12.6">
      <c r="A242" s="2">
        <f ca="1">IFERROR(__xludf.DUMMYFUNCTION("""COMPUTED_VALUE"""),44910.6666666666)</f>
        <v>44910.666666666599</v>
      </c>
      <c r="B242" s="1">
        <f ca="1">IFERROR(__xludf.DUMMYFUNCTION("""COMPUTED_VALUE"""),141.11)</f>
        <v>141.11000000000001</v>
      </c>
      <c r="C242" s="1">
        <f ca="1">IFERROR(__xludf.DUMMYFUNCTION("""COMPUTED_VALUE"""),141.8)</f>
        <v>141.80000000000001</v>
      </c>
      <c r="D242" s="1">
        <f ca="1">IFERROR(__xludf.DUMMYFUNCTION("""COMPUTED_VALUE"""),136.03)</f>
        <v>136.03</v>
      </c>
      <c r="E242" s="1">
        <f ca="1">IFERROR(__xludf.DUMMYFUNCTION("""COMPUTED_VALUE"""),136.5)</f>
        <v>136.5</v>
      </c>
      <c r="F242" s="1">
        <f ca="1">IFERROR(__xludf.DUMMYFUNCTION("""COMPUTED_VALUE"""),98931907)</f>
        <v>98931907</v>
      </c>
    </row>
    <row r="243" spans="1:6" ht="12.6">
      <c r="A243" s="2">
        <f ca="1">IFERROR(__xludf.DUMMYFUNCTION("""COMPUTED_VALUE"""),44911.6666666666)</f>
        <v>44911.666666666599</v>
      </c>
      <c r="B243" s="1">
        <f ca="1">IFERROR(__xludf.DUMMYFUNCTION("""COMPUTED_VALUE"""),136.69)</f>
        <v>136.69</v>
      </c>
      <c r="C243" s="1">
        <f ca="1">IFERROR(__xludf.DUMMYFUNCTION("""COMPUTED_VALUE"""),137.65)</f>
        <v>137.65</v>
      </c>
      <c r="D243" s="1">
        <f ca="1">IFERROR(__xludf.DUMMYFUNCTION("""COMPUTED_VALUE"""),133.73)</f>
        <v>133.72999999999999</v>
      </c>
      <c r="E243" s="1">
        <f ca="1">IFERROR(__xludf.DUMMYFUNCTION("""COMPUTED_VALUE"""),134.51)</f>
        <v>134.51</v>
      </c>
      <c r="F243" s="1">
        <f ca="1">IFERROR(__xludf.DUMMYFUNCTION("""COMPUTED_VALUE"""),160156900)</f>
        <v>160156900</v>
      </c>
    </row>
    <row r="244" spans="1:6" ht="12.6">
      <c r="A244" s="2">
        <f ca="1">IFERROR(__xludf.DUMMYFUNCTION("""COMPUTED_VALUE"""),44914.6666666666)</f>
        <v>44914.666666666599</v>
      </c>
      <c r="B244" s="1">
        <f ca="1">IFERROR(__xludf.DUMMYFUNCTION("""COMPUTED_VALUE"""),135.11)</f>
        <v>135.11000000000001</v>
      </c>
      <c r="C244" s="1">
        <f ca="1">IFERROR(__xludf.DUMMYFUNCTION("""COMPUTED_VALUE"""),135.2)</f>
        <v>135.19999999999999</v>
      </c>
      <c r="D244" s="1">
        <f ca="1">IFERROR(__xludf.DUMMYFUNCTION("""COMPUTED_VALUE"""),131.32)</f>
        <v>131.32</v>
      </c>
      <c r="E244" s="1">
        <f ca="1">IFERROR(__xludf.DUMMYFUNCTION("""COMPUTED_VALUE"""),132.37)</f>
        <v>132.37</v>
      </c>
      <c r="F244" s="1">
        <f ca="1">IFERROR(__xludf.DUMMYFUNCTION("""COMPUTED_VALUE"""),79592614)</f>
        <v>79592614</v>
      </c>
    </row>
    <row r="245" spans="1:6" ht="12.6">
      <c r="A245" s="2">
        <f ca="1">IFERROR(__xludf.DUMMYFUNCTION("""COMPUTED_VALUE"""),44915.6666666666)</f>
        <v>44915.666666666599</v>
      </c>
      <c r="B245" s="1">
        <f ca="1">IFERROR(__xludf.DUMMYFUNCTION("""COMPUTED_VALUE"""),131.39)</f>
        <v>131.38999999999999</v>
      </c>
      <c r="C245" s="1">
        <f ca="1">IFERROR(__xludf.DUMMYFUNCTION("""COMPUTED_VALUE"""),133.25)</f>
        <v>133.25</v>
      </c>
      <c r="D245" s="1">
        <f ca="1">IFERROR(__xludf.DUMMYFUNCTION("""COMPUTED_VALUE"""),129.89)</f>
        <v>129.88999999999999</v>
      </c>
      <c r="E245" s="1">
        <f ca="1">IFERROR(__xludf.DUMMYFUNCTION("""COMPUTED_VALUE"""),132.3)</f>
        <v>132.30000000000001</v>
      </c>
      <c r="F245" s="1">
        <f ca="1">IFERROR(__xludf.DUMMYFUNCTION("""COMPUTED_VALUE"""),77432819)</f>
        <v>77432819</v>
      </c>
    </row>
    <row r="246" spans="1:6" ht="12.6">
      <c r="A246" s="2">
        <f ca="1">IFERROR(__xludf.DUMMYFUNCTION("""COMPUTED_VALUE"""),44916.6666666666)</f>
        <v>44916.666666666599</v>
      </c>
      <c r="B246" s="1">
        <f ca="1">IFERROR(__xludf.DUMMYFUNCTION("""COMPUTED_VALUE"""),132.98)</f>
        <v>132.97999999999999</v>
      </c>
      <c r="C246" s="1">
        <f ca="1">IFERROR(__xludf.DUMMYFUNCTION("""COMPUTED_VALUE"""),136.81)</f>
        <v>136.81</v>
      </c>
      <c r="D246" s="1">
        <f ca="1">IFERROR(__xludf.DUMMYFUNCTION("""COMPUTED_VALUE"""),132.75)</f>
        <v>132.75</v>
      </c>
      <c r="E246" s="1">
        <f ca="1">IFERROR(__xludf.DUMMYFUNCTION("""COMPUTED_VALUE"""),135.45)</f>
        <v>135.44999999999999</v>
      </c>
      <c r="F246" s="1">
        <f ca="1">IFERROR(__xludf.DUMMYFUNCTION("""COMPUTED_VALUE"""),85927993)</f>
        <v>85927993</v>
      </c>
    </row>
    <row r="247" spans="1:6" ht="12.6">
      <c r="A247" s="2">
        <f ca="1">IFERROR(__xludf.DUMMYFUNCTION("""COMPUTED_VALUE"""),44917.6666666666)</f>
        <v>44917.666666666599</v>
      </c>
      <c r="B247" s="1">
        <f ca="1">IFERROR(__xludf.DUMMYFUNCTION("""COMPUTED_VALUE"""),134.35)</f>
        <v>134.35</v>
      </c>
      <c r="C247" s="1">
        <f ca="1">IFERROR(__xludf.DUMMYFUNCTION("""COMPUTED_VALUE"""),134.56)</f>
        <v>134.56</v>
      </c>
      <c r="D247" s="1">
        <f ca="1">IFERROR(__xludf.DUMMYFUNCTION("""COMPUTED_VALUE"""),130.3)</f>
        <v>130.30000000000001</v>
      </c>
      <c r="E247" s="1">
        <f ca="1">IFERROR(__xludf.DUMMYFUNCTION("""COMPUTED_VALUE"""),132.23)</f>
        <v>132.22999999999999</v>
      </c>
      <c r="F247" s="1">
        <f ca="1">IFERROR(__xludf.DUMMYFUNCTION("""COMPUTED_VALUE"""),77852108)</f>
        <v>77852108</v>
      </c>
    </row>
    <row r="248" spans="1:6" ht="12.6">
      <c r="A248" s="2">
        <f ca="1">IFERROR(__xludf.DUMMYFUNCTION("""COMPUTED_VALUE"""),44918.6666666666)</f>
        <v>44918.666666666599</v>
      </c>
      <c r="B248" s="1">
        <f ca="1">IFERROR(__xludf.DUMMYFUNCTION("""COMPUTED_VALUE"""),130.92)</f>
        <v>130.91999999999999</v>
      </c>
      <c r="C248" s="1">
        <f ca="1">IFERROR(__xludf.DUMMYFUNCTION("""COMPUTED_VALUE"""),132.42)</f>
        <v>132.41999999999999</v>
      </c>
      <c r="D248" s="1">
        <f ca="1">IFERROR(__xludf.DUMMYFUNCTION("""COMPUTED_VALUE"""),129.64)</f>
        <v>129.63999999999999</v>
      </c>
      <c r="E248" s="1">
        <f ca="1">IFERROR(__xludf.DUMMYFUNCTION("""COMPUTED_VALUE"""),131.86)</f>
        <v>131.86000000000001</v>
      </c>
      <c r="F248" s="1">
        <f ca="1">IFERROR(__xludf.DUMMYFUNCTION("""COMPUTED_VALUE"""),63814893)</f>
        <v>63814893</v>
      </c>
    </row>
    <row r="249" spans="1:6" ht="12.6">
      <c r="A249" s="2">
        <f ca="1">IFERROR(__xludf.DUMMYFUNCTION("""COMPUTED_VALUE"""),44922.6666666666)</f>
        <v>44922.666666666599</v>
      </c>
      <c r="B249" s="1">
        <f ca="1">IFERROR(__xludf.DUMMYFUNCTION("""COMPUTED_VALUE"""),131.38)</f>
        <v>131.38</v>
      </c>
      <c r="C249" s="1">
        <f ca="1">IFERROR(__xludf.DUMMYFUNCTION("""COMPUTED_VALUE"""),131.41)</f>
        <v>131.41</v>
      </c>
      <c r="D249" s="1">
        <f ca="1">IFERROR(__xludf.DUMMYFUNCTION("""COMPUTED_VALUE"""),128.72)</f>
        <v>128.72</v>
      </c>
      <c r="E249" s="1">
        <f ca="1">IFERROR(__xludf.DUMMYFUNCTION("""COMPUTED_VALUE"""),130.03)</f>
        <v>130.03</v>
      </c>
      <c r="F249" s="1">
        <f ca="1">IFERROR(__xludf.DUMMYFUNCTION("""COMPUTED_VALUE"""),69007830)</f>
        <v>69007830</v>
      </c>
    </row>
    <row r="250" spans="1:6" ht="12.6">
      <c r="A250" s="2">
        <f ca="1">IFERROR(__xludf.DUMMYFUNCTION("""COMPUTED_VALUE"""),44923.6666666666)</f>
        <v>44923.666666666599</v>
      </c>
      <c r="B250" s="1">
        <f ca="1">IFERROR(__xludf.DUMMYFUNCTION("""COMPUTED_VALUE"""),129.67)</f>
        <v>129.66999999999999</v>
      </c>
      <c r="C250" s="1">
        <f ca="1">IFERROR(__xludf.DUMMYFUNCTION("""COMPUTED_VALUE"""),131.03)</f>
        <v>131.03</v>
      </c>
      <c r="D250" s="1">
        <f ca="1">IFERROR(__xludf.DUMMYFUNCTION("""COMPUTED_VALUE"""),125.87)</f>
        <v>125.87</v>
      </c>
      <c r="E250" s="1">
        <f ca="1">IFERROR(__xludf.DUMMYFUNCTION("""COMPUTED_VALUE"""),126.04)</f>
        <v>126.04</v>
      </c>
      <c r="F250" s="1">
        <f ca="1">IFERROR(__xludf.DUMMYFUNCTION("""COMPUTED_VALUE"""),85438391)</f>
        <v>85438391</v>
      </c>
    </row>
    <row r="251" spans="1:6" ht="12.6">
      <c r="A251" s="2">
        <f ca="1">IFERROR(__xludf.DUMMYFUNCTION("""COMPUTED_VALUE"""),44924.6666666666)</f>
        <v>44924.666666666599</v>
      </c>
      <c r="B251" s="1">
        <f ca="1">IFERROR(__xludf.DUMMYFUNCTION("""COMPUTED_VALUE"""),127.99)</f>
        <v>127.99</v>
      </c>
      <c r="C251" s="1">
        <f ca="1">IFERROR(__xludf.DUMMYFUNCTION("""COMPUTED_VALUE"""),130.48)</f>
        <v>130.47999999999999</v>
      </c>
      <c r="D251" s="1">
        <f ca="1">IFERROR(__xludf.DUMMYFUNCTION("""COMPUTED_VALUE"""),127.73)</f>
        <v>127.73</v>
      </c>
      <c r="E251" s="1">
        <f ca="1">IFERROR(__xludf.DUMMYFUNCTION("""COMPUTED_VALUE"""),129.61)</f>
        <v>129.61000000000001</v>
      </c>
      <c r="F251" s="1">
        <f ca="1">IFERROR(__xludf.DUMMYFUNCTION("""COMPUTED_VALUE"""),75703710)</f>
        <v>75703710</v>
      </c>
    </row>
    <row r="252" spans="1:6" ht="12.6">
      <c r="A252" s="2">
        <f ca="1">IFERROR(__xludf.DUMMYFUNCTION("""COMPUTED_VALUE"""),44925.6666666666)</f>
        <v>44925.666666666599</v>
      </c>
      <c r="B252" s="1">
        <f ca="1">IFERROR(__xludf.DUMMYFUNCTION("""COMPUTED_VALUE"""),128.41)</f>
        <v>128.41</v>
      </c>
      <c r="C252" s="1">
        <f ca="1">IFERROR(__xludf.DUMMYFUNCTION("""COMPUTED_VALUE"""),129.95)</f>
        <v>129.94999999999999</v>
      </c>
      <c r="D252" s="1">
        <f ca="1">IFERROR(__xludf.DUMMYFUNCTION("""COMPUTED_VALUE"""),127.43)</f>
        <v>127.43</v>
      </c>
      <c r="E252" s="1">
        <f ca="1">IFERROR(__xludf.DUMMYFUNCTION("""COMPUTED_VALUE"""),129.93)</f>
        <v>129.93</v>
      </c>
      <c r="F252" s="1">
        <f ca="1">IFERROR(__xludf.DUMMYFUNCTION("""COMPUTED_VALUE"""),77034209)</f>
        <v>77034209</v>
      </c>
    </row>
    <row r="253" spans="1:6" ht="12.6">
      <c r="A253" s="2">
        <f ca="1">IFERROR(__xludf.DUMMYFUNCTION("""COMPUTED_VALUE"""),44929.6666666666)</f>
        <v>44929.666666666599</v>
      </c>
      <c r="B253" s="1">
        <f ca="1">IFERROR(__xludf.DUMMYFUNCTION("""COMPUTED_VALUE"""),130.28)</f>
        <v>130.28</v>
      </c>
      <c r="C253" s="1">
        <f ca="1">IFERROR(__xludf.DUMMYFUNCTION("""COMPUTED_VALUE"""),130.9)</f>
        <v>130.9</v>
      </c>
      <c r="D253" s="1">
        <f ca="1">IFERROR(__xludf.DUMMYFUNCTION("""COMPUTED_VALUE"""),124.17)</f>
        <v>124.17</v>
      </c>
      <c r="E253" s="1">
        <f ca="1">IFERROR(__xludf.DUMMYFUNCTION("""COMPUTED_VALUE"""),125.07)</f>
        <v>125.07</v>
      </c>
      <c r="F253" s="1">
        <f ca="1">IFERROR(__xludf.DUMMYFUNCTION("""COMPUTED_VALUE"""),112117471)</f>
        <v>112117471</v>
      </c>
    </row>
    <row r="254" spans="1:6" ht="12.6">
      <c r="A254" s="2">
        <f ca="1">IFERROR(__xludf.DUMMYFUNCTION("""COMPUTED_VALUE"""),44930.6666666666)</f>
        <v>44930.666666666599</v>
      </c>
      <c r="B254" s="1">
        <f ca="1">IFERROR(__xludf.DUMMYFUNCTION("""COMPUTED_VALUE"""),126.89)</f>
        <v>126.89</v>
      </c>
      <c r="C254" s="1">
        <f ca="1">IFERROR(__xludf.DUMMYFUNCTION("""COMPUTED_VALUE"""),128.66)</f>
        <v>128.66</v>
      </c>
      <c r="D254" s="1">
        <f ca="1">IFERROR(__xludf.DUMMYFUNCTION("""COMPUTED_VALUE"""),125.08)</f>
        <v>125.08</v>
      </c>
      <c r="E254" s="1">
        <f ca="1">IFERROR(__xludf.DUMMYFUNCTION("""COMPUTED_VALUE"""),126.36)</f>
        <v>126.36</v>
      </c>
      <c r="F254" s="1">
        <f ca="1">IFERROR(__xludf.DUMMYFUNCTION("""COMPUTED_VALUE"""),89113633)</f>
        <v>89113633</v>
      </c>
    </row>
    <row r="255" spans="1:6" ht="12.6">
      <c r="A255" s="2">
        <f ca="1">IFERROR(__xludf.DUMMYFUNCTION("""COMPUTED_VALUE"""),44931.6666666666)</f>
        <v>44931.666666666599</v>
      </c>
      <c r="B255" s="1">
        <f ca="1">IFERROR(__xludf.DUMMYFUNCTION("""COMPUTED_VALUE"""),127.13)</f>
        <v>127.13</v>
      </c>
      <c r="C255" s="1">
        <f ca="1">IFERROR(__xludf.DUMMYFUNCTION("""COMPUTED_VALUE"""),127.77)</f>
        <v>127.77</v>
      </c>
      <c r="D255" s="1">
        <f ca="1">IFERROR(__xludf.DUMMYFUNCTION("""COMPUTED_VALUE"""),124.76)</f>
        <v>124.76</v>
      </c>
      <c r="E255" s="1">
        <f ca="1">IFERROR(__xludf.DUMMYFUNCTION("""COMPUTED_VALUE"""),125.02)</f>
        <v>125.02</v>
      </c>
      <c r="F255" s="1">
        <f ca="1">IFERROR(__xludf.DUMMYFUNCTION("""COMPUTED_VALUE"""),80962708)</f>
        <v>80962708</v>
      </c>
    </row>
    <row r="256" spans="1:6" ht="12.6">
      <c r="A256" s="2">
        <f ca="1">IFERROR(__xludf.DUMMYFUNCTION("""COMPUTED_VALUE"""),44932.6666666666)</f>
        <v>44932.666666666599</v>
      </c>
      <c r="B256" s="1">
        <f ca="1">IFERROR(__xludf.DUMMYFUNCTION("""COMPUTED_VALUE"""),126.01)</f>
        <v>126.01</v>
      </c>
      <c r="C256" s="1">
        <f ca="1">IFERROR(__xludf.DUMMYFUNCTION("""COMPUTED_VALUE"""),130.29)</f>
        <v>130.29</v>
      </c>
      <c r="D256" s="1">
        <f ca="1">IFERROR(__xludf.DUMMYFUNCTION("""COMPUTED_VALUE"""),124.89)</f>
        <v>124.89</v>
      </c>
      <c r="E256" s="1">
        <f ca="1">IFERROR(__xludf.DUMMYFUNCTION("""COMPUTED_VALUE"""),129.62)</f>
        <v>129.62</v>
      </c>
      <c r="F256" s="1">
        <f ca="1">IFERROR(__xludf.DUMMYFUNCTION("""COMPUTED_VALUE"""),87754715)</f>
        <v>87754715</v>
      </c>
    </row>
    <row r="257" spans="1:6" ht="12.6">
      <c r="A257" s="2">
        <f ca="1">IFERROR(__xludf.DUMMYFUNCTION("""COMPUTED_VALUE"""),44935.6666666666)</f>
        <v>44935.666666666599</v>
      </c>
      <c r="B257" s="1">
        <f ca="1">IFERROR(__xludf.DUMMYFUNCTION("""COMPUTED_VALUE"""),130.47)</f>
        <v>130.47</v>
      </c>
      <c r="C257" s="1">
        <f ca="1">IFERROR(__xludf.DUMMYFUNCTION("""COMPUTED_VALUE"""),133.41)</f>
        <v>133.41</v>
      </c>
      <c r="D257" s="1">
        <f ca="1">IFERROR(__xludf.DUMMYFUNCTION("""COMPUTED_VALUE"""),129.89)</f>
        <v>129.88999999999999</v>
      </c>
      <c r="E257" s="1">
        <f ca="1">IFERROR(__xludf.DUMMYFUNCTION("""COMPUTED_VALUE"""),130.15)</f>
        <v>130.15</v>
      </c>
      <c r="F257" s="1">
        <f ca="1">IFERROR(__xludf.DUMMYFUNCTION("""COMPUTED_VALUE"""),70790813)</f>
        <v>70790813</v>
      </c>
    </row>
    <row r="258" spans="1:6" ht="12.6">
      <c r="A258" s="2">
        <f ca="1">IFERROR(__xludf.DUMMYFUNCTION("""COMPUTED_VALUE"""),44936.6666666666)</f>
        <v>44936.666666666599</v>
      </c>
      <c r="B258" s="1">
        <f ca="1">IFERROR(__xludf.DUMMYFUNCTION("""COMPUTED_VALUE"""),130.26)</f>
        <v>130.26</v>
      </c>
      <c r="C258" s="1">
        <f ca="1">IFERROR(__xludf.DUMMYFUNCTION("""COMPUTED_VALUE"""),131.26)</f>
        <v>131.26</v>
      </c>
      <c r="D258" s="1">
        <f ca="1">IFERROR(__xludf.DUMMYFUNCTION("""COMPUTED_VALUE"""),128.12)</f>
        <v>128.12</v>
      </c>
      <c r="E258" s="1">
        <f ca="1">IFERROR(__xludf.DUMMYFUNCTION("""COMPUTED_VALUE"""),130.73)</f>
        <v>130.72999999999999</v>
      </c>
      <c r="F258" s="1">
        <f ca="1">IFERROR(__xludf.DUMMYFUNCTION("""COMPUTED_VALUE"""),63896155)</f>
        <v>63896155</v>
      </c>
    </row>
    <row r="259" spans="1:6" ht="12.6">
      <c r="A259" s="2">
        <f ca="1">IFERROR(__xludf.DUMMYFUNCTION("""COMPUTED_VALUE"""),44937.6666666666)</f>
        <v>44937.666666666599</v>
      </c>
      <c r="B259" s="1">
        <f ca="1">IFERROR(__xludf.DUMMYFUNCTION("""COMPUTED_VALUE"""),131.25)</f>
        <v>131.25</v>
      </c>
      <c r="C259" s="1">
        <f ca="1">IFERROR(__xludf.DUMMYFUNCTION("""COMPUTED_VALUE"""),133.51)</f>
        <v>133.51</v>
      </c>
      <c r="D259" s="1">
        <f ca="1">IFERROR(__xludf.DUMMYFUNCTION("""COMPUTED_VALUE"""),130.46)</f>
        <v>130.46</v>
      </c>
      <c r="E259" s="1">
        <f ca="1">IFERROR(__xludf.DUMMYFUNCTION("""COMPUTED_VALUE"""),133.49)</f>
        <v>133.49</v>
      </c>
      <c r="F259" s="1">
        <f ca="1">IFERROR(__xludf.DUMMYFUNCTION("""COMPUTED_VALUE"""),69458949)</f>
        <v>69458949</v>
      </c>
    </row>
    <row r="260" spans="1:6" ht="12.6">
      <c r="A260" s="2">
        <f ca="1">IFERROR(__xludf.DUMMYFUNCTION("""COMPUTED_VALUE"""),44938.6666666666)</f>
        <v>44938.666666666599</v>
      </c>
      <c r="B260" s="1">
        <f ca="1">IFERROR(__xludf.DUMMYFUNCTION("""COMPUTED_VALUE"""),133.88)</f>
        <v>133.88</v>
      </c>
      <c r="C260" s="1">
        <f ca="1">IFERROR(__xludf.DUMMYFUNCTION("""COMPUTED_VALUE"""),134.26)</f>
        <v>134.26</v>
      </c>
      <c r="D260" s="1">
        <f ca="1">IFERROR(__xludf.DUMMYFUNCTION("""COMPUTED_VALUE"""),131.44)</f>
        <v>131.44</v>
      </c>
      <c r="E260" s="1">
        <f ca="1">IFERROR(__xludf.DUMMYFUNCTION("""COMPUTED_VALUE"""),133.41)</f>
        <v>133.41</v>
      </c>
      <c r="F260" s="1">
        <f ca="1">IFERROR(__xludf.DUMMYFUNCTION("""COMPUTED_VALUE"""),71379648)</f>
        <v>71379648</v>
      </c>
    </row>
    <row r="261" spans="1:6" ht="12.6">
      <c r="A261" s="2">
        <f ca="1">IFERROR(__xludf.DUMMYFUNCTION("""COMPUTED_VALUE"""),44939.6666666666)</f>
        <v>44939.666666666599</v>
      </c>
      <c r="B261" s="1">
        <f ca="1">IFERROR(__xludf.DUMMYFUNCTION("""COMPUTED_VALUE"""),132.03)</f>
        <v>132.03</v>
      </c>
      <c r="C261" s="1">
        <f ca="1">IFERROR(__xludf.DUMMYFUNCTION("""COMPUTED_VALUE"""),134.92)</f>
        <v>134.91999999999999</v>
      </c>
      <c r="D261" s="1">
        <f ca="1">IFERROR(__xludf.DUMMYFUNCTION("""COMPUTED_VALUE"""),131.66)</f>
        <v>131.66</v>
      </c>
      <c r="E261" s="1">
        <f ca="1">IFERROR(__xludf.DUMMYFUNCTION("""COMPUTED_VALUE"""),134.76)</f>
        <v>134.76</v>
      </c>
      <c r="F261" s="1">
        <f ca="1">IFERROR(__xludf.DUMMYFUNCTION("""COMPUTED_VALUE"""),57809719)</f>
        <v>57809719</v>
      </c>
    </row>
    <row r="262" spans="1:6" ht="12.6">
      <c r="A262" s="2">
        <f ca="1">IFERROR(__xludf.DUMMYFUNCTION("""COMPUTED_VALUE"""),44943.6666666666)</f>
        <v>44943.666666666599</v>
      </c>
      <c r="B262" s="1">
        <f ca="1">IFERROR(__xludf.DUMMYFUNCTION("""COMPUTED_VALUE"""),134.83)</f>
        <v>134.83000000000001</v>
      </c>
      <c r="C262" s="1">
        <f ca="1">IFERROR(__xludf.DUMMYFUNCTION("""COMPUTED_VALUE"""),137.29)</f>
        <v>137.29</v>
      </c>
      <c r="D262" s="1">
        <f ca="1">IFERROR(__xludf.DUMMYFUNCTION("""COMPUTED_VALUE"""),134.13)</f>
        <v>134.13</v>
      </c>
      <c r="E262" s="1">
        <f ca="1">IFERROR(__xludf.DUMMYFUNCTION("""COMPUTED_VALUE"""),135.94)</f>
        <v>135.94</v>
      </c>
      <c r="F262" s="1">
        <f ca="1">IFERROR(__xludf.DUMMYFUNCTION("""COMPUTED_VALUE"""),63646627)</f>
        <v>63646627</v>
      </c>
    </row>
    <row r="263" spans="1:6" ht="12.6">
      <c r="A263" s="2">
        <f ca="1">IFERROR(__xludf.DUMMYFUNCTION("""COMPUTED_VALUE"""),44944.6666666666)</f>
        <v>44944.666666666599</v>
      </c>
      <c r="B263" s="1">
        <f ca="1">IFERROR(__xludf.DUMMYFUNCTION("""COMPUTED_VALUE"""),136.82)</f>
        <v>136.82</v>
      </c>
      <c r="C263" s="1">
        <f ca="1">IFERROR(__xludf.DUMMYFUNCTION("""COMPUTED_VALUE"""),138.61)</f>
        <v>138.61000000000001</v>
      </c>
      <c r="D263" s="1">
        <f ca="1">IFERROR(__xludf.DUMMYFUNCTION("""COMPUTED_VALUE"""),135.03)</f>
        <v>135.03</v>
      </c>
      <c r="E263" s="1">
        <f ca="1">IFERROR(__xludf.DUMMYFUNCTION("""COMPUTED_VALUE"""),135.21)</f>
        <v>135.21</v>
      </c>
      <c r="F263" s="1">
        <f ca="1">IFERROR(__xludf.DUMMYFUNCTION("""COMPUTED_VALUE"""),69672800)</f>
        <v>69672800</v>
      </c>
    </row>
    <row r="264" spans="1:6" ht="12.6">
      <c r="A264" s="2">
        <f ca="1">IFERROR(__xludf.DUMMYFUNCTION("""COMPUTED_VALUE"""),44945.6666666666)</f>
        <v>44945.666666666599</v>
      </c>
      <c r="B264" s="1">
        <f ca="1">IFERROR(__xludf.DUMMYFUNCTION("""COMPUTED_VALUE"""),134.08)</f>
        <v>134.08000000000001</v>
      </c>
      <c r="C264" s="1">
        <f ca="1">IFERROR(__xludf.DUMMYFUNCTION("""COMPUTED_VALUE"""),136.25)</f>
        <v>136.25</v>
      </c>
      <c r="D264" s="1">
        <f ca="1">IFERROR(__xludf.DUMMYFUNCTION("""COMPUTED_VALUE"""),133.77)</f>
        <v>133.77000000000001</v>
      </c>
      <c r="E264" s="1">
        <f ca="1">IFERROR(__xludf.DUMMYFUNCTION("""COMPUTED_VALUE"""),135.27)</f>
        <v>135.27000000000001</v>
      </c>
      <c r="F264" s="1">
        <f ca="1">IFERROR(__xludf.DUMMYFUNCTION("""COMPUTED_VALUE"""),58280413)</f>
        <v>58280413</v>
      </c>
    </row>
    <row r="265" spans="1:6" ht="12.6">
      <c r="A265" s="2">
        <f ca="1">IFERROR(__xludf.DUMMYFUNCTION("""COMPUTED_VALUE"""),44946.6666666666)</f>
        <v>44946.666666666599</v>
      </c>
      <c r="B265" s="1">
        <f ca="1">IFERROR(__xludf.DUMMYFUNCTION("""COMPUTED_VALUE"""),135.28)</f>
        <v>135.28</v>
      </c>
      <c r="C265" s="1">
        <f ca="1">IFERROR(__xludf.DUMMYFUNCTION("""COMPUTED_VALUE"""),138.02)</f>
        <v>138.02000000000001</v>
      </c>
      <c r="D265" s="1">
        <f ca="1">IFERROR(__xludf.DUMMYFUNCTION("""COMPUTED_VALUE"""),134.22)</f>
        <v>134.22</v>
      </c>
      <c r="E265" s="1">
        <f ca="1">IFERROR(__xludf.DUMMYFUNCTION("""COMPUTED_VALUE"""),137.87)</f>
        <v>137.87</v>
      </c>
      <c r="F265" s="1">
        <f ca="1">IFERROR(__xludf.DUMMYFUNCTION("""COMPUTED_VALUE"""),80223626)</f>
        <v>80223626</v>
      </c>
    </row>
    <row r="266" spans="1:6" ht="12.6">
      <c r="A266" s="2">
        <f ca="1">IFERROR(__xludf.DUMMYFUNCTION("""COMPUTED_VALUE"""),44949.6666666666)</f>
        <v>44949.666666666599</v>
      </c>
      <c r="B266" s="1">
        <f ca="1">IFERROR(__xludf.DUMMYFUNCTION("""COMPUTED_VALUE"""),138.12)</f>
        <v>138.12</v>
      </c>
      <c r="C266" s="1">
        <f ca="1">IFERROR(__xludf.DUMMYFUNCTION("""COMPUTED_VALUE"""),143.32)</f>
        <v>143.32</v>
      </c>
      <c r="D266" s="1">
        <f ca="1">IFERROR(__xludf.DUMMYFUNCTION("""COMPUTED_VALUE"""),137.9)</f>
        <v>137.9</v>
      </c>
      <c r="E266" s="1">
        <f ca="1">IFERROR(__xludf.DUMMYFUNCTION("""COMPUTED_VALUE"""),141.11)</f>
        <v>141.11000000000001</v>
      </c>
      <c r="F266" s="1">
        <f ca="1">IFERROR(__xludf.DUMMYFUNCTION("""COMPUTED_VALUE"""),81760313)</f>
        <v>81760313</v>
      </c>
    </row>
    <row r="267" spans="1:6" ht="12.6">
      <c r="A267" s="2">
        <f ca="1">IFERROR(__xludf.DUMMYFUNCTION("""COMPUTED_VALUE"""),44950.6666666666)</f>
        <v>44950.666666666599</v>
      </c>
      <c r="B267" s="1">
        <f ca="1">IFERROR(__xludf.DUMMYFUNCTION("""COMPUTED_VALUE"""),140.31)</f>
        <v>140.31</v>
      </c>
      <c r="C267" s="1">
        <f ca="1">IFERROR(__xludf.DUMMYFUNCTION("""COMPUTED_VALUE"""),143.16)</f>
        <v>143.16</v>
      </c>
      <c r="D267" s="1">
        <f ca="1">IFERROR(__xludf.DUMMYFUNCTION("""COMPUTED_VALUE"""),140.3)</f>
        <v>140.30000000000001</v>
      </c>
      <c r="E267" s="1">
        <f ca="1">IFERROR(__xludf.DUMMYFUNCTION("""COMPUTED_VALUE"""),142.53)</f>
        <v>142.53</v>
      </c>
      <c r="F267" s="1">
        <f ca="1">IFERROR(__xludf.DUMMYFUNCTION("""COMPUTED_VALUE"""),66435142)</f>
        <v>66435142</v>
      </c>
    </row>
    <row r="268" spans="1:6" ht="12.6">
      <c r="A268" s="2">
        <f ca="1">IFERROR(__xludf.DUMMYFUNCTION("""COMPUTED_VALUE"""),44951.6666666666)</f>
        <v>44951.666666666599</v>
      </c>
      <c r="B268" s="1">
        <f ca="1">IFERROR(__xludf.DUMMYFUNCTION("""COMPUTED_VALUE"""),140.89)</f>
        <v>140.88999999999999</v>
      </c>
      <c r="C268" s="1">
        <f ca="1">IFERROR(__xludf.DUMMYFUNCTION("""COMPUTED_VALUE"""),142.43)</f>
        <v>142.43</v>
      </c>
      <c r="D268" s="1">
        <f ca="1">IFERROR(__xludf.DUMMYFUNCTION("""COMPUTED_VALUE"""),138.81)</f>
        <v>138.81</v>
      </c>
      <c r="E268" s="1">
        <f ca="1">IFERROR(__xludf.DUMMYFUNCTION("""COMPUTED_VALUE"""),141.86)</f>
        <v>141.86000000000001</v>
      </c>
      <c r="F268" s="1">
        <f ca="1">IFERROR(__xludf.DUMMYFUNCTION("""COMPUTED_VALUE"""),65799349)</f>
        <v>65799349</v>
      </c>
    </row>
    <row r="269" spans="1:6" ht="12.6">
      <c r="A269" s="2">
        <f ca="1">IFERROR(__xludf.DUMMYFUNCTION("""COMPUTED_VALUE"""),44952.6666666666)</f>
        <v>44952.666666666599</v>
      </c>
      <c r="B269" s="1">
        <f ca="1">IFERROR(__xludf.DUMMYFUNCTION("""COMPUTED_VALUE"""),143.17)</f>
        <v>143.16999999999999</v>
      </c>
      <c r="C269" s="1">
        <f ca="1">IFERROR(__xludf.DUMMYFUNCTION("""COMPUTED_VALUE"""),144.25)</f>
        <v>144.25</v>
      </c>
      <c r="D269" s="1">
        <f ca="1">IFERROR(__xludf.DUMMYFUNCTION("""COMPUTED_VALUE"""),141.9)</f>
        <v>141.9</v>
      </c>
      <c r="E269" s="1">
        <f ca="1">IFERROR(__xludf.DUMMYFUNCTION("""COMPUTED_VALUE"""),143.96)</f>
        <v>143.96</v>
      </c>
      <c r="F269" s="1">
        <f ca="1">IFERROR(__xludf.DUMMYFUNCTION("""COMPUTED_VALUE"""),54105068)</f>
        <v>54105068</v>
      </c>
    </row>
    <row r="270" spans="1:6" ht="12.6">
      <c r="A270" s="2">
        <f ca="1">IFERROR(__xludf.DUMMYFUNCTION("""COMPUTED_VALUE"""),44953.6666666666)</f>
        <v>44953.666666666599</v>
      </c>
      <c r="B270" s="1">
        <f ca="1">IFERROR(__xludf.DUMMYFUNCTION("""COMPUTED_VALUE"""),143.16)</f>
        <v>143.16</v>
      </c>
      <c r="C270" s="1">
        <f ca="1">IFERROR(__xludf.DUMMYFUNCTION("""COMPUTED_VALUE"""),147.23)</f>
        <v>147.22999999999999</v>
      </c>
      <c r="D270" s="1">
        <f ca="1">IFERROR(__xludf.DUMMYFUNCTION("""COMPUTED_VALUE"""),143.08)</f>
        <v>143.08000000000001</v>
      </c>
      <c r="E270" s="1">
        <f ca="1">IFERROR(__xludf.DUMMYFUNCTION("""COMPUTED_VALUE"""),145.93)</f>
        <v>145.93</v>
      </c>
      <c r="F270" s="1">
        <f ca="1">IFERROR(__xludf.DUMMYFUNCTION("""COMPUTED_VALUE"""),70555843)</f>
        <v>70555843</v>
      </c>
    </row>
    <row r="271" spans="1:6" ht="12.6">
      <c r="A271" s="2">
        <f ca="1">IFERROR(__xludf.DUMMYFUNCTION("""COMPUTED_VALUE"""),44956.6666666666)</f>
        <v>44956.666666666599</v>
      </c>
      <c r="B271" s="1">
        <f ca="1">IFERROR(__xludf.DUMMYFUNCTION("""COMPUTED_VALUE"""),144.96)</f>
        <v>144.96</v>
      </c>
      <c r="C271" s="1">
        <f ca="1">IFERROR(__xludf.DUMMYFUNCTION("""COMPUTED_VALUE"""),145.55)</f>
        <v>145.55000000000001</v>
      </c>
      <c r="D271" s="1">
        <f ca="1">IFERROR(__xludf.DUMMYFUNCTION("""COMPUTED_VALUE"""),142.85)</f>
        <v>142.85</v>
      </c>
      <c r="E271" s="1">
        <f ca="1">IFERROR(__xludf.DUMMYFUNCTION("""COMPUTED_VALUE"""),143)</f>
        <v>143</v>
      </c>
      <c r="F271" s="1">
        <f ca="1">IFERROR(__xludf.DUMMYFUNCTION("""COMPUTED_VALUE"""),64015274)</f>
        <v>64015274</v>
      </c>
    </row>
    <row r="272" spans="1:6" ht="12.6">
      <c r="A272" s="2">
        <f ca="1">IFERROR(__xludf.DUMMYFUNCTION("""COMPUTED_VALUE"""),44957.6666666666)</f>
        <v>44957.666666666599</v>
      </c>
      <c r="B272" s="1">
        <f ca="1">IFERROR(__xludf.DUMMYFUNCTION("""COMPUTED_VALUE"""),142.7)</f>
        <v>142.69999999999999</v>
      </c>
      <c r="C272" s="1">
        <f ca="1">IFERROR(__xludf.DUMMYFUNCTION("""COMPUTED_VALUE"""),144.34)</f>
        <v>144.34</v>
      </c>
      <c r="D272" s="1">
        <f ca="1">IFERROR(__xludf.DUMMYFUNCTION("""COMPUTED_VALUE"""),142.28)</f>
        <v>142.28</v>
      </c>
      <c r="E272" s="1">
        <f ca="1">IFERROR(__xludf.DUMMYFUNCTION("""COMPUTED_VALUE"""),144.29)</f>
        <v>144.29</v>
      </c>
      <c r="F272" s="1">
        <f ca="1">IFERROR(__xludf.DUMMYFUNCTION("""COMPUTED_VALUE"""),65874459)</f>
        <v>65874459</v>
      </c>
    </row>
    <row r="273" spans="1:6" ht="12.6">
      <c r="A273" s="2">
        <f ca="1">IFERROR(__xludf.DUMMYFUNCTION("""COMPUTED_VALUE"""),44958.6666666666)</f>
        <v>44958.666666666599</v>
      </c>
      <c r="B273" s="1">
        <f ca="1">IFERROR(__xludf.DUMMYFUNCTION("""COMPUTED_VALUE"""),143.97)</f>
        <v>143.97</v>
      </c>
      <c r="C273" s="1">
        <f ca="1">IFERROR(__xludf.DUMMYFUNCTION("""COMPUTED_VALUE"""),146.61)</f>
        <v>146.61000000000001</v>
      </c>
      <c r="D273" s="1">
        <f ca="1">IFERROR(__xludf.DUMMYFUNCTION("""COMPUTED_VALUE"""),141.32)</f>
        <v>141.32</v>
      </c>
      <c r="E273" s="1">
        <f ca="1">IFERROR(__xludf.DUMMYFUNCTION("""COMPUTED_VALUE"""),145.43)</f>
        <v>145.43</v>
      </c>
      <c r="F273" s="1">
        <f ca="1">IFERROR(__xludf.DUMMYFUNCTION("""COMPUTED_VALUE"""),77663633)</f>
        <v>77663633</v>
      </c>
    </row>
    <row r="274" spans="1:6" ht="12.6">
      <c r="A274" s="2">
        <f ca="1">IFERROR(__xludf.DUMMYFUNCTION("""COMPUTED_VALUE"""),44959.6666666666)</f>
        <v>44959.666666666599</v>
      </c>
      <c r="B274" s="1">
        <f ca="1">IFERROR(__xludf.DUMMYFUNCTION("""COMPUTED_VALUE"""),148.9)</f>
        <v>148.9</v>
      </c>
      <c r="C274" s="1">
        <f ca="1">IFERROR(__xludf.DUMMYFUNCTION("""COMPUTED_VALUE"""),151.18)</f>
        <v>151.18</v>
      </c>
      <c r="D274" s="1">
        <f ca="1">IFERROR(__xludf.DUMMYFUNCTION("""COMPUTED_VALUE"""),148.17)</f>
        <v>148.16999999999999</v>
      </c>
      <c r="E274" s="1">
        <f ca="1">IFERROR(__xludf.DUMMYFUNCTION("""COMPUTED_VALUE"""),150.82)</f>
        <v>150.82</v>
      </c>
      <c r="F274" s="1">
        <f ca="1">IFERROR(__xludf.DUMMYFUNCTION("""COMPUTED_VALUE"""),118338980)</f>
        <v>118338980</v>
      </c>
    </row>
    <row r="275" spans="1:6" ht="12.6">
      <c r="A275" s="2">
        <f ca="1">IFERROR(__xludf.DUMMYFUNCTION("""COMPUTED_VALUE"""),44960.6666666666)</f>
        <v>44960.666666666599</v>
      </c>
      <c r="B275" s="1">
        <f ca="1">IFERROR(__xludf.DUMMYFUNCTION("""COMPUTED_VALUE"""),148.03)</f>
        <v>148.03</v>
      </c>
      <c r="C275" s="1">
        <f ca="1">IFERROR(__xludf.DUMMYFUNCTION("""COMPUTED_VALUE"""),157.38)</f>
        <v>157.38</v>
      </c>
      <c r="D275" s="1">
        <f ca="1">IFERROR(__xludf.DUMMYFUNCTION("""COMPUTED_VALUE"""),147.83)</f>
        <v>147.83000000000001</v>
      </c>
      <c r="E275" s="1">
        <f ca="1">IFERROR(__xludf.DUMMYFUNCTION("""COMPUTED_VALUE"""),154.5)</f>
        <v>154.5</v>
      </c>
      <c r="F275" s="1">
        <f ca="1">IFERROR(__xludf.DUMMYFUNCTION("""COMPUTED_VALUE"""),154357337)</f>
        <v>154357337</v>
      </c>
    </row>
    <row r="276" spans="1:6" ht="12.6">
      <c r="A276" s="2">
        <f ca="1">IFERROR(__xludf.DUMMYFUNCTION("""COMPUTED_VALUE"""),44963.6666666666)</f>
        <v>44963.666666666599</v>
      </c>
      <c r="B276" s="1">
        <f ca="1">IFERROR(__xludf.DUMMYFUNCTION("""COMPUTED_VALUE"""),152.57)</f>
        <v>152.57</v>
      </c>
      <c r="C276" s="1">
        <f ca="1">IFERROR(__xludf.DUMMYFUNCTION("""COMPUTED_VALUE"""),153.1)</f>
        <v>153.1</v>
      </c>
      <c r="D276" s="1">
        <f ca="1">IFERROR(__xludf.DUMMYFUNCTION("""COMPUTED_VALUE"""),150.78)</f>
        <v>150.78</v>
      </c>
      <c r="E276" s="1">
        <f ca="1">IFERROR(__xludf.DUMMYFUNCTION("""COMPUTED_VALUE"""),151.73)</f>
        <v>151.72999999999999</v>
      </c>
      <c r="F276" s="1">
        <f ca="1">IFERROR(__xludf.DUMMYFUNCTION("""COMPUTED_VALUE"""),69858306)</f>
        <v>69858306</v>
      </c>
    </row>
    <row r="277" spans="1:6" ht="12.6">
      <c r="A277" s="2">
        <f ca="1">IFERROR(__xludf.DUMMYFUNCTION("""COMPUTED_VALUE"""),44964.6666666666)</f>
        <v>44964.666666666599</v>
      </c>
      <c r="B277" s="1">
        <f ca="1">IFERROR(__xludf.DUMMYFUNCTION("""COMPUTED_VALUE"""),150.64)</f>
        <v>150.63999999999999</v>
      </c>
      <c r="C277" s="1">
        <f ca="1">IFERROR(__xludf.DUMMYFUNCTION("""COMPUTED_VALUE"""),155.23)</f>
        <v>155.22999999999999</v>
      </c>
      <c r="D277" s="1">
        <f ca="1">IFERROR(__xludf.DUMMYFUNCTION("""COMPUTED_VALUE"""),150.64)</f>
        <v>150.63999999999999</v>
      </c>
      <c r="E277" s="1">
        <f ca="1">IFERROR(__xludf.DUMMYFUNCTION("""COMPUTED_VALUE"""),154.65)</f>
        <v>154.65</v>
      </c>
      <c r="F277" s="1">
        <f ca="1">IFERROR(__xludf.DUMMYFUNCTION("""COMPUTED_VALUE"""),83322551)</f>
        <v>83322551</v>
      </c>
    </row>
    <row r="278" spans="1:6" ht="12.6">
      <c r="A278" s="2">
        <f ca="1">IFERROR(__xludf.DUMMYFUNCTION("""COMPUTED_VALUE"""),44965.6666666666)</f>
        <v>44965.666666666599</v>
      </c>
      <c r="B278" s="1">
        <f ca="1">IFERROR(__xludf.DUMMYFUNCTION("""COMPUTED_VALUE"""),153.88)</f>
        <v>153.88</v>
      </c>
      <c r="C278" s="1">
        <f ca="1">IFERROR(__xludf.DUMMYFUNCTION("""COMPUTED_VALUE"""),154.58)</f>
        <v>154.58000000000001</v>
      </c>
      <c r="D278" s="1">
        <f ca="1">IFERROR(__xludf.DUMMYFUNCTION("""COMPUTED_VALUE"""),151.17)</f>
        <v>151.16999999999999</v>
      </c>
      <c r="E278" s="1">
        <f ca="1">IFERROR(__xludf.DUMMYFUNCTION("""COMPUTED_VALUE"""),151.92)</f>
        <v>151.91999999999999</v>
      </c>
      <c r="F278" s="1">
        <f ca="1">IFERROR(__xludf.DUMMYFUNCTION("""COMPUTED_VALUE"""),64120079)</f>
        <v>64120079</v>
      </c>
    </row>
    <row r="279" spans="1:6" ht="12.6">
      <c r="A279" s="2">
        <f ca="1">IFERROR(__xludf.DUMMYFUNCTION("""COMPUTED_VALUE"""),44966.6666666666)</f>
        <v>44966.666666666599</v>
      </c>
      <c r="B279" s="1">
        <f ca="1">IFERROR(__xludf.DUMMYFUNCTION("""COMPUTED_VALUE"""),153.78)</f>
        <v>153.78</v>
      </c>
      <c r="C279" s="1">
        <f ca="1">IFERROR(__xludf.DUMMYFUNCTION("""COMPUTED_VALUE"""),154.33)</f>
        <v>154.33000000000001</v>
      </c>
      <c r="D279" s="1">
        <f ca="1">IFERROR(__xludf.DUMMYFUNCTION("""COMPUTED_VALUE"""),150.42)</f>
        <v>150.41999999999999</v>
      </c>
      <c r="E279" s="1">
        <f ca="1">IFERROR(__xludf.DUMMYFUNCTION("""COMPUTED_VALUE"""),150.87)</f>
        <v>150.87</v>
      </c>
      <c r="F279" s="1">
        <f ca="1">IFERROR(__xludf.DUMMYFUNCTION("""COMPUTED_VALUE"""),56007143)</f>
        <v>56007143</v>
      </c>
    </row>
    <row r="280" spans="1:6" ht="12.6">
      <c r="A280" s="2">
        <f ca="1">IFERROR(__xludf.DUMMYFUNCTION("""COMPUTED_VALUE"""),44967.6666666666)</f>
        <v>44967.666666666599</v>
      </c>
      <c r="B280" s="1">
        <f ca="1">IFERROR(__xludf.DUMMYFUNCTION("""COMPUTED_VALUE"""),149.46)</f>
        <v>149.46</v>
      </c>
      <c r="C280" s="1">
        <f ca="1">IFERROR(__xludf.DUMMYFUNCTION("""COMPUTED_VALUE"""),151.34)</f>
        <v>151.34</v>
      </c>
      <c r="D280" s="1">
        <f ca="1">IFERROR(__xludf.DUMMYFUNCTION("""COMPUTED_VALUE"""),149.22)</f>
        <v>149.22</v>
      </c>
      <c r="E280" s="1">
        <f ca="1">IFERROR(__xludf.DUMMYFUNCTION("""COMPUTED_VALUE"""),151.01)</f>
        <v>151.01</v>
      </c>
      <c r="F280" s="1">
        <f ca="1">IFERROR(__xludf.DUMMYFUNCTION("""COMPUTED_VALUE"""),57450708)</f>
        <v>57450708</v>
      </c>
    </row>
    <row r="281" spans="1:6" ht="12.6">
      <c r="A281" s="2">
        <f ca="1">IFERROR(__xludf.DUMMYFUNCTION("""COMPUTED_VALUE"""),44970.6666666666)</f>
        <v>44970.666666666599</v>
      </c>
      <c r="B281" s="1">
        <f ca="1">IFERROR(__xludf.DUMMYFUNCTION("""COMPUTED_VALUE"""),150.95)</f>
        <v>150.94999999999999</v>
      </c>
      <c r="C281" s="1">
        <f ca="1">IFERROR(__xludf.DUMMYFUNCTION("""COMPUTED_VALUE"""),154.26)</f>
        <v>154.26</v>
      </c>
      <c r="D281" s="1">
        <f ca="1">IFERROR(__xludf.DUMMYFUNCTION("""COMPUTED_VALUE"""),150.92)</f>
        <v>150.91999999999999</v>
      </c>
      <c r="E281" s="1">
        <f ca="1">IFERROR(__xludf.DUMMYFUNCTION("""COMPUTED_VALUE"""),153.85)</f>
        <v>153.85</v>
      </c>
      <c r="F281" s="1">
        <f ca="1">IFERROR(__xludf.DUMMYFUNCTION("""COMPUTED_VALUE"""),62199013)</f>
        <v>62199013</v>
      </c>
    </row>
    <row r="282" spans="1:6" ht="12.6">
      <c r="A282" s="2">
        <f ca="1">IFERROR(__xludf.DUMMYFUNCTION("""COMPUTED_VALUE"""),44971.6666666666)</f>
        <v>44971.666666666599</v>
      </c>
      <c r="B282" s="1">
        <f ca="1">IFERROR(__xludf.DUMMYFUNCTION("""COMPUTED_VALUE"""),152.12)</f>
        <v>152.12</v>
      </c>
      <c r="C282" s="1">
        <f ca="1">IFERROR(__xludf.DUMMYFUNCTION("""COMPUTED_VALUE"""),153.77)</f>
        <v>153.77000000000001</v>
      </c>
      <c r="D282" s="1">
        <f ca="1">IFERROR(__xludf.DUMMYFUNCTION("""COMPUTED_VALUE"""),150.86)</f>
        <v>150.86000000000001</v>
      </c>
      <c r="E282" s="1">
        <f ca="1">IFERROR(__xludf.DUMMYFUNCTION("""COMPUTED_VALUE"""),153.2)</f>
        <v>153.19999999999999</v>
      </c>
      <c r="F282" s="1">
        <f ca="1">IFERROR(__xludf.DUMMYFUNCTION("""COMPUTED_VALUE"""),61707573)</f>
        <v>61707573</v>
      </c>
    </row>
    <row r="283" spans="1:6" ht="12.6">
      <c r="A283" s="2">
        <f ca="1">IFERROR(__xludf.DUMMYFUNCTION("""COMPUTED_VALUE"""),44972.6666666666)</f>
        <v>44972.666666666599</v>
      </c>
      <c r="B283" s="1">
        <f ca="1">IFERROR(__xludf.DUMMYFUNCTION("""COMPUTED_VALUE"""),153.11)</f>
        <v>153.11000000000001</v>
      </c>
      <c r="C283" s="1">
        <f ca="1">IFERROR(__xludf.DUMMYFUNCTION("""COMPUTED_VALUE"""),155.5)</f>
        <v>155.5</v>
      </c>
      <c r="D283" s="1">
        <f ca="1">IFERROR(__xludf.DUMMYFUNCTION("""COMPUTED_VALUE"""),152.88)</f>
        <v>152.88</v>
      </c>
      <c r="E283" s="1">
        <f ca="1">IFERROR(__xludf.DUMMYFUNCTION("""COMPUTED_VALUE"""),155.33)</f>
        <v>155.33000000000001</v>
      </c>
      <c r="F283" s="1">
        <f ca="1">IFERROR(__xludf.DUMMYFUNCTION("""COMPUTED_VALUE"""),65669252)</f>
        <v>65669252</v>
      </c>
    </row>
    <row r="284" spans="1:6" ht="12.6">
      <c r="A284" s="2">
        <f ca="1">IFERROR(__xludf.DUMMYFUNCTION("""COMPUTED_VALUE"""),44973.6666666666)</f>
        <v>44973.666666666599</v>
      </c>
      <c r="B284" s="1">
        <f ca="1">IFERROR(__xludf.DUMMYFUNCTION("""COMPUTED_VALUE"""),153.51)</f>
        <v>153.51</v>
      </c>
      <c r="C284" s="1">
        <f ca="1">IFERROR(__xludf.DUMMYFUNCTION("""COMPUTED_VALUE"""),156.33)</f>
        <v>156.33000000000001</v>
      </c>
      <c r="D284" s="1">
        <f ca="1">IFERROR(__xludf.DUMMYFUNCTION("""COMPUTED_VALUE"""),153.35)</f>
        <v>153.35</v>
      </c>
      <c r="E284" s="1">
        <f ca="1">IFERROR(__xludf.DUMMYFUNCTION("""COMPUTED_VALUE"""),153.71)</f>
        <v>153.71</v>
      </c>
      <c r="F284" s="1">
        <f ca="1">IFERROR(__xludf.DUMMYFUNCTION("""COMPUTED_VALUE"""),68167942)</f>
        <v>68167942</v>
      </c>
    </row>
    <row r="285" spans="1:6" ht="12.6">
      <c r="A285" s="2">
        <f ca="1">IFERROR(__xludf.DUMMYFUNCTION("""COMPUTED_VALUE"""),44974.6666666666)</f>
        <v>44974.666666666599</v>
      </c>
      <c r="B285" s="1">
        <f ca="1">IFERROR(__xludf.DUMMYFUNCTION("""COMPUTED_VALUE"""),152.35)</f>
        <v>152.35</v>
      </c>
      <c r="C285" s="1">
        <f ca="1">IFERROR(__xludf.DUMMYFUNCTION("""COMPUTED_VALUE"""),153)</f>
        <v>153</v>
      </c>
      <c r="D285" s="1">
        <f ca="1">IFERROR(__xludf.DUMMYFUNCTION("""COMPUTED_VALUE"""),150.85)</f>
        <v>150.85</v>
      </c>
      <c r="E285" s="1">
        <f ca="1">IFERROR(__xludf.DUMMYFUNCTION("""COMPUTED_VALUE"""),152.55)</f>
        <v>152.55000000000001</v>
      </c>
      <c r="F285" s="1">
        <f ca="1">IFERROR(__xludf.DUMMYFUNCTION("""COMPUTED_VALUE"""),59144118)</f>
        <v>59144118</v>
      </c>
    </row>
    <row r="286" spans="1:6" ht="12.6">
      <c r="A286" s="2">
        <f ca="1">IFERROR(__xludf.DUMMYFUNCTION("""COMPUTED_VALUE"""),44978.6666666666)</f>
        <v>44978.666666666599</v>
      </c>
      <c r="B286" s="1">
        <f ca="1">IFERROR(__xludf.DUMMYFUNCTION("""COMPUTED_VALUE"""),150.2)</f>
        <v>150.19999999999999</v>
      </c>
      <c r="C286" s="1">
        <f ca="1">IFERROR(__xludf.DUMMYFUNCTION("""COMPUTED_VALUE"""),151.3)</f>
        <v>151.30000000000001</v>
      </c>
      <c r="D286" s="1">
        <f ca="1">IFERROR(__xludf.DUMMYFUNCTION("""COMPUTED_VALUE"""),148.41)</f>
        <v>148.41</v>
      </c>
      <c r="E286" s="1">
        <f ca="1">IFERROR(__xludf.DUMMYFUNCTION("""COMPUTED_VALUE"""),148.48)</f>
        <v>148.47999999999999</v>
      </c>
      <c r="F286" s="1">
        <f ca="1">IFERROR(__xludf.DUMMYFUNCTION("""COMPUTED_VALUE"""),58867230)</f>
        <v>58867230</v>
      </c>
    </row>
    <row r="287" spans="1:6" ht="12.6">
      <c r="A287" s="2">
        <f ca="1">IFERROR(__xludf.DUMMYFUNCTION("""COMPUTED_VALUE"""),44979.6666666666)</f>
        <v>44979.666666666599</v>
      </c>
      <c r="B287" s="1">
        <f ca="1">IFERROR(__xludf.DUMMYFUNCTION("""COMPUTED_VALUE"""),148.87)</f>
        <v>148.87</v>
      </c>
      <c r="C287" s="1">
        <f ca="1">IFERROR(__xludf.DUMMYFUNCTION("""COMPUTED_VALUE"""),149.95)</f>
        <v>149.94999999999999</v>
      </c>
      <c r="D287" s="1">
        <f ca="1">IFERROR(__xludf.DUMMYFUNCTION("""COMPUTED_VALUE"""),147.16)</f>
        <v>147.16</v>
      </c>
      <c r="E287" s="1">
        <f ca="1">IFERROR(__xludf.DUMMYFUNCTION("""COMPUTED_VALUE"""),148.91)</f>
        <v>148.91</v>
      </c>
      <c r="F287" s="1">
        <f ca="1">IFERROR(__xludf.DUMMYFUNCTION("""COMPUTED_VALUE"""),51011305)</f>
        <v>51011305</v>
      </c>
    </row>
    <row r="288" spans="1:6" ht="12.6">
      <c r="A288" s="2">
        <f ca="1">IFERROR(__xludf.DUMMYFUNCTION("""COMPUTED_VALUE"""),44980.6666666666)</f>
        <v>44980.666666666599</v>
      </c>
      <c r="B288" s="1">
        <f ca="1">IFERROR(__xludf.DUMMYFUNCTION("""COMPUTED_VALUE"""),150.09)</f>
        <v>150.09</v>
      </c>
      <c r="C288" s="1">
        <f ca="1">IFERROR(__xludf.DUMMYFUNCTION("""COMPUTED_VALUE"""),150.34)</f>
        <v>150.34</v>
      </c>
      <c r="D288" s="1">
        <f ca="1">IFERROR(__xludf.DUMMYFUNCTION("""COMPUTED_VALUE"""),147.24)</f>
        <v>147.24</v>
      </c>
      <c r="E288" s="1">
        <f ca="1">IFERROR(__xludf.DUMMYFUNCTION("""COMPUTED_VALUE"""),149.4)</f>
        <v>149.4</v>
      </c>
      <c r="F288" s="1">
        <f ca="1">IFERROR(__xludf.DUMMYFUNCTION("""COMPUTED_VALUE"""),48394249)</f>
        <v>48394249</v>
      </c>
    </row>
    <row r="289" spans="1:6" ht="12.6">
      <c r="A289" s="2">
        <f ca="1">IFERROR(__xludf.DUMMYFUNCTION("""COMPUTED_VALUE"""),44981.6666666666)</f>
        <v>44981.666666666599</v>
      </c>
      <c r="B289" s="1">
        <f ca="1">IFERROR(__xludf.DUMMYFUNCTION("""COMPUTED_VALUE"""),147.11)</f>
        <v>147.11000000000001</v>
      </c>
      <c r="C289" s="1">
        <f ca="1">IFERROR(__xludf.DUMMYFUNCTION("""COMPUTED_VALUE"""),147.19)</f>
        <v>147.19</v>
      </c>
      <c r="D289" s="1">
        <f ca="1">IFERROR(__xludf.DUMMYFUNCTION("""COMPUTED_VALUE"""),145.72)</f>
        <v>145.72</v>
      </c>
      <c r="E289" s="1">
        <f ca="1">IFERROR(__xludf.DUMMYFUNCTION("""COMPUTED_VALUE"""),146.71)</f>
        <v>146.71</v>
      </c>
      <c r="F289" s="1">
        <f ca="1">IFERROR(__xludf.DUMMYFUNCTION("""COMPUTED_VALUE"""),55469606)</f>
        <v>55469606</v>
      </c>
    </row>
    <row r="290" spans="1:6" ht="12.6">
      <c r="A290" s="2">
        <f ca="1">IFERROR(__xludf.DUMMYFUNCTION("""COMPUTED_VALUE"""),44984.6666666666)</f>
        <v>44984.666666666599</v>
      </c>
      <c r="B290" s="1">
        <f ca="1">IFERROR(__xludf.DUMMYFUNCTION("""COMPUTED_VALUE"""),147.71)</f>
        <v>147.71</v>
      </c>
      <c r="C290" s="1">
        <f ca="1">IFERROR(__xludf.DUMMYFUNCTION("""COMPUTED_VALUE"""),149.17)</f>
        <v>149.16999999999999</v>
      </c>
      <c r="D290" s="1">
        <f ca="1">IFERROR(__xludf.DUMMYFUNCTION("""COMPUTED_VALUE"""),147.45)</f>
        <v>147.44999999999999</v>
      </c>
      <c r="E290" s="1">
        <f ca="1">IFERROR(__xludf.DUMMYFUNCTION("""COMPUTED_VALUE"""),147.92)</f>
        <v>147.91999999999999</v>
      </c>
      <c r="F290" s="1">
        <f ca="1">IFERROR(__xludf.DUMMYFUNCTION("""COMPUTED_VALUE"""),44998470)</f>
        <v>44998470</v>
      </c>
    </row>
    <row r="291" spans="1:6" ht="12.6">
      <c r="A291" s="2">
        <f ca="1">IFERROR(__xludf.DUMMYFUNCTION("""COMPUTED_VALUE"""),44985.6666666666)</f>
        <v>44985.666666666599</v>
      </c>
      <c r="B291" s="1">
        <f ca="1">IFERROR(__xludf.DUMMYFUNCTION("""COMPUTED_VALUE"""),147.05)</f>
        <v>147.05000000000001</v>
      </c>
      <c r="C291" s="1">
        <f ca="1">IFERROR(__xludf.DUMMYFUNCTION("""COMPUTED_VALUE"""),149.08)</f>
        <v>149.08000000000001</v>
      </c>
      <c r="D291" s="1">
        <f ca="1">IFERROR(__xludf.DUMMYFUNCTION("""COMPUTED_VALUE"""),146.83)</f>
        <v>146.83000000000001</v>
      </c>
      <c r="E291" s="1">
        <f ca="1">IFERROR(__xludf.DUMMYFUNCTION("""COMPUTED_VALUE"""),147.41)</f>
        <v>147.41</v>
      </c>
      <c r="F291" s="1">
        <f ca="1">IFERROR(__xludf.DUMMYFUNCTION("""COMPUTED_VALUE"""),50546998)</f>
        <v>50546998</v>
      </c>
    </row>
    <row r="292" spans="1:6" ht="12.6">
      <c r="A292" s="2">
        <f ca="1">IFERROR(__xludf.DUMMYFUNCTION("""COMPUTED_VALUE"""),44986.6666666666)</f>
        <v>44986.666666666599</v>
      </c>
      <c r="B292" s="1">
        <f ca="1">IFERROR(__xludf.DUMMYFUNCTION("""COMPUTED_VALUE"""),146.83)</f>
        <v>146.83000000000001</v>
      </c>
      <c r="C292" s="1">
        <f ca="1">IFERROR(__xludf.DUMMYFUNCTION("""COMPUTED_VALUE"""),147.23)</f>
        <v>147.22999999999999</v>
      </c>
      <c r="D292" s="1">
        <f ca="1">IFERROR(__xludf.DUMMYFUNCTION("""COMPUTED_VALUE"""),145.01)</f>
        <v>145.01</v>
      </c>
      <c r="E292" s="1">
        <f ca="1">IFERROR(__xludf.DUMMYFUNCTION("""COMPUTED_VALUE"""),145.31)</f>
        <v>145.31</v>
      </c>
      <c r="F292" s="1">
        <f ca="1">IFERROR(__xludf.DUMMYFUNCTION("""COMPUTED_VALUE"""),55478991)</f>
        <v>55478991</v>
      </c>
    </row>
    <row r="293" spans="1:6" ht="12.6">
      <c r="A293" s="2">
        <f ca="1">IFERROR(__xludf.DUMMYFUNCTION("""COMPUTED_VALUE"""),44987.6666666666)</f>
        <v>44987.666666666599</v>
      </c>
      <c r="B293" s="1">
        <f ca="1">IFERROR(__xludf.DUMMYFUNCTION("""COMPUTED_VALUE"""),144.38)</f>
        <v>144.38</v>
      </c>
      <c r="C293" s="1">
        <f ca="1">IFERROR(__xludf.DUMMYFUNCTION("""COMPUTED_VALUE"""),146.71)</f>
        <v>146.71</v>
      </c>
      <c r="D293" s="1">
        <f ca="1">IFERROR(__xludf.DUMMYFUNCTION("""COMPUTED_VALUE"""),143.9)</f>
        <v>143.9</v>
      </c>
      <c r="E293" s="1">
        <f ca="1">IFERROR(__xludf.DUMMYFUNCTION("""COMPUTED_VALUE"""),145.91)</f>
        <v>145.91</v>
      </c>
      <c r="F293" s="1">
        <f ca="1">IFERROR(__xludf.DUMMYFUNCTION("""COMPUTED_VALUE"""),52279761)</f>
        <v>52279761</v>
      </c>
    </row>
    <row r="294" spans="1:6" ht="12.6">
      <c r="A294" s="2">
        <f ca="1">IFERROR(__xludf.DUMMYFUNCTION("""COMPUTED_VALUE"""),44988.6666666666)</f>
        <v>44988.666666666599</v>
      </c>
      <c r="B294" s="1">
        <f ca="1">IFERROR(__xludf.DUMMYFUNCTION("""COMPUTED_VALUE"""),148.04)</f>
        <v>148.04</v>
      </c>
      <c r="C294" s="1">
        <f ca="1">IFERROR(__xludf.DUMMYFUNCTION("""COMPUTED_VALUE"""),151.11)</f>
        <v>151.11000000000001</v>
      </c>
      <c r="D294" s="1">
        <f ca="1">IFERROR(__xludf.DUMMYFUNCTION("""COMPUTED_VALUE"""),147.33)</f>
        <v>147.33000000000001</v>
      </c>
      <c r="E294" s="1">
        <f ca="1">IFERROR(__xludf.DUMMYFUNCTION("""COMPUTED_VALUE"""),151.03)</f>
        <v>151.03</v>
      </c>
      <c r="F294" s="1">
        <f ca="1">IFERROR(__xludf.DUMMYFUNCTION("""COMPUTED_VALUE"""),70732297)</f>
        <v>70732297</v>
      </c>
    </row>
    <row r="295" spans="1:6" ht="12.6">
      <c r="A295" s="2">
        <f ca="1">IFERROR(__xludf.DUMMYFUNCTION("""COMPUTED_VALUE"""),44991.6666666666)</f>
        <v>44991.666666666599</v>
      </c>
      <c r="B295" s="1">
        <f ca="1">IFERROR(__xludf.DUMMYFUNCTION("""COMPUTED_VALUE"""),153.79)</f>
        <v>153.79</v>
      </c>
      <c r="C295" s="1">
        <f ca="1">IFERROR(__xludf.DUMMYFUNCTION("""COMPUTED_VALUE"""),156.3)</f>
        <v>156.30000000000001</v>
      </c>
      <c r="D295" s="1">
        <f ca="1">IFERROR(__xludf.DUMMYFUNCTION("""COMPUTED_VALUE"""),153.46)</f>
        <v>153.46</v>
      </c>
      <c r="E295" s="1">
        <f ca="1">IFERROR(__xludf.DUMMYFUNCTION("""COMPUTED_VALUE"""),153.83)</f>
        <v>153.83000000000001</v>
      </c>
      <c r="F295" s="1">
        <f ca="1">IFERROR(__xludf.DUMMYFUNCTION("""COMPUTED_VALUE"""),87558028)</f>
        <v>87558028</v>
      </c>
    </row>
    <row r="296" spans="1:6" ht="12.6">
      <c r="A296" s="2">
        <f ca="1">IFERROR(__xludf.DUMMYFUNCTION("""COMPUTED_VALUE"""),44992.6666666666)</f>
        <v>44992.666666666599</v>
      </c>
      <c r="B296" s="1">
        <f ca="1">IFERROR(__xludf.DUMMYFUNCTION("""COMPUTED_VALUE"""),153.7)</f>
        <v>153.69999999999999</v>
      </c>
      <c r="C296" s="1">
        <f ca="1">IFERROR(__xludf.DUMMYFUNCTION("""COMPUTED_VALUE"""),154.03)</f>
        <v>154.03</v>
      </c>
      <c r="D296" s="1">
        <f ca="1">IFERROR(__xludf.DUMMYFUNCTION("""COMPUTED_VALUE"""),151.13)</f>
        <v>151.13</v>
      </c>
      <c r="E296" s="1">
        <f ca="1">IFERROR(__xludf.DUMMYFUNCTION("""COMPUTED_VALUE"""),151.6)</f>
        <v>151.6</v>
      </c>
      <c r="F296" s="1">
        <f ca="1">IFERROR(__xludf.DUMMYFUNCTION("""COMPUTED_VALUE"""),56182028)</f>
        <v>56182028</v>
      </c>
    </row>
    <row r="297" spans="1:6" ht="12.6">
      <c r="A297" s="2">
        <f ca="1">IFERROR(__xludf.DUMMYFUNCTION("""COMPUTED_VALUE"""),44993.6666666666)</f>
        <v>44993.666666666599</v>
      </c>
      <c r="B297" s="1">
        <f ca="1">IFERROR(__xludf.DUMMYFUNCTION("""COMPUTED_VALUE"""),152.81)</f>
        <v>152.81</v>
      </c>
      <c r="C297" s="1">
        <f ca="1">IFERROR(__xludf.DUMMYFUNCTION("""COMPUTED_VALUE"""),153.47)</f>
        <v>153.47</v>
      </c>
      <c r="D297" s="1">
        <f ca="1">IFERROR(__xludf.DUMMYFUNCTION("""COMPUTED_VALUE"""),151.83)</f>
        <v>151.83000000000001</v>
      </c>
      <c r="E297" s="1">
        <f ca="1">IFERROR(__xludf.DUMMYFUNCTION("""COMPUTED_VALUE"""),152.87)</f>
        <v>152.87</v>
      </c>
      <c r="F297" s="1">
        <f ca="1">IFERROR(__xludf.DUMMYFUNCTION("""COMPUTED_VALUE"""),47204791)</f>
        <v>47204791</v>
      </c>
    </row>
    <row r="298" spans="1:6" ht="12.6">
      <c r="A298" s="2">
        <f ca="1">IFERROR(__xludf.DUMMYFUNCTION("""COMPUTED_VALUE"""),44994.6666666666)</f>
        <v>44994.666666666599</v>
      </c>
      <c r="B298" s="1">
        <f ca="1">IFERROR(__xludf.DUMMYFUNCTION("""COMPUTED_VALUE"""),153.56)</f>
        <v>153.56</v>
      </c>
      <c r="C298" s="1">
        <f ca="1">IFERROR(__xludf.DUMMYFUNCTION("""COMPUTED_VALUE"""),154.54)</f>
        <v>154.54</v>
      </c>
      <c r="D298" s="1">
        <f ca="1">IFERROR(__xludf.DUMMYFUNCTION("""COMPUTED_VALUE"""),150.23)</f>
        <v>150.22999999999999</v>
      </c>
      <c r="E298" s="1">
        <f ca="1">IFERROR(__xludf.DUMMYFUNCTION("""COMPUTED_VALUE"""),150.59)</f>
        <v>150.59</v>
      </c>
      <c r="F298" s="1">
        <f ca="1">IFERROR(__xludf.DUMMYFUNCTION("""COMPUTED_VALUE"""),53833582)</f>
        <v>53833582</v>
      </c>
    </row>
    <row r="299" spans="1:6" ht="12.6">
      <c r="A299" s="2">
        <f ca="1">IFERROR(__xludf.DUMMYFUNCTION("""COMPUTED_VALUE"""),44995.6666666666)</f>
        <v>44995.666666666599</v>
      </c>
      <c r="B299" s="1">
        <f ca="1">IFERROR(__xludf.DUMMYFUNCTION("""COMPUTED_VALUE"""),150.21)</f>
        <v>150.21</v>
      </c>
      <c r="C299" s="1">
        <f ca="1">IFERROR(__xludf.DUMMYFUNCTION("""COMPUTED_VALUE"""),150.94)</f>
        <v>150.94</v>
      </c>
      <c r="D299" s="1">
        <f ca="1">IFERROR(__xludf.DUMMYFUNCTION("""COMPUTED_VALUE"""),147.61)</f>
        <v>147.61000000000001</v>
      </c>
      <c r="E299" s="1">
        <f ca="1">IFERROR(__xludf.DUMMYFUNCTION("""COMPUTED_VALUE"""),148.5)</f>
        <v>148.5</v>
      </c>
      <c r="F299" s="1">
        <f ca="1">IFERROR(__xludf.DUMMYFUNCTION("""COMPUTED_VALUE"""),68572400)</f>
        <v>68572400</v>
      </c>
    </row>
    <row r="300" spans="1:6" ht="12.6">
      <c r="A300" s="2">
        <f ca="1">IFERROR(__xludf.DUMMYFUNCTION("""COMPUTED_VALUE"""),44998.6666666666)</f>
        <v>44998.666666666599</v>
      </c>
      <c r="B300" s="1">
        <f ca="1">IFERROR(__xludf.DUMMYFUNCTION("""COMPUTED_VALUE"""),147.81)</f>
        <v>147.81</v>
      </c>
      <c r="C300" s="1">
        <f ca="1">IFERROR(__xludf.DUMMYFUNCTION("""COMPUTED_VALUE"""),153.14)</f>
        <v>153.13999999999999</v>
      </c>
      <c r="D300" s="1">
        <f ca="1">IFERROR(__xludf.DUMMYFUNCTION("""COMPUTED_VALUE"""),147.7)</f>
        <v>147.69999999999999</v>
      </c>
      <c r="E300" s="1">
        <f ca="1">IFERROR(__xludf.DUMMYFUNCTION("""COMPUTED_VALUE"""),150.47)</f>
        <v>150.47</v>
      </c>
      <c r="F300" s="1">
        <f ca="1">IFERROR(__xludf.DUMMYFUNCTION("""COMPUTED_VALUE"""),84457122)</f>
        <v>84457122</v>
      </c>
    </row>
    <row r="301" spans="1:6" ht="12.6">
      <c r="A301" s="2">
        <f ca="1">IFERROR(__xludf.DUMMYFUNCTION("""COMPUTED_VALUE"""),44999.6666666666)</f>
        <v>44999.666666666599</v>
      </c>
      <c r="B301" s="1">
        <f ca="1">IFERROR(__xludf.DUMMYFUNCTION("""COMPUTED_VALUE"""),151.28)</f>
        <v>151.28</v>
      </c>
      <c r="C301" s="1">
        <f ca="1">IFERROR(__xludf.DUMMYFUNCTION("""COMPUTED_VALUE"""),153.4)</f>
        <v>153.4</v>
      </c>
      <c r="D301" s="1">
        <f ca="1">IFERROR(__xludf.DUMMYFUNCTION("""COMPUTED_VALUE"""),150.1)</f>
        <v>150.1</v>
      </c>
      <c r="E301" s="1">
        <f ca="1">IFERROR(__xludf.DUMMYFUNCTION("""COMPUTED_VALUE"""),152.59)</f>
        <v>152.59</v>
      </c>
      <c r="F301" s="1">
        <f ca="1">IFERROR(__xludf.DUMMYFUNCTION("""COMPUTED_VALUE"""),73695893)</f>
        <v>73695893</v>
      </c>
    </row>
    <row r="302" spans="1:6" ht="12.6">
      <c r="A302" s="2">
        <f ca="1">IFERROR(__xludf.DUMMYFUNCTION("""COMPUTED_VALUE"""),45000.6666666666)</f>
        <v>45000.666666666599</v>
      </c>
      <c r="B302" s="1">
        <f ca="1">IFERROR(__xludf.DUMMYFUNCTION("""COMPUTED_VALUE"""),151.19)</f>
        <v>151.19</v>
      </c>
      <c r="C302" s="1">
        <f ca="1">IFERROR(__xludf.DUMMYFUNCTION("""COMPUTED_VALUE"""),153.25)</f>
        <v>153.25</v>
      </c>
      <c r="D302" s="1">
        <f ca="1">IFERROR(__xludf.DUMMYFUNCTION("""COMPUTED_VALUE"""),149.92)</f>
        <v>149.91999999999999</v>
      </c>
      <c r="E302" s="1">
        <f ca="1">IFERROR(__xludf.DUMMYFUNCTION("""COMPUTED_VALUE"""),152.99)</f>
        <v>152.99</v>
      </c>
      <c r="F302" s="1">
        <f ca="1">IFERROR(__xludf.DUMMYFUNCTION("""COMPUTED_VALUE"""),77167866)</f>
        <v>77167866</v>
      </c>
    </row>
    <row r="303" spans="1:6" ht="12.6">
      <c r="A303" s="2">
        <f ca="1">IFERROR(__xludf.DUMMYFUNCTION("""COMPUTED_VALUE"""),45001.6666666666)</f>
        <v>45001.666666666599</v>
      </c>
      <c r="B303" s="1">
        <f ca="1">IFERROR(__xludf.DUMMYFUNCTION("""COMPUTED_VALUE"""),152.16)</f>
        <v>152.16</v>
      </c>
      <c r="C303" s="1">
        <f ca="1">IFERROR(__xludf.DUMMYFUNCTION("""COMPUTED_VALUE"""),156.46)</f>
        <v>156.46</v>
      </c>
      <c r="D303" s="1">
        <f ca="1">IFERROR(__xludf.DUMMYFUNCTION("""COMPUTED_VALUE"""),151.64)</f>
        <v>151.63999999999999</v>
      </c>
      <c r="E303" s="1">
        <f ca="1">IFERROR(__xludf.DUMMYFUNCTION("""COMPUTED_VALUE"""),155.85)</f>
        <v>155.85</v>
      </c>
      <c r="F303" s="1">
        <f ca="1">IFERROR(__xludf.DUMMYFUNCTION("""COMPUTED_VALUE"""),76254419)</f>
        <v>76254419</v>
      </c>
    </row>
    <row r="304" spans="1:6" ht="12.6">
      <c r="A304" s="2">
        <f ca="1">IFERROR(__xludf.DUMMYFUNCTION("""COMPUTED_VALUE"""),45002.6666666666)</f>
        <v>45002.666666666599</v>
      </c>
      <c r="B304" s="1">
        <f ca="1">IFERROR(__xludf.DUMMYFUNCTION("""COMPUTED_VALUE"""),156.08)</f>
        <v>156.08000000000001</v>
      </c>
      <c r="C304" s="1">
        <f ca="1">IFERROR(__xludf.DUMMYFUNCTION("""COMPUTED_VALUE"""),156.74)</f>
        <v>156.74</v>
      </c>
      <c r="D304" s="1">
        <f ca="1">IFERROR(__xludf.DUMMYFUNCTION("""COMPUTED_VALUE"""),154.28)</f>
        <v>154.28</v>
      </c>
      <c r="E304" s="1">
        <f ca="1">IFERROR(__xludf.DUMMYFUNCTION("""COMPUTED_VALUE"""),155)</f>
        <v>155</v>
      </c>
      <c r="F304" s="1">
        <f ca="1">IFERROR(__xludf.DUMMYFUNCTION("""COMPUTED_VALUE"""),98944633)</f>
        <v>98944633</v>
      </c>
    </row>
    <row r="305" spans="1:6" ht="12.6">
      <c r="A305" s="2">
        <f ca="1">IFERROR(__xludf.DUMMYFUNCTION("""COMPUTED_VALUE"""),45005.6666666666)</f>
        <v>45005.666666666599</v>
      </c>
      <c r="B305" s="1">
        <f ca="1">IFERROR(__xludf.DUMMYFUNCTION("""COMPUTED_VALUE"""),155.07)</f>
        <v>155.07</v>
      </c>
      <c r="C305" s="1">
        <f ca="1">IFERROR(__xludf.DUMMYFUNCTION("""COMPUTED_VALUE"""),157.82)</f>
        <v>157.82</v>
      </c>
      <c r="D305" s="1">
        <f ca="1">IFERROR(__xludf.DUMMYFUNCTION("""COMPUTED_VALUE"""),154.15)</f>
        <v>154.15</v>
      </c>
      <c r="E305" s="1">
        <f ca="1">IFERROR(__xludf.DUMMYFUNCTION("""COMPUTED_VALUE"""),157.4)</f>
        <v>157.4</v>
      </c>
      <c r="F305" s="1">
        <f ca="1">IFERROR(__xludf.DUMMYFUNCTION("""COMPUTED_VALUE"""),73641415)</f>
        <v>73641415</v>
      </c>
    </row>
    <row r="306" spans="1:6" ht="12.6">
      <c r="A306" s="2">
        <f ca="1">IFERROR(__xludf.DUMMYFUNCTION("""COMPUTED_VALUE"""),45006.6666666666)</f>
        <v>45006.666666666599</v>
      </c>
      <c r="B306" s="1">
        <f ca="1">IFERROR(__xludf.DUMMYFUNCTION("""COMPUTED_VALUE"""),157.32)</f>
        <v>157.32</v>
      </c>
      <c r="C306" s="1">
        <f ca="1">IFERROR(__xludf.DUMMYFUNCTION("""COMPUTED_VALUE"""),159.4)</f>
        <v>159.4</v>
      </c>
      <c r="D306" s="1">
        <f ca="1">IFERROR(__xludf.DUMMYFUNCTION("""COMPUTED_VALUE"""),156.54)</f>
        <v>156.54</v>
      </c>
      <c r="E306" s="1">
        <f ca="1">IFERROR(__xludf.DUMMYFUNCTION("""COMPUTED_VALUE"""),159.28)</f>
        <v>159.28</v>
      </c>
      <c r="F306" s="1">
        <f ca="1">IFERROR(__xludf.DUMMYFUNCTION("""COMPUTED_VALUE"""),73938285)</f>
        <v>73938285</v>
      </c>
    </row>
    <row r="307" spans="1:6" ht="12.6">
      <c r="A307" s="2">
        <f ca="1">IFERROR(__xludf.DUMMYFUNCTION("""COMPUTED_VALUE"""),45007.6666666666)</f>
        <v>45007.666666666599</v>
      </c>
      <c r="B307" s="1">
        <f ca="1">IFERROR(__xludf.DUMMYFUNCTION("""COMPUTED_VALUE"""),159.3)</f>
        <v>159.30000000000001</v>
      </c>
      <c r="C307" s="1">
        <f ca="1">IFERROR(__xludf.DUMMYFUNCTION("""COMPUTED_VALUE"""),162.14)</f>
        <v>162.13999999999999</v>
      </c>
      <c r="D307" s="1">
        <f ca="1">IFERROR(__xludf.DUMMYFUNCTION("""COMPUTED_VALUE"""),157.81)</f>
        <v>157.81</v>
      </c>
      <c r="E307" s="1">
        <f ca="1">IFERROR(__xludf.DUMMYFUNCTION("""COMPUTED_VALUE"""),157.83)</f>
        <v>157.83000000000001</v>
      </c>
      <c r="F307" s="1">
        <f ca="1">IFERROR(__xludf.DUMMYFUNCTION("""COMPUTED_VALUE"""),75701811)</f>
        <v>75701811</v>
      </c>
    </row>
    <row r="308" spans="1:6" ht="12.6">
      <c r="A308" s="2">
        <f ca="1">IFERROR(__xludf.DUMMYFUNCTION("""COMPUTED_VALUE"""),45008.6666666666)</f>
        <v>45008.666666666599</v>
      </c>
      <c r="B308" s="1">
        <f ca="1">IFERROR(__xludf.DUMMYFUNCTION("""COMPUTED_VALUE"""),158.83)</f>
        <v>158.83000000000001</v>
      </c>
      <c r="C308" s="1">
        <f ca="1">IFERROR(__xludf.DUMMYFUNCTION("""COMPUTED_VALUE"""),161.55)</f>
        <v>161.55000000000001</v>
      </c>
      <c r="D308" s="1">
        <f ca="1">IFERROR(__xludf.DUMMYFUNCTION("""COMPUTED_VALUE"""),157.68)</f>
        <v>157.68</v>
      </c>
      <c r="E308" s="1">
        <f ca="1">IFERROR(__xludf.DUMMYFUNCTION("""COMPUTED_VALUE"""),158.93)</f>
        <v>158.93</v>
      </c>
      <c r="F308" s="1">
        <f ca="1">IFERROR(__xludf.DUMMYFUNCTION("""COMPUTED_VALUE"""),67622060)</f>
        <v>67622060</v>
      </c>
    </row>
    <row r="309" spans="1:6" ht="12.6">
      <c r="A309" s="2">
        <f ca="1">IFERROR(__xludf.DUMMYFUNCTION("""COMPUTED_VALUE"""),45009.6666666666)</f>
        <v>45009.666666666599</v>
      </c>
      <c r="B309" s="1">
        <f ca="1">IFERROR(__xludf.DUMMYFUNCTION("""COMPUTED_VALUE"""),158.86)</f>
        <v>158.86000000000001</v>
      </c>
      <c r="C309" s="1">
        <f ca="1">IFERROR(__xludf.DUMMYFUNCTION("""COMPUTED_VALUE"""),160.34)</f>
        <v>160.34</v>
      </c>
      <c r="D309" s="1">
        <f ca="1">IFERROR(__xludf.DUMMYFUNCTION("""COMPUTED_VALUE"""),157.85)</f>
        <v>157.85</v>
      </c>
      <c r="E309" s="1">
        <f ca="1">IFERROR(__xludf.DUMMYFUNCTION("""COMPUTED_VALUE"""),160.25)</f>
        <v>160.25</v>
      </c>
      <c r="F309" s="1">
        <f ca="1">IFERROR(__xludf.DUMMYFUNCTION("""COMPUTED_VALUE"""),59256343)</f>
        <v>59256343</v>
      </c>
    </row>
    <row r="310" spans="1:6" ht="12.6">
      <c r="A310" s="2">
        <f ca="1">IFERROR(__xludf.DUMMYFUNCTION("""COMPUTED_VALUE"""),45012.6666666666)</f>
        <v>45012.666666666599</v>
      </c>
      <c r="B310" s="1">
        <f ca="1">IFERROR(__xludf.DUMMYFUNCTION("""COMPUTED_VALUE"""),159.94)</f>
        <v>159.94</v>
      </c>
      <c r="C310" s="1">
        <f ca="1">IFERROR(__xludf.DUMMYFUNCTION("""COMPUTED_VALUE"""),160.77)</f>
        <v>160.77000000000001</v>
      </c>
      <c r="D310" s="1">
        <f ca="1">IFERROR(__xludf.DUMMYFUNCTION("""COMPUTED_VALUE"""),157.87)</f>
        <v>157.87</v>
      </c>
      <c r="E310" s="1">
        <f ca="1">IFERROR(__xludf.DUMMYFUNCTION("""COMPUTED_VALUE"""),158.28)</f>
        <v>158.28</v>
      </c>
      <c r="F310" s="1">
        <f ca="1">IFERROR(__xludf.DUMMYFUNCTION("""COMPUTED_VALUE"""),52390266)</f>
        <v>52390266</v>
      </c>
    </row>
    <row r="311" spans="1:6" ht="12.6">
      <c r="A311" s="2">
        <f ca="1">IFERROR(__xludf.DUMMYFUNCTION("""COMPUTED_VALUE"""),45013.6666666666)</f>
        <v>45013.666666666599</v>
      </c>
      <c r="B311" s="1">
        <f ca="1">IFERROR(__xludf.DUMMYFUNCTION("""COMPUTED_VALUE"""),157.97)</f>
        <v>157.97</v>
      </c>
      <c r="C311" s="1">
        <f ca="1">IFERROR(__xludf.DUMMYFUNCTION("""COMPUTED_VALUE"""),158.49)</f>
        <v>158.49</v>
      </c>
      <c r="D311" s="1">
        <f ca="1">IFERROR(__xludf.DUMMYFUNCTION("""COMPUTED_VALUE"""),155.98)</f>
        <v>155.97999999999999</v>
      </c>
      <c r="E311" s="1">
        <f ca="1">IFERROR(__xludf.DUMMYFUNCTION("""COMPUTED_VALUE"""),157.65)</f>
        <v>157.65</v>
      </c>
      <c r="F311" s="1">
        <f ca="1">IFERROR(__xludf.DUMMYFUNCTION("""COMPUTED_VALUE"""),45992152)</f>
        <v>45992152</v>
      </c>
    </row>
    <row r="312" spans="1:6" ht="12.6">
      <c r="A312" s="2">
        <f ca="1">IFERROR(__xludf.DUMMYFUNCTION("""COMPUTED_VALUE"""),45014.6666666666)</f>
        <v>45014.666666666599</v>
      </c>
      <c r="B312" s="1">
        <f ca="1">IFERROR(__xludf.DUMMYFUNCTION("""COMPUTED_VALUE"""),159.37)</f>
        <v>159.37</v>
      </c>
      <c r="C312" s="1">
        <f ca="1">IFERROR(__xludf.DUMMYFUNCTION("""COMPUTED_VALUE"""),161.05)</f>
        <v>161.05000000000001</v>
      </c>
      <c r="D312" s="1">
        <f ca="1">IFERROR(__xludf.DUMMYFUNCTION("""COMPUTED_VALUE"""),159.35)</f>
        <v>159.35</v>
      </c>
      <c r="E312" s="1">
        <f ca="1">IFERROR(__xludf.DUMMYFUNCTION("""COMPUTED_VALUE"""),160.77)</f>
        <v>160.77000000000001</v>
      </c>
      <c r="F312" s="1">
        <f ca="1">IFERROR(__xludf.DUMMYFUNCTION("""COMPUTED_VALUE"""),51305691)</f>
        <v>51305691</v>
      </c>
    </row>
    <row r="313" spans="1:6" ht="12.6">
      <c r="A313" s="2">
        <f ca="1">IFERROR(__xludf.DUMMYFUNCTION("""COMPUTED_VALUE"""),45015.6666666666)</f>
        <v>45015.666666666599</v>
      </c>
      <c r="B313" s="1">
        <f ca="1">IFERROR(__xludf.DUMMYFUNCTION("""COMPUTED_VALUE"""),161.53)</f>
        <v>161.53</v>
      </c>
      <c r="C313" s="1">
        <f ca="1">IFERROR(__xludf.DUMMYFUNCTION("""COMPUTED_VALUE"""),162.47)</f>
        <v>162.47</v>
      </c>
      <c r="D313" s="1">
        <f ca="1">IFERROR(__xludf.DUMMYFUNCTION("""COMPUTED_VALUE"""),161.27)</f>
        <v>161.27000000000001</v>
      </c>
      <c r="E313" s="1">
        <f ca="1">IFERROR(__xludf.DUMMYFUNCTION("""COMPUTED_VALUE"""),162.36)</f>
        <v>162.36000000000001</v>
      </c>
      <c r="F313" s="1">
        <f ca="1">IFERROR(__xludf.DUMMYFUNCTION("""COMPUTED_VALUE"""),49501689)</f>
        <v>49501689</v>
      </c>
    </row>
    <row r="314" spans="1:6" ht="12.6">
      <c r="A314" s="2">
        <f ca="1">IFERROR(__xludf.DUMMYFUNCTION("""COMPUTED_VALUE"""),45016.6666666666)</f>
        <v>45016.666666666599</v>
      </c>
      <c r="B314" s="1">
        <f ca="1">IFERROR(__xludf.DUMMYFUNCTION("""COMPUTED_VALUE"""),162.44)</f>
        <v>162.44</v>
      </c>
      <c r="C314" s="1">
        <f ca="1">IFERROR(__xludf.DUMMYFUNCTION("""COMPUTED_VALUE"""),165)</f>
        <v>165</v>
      </c>
      <c r="D314" s="1">
        <f ca="1">IFERROR(__xludf.DUMMYFUNCTION("""COMPUTED_VALUE"""),161.91)</f>
        <v>161.91</v>
      </c>
      <c r="E314" s="1">
        <f ca="1">IFERROR(__xludf.DUMMYFUNCTION("""COMPUTED_VALUE"""),164.9)</f>
        <v>164.9</v>
      </c>
      <c r="F314" s="1">
        <f ca="1">IFERROR(__xludf.DUMMYFUNCTION("""COMPUTED_VALUE"""),68749792)</f>
        <v>68749792</v>
      </c>
    </row>
    <row r="315" spans="1:6" ht="12.6">
      <c r="A315" s="2">
        <f ca="1">IFERROR(__xludf.DUMMYFUNCTION("""COMPUTED_VALUE"""),45019.6666666666)</f>
        <v>45019.666666666599</v>
      </c>
      <c r="B315" s="1">
        <f ca="1">IFERROR(__xludf.DUMMYFUNCTION("""COMPUTED_VALUE"""),164.27)</f>
        <v>164.27</v>
      </c>
      <c r="C315" s="1">
        <f ca="1">IFERROR(__xludf.DUMMYFUNCTION("""COMPUTED_VALUE"""),166.29)</f>
        <v>166.29</v>
      </c>
      <c r="D315" s="1">
        <f ca="1">IFERROR(__xludf.DUMMYFUNCTION("""COMPUTED_VALUE"""),164.22)</f>
        <v>164.22</v>
      </c>
      <c r="E315" s="1">
        <f ca="1">IFERROR(__xludf.DUMMYFUNCTION("""COMPUTED_VALUE"""),166.17)</f>
        <v>166.17</v>
      </c>
      <c r="F315" s="1">
        <f ca="1">IFERROR(__xludf.DUMMYFUNCTION("""COMPUTED_VALUE"""),56976187)</f>
        <v>56976187</v>
      </c>
    </row>
    <row r="316" spans="1:6" ht="12.6">
      <c r="A316" s="2">
        <f ca="1">IFERROR(__xludf.DUMMYFUNCTION("""COMPUTED_VALUE"""),45020.6666666666)</f>
        <v>45020.666666666599</v>
      </c>
      <c r="B316" s="1">
        <f ca="1">IFERROR(__xludf.DUMMYFUNCTION("""COMPUTED_VALUE"""),166.6)</f>
        <v>166.6</v>
      </c>
      <c r="C316" s="1">
        <f ca="1">IFERROR(__xludf.DUMMYFUNCTION("""COMPUTED_VALUE"""),166.84)</f>
        <v>166.84</v>
      </c>
      <c r="D316" s="1">
        <f ca="1">IFERROR(__xludf.DUMMYFUNCTION("""COMPUTED_VALUE"""),165.11)</f>
        <v>165.11</v>
      </c>
      <c r="E316" s="1">
        <f ca="1">IFERROR(__xludf.DUMMYFUNCTION("""COMPUTED_VALUE"""),165.63)</f>
        <v>165.63</v>
      </c>
      <c r="F316" s="1">
        <f ca="1">IFERROR(__xludf.DUMMYFUNCTION("""COMPUTED_VALUE"""),46278295)</f>
        <v>46278295</v>
      </c>
    </row>
    <row r="317" spans="1:6" ht="12.6">
      <c r="A317" s="2">
        <f ca="1">IFERROR(__xludf.DUMMYFUNCTION("""COMPUTED_VALUE"""),45021.6666666666)</f>
        <v>45021.666666666599</v>
      </c>
      <c r="B317" s="1">
        <f ca="1">IFERROR(__xludf.DUMMYFUNCTION("""COMPUTED_VALUE"""),164.74)</f>
        <v>164.74</v>
      </c>
      <c r="C317" s="1">
        <f ca="1">IFERROR(__xludf.DUMMYFUNCTION("""COMPUTED_VALUE"""),165.05)</f>
        <v>165.05</v>
      </c>
      <c r="D317" s="1">
        <f ca="1">IFERROR(__xludf.DUMMYFUNCTION("""COMPUTED_VALUE"""),161.8)</f>
        <v>161.80000000000001</v>
      </c>
      <c r="E317" s="1">
        <f ca="1">IFERROR(__xludf.DUMMYFUNCTION("""COMPUTED_VALUE"""),163.76)</f>
        <v>163.76</v>
      </c>
      <c r="F317" s="1">
        <f ca="1">IFERROR(__xludf.DUMMYFUNCTION("""COMPUTED_VALUE"""),51511744)</f>
        <v>51511744</v>
      </c>
    </row>
    <row r="318" spans="1:6" ht="12.6">
      <c r="A318" s="2">
        <f ca="1">IFERROR(__xludf.DUMMYFUNCTION("""COMPUTED_VALUE"""),45022.6666666666)</f>
        <v>45022.666666666599</v>
      </c>
      <c r="B318" s="1">
        <f ca="1">IFERROR(__xludf.DUMMYFUNCTION("""COMPUTED_VALUE"""),162.43)</f>
        <v>162.43</v>
      </c>
      <c r="C318" s="1">
        <f ca="1">IFERROR(__xludf.DUMMYFUNCTION("""COMPUTED_VALUE"""),164.96)</f>
        <v>164.96</v>
      </c>
      <c r="D318" s="1">
        <f ca="1">IFERROR(__xludf.DUMMYFUNCTION("""COMPUTED_VALUE"""),162)</f>
        <v>162</v>
      </c>
      <c r="E318" s="1">
        <f ca="1">IFERROR(__xludf.DUMMYFUNCTION("""COMPUTED_VALUE"""),164.66)</f>
        <v>164.66</v>
      </c>
      <c r="F318" s="1">
        <f ca="1">IFERROR(__xludf.DUMMYFUNCTION("""COMPUTED_VALUE"""),45390123)</f>
        <v>45390123</v>
      </c>
    </row>
    <row r="319" spans="1:6" ht="12.6">
      <c r="A319" s="2">
        <f ca="1">IFERROR(__xludf.DUMMYFUNCTION("""COMPUTED_VALUE"""),45026.6666666666)</f>
        <v>45026.666666666599</v>
      </c>
      <c r="B319" s="1">
        <f ca="1">IFERROR(__xludf.DUMMYFUNCTION("""COMPUTED_VALUE"""),161.42)</f>
        <v>161.41999999999999</v>
      </c>
      <c r="C319" s="1">
        <f ca="1">IFERROR(__xludf.DUMMYFUNCTION("""COMPUTED_VALUE"""),162.03)</f>
        <v>162.03</v>
      </c>
      <c r="D319" s="1">
        <f ca="1">IFERROR(__xludf.DUMMYFUNCTION("""COMPUTED_VALUE"""),160.08)</f>
        <v>160.08000000000001</v>
      </c>
      <c r="E319" s="1">
        <f ca="1">IFERROR(__xludf.DUMMYFUNCTION("""COMPUTED_VALUE"""),162.03)</f>
        <v>162.03</v>
      </c>
      <c r="F319" s="1">
        <f ca="1">IFERROR(__xludf.DUMMYFUNCTION("""COMPUTED_VALUE"""),47716882)</f>
        <v>47716882</v>
      </c>
    </row>
    <row r="320" spans="1:6" ht="12.6">
      <c r="A320" s="2">
        <f ca="1">IFERROR(__xludf.DUMMYFUNCTION("""COMPUTED_VALUE"""),45027.6666666666)</f>
        <v>45027.666666666599</v>
      </c>
      <c r="B320" s="1">
        <f ca="1">IFERROR(__xludf.DUMMYFUNCTION("""COMPUTED_VALUE"""),162.35)</f>
        <v>162.35</v>
      </c>
      <c r="C320" s="1">
        <f ca="1">IFERROR(__xludf.DUMMYFUNCTION("""COMPUTED_VALUE"""),162.36)</f>
        <v>162.36000000000001</v>
      </c>
      <c r="D320" s="1">
        <f ca="1">IFERROR(__xludf.DUMMYFUNCTION("""COMPUTED_VALUE"""),160.51)</f>
        <v>160.51</v>
      </c>
      <c r="E320" s="1">
        <f ca="1">IFERROR(__xludf.DUMMYFUNCTION("""COMPUTED_VALUE"""),160.8)</f>
        <v>160.80000000000001</v>
      </c>
      <c r="F320" s="1">
        <f ca="1">IFERROR(__xludf.DUMMYFUNCTION("""COMPUTED_VALUE"""),47644217)</f>
        <v>47644217</v>
      </c>
    </row>
    <row r="321" spans="1:6" ht="12.6">
      <c r="A321" s="2">
        <f ca="1">IFERROR(__xludf.DUMMYFUNCTION("""COMPUTED_VALUE"""),45028.6666666666)</f>
        <v>45028.666666666599</v>
      </c>
      <c r="B321" s="1">
        <f ca="1">IFERROR(__xludf.DUMMYFUNCTION("""COMPUTED_VALUE"""),161.22)</f>
        <v>161.22</v>
      </c>
      <c r="C321" s="1">
        <f ca="1">IFERROR(__xludf.DUMMYFUNCTION("""COMPUTED_VALUE"""),162.06)</f>
        <v>162.06</v>
      </c>
      <c r="D321" s="1">
        <f ca="1">IFERROR(__xludf.DUMMYFUNCTION("""COMPUTED_VALUE"""),159.78)</f>
        <v>159.78</v>
      </c>
      <c r="E321" s="1">
        <f ca="1">IFERROR(__xludf.DUMMYFUNCTION("""COMPUTED_VALUE"""),160.1)</f>
        <v>160.1</v>
      </c>
      <c r="F321" s="1">
        <f ca="1">IFERROR(__xludf.DUMMYFUNCTION("""COMPUTED_VALUE"""),50133062)</f>
        <v>50133062</v>
      </c>
    </row>
    <row r="322" spans="1:6" ht="12.6">
      <c r="A322" s="2">
        <f ca="1">IFERROR(__xludf.DUMMYFUNCTION("""COMPUTED_VALUE"""),45029.6666666666)</f>
        <v>45029.666666666599</v>
      </c>
      <c r="B322" s="1">
        <f ca="1">IFERROR(__xludf.DUMMYFUNCTION("""COMPUTED_VALUE"""),161.63)</f>
        <v>161.63</v>
      </c>
      <c r="C322" s="1">
        <f ca="1">IFERROR(__xludf.DUMMYFUNCTION("""COMPUTED_VALUE"""),165.8)</f>
        <v>165.8</v>
      </c>
      <c r="D322" s="1">
        <f ca="1">IFERROR(__xludf.DUMMYFUNCTION("""COMPUTED_VALUE"""),161.42)</f>
        <v>161.41999999999999</v>
      </c>
      <c r="E322" s="1">
        <f ca="1">IFERROR(__xludf.DUMMYFUNCTION("""COMPUTED_VALUE"""),165.56)</f>
        <v>165.56</v>
      </c>
      <c r="F322" s="1">
        <f ca="1">IFERROR(__xludf.DUMMYFUNCTION("""COMPUTED_VALUE"""),68445649)</f>
        <v>68445649</v>
      </c>
    </row>
    <row r="323" spans="1:6" ht="12.6">
      <c r="A323" s="2">
        <f ca="1">IFERROR(__xludf.DUMMYFUNCTION("""COMPUTED_VALUE"""),45030.6666666666)</f>
        <v>45030.666666666599</v>
      </c>
      <c r="B323" s="1">
        <f ca="1">IFERROR(__xludf.DUMMYFUNCTION("""COMPUTED_VALUE"""),164.59)</f>
        <v>164.59</v>
      </c>
      <c r="C323" s="1">
        <f ca="1">IFERROR(__xludf.DUMMYFUNCTION("""COMPUTED_VALUE"""),166.32)</f>
        <v>166.32</v>
      </c>
      <c r="D323" s="1">
        <f ca="1">IFERROR(__xludf.DUMMYFUNCTION("""COMPUTED_VALUE"""),163.82)</f>
        <v>163.82</v>
      </c>
      <c r="E323" s="1">
        <f ca="1">IFERROR(__xludf.DUMMYFUNCTION("""COMPUTED_VALUE"""),165.21)</f>
        <v>165.21</v>
      </c>
      <c r="F323" s="1">
        <f ca="1">IFERROR(__xludf.DUMMYFUNCTION("""COMPUTED_VALUE"""),49386480)</f>
        <v>49386480</v>
      </c>
    </row>
    <row r="324" spans="1:6" ht="12.6">
      <c r="A324" s="2">
        <f ca="1">IFERROR(__xludf.DUMMYFUNCTION("""COMPUTED_VALUE"""),45033.6666666666)</f>
        <v>45033.666666666599</v>
      </c>
      <c r="B324" s="1">
        <f ca="1">IFERROR(__xludf.DUMMYFUNCTION("""COMPUTED_VALUE"""),165.09)</f>
        <v>165.09</v>
      </c>
      <c r="C324" s="1">
        <f ca="1">IFERROR(__xludf.DUMMYFUNCTION("""COMPUTED_VALUE"""),165.39)</f>
        <v>165.39</v>
      </c>
      <c r="D324" s="1">
        <f ca="1">IFERROR(__xludf.DUMMYFUNCTION("""COMPUTED_VALUE"""),164.03)</f>
        <v>164.03</v>
      </c>
      <c r="E324" s="1">
        <f ca="1">IFERROR(__xludf.DUMMYFUNCTION("""COMPUTED_VALUE"""),165.23)</f>
        <v>165.23</v>
      </c>
      <c r="F324" s="1">
        <f ca="1">IFERROR(__xludf.DUMMYFUNCTION("""COMPUTED_VALUE"""),41516217)</f>
        <v>41516217</v>
      </c>
    </row>
    <row r="325" spans="1:6" ht="12.6">
      <c r="A325" s="2">
        <f ca="1">IFERROR(__xludf.DUMMYFUNCTION("""COMPUTED_VALUE"""),45034.6666666666)</f>
        <v>45034.666666666599</v>
      </c>
      <c r="B325" s="1">
        <f ca="1">IFERROR(__xludf.DUMMYFUNCTION("""COMPUTED_VALUE"""),166.1)</f>
        <v>166.1</v>
      </c>
      <c r="C325" s="1">
        <f ca="1">IFERROR(__xludf.DUMMYFUNCTION("""COMPUTED_VALUE"""),167.41)</f>
        <v>167.41</v>
      </c>
      <c r="D325" s="1">
        <f ca="1">IFERROR(__xludf.DUMMYFUNCTION("""COMPUTED_VALUE"""),165.65)</f>
        <v>165.65</v>
      </c>
      <c r="E325" s="1">
        <f ca="1">IFERROR(__xludf.DUMMYFUNCTION("""COMPUTED_VALUE"""),166.47)</f>
        <v>166.47</v>
      </c>
      <c r="F325" s="1">
        <f ca="1">IFERROR(__xludf.DUMMYFUNCTION("""COMPUTED_VALUE"""),49923008)</f>
        <v>49923008</v>
      </c>
    </row>
    <row r="326" spans="1:6" ht="12.6">
      <c r="A326" s="2">
        <f ca="1">IFERROR(__xludf.DUMMYFUNCTION("""COMPUTED_VALUE"""),45035.6666666666)</f>
        <v>45035.666666666599</v>
      </c>
      <c r="B326" s="1">
        <f ca="1">IFERROR(__xludf.DUMMYFUNCTION("""COMPUTED_VALUE"""),165.8)</f>
        <v>165.8</v>
      </c>
      <c r="C326" s="1">
        <f ca="1">IFERROR(__xludf.DUMMYFUNCTION("""COMPUTED_VALUE"""),168.16)</f>
        <v>168.16</v>
      </c>
      <c r="D326" s="1">
        <f ca="1">IFERROR(__xludf.DUMMYFUNCTION("""COMPUTED_VALUE"""),165.54)</f>
        <v>165.54</v>
      </c>
      <c r="E326" s="1">
        <f ca="1">IFERROR(__xludf.DUMMYFUNCTION("""COMPUTED_VALUE"""),167.63)</f>
        <v>167.63</v>
      </c>
      <c r="F326" s="1">
        <f ca="1">IFERROR(__xludf.DUMMYFUNCTION("""COMPUTED_VALUE"""),47720166)</f>
        <v>47720166</v>
      </c>
    </row>
    <row r="327" spans="1:6" ht="12.6">
      <c r="A327" s="2">
        <f ca="1">IFERROR(__xludf.DUMMYFUNCTION("""COMPUTED_VALUE"""),45036.6666666666)</f>
        <v>45036.666666666599</v>
      </c>
      <c r="B327" s="1">
        <f ca="1">IFERROR(__xludf.DUMMYFUNCTION("""COMPUTED_VALUE"""),166.09)</f>
        <v>166.09</v>
      </c>
      <c r="C327" s="1">
        <f ca="1">IFERROR(__xludf.DUMMYFUNCTION("""COMPUTED_VALUE"""),167.87)</f>
        <v>167.87</v>
      </c>
      <c r="D327" s="1">
        <f ca="1">IFERROR(__xludf.DUMMYFUNCTION("""COMPUTED_VALUE"""),165.56)</f>
        <v>165.56</v>
      </c>
      <c r="E327" s="1">
        <f ca="1">IFERROR(__xludf.DUMMYFUNCTION("""COMPUTED_VALUE"""),166.65)</f>
        <v>166.65</v>
      </c>
      <c r="F327" s="1">
        <f ca="1">IFERROR(__xludf.DUMMYFUNCTION("""COMPUTED_VALUE"""),52456377)</f>
        <v>52456377</v>
      </c>
    </row>
    <row r="328" spans="1:6" ht="12.6">
      <c r="A328" s="2">
        <f ca="1">IFERROR(__xludf.DUMMYFUNCTION("""COMPUTED_VALUE"""),45037.6666666666)</f>
        <v>45037.666666666599</v>
      </c>
      <c r="B328" s="1">
        <f ca="1">IFERROR(__xludf.DUMMYFUNCTION("""COMPUTED_VALUE"""),165.05)</f>
        <v>165.05</v>
      </c>
      <c r="C328" s="1">
        <f ca="1">IFERROR(__xludf.DUMMYFUNCTION("""COMPUTED_VALUE"""),166.45)</f>
        <v>166.45</v>
      </c>
      <c r="D328" s="1">
        <f ca="1">IFERROR(__xludf.DUMMYFUNCTION("""COMPUTED_VALUE"""),164.49)</f>
        <v>164.49</v>
      </c>
      <c r="E328" s="1">
        <f ca="1">IFERROR(__xludf.DUMMYFUNCTION("""COMPUTED_VALUE"""),165.02)</f>
        <v>165.02</v>
      </c>
      <c r="F328" s="1">
        <f ca="1">IFERROR(__xludf.DUMMYFUNCTION("""COMPUTED_VALUE"""),58337341)</f>
        <v>58337341</v>
      </c>
    </row>
    <row r="329" spans="1:6" ht="12.6">
      <c r="A329" s="2">
        <f ca="1">IFERROR(__xludf.DUMMYFUNCTION("""COMPUTED_VALUE"""),45040.6666666666)</f>
        <v>45040.666666666599</v>
      </c>
      <c r="B329" s="1">
        <f ca="1">IFERROR(__xludf.DUMMYFUNCTION("""COMPUTED_VALUE"""),165)</f>
        <v>165</v>
      </c>
      <c r="C329" s="1">
        <f ca="1">IFERROR(__xludf.DUMMYFUNCTION("""COMPUTED_VALUE"""),165.6)</f>
        <v>165.6</v>
      </c>
      <c r="D329" s="1">
        <f ca="1">IFERROR(__xludf.DUMMYFUNCTION("""COMPUTED_VALUE"""),163.89)</f>
        <v>163.89</v>
      </c>
      <c r="E329" s="1">
        <f ca="1">IFERROR(__xludf.DUMMYFUNCTION("""COMPUTED_VALUE"""),165.33)</f>
        <v>165.33</v>
      </c>
      <c r="F329" s="1">
        <f ca="1">IFERROR(__xludf.DUMMYFUNCTION("""COMPUTED_VALUE"""),41949581)</f>
        <v>41949581</v>
      </c>
    </row>
    <row r="330" spans="1:6" ht="12.6">
      <c r="A330" s="2">
        <f ca="1">IFERROR(__xludf.DUMMYFUNCTION("""COMPUTED_VALUE"""),45041.6666666666)</f>
        <v>45041.666666666599</v>
      </c>
      <c r="B330" s="1">
        <f ca="1">IFERROR(__xludf.DUMMYFUNCTION("""COMPUTED_VALUE"""),165.19)</f>
        <v>165.19</v>
      </c>
      <c r="C330" s="1">
        <f ca="1">IFERROR(__xludf.DUMMYFUNCTION("""COMPUTED_VALUE"""),166.31)</f>
        <v>166.31</v>
      </c>
      <c r="D330" s="1">
        <f ca="1">IFERROR(__xludf.DUMMYFUNCTION("""COMPUTED_VALUE"""),163.73)</f>
        <v>163.72999999999999</v>
      </c>
      <c r="E330" s="1">
        <f ca="1">IFERROR(__xludf.DUMMYFUNCTION("""COMPUTED_VALUE"""),163.77)</f>
        <v>163.77000000000001</v>
      </c>
      <c r="F330" s="1">
        <f ca="1">IFERROR(__xludf.DUMMYFUNCTION("""COMPUTED_VALUE"""),48714063)</f>
        <v>48714063</v>
      </c>
    </row>
    <row r="331" spans="1:6" ht="12.6">
      <c r="A331" s="2">
        <f ca="1">IFERROR(__xludf.DUMMYFUNCTION("""COMPUTED_VALUE"""),45042.6666666666)</f>
        <v>45042.666666666599</v>
      </c>
      <c r="B331" s="1">
        <f ca="1">IFERROR(__xludf.DUMMYFUNCTION("""COMPUTED_VALUE"""),163.06)</f>
        <v>163.06</v>
      </c>
      <c r="C331" s="1">
        <f ca="1">IFERROR(__xludf.DUMMYFUNCTION("""COMPUTED_VALUE"""),165.28)</f>
        <v>165.28</v>
      </c>
      <c r="D331" s="1">
        <f ca="1">IFERROR(__xludf.DUMMYFUNCTION("""COMPUTED_VALUE"""),162.8)</f>
        <v>162.80000000000001</v>
      </c>
      <c r="E331" s="1">
        <f ca="1">IFERROR(__xludf.DUMMYFUNCTION("""COMPUTED_VALUE"""),163.76)</f>
        <v>163.76</v>
      </c>
      <c r="F331" s="1">
        <f ca="1">IFERROR(__xludf.DUMMYFUNCTION("""COMPUTED_VALUE"""),45498796)</f>
        <v>45498796</v>
      </c>
    </row>
    <row r="332" spans="1:6" ht="12.6">
      <c r="A332" s="2">
        <f ca="1">IFERROR(__xludf.DUMMYFUNCTION("""COMPUTED_VALUE"""),45043.6666666666)</f>
        <v>45043.666666666599</v>
      </c>
      <c r="B332" s="1">
        <f ca="1">IFERROR(__xludf.DUMMYFUNCTION("""COMPUTED_VALUE"""),165.19)</f>
        <v>165.19</v>
      </c>
      <c r="C332" s="1">
        <f ca="1">IFERROR(__xludf.DUMMYFUNCTION("""COMPUTED_VALUE"""),168.56)</f>
        <v>168.56</v>
      </c>
      <c r="D332" s="1">
        <f ca="1">IFERROR(__xludf.DUMMYFUNCTION("""COMPUTED_VALUE"""),165.19)</f>
        <v>165.19</v>
      </c>
      <c r="E332" s="1">
        <f ca="1">IFERROR(__xludf.DUMMYFUNCTION("""COMPUTED_VALUE"""),168.41)</f>
        <v>168.41</v>
      </c>
      <c r="F332" s="1">
        <f ca="1">IFERROR(__xludf.DUMMYFUNCTION("""COMPUTED_VALUE"""),64902329)</f>
        <v>64902329</v>
      </c>
    </row>
    <row r="333" spans="1:6" ht="12.6">
      <c r="A333" s="2">
        <f ca="1">IFERROR(__xludf.DUMMYFUNCTION("""COMPUTED_VALUE"""),45044.6666666666)</f>
        <v>45044.666666666599</v>
      </c>
      <c r="B333" s="1">
        <f ca="1">IFERROR(__xludf.DUMMYFUNCTION("""COMPUTED_VALUE"""),168.49)</f>
        <v>168.49</v>
      </c>
      <c r="C333" s="1">
        <f ca="1">IFERROR(__xludf.DUMMYFUNCTION("""COMPUTED_VALUE"""),169.85)</f>
        <v>169.85</v>
      </c>
      <c r="D333" s="1">
        <f ca="1">IFERROR(__xludf.DUMMYFUNCTION("""COMPUTED_VALUE"""),167.88)</f>
        <v>167.88</v>
      </c>
      <c r="E333" s="1">
        <f ca="1">IFERROR(__xludf.DUMMYFUNCTION("""COMPUTED_VALUE"""),169.68)</f>
        <v>169.68</v>
      </c>
      <c r="F333" s="1">
        <f ca="1">IFERROR(__xludf.DUMMYFUNCTION("""COMPUTED_VALUE"""),55275851)</f>
        <v>55275851</v>
      </c>
    </row>
    <row r="334" spans="1:6" ht="12.6">
      <c r="A334" s="2">
        <f ca="1">IFERROR(__xludf.DUMMYFUNCTION("""COMPUTED_VALUE"""),45047.6666666666)</f>
        <v>45047.666666666599</v>
      </c>
      <c r="B334" s="1">
        <f ca="1">IFERROR(__xludf.DUMMYFUNCTION("""COMPUTED_VALUE"""),169.28)</f>
        <v>169.28</v>
      </c>
      <c r="C334" s="1">
        <f ca="1">IFERROR(__xludf.DUMMYFUNCTION("""COMPUTED_VALUE"""),170.45)</f>
        <v>170.45</v>
      </c>
      <c r="D334" s="1">
        <f ca="1">IFERROR(__xludf.DUMMYFUNCTION("""COMPUTED_VALUE"""),168.64)</f>
        <v>168.64</v>
      </c>
      <c r="E334" s="1">
        <f ca="1">IFERROR(__xludf.DUMMYFUNCTION("""COMPUTED_VALUE"""),169.59)</f>
        <v>169.59</v>
      </c>
      <c r="F334" s="1">
        <f ca="1">IFERROR(__xludf.DUMMYFUNCTION("""COMPUTED_VALUE"""),52472936)</f>
        <v>52472936</v>
      </c>
    </row>
    <row r="335" spans="1:6" ht="12.6">
      <c r="A335" s="2">
        <f ca="1">IFERROR(__xludf.DUMMYFUNCTION("""COMPUTED_VALUE"""),45048.6666666666)</f>
        <v>45048.666666666599</v>
      </c>
      <c r="B335" s="1">
        <f ca="1">IFERROR(__xludf.DUMMYFUNCTION("""COMPUTED_VALUE"""),170.09)</f>
        <v>170.09</v>
      </c>
      <c r="C335" s="1">
        <f ca="1">IFERROR(__xludf.DUMMYFUNCTION("""COMPUTED_VALUE"""),170.35)</f>
        <v>170.35</v>
      </c>
      <c r="D335" s="1">
        <f ca="1">IFERROR(__xludf.DUMMYFUNCTION("""COMPUTED_VALUE"""),167.54)</f>
        <v>167.54</v>
      </c>
      <c r="E335" s="1">
        <f ca="1">IFERROR(__xludf.DUMMYFUNCTION("""COMPUTED_VALUE"""),168.54)</f>
        <v>168.54</v>
      </c>
      <c r="F335" s="1">
        <f ca="1">IFERROR(__xludf.DUMMYFUNCTION("""COMPUTED_VALUE"""),48425696)</f>
        <v>48425696</v>
      </c>
    </row>
    <row r="336" spans="1:6" ht="12.6">
      <c r="A336" s="2">
        <f ca="1">IFERROR(__xludf.DUMMYFUNCTION("""COMPUTED_VALUE"""),45049.6666666666)</f>
        <v>45049.666666666599</v>
      </c>
      <c r="B336" s="1">
        <f ca="1">IFERROR(__xludf.DUMMYFUNCTION("""COMPUTED_VALUE"""),169.5)</f>
        <v>169.5</v>
      </c>
      <c r="C336" s="1">
        <f ca="1">IFERROR(__xludf.DUMMYFUNCTION("""COMPUTED_VALUE"""),170.92)</f>
        <v>170.92</v>
      </c>
      <c r="D336" s="1">
        <f ca="1">IFERROR(__xludf.DUMMYFUNCTION("""COMPUTED_VALUE"""),167.16)</f>
        <v>167.16</v>
      </c>
      <c r="E336" s="1">
        <f ca="1">IFERROR(__xludf.DUMMYFUNCTION("""COMPUTED_VALUE"""),167.45)</f>
        <v>167.45</v>
      </c>
      <c r="F336" s="1">
        <f ca="1">IFERROR(__xludf.DUMMYFUNCTION("""COMPUTED_VALUE"""),65136018)</f>
        <v>65136018</v>
      </c>
    </row>
    <row r="337" spans="1:6" ht="12.6">
      <c r="A337" s="2">
        <f ca="1">IFERROR(__xludf.DUMMYFUNCTION("""COMPUTED_VALUE"""),45050.6666666666)</f>
        <v>45050.666666666599</v>
      </c>
      <c r="B337" s="1">
        <f ca="1">IFERROR(__xludf.DUMMYFUNCTION("""COMPUTED_VALUE"""),164.89)</f>
        <v>164.89</v>
      </c>
      <c r="C337" s="1">
        <f ca="1">IFERROR(__xludf.DUMMYFUNCTION("""COMPUTED_VALUE"""),167.04)</f>
        <v>167.04</v>
      </c>
      <c r="D337" s="1">
        <f ca="1">IFERROR(__xludf.DUMMYFUNCTION("""COMPUTED_VALUE"""),164.31)</f>
        <v>164.31</v>
      </c>
      <c r="E337" s="1">
        <f ca="1">IFERROR(__xludf.DUMMYFUNCTION("""COMPUTED_VALUE"""),165.79)</f>
        <v>165.79</v>
      </c>
      <c r="F337" s="1">
        <f ca="1">IFERROR(__xludf.DUMMYFUNCTION("""COMPUTED_VALUE"""),81235427)</f>
        <v>81235427</v>
      </c>
    </row>
    <row r="338" spans="1:6" ht="12.6">
      <c r="A338" s="2">
        <f ca="1">IFERROR(__xludf.DUMMYFUNCTION("""COMPUTED_VALUE"""),45051.6666666666)</f>
        <v>45051.666666666599</v>
      </c>
      <c r="B338" s="1">
        <f ca="1">IFERROR(__xludf.DUMMYFUNCTION("""COMPUTED_VALUE"""),170.98)</f>
        <v>170.98</v>
      </c>
      <c r="C338" s="1">
        <f ca="1">IFERROR(__xludf.DUMMYFUNCTION("""COMPUTED_VALUE"""),174.3)</f>
        <v>174.3</v>
      </c>
      <c r="D338" s="1">
        <f ca="1">IFERROR(__xludf.DUMMYFUNCTION("""COMPUTED_VALUE"""),170.76)</f>
        <v>170.76</v>
      </c>
      <c r="E338" s="1">
        <f ca="1">IFERROR(__xludf.DUMMYFUNCTION("""COMPUTED_VALUE"""),173.57)</f>
        <v>173.57</v>
      </c>
      <c r="F338" s="1">
        <f ca="1">IFERROR(__xludf.DUMMYFUNCTION("""COMPUTED_VALUE"""),113453171)</f>
        <v>113453171</v>
      </c>
    </row>
    <row r="339" spans="1:6" ht="12.6">
      <c r="A339" s="2">
        <f ca="1">IFERROR(__xludf.DUMMYFUNCTION("""COMPUTED_VALUE"""),45054.6666666666)</f>
        <v>45054.666666666599</v>
      </c>
      <c r="B339" s="1">
        <f ca="1">IFERROR(__xludf.DUMMYFUNCTION("""COMPUTED_VALUE"""),172.48)</f>
        <v>172.48</v>
      </c>
      <c r="C339" s="1">
        <f ca="1">IFERROR(__xludf.DUMMYFUNCTION("""COMPUTED_VALUE"""),173.85)</f>
        <v>173.85</v>
      </c>
      <c r="D339" s="1">
        <f ca="1">IFERROR(__xludf.DUMMYFUNCTION("""COMPUTED_VALUE"""),172.11)</f>
        <v>172.11</v>
      </c>
      <c r="E339" s="1">
        <f ca="1">IFERROR(__xludf.DUMMYFUNCTION("""COMPUTED_VALUE"""),173.5)</f>
        <v>173.5</v>
      </c>
      <c r="F339" s="1">
        <f ca="1">IFERROR(__xludf.DUMMYFUNCTION("""COMPUTED_VALUE"""),55962793)</f>
        <v>55962793</v>
      </c>
    </row>
    <row r="340" spans="1:6" ht="12.6">
      <c r="A340" s="2">
        <f ca="1">IFERROR(__xludf.DUMMYFUNCTION("""COMPUTED_VALUE"""),45055.6666666666)</f>
        <v>45055.666666666599</v>
      </c>
      <c r="B340" s="1">
        <f ca="1">IFERROR(__xludf.DUMMYFUNCTION("""COMPUTED_VALUE"""),173.05)</f>
        <v>173.05</v>
      </c>
      <c r="C340" s="1">
        <f ca="1">IFERROR(__xludf.DUMMYFUNCTION("""COMPUTED_VALUE"""),173.54)</f>
        <v>173.54</v>
      </c>
      <c r="D340" s="1">
        <f ca="1">IFERROR(__xludf.DUMMYFUNCTION("""COMPUTED_VALUE"""),171.6)</f>
        <v>171.6</v>
      </c>
      <c r="E340" s="1">
        <f ca="1">IFERROR(__xludf.DUMMYFUNCTION("""COMPUTED_VALUE"""),171.77)</f>
        <v>171.77</v>
      </c>
      <c r="F340" s="1">
        <f ca="1">IFERROR(__xludf.DUMMYFUNCTION("""COMPUTED_VALUE"""),45326874)</f>
        <v>45326874</v>
      </c>
    </row>
    <row r="341" spans="1:6" ht="12.6">
      <c r="A341" s="2">
        <f ca="1">IFERROR(__xludf.DUMMYFUNCTION("""COMPUTED_VALUE"""),45056.6666666666)</f>
        <v>45056.666666666599</v>
      </c>
      <c r="B341" s="1">
        <f ca="1">IFERROR(__xludf.DUMMYFUNCTION("""COMPUTED_VALUE"""),173.02)</f>
        <v>173.02</v>
      </c>
      <c r="C341" s="1">
        <f ca="1">IFERROR(__xludf.DUMMYFUNCTION("""COMPUTED_VALUE"""),174.03)</f>
        <v>174.03</v>
      </c>
      <c r="D341" s="1">
        <f ca="1">IFERROR(__xludf.DUMMYFUNCTION("""COMPUTED_VALUE"""),171.9)</f>
        <v>171.9</v>
      </c>
      <c r="E341" s="1">
        <f ca="1">IFERROR(__xludf.DUMMYFUNCTION("""COMPUTED_VALUE"""),173.56)</f>
        <v>173.56</v>
      </c>
      <c r="F341" s="1">
        <f ca="1">IFERROR(__xludf.DUMMYFUNCTION("""COMPUTED_VALUE"""),53724501)</f>
        <v>53724501</v>
      </c>
    </row>
    <row r="342" spans="1:6" ht="12.6">
      <c r="A342" s="2">
        <f ca="1">IFERROR(__xludf.DUMMYFUNCTION("""COMPUTED_VALUE"""),45057.6666666666)</f>
        <v>45057.666666666599</v>
      </c>
      <c r="B342" s="1">
        <f ca="1">IFERROR(__xludf.DUMMYFUNCTION("""COMPUTED_VALUE"""),173.85)</f>
        <v>173.85</v>
      </c>
      <c r="C342" s="1">
        <f ca="1">IFERROR(__xludf.DUMMYFUNCTION("""COMPUTED_VALUE"""),174.59)</f>
        <v>174.59</v>
      </c>
      <c r="D342" s="1">
        <f ca="1">IFERROR(__xludf.DUMMYFUNCTION("""COMPUTED_VALUE"""),172.17)</f>
        <v>172.17</v>
      </c>
      <c r="E342" s="1">
        <f ca="1">IFERROR(__xludf.DUMMYFUNCTION("""COMPUTED_VALUE"""),173.75)</f>
        <v>173.75</v>
      </c>
      <c r="F342" s="1">
        <f ca="1">IFERROR(__xludf.DUMMYFUNCTION("""COMPUTED_VALUE"""),49514676)</f>
        <v>49514676</v>
      </c>
    </row>
    <row r="343" spans="1:6" ht="12.6">
      <c r="A343" s="2">
        <f ca="1">IFERROR(__xludf.DUMMYFUNCTION("""COMPUTED_VALUE"""),45058.6666666666)</f>
        <v>45058.666666666599</v>
      </c>
      <c r="B343" s="1">
        <f ca="1">IFERROR(__xludf.DUMMYFUNCTION("""COMPUTED_VALUE"""),173.62)</f>
        <v>173.62</v>
      </c>
      <c r="C343" s="1">
        <f ca="1">IFERROR(__xludf.DUMMYFUNCTION("""COMPUTED_VALUE"""),174.06)</f>
        <v>174.06</v>
      </c>
      <c r="D343" s="1">
        <f ca="1">IFERROR(__xludf.DUMMYFUNCTION("""COMPUTED_VALUE"""),171)</f>
        <v>171</v>
      </c>
      <c r="E343" s="1">
        <f ca="1">IFERROR(__xludf.DUMMYFUNCTION("""COMPUTED_VALUE"""),172.57)</f>
        <v>172.57</v>
      </c>
      <c r="F343" s="1">
        <f ca="1">IFERROR(__xludf.DUMMYFUNCTION("""COMPUTED_VALUE"""),45533138)</f>
        <v>45533138</v>
      </c>
    </row>
    <row r="344" spans="1:6" ht="12.6">
      <c r="A344" s="2">
        <f ca="1">IFERROR(__xludf.DUMMYFUNCTION("""COMPUTED_VALUE"""),45061.6666666666)</f>
        <v>45061.666666666599</v>
      </c>
      <c r="B344" s="1">
        <f ca="1">IFERROR(__xludf.DUMMYFUNCTION("""COMPUTED_VALUE"""),173.16)</f>
        <v>173.16</v>
      </c>
      <c r="C344" s="1">
        <f ca="1">IFERROR(__xludf.DUMMYFUNCTION("""COMPUTED_VALUE"""),173.21)</f>
        <v>173.21</v>
      </c>
      <c r="D344" s="1">
        <f ca="1">IFERROR(__xludf.DUMMYFUNCTION("""COMPUTED_VALUE"""),171.47)</f>
        <v>171.47</v>
      </c>
      <c r="E344" s="1">
        <f ca="1">IFERROR(__xludf.DUMMYFUNCTION("""COMPUTED_VALUE"""),172.07)</f>
        <v>172.07</v>
      </c>
      <c r="F344" s="1">
        <f ca="1">IFERROR(__xludf.DUMMYFUNCTION("""COMPUTED_VALUE"""),37266659)</f>
        <v>37266659</v>
      </c>
    </row>
    <row r="345" spans="1:6" ht="12.6">
      <c r="A345" s="2">
        <f ca="1">IFERROR(__xludf.DUMMYFUNCTION("""COMPUTED_VALUE"""),45062.6666666666)</f>
        <v>45062.666666666599</v>
      </c>
      <c r="B345" s="1">
        <f ca="1">IFERROR(__xludf.DUMMYFUNCTION("""COMPUTED_VALUE"""),171.99)</f>
        <v>171.99</v>
      </c>
      <c r="C345" s="1">
        <f ca="1">IFERROR(__xludf.DUMMYFUNCTION("""COMPUTED_VALUE"""),173.14)</f>
        <v>173.14</v>
      </c>
      <c r="D345" s="1">
        <f ca="1">IFERROR(__xludf.DUMMYFUNCTION("""COMPUTED_VALUE"""),171.8)</f>
        <v>171.8</v>
      </c>
      <c r="E345" s="1">
        <f ca="1">IFERROR(__xludf.DUMMYFUNCTION("""COMPUTED_VALUE"""),172.07)</f>
        <v>172.07</v>
      </c>
      <c r="F345" s="1">
        <f ca="1">IFERROR(__xludf.DUMMYFUNCTION("""COMPUTED_VALUE"""),42110293)</f>
        <v>42110293</v>
      </c>
    </row>
    <row r="346" spans="1:6" ht="12.6">
      <c r="A346" s="2">
        <f ca="1">IFERROR(__xludf.DUMMYFUNCTION("""COMPUTED_VALUE"""),45063.6666666666)</f>
        <v>45063.666666666599</v>
      </c>
      <c r="B346" s="1">
        <f ca="1">IFERROR(__xludf.DUMMYFUNCTION("""COMPUTED_VALUE"""),171.71)</f>
        <v>171.71</v>
      </c>
      <c r="C346" s="1">
        <f ca="1">IFERROR(__xludf.DUMMYFUNCTION("""COMPUTED_VALUE"""),172.93)</f>
        <v>172.93</v>
      </c>
      <c r="D346" s="1">
        <f ca="1">IFERROR(__xludf.DUMMYFUNCTION("""COMPUTED_VALUE"""),170.42)</f>
        <v>170.42</v>
      </c>
      <c r="E346" s="1">
        <f ca="1">IFERROR(__xludf.DUMMYFUNCTION("""COMPUTED_VALUE"""),172.69)</f>
        <v>172.69</v>
      </c>
      <c r="F346" s="1">
        <f ca="1">IFERROR(__xludf.DUMMYFUNCTION("""COMPUTED_VALUE"""),57951604)</f>
        <v>57951604</v>
      </c>
    </row>
    <row r="347" spans="1:6" ht="12.6">
      <c r="A347" s="2">
        <f ca="1">IFERROR(__xludf.DUMMYFUNCTION("""COMPUTED_VALUE"""),45064.6666666666)</f>
        <v>45064.666666666599</v>
      </c>
      <c r="B347" s="1">
        <f ca="1">IFERROR(__xludf.DUMMYFUNCTION("""COMPUTED_VALUE"""),173)</f>
        <v>173</v>
      </c>
      <c r="C347" s="1">
        <f ca="1">IFERROR(__xludf.DUMMYFUNCTION("""COMPUTED_VALUE"""),175.24)</f>
        <v>175.24</v>
      </c>
      <c r="D347" s="1">
        <f ca="1">IFERROR(__xludf.DUMMYFUNCTION("""COMPUTED_VALUE"""),172.58)</f>
        <v>172.58</v>
      </c>
      <c r="E347" s="1">
        <f ca="1">IFERROR(__xludf.DUMMYFUNCTION("""COMPUTED_VALUE"""),175.05)</f>
        <v>175.05</v>
      </c>
      <c r="F347" s="1">
        <f ca="1">IFERROR(__xludf.DUMMYFUNCTION("""COMPUTED_VALUE"""),65496657)</f>
        <v>65496657</v>
      </c>
    </row>
    <row r="348" spans="1:6" ht="12.6">
      <c r="A348" s="2">
        <f ca="1">IFERROR(__xludf.DUMMYFUNCTION("""COMPUTED_VALUE"""),45065.6666666666)</f>
        <v>45065.666666666599</v>
      </c>
      <c r="B348" s="1">
        <f ca="1">IFERROR(__xludf.DUMMYFUNCTION("""COMPUTED_VALUE"""),176.39)</f>
        <v>176.39</v>
      </c>
      <c r="C348" s="1">
        <f ca="1">IFERROR(__xludf.DUMMYFUNCTION("""COMPUTED_VALUE"""),176.39)</f>
        <v>176.39</v>
      </c>
      <c r="D348" s="1">
        <f ca="1">IFERROR(__xludf.DUMMYFUNCTION("""COMPUTED_VALUE"""),174.94)</f>
        <v>174.94</v>
      </c>
      <c r="E348" s="1">
        <f ca="1">IFERROR(__xludf.DUMMYFUNCTION("""COMPUTED_VALUE"""),175.16)</f>
        <v>175.16</v>
      </c>
      <c r="F348" s="1">
        <f ca="1">IFERROR(__xludf.DUMMYFUNCTION("""COMPUTED_VALUE"""),55809475)</f>
        <v>55809475</v>
      </c>
    </row>
    <row r="349" spans="1:6" ht="12.6">
      <c r="A349" s="2">
        <f ca="1">IFERROR(__xludf.DUMMYFUNCTION("""COMPUTED_VALUE"""),45068.6666666666)</f>
        <v>45068.666666666599</v>
      </c>
      <c r="B349" s="1">
        <f ca="1">IFERROR(__xludf.DUMMYFUNCTION("""COMPUTED_VALUE"""),173.98)</f>
        <v>173.98</v>
      </c>
      <c r="C349" s="1">
        <f ca="1">IFERROR(__xludf.DUMMYFUNCTION("""COMPUTED_VALUE"""),174.71)</f>
        <v>174.71</v>
      </c>
      <c r="D349" s="1">
        <f ca="1">IFERROR(__xludf.DUMMYFUNCTION("""COMPUTED_VALUE"""),173.45)</f>
        <v>173.45</v>
      </c>
      <c r="E349" s="1">
        <f ca="1">IFERROR(__xludf.DUMMYFUNCTION("""COMPUTED_VALUE"""),174.2)</f>
        <v>174.2</v>
      </c>
      <c r="F349" s="1">
        <f ca="1">IFERROR(__xludf.DUMMYFUNCTION("""COMPUTED_VALUE"""),43570932)</f>
        <v>43570932</v>
      </c>
    </row>
    <row r="350" spans="1:6" ht="12.6">
      <c r="A350" s="2">
        <f ca="1">IFERROR(__xludf.DUMMYFUNCTION("""COMPUTED_VALUE"""),45069.6666666666)</f>
        <v>45069.666666666599</v>
      </c>
      <c r="B350" s="1">
        <f ca="1">IFERROR(__xludf.DUMMYFUNCTION("""COMPUTED_VALUE"""),173.13)</f>
        <v>173.13</v>
      </c>
      <c r="C350" s="1">
        <f ca="1">IFERROR(__xludf.DUMMYFUNCTION("""COMPUTED_VALUE"""),173.38)</f>
        <v>173.38</v>
      </c>
      <c r="D350" s="1">
        <f ca="1">IFERROR(__xludf.DUMMYFUNCTION("""COMPUTED_VALUE"""),171.28)</f>
        <v>171.28</v>
      </c>
      <c r="E350" s="1">
        <f ca="1">IFERROR(__xludf.DUMMYFUNCTION("""COMPUTED_VALUE"""),171.56)</f>
        <v>171.56</v>
      </c>
      <c r="F350" s="1">
        <f ca="1">IFERROR(__xludf.DUMMYFUNCTION("""COMPUTED_VALUE"""),50747263)</f>
        <v>50747263</v>
      </c>
    </row>
    <row r="351" spans="1:6" ht="12.6">
      <c r="A351" s="2">
        <f ca="1">IFERROR(__xludf.DUMMYFUNCTION("""COMPUTED_VALUE"""),45070.6666666666)</f>
        <v>45070.666666666599</v>
      </c>
      <c r="B351" s="1">
        <f ca="1">IFERROR(__xludf.DUMMYFUNCTION("""COMPUTED_VALUE"""),171.09)</f>
        <v>171.09</v>
      </c>
      <c r="C351" s="1">
        <f ca="1">IFERROR(__xludf.DUMMYFUNCTION("""COMPUTED_VALUE"""),172.42)</f>
        <v>172.42</v>
      </c>
      <c r="D351" s="1">
        <f ca="1">IFERROR(__xludf.DUMMYFUNCTION("""COMPUTED_VALUE"""),170.52)</f>
        <v>170.52</v>
      </c>
      <c r="E351" s="1">
        <f ca="1">IFERROR(__xludf.DUMMYFUNCTION("""COMPUTED_VALUE"""),171.84)</f>
        <v>171.84</v>
      </c>
      <c r="F351" s="1">
        <f ca="1">IFERROR(__xludf.DUMMYFUNCTION("""COMPUTED_VALUE"""),45143488)</f>
        <v>45143488</v>
      </c>
    </row>
    <row r="352" spans="1:6" ht="12.6">
      <c r="A352" s="2">
        <f ca="1">IFERROR(__xludf.DUMMYFUNCTION("""COMPUTED_VALUE"""),45071.6666666666)</f>
        <v>45071.666666666599</v>
      </c>
      <c r="B352" s="1">
        <f ca="1">IFERROR(__xludf.DUMMYFUNCTION("""COMPUTED_VALUE"""),172.41)</f>
        <v>172.41</v>
      </c>
      <c r="C352" s="1">
        <f ca="1">IFERROR(__xludf.DUMMYFUNCTION("""COMPUTED_VALUE"""),173.9)</f>
        <v>173.9</v>
      </c>
      <c r="D352" s="1">
        <f ca="1">IFERROR(__xludf.DUMMYFUNCTION("""COMPUTED_VALUE"""),171.69)</f>
        <v>171.69</v>
      </c>
      <c r="E352" s="1">
        <f ca="1">IFERROR(__xludf.DUMMYFUNCTION("""COMPUTED_VALUE"""),172.99)</f>
        <v>172.99</v>
      </c>
      <c r="F352" s="1">
        <f ca="1">IFERROR(__xludf.DUMMYFUNCTION("""COMPUTED_VALUE"""),56058258)</f>
        <v>56058258</v>
      </c>
    </row>
    <row r="353" spans="1:6" ht="12.6">
      <c r="A353" s="2">
        <f ca="1">IFERROR(__xludf.DUMMYFUNCTION("""COMPUTED_VALUE"""),45072.6666666666)</f>
        <v>45072.666666666599</v>
      </c>
      <c r="B353" s="1">
        <f ca="1">IFERROR(__xludf.DUMMYFUNCTION("""COMPUTED_VALUE"""),173.32)</f>
        <v>173.32</v>
      </c>
      <c r="C353" s="1">
        <f ca="1">IFERROR(__xludf.DUMMYFUNCTION("""COMPUTED_VALUE"""),175.77)</f>
        <v>175.77</v>
      </c>
      <c r="D353" s="1">
        <f ca="1">IFERROR(__xludf.DUMMYFUNCTION("""COMPUTED_VALUE"""),173.11)</f>
        <v>173.11</v>
      </c>
      <c r="E353" s="1">
        <f ca="1">IFERROR(__xludf.DUMMYFUNCTION("""COMPUTED_VALUE"""),175.43)</f>
        <v>175.43</v>
      </c>
      <c r="F353" s="1">
        <f ca="1">IFERROR(__xludf.DUMMYFUNCTION("""COMPUTED_VALUE"""),54834975)</f>
        <v>54834975</v>
      </c>
    </row>
    <row r="354" spans="1:6" ht="12.6">
      <c r="A354" s="2">
        <f ca="1">IFERROR(__xludf.DUMMYFUNCTION("""COMPUTED_VALUE"""),45076.6666666666)</f>
        <v>45076.666666666599</v>
      </c>
      <c r="B354" s="1">
        <f ca="1">IFERROR(__xludf.DUMMYFUNCTION("""COMPUTED_VALUE"""),176.96)</f>
        <v>176.96</v>
      </c>
      <c r="C354" s="1">
        <f ca="1">IFERROR(__xludf.DUMMYFUNCTION("""COMPUTED_VALUE"""),178.99)</f>
        <v>178.99</v>
      </c>
      <c r="D354" s="1">
        <f ca="1">IFERROR(__xludf.DUMMYFUNCTION("""COMPUTED_VALUE"""),176.57)</f>
        <v>176.57</v>
      </c>
      <c r="E354" s="1">
        <f ca="1">IFERROR(__xludf.DUMMYFUNCTION("""COMPUTED_VALUE"""),177.3)</f>
        <v>177.3</v>
      </c>
      <c r="F354" s="1">
        <f ca="1">IFERROR(__xludf.DUMMYFUNCTION("""COMPUTED_VALUE"""),55964401)</f>
        <v>55964401</v>
      </c>
    </row>
    <row r="355" spans="1:6" ht="12.6">
      <c r="A355" s="2">
        <f ca="1">IFERROR(__xludf.DUMMYFUNCTION("""COMPUTED_VALUE"""),45077.6666666666)</f>
        <v>45077.666666666599</v>
      </c>
      <c r="B355" s="1">
        <f ca="1">IFERROR(__xludf.DUMMYFUNCTION("""COMPUTED_VALUE"""),177.33)</f>
        <v>177.33</v>
      </c>
      <c r="C355" s="1">
        <f ca="1">IFERROR(__xludf.DUMMYFUNCTION("""COMPUTED_VALUE"""),179.35)</f>
        <v>179.35</v>
      </c>
      <c r="D355" s="1">
        <f ca="1">IFERROR(__xludf.DUMMYFUNCTION("""COMPUTED_VALUE"""),176.76)</f>
        <v>176.76</v>
      </c>
      <c r="E355" s="1">
        <f ca="1">IFERROR(__xludf.DUMMYFUNCTION("""COMPUTED_VALUE"""),177.25)</f>
        <v>177.25</v>
      </c>
      <c r="F355" s="1">
        <f ca="1">IFERROR(__xludf.DUMMYFUNCTION("""COMPUTED_VALUE"""),99625288)</f>
        <v>99625288</v>
      </c>
    </row>
    <row r="356" spans="1:6" ht="12.6">
      <c r="A356" s="2">
        <f ca="1">IFERROR(__xludf.DUMMYFUNCTION("""COMPUTED_VALUE"""),45078.6666666666)</f>
        <v>45078.666666666599</v>
      </c>
      <c r="B356" s="1">
        <f ca="1">IFERROR(__xludf.DUMMYFUNCTION("""COMPUTED_VALUE"""),177.7)</f>
        <v>177.7</v>
      </c>
      <c r="C356" s="1">
        <f ca="1">IFERROR(__xludf.DUMMYFUNCTION("""COMPUTED_VALUE"""),180.12)</f>
        <v>180.12</v>
      </c>
      <c r="D356" s="1">
        <f ca="1">IFERROR(__xludf.DUMMYFUNCTION("""COMPUTED_VALUE"""),176.93)</f>
        <v>176.93</v>
      </c>
      <c r="E356" s="1">
        <f ca="1">IFERROR(__xludf.DUMMYFUNCTION("""COMPUTED_VALUE"""),180.09)</f>
        <v>180.09</v>
      </c>
      <c r="F356" s="1">
        <f ca="1">IFERROR(__xludf.DUMMYFUNCTION("""COMPUTED_VALUE"""),68901809)</f>
        <v>68901809</v>
      </c>
    </row>
    <row r="357" spans="1:6" ht="12.6">
      <c r="A357" s="2">
        <f ca="1">IFERROR(__xludf.DUMMYFUNCTION("""COMPUTED_VALUE"""),45079.6666666666)</f>
        <v>45079.666666666599</v>
      </c>
      <c r="B357" s="1">
        <f ca="1">IFERROR(__xludf.DUMMYFUNCTION("""COMPUTED_VALUE"""),181.03)</f>
        <v>181.03</v>
      </c>
      <c r="C357" s="1">
        <f ca="1">IFERROR(__xludf.DUMMYFUNCTION("""COMPUTED_VALUE"""),181.78)</f>
        <v>181.78</v>
      </c>
      <c r="D357" s="1">
        <f ca="1">IFERROR(__xludf.DUMMYFUNCTION("""COMPUTED_VALUE"""),179.26)</f>
        <v>179.26</v>
      </c>
      <c r="E357" s="1">
        <f ca="1">IFERROR(__xludf.DUMMYFUNCTION("""COMPUTED_VALUE"""),180.95)</f>
        <v>180.95</v>
      </c>
      <c r="F357" s="1">
        <f ca="1">IFERROR(__xludf.DUMMYFUNCTION("""COMPUTED_VALUE"""),61996913)</f>
        <v>61996913</v>
      </c>
    </row>
    <row r="358" spans="1:6" ht="12.6">
      <c r="A358" s="2">
        <f ca="1">IFERROR(__xludf.DUMMYFUNCTION("""COMPUTED_VALUE"""),45082.6666666666)</f>
        <v>45082.666666666599</v>
      </c>
      <c r="B358" s="1">
        <f ca="1">IFERROR(__xludf.DUMMYFUNCTION("""COMPUTED_VALUE"""),182.63)</f>
        <v>182.63</v>
      </c>
      <c r="C358" s="1">
        <f ca="1">IFERROR(__xludf.DUMMYFUNCTION("""COMPUTED_VALUE"""),184.95)</f>
        <v>184.95</v>
      </c>
      <c r="D358" s="1">
        <f ca="1">IFERROR(__xludf.DUMMYFUNCTION("""COMPUTED_VALUE"""),178.04)</f>
        <v>178.04</v>
      </c>
      <c r="E358" s="1">
        <f ca="1">IFERROR(__xludf.DUMMYFUNCTION("""COMPUTED_VALUE"""),179.58)</f>
        <v>179.58</v>
      </c>
      <c r="F358" s="1">
        <f ca="1">IFERROR(__xludf.DUMMYFUNCTION("""COMPUTED_VALUE"""),121946497)</f>
        <v>121946497</v>
      </c>
    </row>
    <row r="359" spans="1:6" ht="12.6">
      <c r="A359" s="2">
        <f ca="1">IFERROR(__xludf.DUMMYFUNCTION("""COMPUTED_VALUE"""),45083.6666666666)</f>
        <v>45083.666666666599</v>
      </c>
      <c r="B359" s="1">
        <f ca="1">IFERROR(__xludf.DUMMYFUNCTION("""COMPUTED_VALUE"""),179.97)</f>
        <v>179.97</v>
      </c>
      <c r="C359" s="1">
        <f ca="1">IFERROR(__xludf.DUMMYFUNCTION("""COMPUTED_VALUE"""),180.12)</f>
        <v>180.12</v>
      </c>
      <c r="D359" s="1">
        <f ca="1">IFERROR(__xludf.DUMMYFUNCTION("""COMPUTED_VALUE"""),177.43)</f>
        <v>177.43</v>
      </c>
      <c r="E359" s="1">
        <f ca="1">IFERROR(__xludf.DUMMYFUNCTION("""COMPUTED_VALUE"""),179.21)</f>
        <v>179.21</v>
      </c>
      <c r="F359" s="1">
        <f ca="1">IFERROR(__xludf.DUMMYFUNCTION("""COMPUTED_VALUE"""),64848374)</f>
        <v>64848374</v>
      </c>
    </row>
    <row r="360" spans="1:6" ht="12.6">
      <c r="A360" s="2">
        <f ca="1">IFERROR(__xludf.DUMMYFUNCTION("""COMPUTED_VALUE"""),45084.6666666666)</f>
        <v>45084.666666666599</v>
      </c>
      <c r="B360" s="1">
        <f ca="1">IFERROR(__xludf.DUMMYFUNCTION("""COMPUTED_VALUE"""),178.44)</f>
        <v>178.44</v>
      </c>
      <c r="C360" s="1">
        <f ca="1">IFERROR(__xludf.DUMMYFUNCTION("""COMPUTED_VALUE"""),181.21)</f>
        <v>181.21</v>
      </c>
      <c r="D360" s="1">
        <f ca="1">IFERROR(__xludf.DUMMYFUNCTION("""COMPUTED_VALUE"""),177.32)</f>
        <v>177.32</v>
      </c>
      <c r="E360" s="1">
        <f ca="1">IFERROR(__xludf.DUMMYFUNCTION("""COMPUTED_VALUE"""),177.82)</f>
        <v>177.82</v>
      </c>
      <c r="F360" s="1">
        <f ca="1">IFERROR(__xludf.DUMMYFUNCTION("""COMPUTED_VALUE"""),61944615)</f>
        <v>61944615</v>
      </c>
    </row>
    <row r="361" spans="1:6" ht="12.6">
      <c r="A361" s="2">
        <f ca="1">IFERROR(__xludf.DUMMYFUNCTION("""COMPUTED_VALUE"""),45085.6666666666)</f>
        <v>45085.666666666599</v>
      </c>
      <c r="B361" s="1">
        <f ca="1">IFERROR(__xludf.DUMMYFUNCTION("""COMPUTED_VALUE"""),177.9)</f>
        <v>177.9</v>
      </c>
      <c r="C361" s="1">
        <f ca="1">IFERROR(__xludf.DUMMYFUNCTION("""COMPUTED_VALUE"""),180.84)</f>
        <v>180.84</v>
      </c>
      <c r="D361" s="1">
        <f ca="1">IFERROR(__xludf.DUMMYFUNCTION("""COMPUTED_VALUE"""),177.46)</f>
        <v>177.46</v>
      </c>
      <c r="E361" s="1">
        <f ca="1">IFERROR(__xludf.DUMMYFUNCTION("""COMPUTED_VALUE"""),180.57)</f>
        <v>180.57</v>
      </c>
      <c r="F361" s="1">
        <f ca="1">IFERROR(__xludf.DUMMYFUNCTION("""COMPUTED_VALUE"""),50214881)</f>
        <v>50214881</v>
      </c>
    </row>
    <row r="362" spans="1:6" ht="12.6">
      <c r="A362" s="2">
        <f ca="1">IFERROR(__xludf.DUMMYFUNCTION("""COMPUTED_VALUE"""),45086.6666666666)</f>
        <v>45086.666666666599</v>
      </c>
      <c r="B362" s="1">
        <f ca="1">IFERROR(__xludf.DUMMYFUNCTION("""COMPUTED_VALUE"""),181.5)</f>
        <v>181.5</v>
      </c>
      <c r="C362" s="1">
        <f ca="1">IFERROR(__xludf.DUMMYFUNCTION("""COMPUTED_VALUE"""),182.23)</f>
        <v>182.23</v>
      </c>
      <c r="D362" s="1">
        <f ca="1">IFERROR(__xludf.DUMMYFUNCTION("""COMPUTED_VALUE"""),180.63)</f>
        <v>180.63</v>
      </c>
      <c r="E362" s="1">
        <f ca="1">IFERROR(__xludf.DUMMYFUNCTION("""COMPUTED_VALUE"""),180.96)</f>
        <v>180.96</v>
      </c>
      <c r="F362" s="1">
        <f ca="1">IFERROR(__xludf.DUMMYFUNCTION("""COMPUTED_VALUE"""),48899973)</f>
        <v>48899973</v>
      </c>
    </row>
    <row r="363" spans="1:6" ht="12.6">
      <c r="A363" s="2">
        <f ca="1">IFERROR(__xludf.DUMMYFUNCTION("""COMPUTED_VALUE"""),45089.6666666666)</f>
        <v>45089.666666666599</v>
      </c>
      <c r="B363" s="1">
        <f ca="1">IFERROR(__xludf.DUMMYFUNCTION("""COMPUTED_VALUE"""),181.27)</f>
        <v>181.27</v>
      </c>
      <c r="C363" s="1">
        <f ca="1">IFERROR(__xludf.DUMMYFUNCTION("""COMPUTED_VALUE"""),183.89)</f>
        <v>183.89</v>
      </c>
      <c r="D363" s="1">
        <f ca="1">IFERROR(__xludf.DUMMYFUNCTION("""COMPUTED_VALUE"""),180.97)</f>
        <v>180.97</v>
      </c>
      <c r="E363" s="1">
        <f ca="1">IFERROR(__xludf.DUMMYFUNCTION("""COMPUTED_VALUE"""),183.79)</f>
        <v>183.79</v>
      </c>
      <c r="F363" s="1">
        <f ca="1">IFERROR(__xludf.DUMMYFUNCTION("""COMPUTED_VALUE"""),54754995)</f>
        <v>54754995</v>
      </c>
    </row>
    <row r="364" spans="1:6" ht="12.6">
      <c r="A364" s="2">
        <f ca="1">IFERROR(__xludf.DUMMYFUNCTION("""COMPUTED_VALUE"""),45090.6666666666)</f>
        <v>45090.666666666599</v>
      </c>
      <c r="B364" s="1">
        <f ca="1">IFERROR(__xludf.DUMMYFUNCTION("""COMPUTED_VALUE"""),182.8)</f>
        <v>182.8</v>
      </c>
      <c r="C364" s="1">
        <f ca="1">IFERROR(__xludf.DUMMYFUNCTION("""COMPUTED_VALUE"""),184.15)</f>
        <v>184.15</v>
      </c>
      <c r="D364" s="1">
        <f ca="1">IFERROR(__xludf.DUMMYFUNCTION("""COMPUTED_VALUE"""),182.44)</f>
        <v>182.44</v>
      </c>
      <c r="E364" s="1">
        <f ca="1">IFERROR(__xludf.DUMMYFUNCTION("""COMPUTED_VALUE"""),183.31)</f>
        <v>183.31</v>
      </c>
      <c r="F364" s="1">
        <f ca="1">IFERROR(__xludf.DUMMYFUNCTION("""COMPUTED_VALUE"""),54929129)</f>
        <v>54929129</v>
      </c>
    </row>
    <row r="365" spans="1:6" ht="12.6">
      <c r="A365" s="2">
        <f ca="1">IFERROR(__xludf.DUMMYFUNCTION("""COMPUTED_VALUE"""),45091.6666666666)</f>
        <v>45091.666666666599</v>
      </c>
      <c r="B365" s="1">
        <f ca="1">IFERROR(__xludf.DUMMYFUNCTION("""COMPUTED_VALUE"""),183.37)</f>
        <v>183.37</v>
      </c>
      <c r="C365" s="1">
        <f ca="1">IFERROR(__xludf.DUMMYFUNCTION("""COMPUTED_VALUE"""),184.39)</f>
        <v>184.39</v>
      </c>
      <c r="D365" s="1">
        <f ca="1">IFERROR(__xludf.DUMMYFUNCTION("""COMPUTED_VALUE"""),182.02)</f>
        <v>182.02</v>
      </c>
      <c r="E365" s="1">
        <f ca="1">IFERROR(__xludf.DUMMYFUNCTION("""COMPUTED_VALUE"""),183.95)</f>
        <v>183.95</v>
      </c>
      <c r="F365" s="1">
        <f ca="1">IFERROR(__xludf.DUMMYFUNCTION("""COMPUTED_VALUE"""),57462882)</f>
        <v>57462882</v>
      </c>
    </row>
    <row r="366" spans="1:6" ht="12.6">
      <c r="A366" s="2">
        <f ca="1">IFERROR(__xludf.DUMMYFUNCTION("""COMPUTED_VALUE"""),45092.6666666666)</f>
        <v>45092.666666666599</v>
      </c>
      <c r="B366" s="1">
        <f ca="1">IFERROR(__xludf.DUMMYFUNCTION("""COMPUTED_VALUE"""),183.96)</f>
        <v>183.96</v>
      </c>
      <c r="C366" s="1">
        <f ca="1">IFERROR(__xludf.DUMMYFUNCTION("""COMPUTED_VALUE"""),186.52)</f>
        <v>186.52</v>
      </c>
      <c r="D366" s="1">
        <f ca="1">IFERROR(__xludf.DUMMYFUNCTION("""COMPUTED_VALUE"""),183.78)</f>
        <v>183.78</v>
      </c>
      <c r="E366" s="1">
        <f ca="1">IFERROR(__xludf.DUMMYFUNCTION("""COMPUTED_VALUE"""),186.01)</f>
        <v>186.01</v>
      </c>
      <c r="F366" s="1">
        <f ca="1">IFERROR(__xludf.DUMMYFUNCTION("""COMPUTED_VALUE"""),65433166)</f>
        <v>65433166</v>
      </c>
    </row>
    <row r="367" spans="1:6" ht="12.6">
      <c r="A367" s="2">
        <f ca="1">IFERROR(__xludf.DUMMYFUNCTION("""COMPUTED_VALUE"""),45093.6666666666)</f>
        <v>45093.666666666599</v>
      </c>
      <c r="B367" s="1">
        <f ca="1">IFERROR(__xludf.DUMMYFUNCTION("""COMPUTED_VALUE"""),186.73)</f>
        <v>186.73</v>
      </c>
      <c r="C367" s="1">
        <f ca="1">IFERROR(__xludf.DUMMYFUNCTION("""COMPUTED_VALUE"""),186.99)</f>
        <v>186.99</v>
      </c>
      <c r="D367" s="1">
        <f ca="1">IFERROR(__xludf.DUMMYFUNCTION("""COMPUTED_VALUE"""),184.27)</f>
        <v>184.27</v>
      </c>
      <c r="E367" s="1">
        <f ca="1">IFERROR(__xludf.DUMMYFUNCTION("""COMPUTED_VALUE"""),184.92)</f>
        <v>184.92</v>
      </c>
      <c r="F367" s="1">
        <f ca="1">IFERROR(__xludf.DUMMYFUNCTION("""COMPUTED_VALUE"""),101256225)</f>
        <v>101256225</v>
      </c>
    </row>
    <row r="368" spans="1:6" ht="12.6">
      <c r="A368" s="2">
        <f ca="1">IFERROR(__xludf.DUMMYFUNCTION("""COMPUTED_VALUE"""),45097.6666666666)</f>
        <v>45097.666666666599</v>
      </c>
      <c r="B368" s="1">
        <f ca="1">IFERROR(__xludf.DUMMYFUNCTION("""COMPUTED_VALUE"""),184.41)</f>
        <v>184.41</v>
      </c>
      <c r="C368" s="1">
        <f ca="1">IFERROR(__xludf.DUMMYFUNCTION("""COMPUTED_VALUE"""),186.1)</f>
        <v>186.1</v>
      </c>
      <c r="D368" s="1">
        <f ca="1">IFERROR(__xludf.DUMMYFUNCTION("""COMPUTED_VALUE"""),184.41)</f>
        <v>184.41</v>
      </c>
      <c r="E368" s="1">
        <f ca="1">IFERROR(__xludf.DUMMYFUNCTION("""COMPUTED_VALUE"""),185.01)</f>
        <v>185.01</v>
      </c>
      <c r="F368" s="1">
        <f ca="1">IFERROR(__xludf.DUMMYFUNCTION("""COMPUTED_VALUE"""),49799092)</f>
        <v>49799092</v>
      </c>
    </row>
    <row r="369" spans="1:6" ht="12.6">
      <c r="A369" s="2">
        <f ca="1">IFERROR(__xludf.DUMMYFUNCTION("""COMPUTED_VALUE"""),45098.6666666666)</f>
        <v>45098.666666666599</v>
      </c>
      <c r="B369" s="1">
        <f ca="1">IFERROR(__xludf.DUMMYFUNCTION("""COMPUTED_VALUE"""),184.9)</f>
        <v>184.9</v>
      </c>
      <c r="C369" s="1">
        <f ca="1">IFERROR(__xludf.DUMMYFUNCTION("""COMPUTED_VALUE"""),185.41)</f>
        <v>185.41</v>
      </c>
      <c r="D369" s="1">
        <f ca="1">IFERROR(__xludf.DUMMYFUNCTION("""COMPUTED_VALUE"""),182.59)</f>
        <v>182.59</v>
      </c>
      <c r="E369" s="1">
        <f ca="1">IFERROR(__xludf.DUMMYFUNCTION("""COMPUTED_VALUE"""),183.96)</f>
        <v>183.96</v>
      </c>
      <c r="F369" s="1">
        <f ca="1">IFERROR(__xludf.DUMMYFUNCTION("""COMPUTED_VALUE"""),49515697)</f>
        <v>49515697</v>
      </c>
    </row>
    <row r="370" spans="1:6" ht="12.6">
      <c r="A370" s="2">
        <f ca="1">IFERROR(__xludf.DUMMYFUNCTION("""COMPUTED_VALUE"""),45099.6666666666)</f>
        <v>45099.666666666599</v>
      </c>
      <c r="B370" s="1">
        <f ca="1">IFERROR(__xludf.DUMMYFUNCTION("""COMPUTED_VALUE"""),183.74)</f>
        <v>183.74</v>
      </c>
      <c r="C370" s="1">
        <f ca="1">IFERROR(__xludf.DUMMYFUNCTION("""COMPUTED_VALUE"""),187.05)</f>
        <v>187.05</v>
      </c>
      <c r="D370" s="1">
        <f ca="1">IFERROR(__xludf.DUMMYFUNCTION("""COMPUTED_VALUE"""),183.67)</f>
        <v>183.67</v>
      </c>
      <c r="E370" s="1">
        <f ca="1">IFERROR(__xludf.DUMMYFUNCTION("""COMPUTED_VALUE"""),187)</f>
        <v>187</v>
      </c>
      <c r="F370" s="1">
        <f ca="1">IFERROR(__xludf.DUMMYFUNCTION("""COMPUTED_VALUE"""),51245327)</f>
        <v>51245327</v>
      </c>
    </row>
    <row r="371" spans="1:6" ht="12.6">
      <c r="A371" s="2">
        <f ca="1">IFERROR(__xludf.DUMMYFUNCTION("""COMPUTED_VALUE"""),45100.6666666666)</f>
        <v>45100.666666666599</v>
      </c>
      <c r="B371" s="1">
        <f ca="1">IFERROR(__xludf.DUMMYFUNCTION("""COMPUTED_VALUE"""),185.55)</f>
        <v>185.55</v>
      </c>
      <c r="C371" s="1">
        <f ca="1">IFERROR(__xludf.DUMMYFUNCTION("""COMPUTED_VALUE"""),187.56)</f>
        <v>187.56</v>
      </c>
      <c r="D371" s="1">
        <f ca="1">IFERROR(__xludf.DUMMYFUNCTION("""COMPUTED_VALUE"""),185.01)</f>
        <v>185.01</v>
      </c>
      <c r="E371" s="1">
        <f ca="1">IFERROR(__xludf.DUMMYFUNCTION("""COMPUTED_VALUE"""),186.68)</f>
        <v>186.68</v>
      </c>
      <c r="F371" s="1">
        <f ca="1">IFERROR(__xludf.DUMMYFUNCTION("""COMPUTED_VALUE"""),53116996)</f>
        <v>53116996</v>
      </c>
    </row>
    <row r="372" spans="1:6" ht="12.6">
      <c r="A372" s="2">
        <f ca="1">IFERROR(__xludf.DUMMYFUNCTION("""COMPUTED_VALUE"""),45103.6666666666)</f>
        <v>45103.666666666599</v>
      </c>
      <c r="B372" s="1">
        <f ca="1">IFERROR(__xludf.DUMMYFUNCTION("""COMPUTED_VALUE"""),186.83)</f>
        <v>186.83</v>
      </c>
      <c r="C372" s="1">
        <f ca="1">IFERROR(__xludf.DUMMYFUNCTION("""COMPUTED_VALUE"""),188.05)</f>
        <v>188.05</v>
      </c>
      <c r="D372" s="1">
        <f ca="1">IFERROR(__xludf.DUMMYFUNCTION("""COMPUTED_VALUE"""),185.23)</f>
        <v>185.23</v>
      </c>
      <c r="E372" s="1">
        <f ca="1">IFERROR(__xludf.DUMMYFUNCTION("""COMPUTED_VALUE"""),185.27)</f>
        <v>185.27</v>
      </c>
      <c r="F372" s="1">
        <f ca="1">IFERROR(__xludf.DUMMYFUNCTION("""COMPUTED_VALUE"""),48088661)</f>
        <v>48088661</v>
      </c>
    </row>
    <row r="373" spans="1:6" ht="12.6">
      <c r="A373" s="2">
        <f ca="1">IFERROR(__xludf.DUMMYFUNCTION("""COMPUTED_VALUE"""),45104.6666666666)</f>
        <v>45104.666666666599</v>
      </c>
      <c r="B373" s="1">
        <f ca="1">IFERROR(__xludf.DUMMYFUNCTION("""COMPUTED_VALUE"""),185.89)</f>
        <v>185.89</v>
      </c>
      <c r="C373" s="1">
        <f ca="1">IFERROR(__xludf.DUMMYFUNCTION("""COMPUTED_VALUE"""),188.39)</f>
        <v>188.39</v>
      </c>
      <c r="D373" s="1">
        <f ca="1">IFERROR(__xludf.DUMMYFUNCTION("""COMPUTED_VALUE"""),185.67)</f>
        <v>185.67</v>
      </c>
      <c r="E373" s="1">
        <f ca="1">IFERROR(__xludf.DUMMYFUNCTION("""COMPUTED_VALUE"""),188.06)</f>
        <v>188.06</v>
      </c>
      <c r="F373" s="1">
        <f ca="1">IFERROR(__xludf.DUMMYFUNCTION("""COMPUTED_VALUE"""),50730846)</f>
        <v>50730846</v>
      </c>
    </row>
    <row r="374" spans="1:6" ht="12.6">
      <c r="A374" s="2">
        <f ca="1">IFERROR(__xludf.DUMMYFUNCTION("""COMPUTED_VALUE"""),45105.6666666666)</f>
        <v>45105.666666666599</v>
      </c>
      <c r="B374" s="1">
        <f ca="1">IFERROR(__xludf.DUMMYFUNCTION("""COMPUTED_VALUE"""),187.93)</f>
        <v>187.93</v>
      </c>
      <c r="C374" s="1">
        <f ca="1">IFERROR(__xludf.DUMMYFUNCTION("""COMPUTED_VALUE"""),189.9)</f>
        <v>189.9</v>
      </c>
      <c r="D374" s="1">
        <f ca="1">IFERROR(__xludf.DUMMYFUNCTION("""COMPUTED_VALUE"""),187.6)</f>
        <v>187.6</v>
      </c>
      <c r="E374" s="1">
        <f ca="1">IFERROR(__xludf.DUMMYFUNCTION("""COMPUTED_VALUE"""),189.25)</f>
        <v>189.25</v>
      </c>
      <c r="F374" s="1">
        <f ca="1">IFERROR(__xludf.DUMMYFUNCTION("""COMPUTED_VALUE"""),51216801)</f>
        <v>51216801</v>
      </c>
    </row>
    <row r="375" spans="1:6" ht="12.6">
      <c r="A375" s="2">
        <f ca="1">IFERROR(__xludf.DUMMYFUNCTION("""COMPUTED_VALUE"""),45106.6666666666)</f>
        <v>45106.666666666599</v>
      </c>
      <c r="B375" s="1">
        <f ca="1">IFERROR(__xludf.DUMMYFUNCTION("""COMPUTED_VALUE"""),189.08)</f>
        <v>189.08</v>
      </c>
      <c r="C375" s="1">
        <f ca="1">IFERROR(__xludf.DUMMYFUNCTION("""COMPUTED_VALUE"""),190.07)</f>
        <v>190.07</v>
      </c>
      <c r="D375" s="1">
        <f ca="1">IFERROR(__xludf.DUMMYFUNCTION("""COMPUTED_VALUE"""),188.94)</f>
        <v>188.94</v>
      </c>
      <c r="E375" s="1">
        <f ca="1">IFERROR(__xludf.DUMMYFUNCTION("""COMPUTED_VALUE"""),189.59)</f>
        <v>189.59</v>
      </c>
      <c r="F375" s="1">
        <f ca="1">IFERROR(__xludf.DUMMYFUNCTION("""COMPUTED_VALUE"""),46347308)</f>
        <v>46347308</v>
      </c>
    </row>
    <row r="376" spans="1:6" ht="12.6">
      <c r="A376" s="2">
        <f ca="1">IFERROR(__xludf.DUMMYFUNCTION("""COMPUTED_VALUE"""),45107.6666666666)</f>
        <v>45107.666666666599</v>
      </c>
      <c r="B376" s="1">
        <f ca="1">IFERROR(__xludf.DUMMYFUNCTION("""COMPUTED_VALUE"""),191.63)</f>
        <v>191.63</v>
      </c>
      <c r="C376" s="1">
        <f ca="1">IFERROR(__xludf.DUMMYFUNCTION("""COMPUTED_VALUE"""),194.48)</f>
        <v>194.48</v>
      </c>
      <c r="D376" s="1">
        <f ca="1">IFERROR(__xludf.DUMMYFUNCTION("""COMPUTED_VALUE"""),191.26)</f>
        <v>191.26</v>
      </c>
      <c r="E376" s="1">
        <f ca="1">IFERROR(__xludf.DUMMYFUNCTION("""COMPUTED_VALUE"""),193.97)</f>
        <v>193.97</v>
      </c>
      <c r="F376" s="1">
        <f ca="1">IFERROR(__xludf.DUMMYFUNCTION("""COMPUTED_VALUE"""),85213216)</f>
        <v>85213216</v>
      </c>
    </row>
    <row r="377" spans="1:6" ht="12.6">
      <c r="A377" s="2">
        <f ca="1">IFERROR(__xludf.DUMMYFUNCTION("""COMPUTED_VALUE"""),45110.5451388888)</f>
        <v>45110.545138888803</v>
      </c>
      <c r="B377" s="1">
        <f ca="1">IFERROR(__xludf.DUMMYFUNCTION("""COMPUTED_VALUE"""),193.78)</f>
        <v>193.78</v>
      </c>
      <c r="C377" s="1">
        <f ca="1">IFERROR(__xludf.DUMMYFUNCTION("""COMPUTED_VALUE"""),193.88)</f>
        <v>193.88</v>
      </c>
      <c r="D377" s="1">
        <f ca="1">IFERROR(__xludf.DUMMYFUNCTION("""COMPUTED_VALUE"""),191.76)</f>
        <v>191.76</v>
      </c>
      <c r="E377" s="1">
        <f ca="1">IFERROR(__xludf.DUMMYFUNCTION("""COMPUTED_VALUE"""),192.46)</f>
        <v>192.46</v>
      </c>
      <c r="F377" s="1">
        <f ca="1">IFERROR(__xludf.DUMMYFUNCTION("""COMPUTED_VALUE"""),31458198)</f>
        <v>31458198</v>
      </c>
    </row>
    <row r="378" spans="1:6" ht="12.6">
      <c r="A378" s="2">
        <f ca="1">IFERROR(__xludf.DUMMYFUNCTION("""COMPUTED_VALUE"""),45112.6666666666)</f>
        <v>45112.666666666599</v>
      </c>
      <c r="B378" s="1">
        <f ca="1">IFERROR(__xludf.DUMMYFUNCTION("""COMPUTED_VALUE"""),191.57)</f>
        <v>191.57</v>
      </c>
      <c r="C378" s="1">
        <f ca="1">IFERROR(__xludf.DUMMYFUNCTION("""COMPUTED_VALUE"""),192.98)</f>
        <v>192.98</v>
      </c>
      <c r="D378" s="1">
        <f ca="1">IFERROR(__xludf.DUMMYFUNCTION("""COMPUTED_VALUE"""),190.62)</f>
        <v>190.62</v>
      </c>
      <c r="E378" s="1">
        <f ca="1">IFERROR(__xludf.DUMMYFUNCTION("""COMPUTED_VALUE"""),191.33)</f>
        <v>191.33</v>
      </c>
      <c r="F378" s="1">
        <f ca="1">IFERROR(__xludf.DUMMYFUNCTION("""COMPUTED_VALUE"""),46920261)</f>
        <v>46920261</v>
      </c>
    </row>
    <row r="379" spans="1:6" ht="12.6">
      <c r="A379" s="2">
        <f ca="1">IFERROR(__xludf.DUMMYFUNCTION("""COMPUTED_VALUE"""),45113.6666666666)</f>
        <v>45113.666666666599</v>
      </c>
      <c r="B379" s="1">
        <f ca="1">IFERROR(__xludf.DUMMYFUNCTION("""COMPUTED_VALUE"""),189.84)</f>
        <v>189.84</v>
      </c>
      <c r="C379" s="1">
        <f ca="1">IFERROR(__xludf.DUMMYFUNCTION("""COMPUTED_VALUE"""),192.02)</f>
        <v>192.02</v>
      </c>
      <c r="D379" s="1">
        <f ca="1">IFERROR(__xludf.DUMMYFUNCTION("""COMPUTED_VALUE"""),189.2)</f>
        <v>189.2</v>
      </c>
      <c r="E379" s="1">
        <f ca="1">IFERROR(__xludf.DUMMYFUNCTION("""COMPUTED_VALUE"""),191.81)</f>
        <v>191.81</v>
      </c>
      <c r="F379" s="1">
        <f ca="1">IFERROR(__xludf.DUMMYFUNCTION("""COMPUTED_VALUE"""),45156009)</f>
        <v>45156009</v>
      </c>
    </row>
    <row r="380" spans="1:6" ht="12.6">
      <c r="A380" s="2">
        <f ca="1">IFERROR(__xludf.DUMMYFUNCTION("""COMPUTED_VALUE"""),45114.6666666666)</f>
        <v>45114.666666666599</v>
      </c>
      <c r="B380" s="1">
        <f ca="1">IFERROR(__xludf.DUMMYFUNCTION("""COMPUTED_VALUE"""),191.41)</f>
        <v>191.41</v>
      </c>
      <c r="C380" s="1">
        <f ca="1">IFERROR(__xludf.DUMMYFUNCTION("""COMPUTED_VALUE"""),192.67)</f>
        <v>192.67</v>
      </c>
      <c r="D380" s="1">
        <f ca="1">IFERROR(__xludf.DUMMYFUNCTION("""COMPUTED_VALUE"""),190.24)</f>
        <v>190.24</v>
      </c>
      <c r="E380" s="1">
        <f ca="1">IFERROR(__xludf.DUMMYFUNCTION("""COMPUTED_VALUE"""),190.68)</f>
        <v>190.68</v>
      </c>
      <c r="F380" s="1">
        <f ca="1">IFERROR(__xludf.DUMMYFUNCTION("""COMPUTED_VALUE"""),46814998)</f>
        <v>46814998</v>
      </c>
    </row>
    <row r="381" spans="1:6" ht="12.6">
      <c r="A381" s="2">
        <f ca="1">IFERROR(__xludf.DUMMYFUNCTION("""COMPUTED_VALUE"""),45117.6666666666)</f>
        <v>45117.666666666599</v>
      </c>
      <c r="B381" s="1">
        <f ca="1">IFERROR(__xludf.DUMMYFUNCTION("""COMPUTED_VALUE"""),189.26)</f>
        <v>189.26</v>
      </c>
      <c r="C381" s="1">
        <f ca="1">IFERROR(__xludf.DUMMYFUNCTION("""COMPUTED_VALUE"""),189.99)</f>
        <v>189.99</v>
      </c>
      <c r="D381" s="1">
        <f ca="1">IFERROR(__xludf.DUMMYFUNCTION("""COMPUTED_VALUE"""),187.04)</f>
        <v>187.04</v>
      </c>
      <c r="E381" s="1">
        <f ca="1">IFERROR(__xludf.DUMMYFUNCTION("""COMPUTED_VALUE"""),188.61)</f>
        <v>188.61</v>
      </c>
      <c r="F381" s="1">
        <f ca="1">IFERROR(__xludf.DUMMYFUNCTION("""COMPUTED_VALUE"""),59922163)</f>
        <v>59922163</v>
      </c>
    </row>
    <row r="382" spans="1:6" ht="12.6">
      <c r="A382" s="2">
        <f ca="1">IFERROR(__xludf.DUMMYFUNCTION("""COMPUTED_VALUE"""),45118.6666666666)</f>
        <v>45118.666666666599</v>
      </c>
      <c r="B382" s="1">
        <f ca="1">IFERROR(__xludf.DUMMYFUNCTION("""COMPUTED_VALUE"""),189.16)</f>
        <v>189.16</v>
      </c>
      <c r="C382" s="1">
        <f ca="1">IFERROR(__xludf.DUMMYFUNCTION("""COMPUTED_VALUE"""),189.3)</f>
        <v>189.3</v>
      </c>
      <c r="D382" s="1">
        <f ca="1">IFERROR(__xludf.DUMMYFUNCTION("""COMPUTED_VALUE"""),186.6)</f>
        <v>186.6</v>
      </c>
      <c r="E382" s="1">
        <f ca="1">IFERROR(__xludf.DUMMYFUNCTION("""COMPUTED_VALUE"""),188.08)</f>
        <v>188.08</v>
      </c>
      <c r="F382" s="1">
        <f ca="1">IFERROR(__xludf.DUMMYFUNCTION("""COMPUTED_VALUE"""),46638119)</f>
        <v>46638119</v>
      </c>
    </row>
    <row r="383" spans="1:6" ht="12.6">
      <c r="A383" s="2">
        <f ca="1">IFERROR(__xludf.DUMMYFUNCTION("""COMPUTED_VALUE"""),45119.6666666666)</f>
        <v>45119.666666666599</v>
      </c>
      <c r="B383" s="1">
        <f ca="1">IFERROR(__xludf.DUMMYFUNCTION("""COMPUTED_VALUE"""),189.68)</f>
        <v>189.68</v>
      </c>
      <c r="C383" s="1">
        <f ca="1">IFERROR(__xludf.DUMMYFUNCTION("""COMPUTED_VALUE"""),191.7)</f>
        <v>191.7</v>
      </c>
      <c r="D383" s="1">
        <f ca="1">IFERROR(__xludf.DUMMYFUNCTION("""COMPUTED_VALUE"""),188.47)</f>
        <v>188.47</v>
      </c>
      <c r="E383" s="1">
        <f ca="1">IFERROR(__xludf.DUMMYFUNCTION("""COMPUTED_VALUE"""),189.77)</f>
        <v>189.77</v>
      </c>
      <c r="F383" s="1">
        <f ca="1">IFERROR(__xludf.DUMMYFUNCTION("""COMPUTED_VALUE"""),60750248)</f>
        <v>60750248</v>
      </c>
    </row>
    <row r="384" spans="1:6" ht="12.6">
      <c r="A384" s="2">
        <f ca="1">IFERROR(__xludf.DUMMYFUNCTION("""COMPUTED_VALUE"""),45120.6666666666)</f>
        <v>45120.666666666599</v>
      </c>
      <c r="B384" s="1">
        <f ca="1">IFERROR(__xludf.DUMMYFUNCTION("""COMPUTED_VALUE"""),190.5)</f>
        <v>190.5</v>
      </c>
      <c r="C384" s="1">
        <f ca="1">IFERROR(__xludf.DUMMYFUNCTION("""COMPUTED_VALUE"""),191.19)</f>
        <v>191.19</v>
      </c>
      <c r="D384" s="1">
        <f ca="1">IFERROR(__xludf.DUMMYFUNCTION("""COMPUTED_VALUE"""),189.78)</f>
        <v>189.78</v>
      </c>
      <c r="E384" s="1">
        <f ca="1">IFERROR(__xludf.DUMMYFUNCTION("""COMPUTED_VALUE"""),190.54)</f>
        <v>190.54</v>
      </c>
      <c r="F384" s="1">
        <f ca="1">IFERROR(__xludf.DUMMYFUNCTION("""COMPUTED_VALUE"""),41342338)</f>
        <v>41342338</v>
      </c>
    </row>
    <row r="385" spans="1:6" ht="12.6">
      <c r="A385" s="2">
        <f ca="1">IFERROR(__xludf.DUMMYFUNCTION("""COMPUTED_VALUE"""),45121.6666666666)</f>
        <v>45121.666666666599</v>
      </c>
      <c r="B385" s="1">
        <f ca="1">IFERROR(__xludf.DUMMYFUNCTION("""COMPUTED_VALUE"""),190.23)</f>
        <v>190.23</v>
      </c>
      <c r="C385" s="1">
        <f ca="1">IFERROR(__xludf.DUMMYFUNCTION("""COMPUTED_VALUE"""),191.18)</f>
        <v>191.18</v>
      </c>
      <c r="D385" s="1">
        <f ca="1">IFERROR(__xludf.DUMMYFUNCTION("""COMPUTED_VALUE"""),189.63)</f>
        <v>189.63</v>
      </c>
      <c r="E385" s="1">
        <f ca="1">IFERROR(__xludf.DUMMYFUNCTION("""COMPUTED_VALUE"""),190.69)</f>
        <v>190.69</v>
      </c>
      <c r="F385" s="1">
        <f ca="1">IFERROR(__xludf.DUMMYFUNCTION("""COMPUTED_VALUE"""),41616242)</f>
        <v>41616242</v>
      </c>
    </row>
    <row r="386" spans="1:6" ht="12.6">
      <c r="A386" s="2">
        <f ca="1">IFERROR(__xludf.DUMMYFUNCTION("""COMPUTED_VALUE"""),45124.6666666666)</f>
        <v>45124.666666666599</v>
      </c>
      <c r="B386" s="1">
        <f ca="1">IFERROR(__xludf.DUMMYFUNCTION("""COMPUTED_VALUE"""),191.9)</f>
        <v>191.9</v>
      </c>
      <c r="C386" s="1">
        <f ca="1">IFERROR(__xludf.DUMMYFUNCTION("""COMPUTED_VALUE"""),194.32)</f>
        <v>194.32</v>
      </c>
      <c r="D386" s="1">
        <f ca="1">IFERROR(__xludf.DUMMYFUNCTION("""COMPUTED_VALUE"""),191.81)</f>
        <v>191.81</v>
      </c>
      <c r="E386" s="1">
        <f ca="1">IFERROR(__xludf.DUMMYFUNCTION("""COMPUTED_VALUE"""),193.99)</f>
        <v>193.99</v>
      </c>
      <c r="F386" s="1">
        <f ca="1">IFERROR(__xludf.DUMMYFUNCTION("""COMPUTED_VALUE"""),50520159)</f>
        <v>50520159</v>
      </c>
    </row>
    <row r="387" spans="1:6" ht="12.6">
      <c r="A387" s="2">
        <f ca="1">IFERROR(__xludf.DUMMYFUNCTION("""COMPUTED_VALUE"""),45125.6666666666)</f>
        <v>45125.666666666599</v>
      </c>
      <c r="B387" s="1">
        <f ca="1">IFERROR(__xludf.DUMMYFUNCTION("""COMPUTED_VALUE"""),193.35)</f>
        <v>193.35</v>
      </c>
      <c r="C387" s="1">
        <f ca="1">IFERROR(__xludf.DUMMYFUNCTION("""COMPUTED_VALUE"""),194.33)</f>
        <v>194.33</v>
      </c>
      <c r="D387" s="1">
        <f ca="1">IFERROR(__xludf.DUMMYFUNCTION("""COMPUTED_VALUE"""),192.42)</f>
        <v>192.42</v>
      </c>
      <c r="E387" s="1">
        <f ca="1">IFERROR(__xludf.DUMMYFUNCTION("""COMPUTED_VALUE"""),193.73)</f>
        <v>193.73</v>
      </c>
      <c r="F387" s="1">
        <f ca="1">IFERROR(__xludf.DUMMYFUNCTION("""COMPUTED_VALUE"""),48353774)</f>
        <v>48353774</v>
      </c>
    </row>
    <row r="388" spans="1:6" ht="12.6">
      <c r="A388" s="2">
        <f ca="1">IFERROR(__xludf.DUMMYFUNCTION("""COMPUTED_VALUE"""),45126.6666666666)</f>
        <v>45126.666666666599</v>
      </c>
      <c r="B388" s="1">
        <f ca="1">IFERROR(__xludf.DUMMYFUNCTION("""COMPUTED_VALUE"""),193.1)</f>
        <v>193.1</v>
      </c>
      <c r="C388" s="1">
        <f ca="1">IFERROR(__xludf.DUMMYFUNCTION("""COMPUTED_VALUE"""),198.23)</f>
        <v>198.23</v>
      </c>
      <c r="D388" s="1">
        <f ca="1">IFERROR(__xludf.DUMMYFUNCTION("""COMPUTED_VALUE"""),192.65)</f>
        <v>192.65</v>
      </c>
      <c r="E388" s="1">
        <f ca="1">IFERROR(__xludf.DUMMYFUNCTION("""COMPUTED_VALUE"""),195.1)</f>
        <v>195.1</v>
      </c>
      <c r="F388" s="1">
        <f ca="1">IFERROR(__xludf.DUMMYFUNCTION("""COMPUTED_VALUE"""),80507323)</f>
        <v>80507323</v>
      </c>
    </row>
    <row r="389" spans="1:6" ht="12.6">
      <c r="A389" s="2">
        <f ca="1">IFERROR(__xludf.DUMMYFUNCTION("""COMPUTED_VALUE"""),45127.6666666666)</f>
        <v>45127.666666666599</v>
      </c>
      <c r="B389" s="1">
        <f ca="1">IFERROR(__xludf.DUMMYFUNCTION("""COMPUTED_VALUE"""),195.09)</f>
        <v>195.09</v>
      </c>
      <c r="C389" s="1">
        <f ca="1">IFERROR(__xludf.DUMMYFUNCTION("""COMPUTED_VALUE"""),196.47)</f>
        <v>196.47</v>
      </c>
      <c r="D389" s="1">
        <f ca="1">IFERROR(__xludf.DUMMYFUNCTION("""COMPUTED_VALUE"""),192.5)</f>
        <v>192.5</v>
      </c>
      <c r="E389" s="1">
        <f ca="1">IFERROR(__xludf.DUMMYFUNCTION("""COMPUTED_VALUE"""),193.13)</f>
        <v>193.13</v>
      </c>
      <c r="F389" s="1">
        <f ca="1">IFERROR(__xludf.DUMMYFUNCTION("""COMPUTED_VALUE"""),59581196)</f>
        <v>59581196</v>
      </c>
    </row>
    <row r="390" spans="1:6" ht="12.6">
      <c r="A390" s="2">
        <f ca="1">IFERROR(__xludf.DUMMYFUNCTION("""COMPUTED_VALUE"""),45128.6666666666)</f>
        <v>45128.666666666599</v>
      </c>
      <c r="B390" s="1">
        <f ca="1">IFERROR(__xludf.DUMMYFUNCTION("""COMPUTED_VALUE"""),194.1)</f>
        <v>194.1</v>
      </c>
      <c r="C390" s="1">
        <f ca="1">IFERROR(__xludf.DUMMYFUNCTION("""COMPUTED_VALUE"""),194.97)</f>
        <v>194.97</v>
      </c>
      <c r="D390" s="1">
        <f ca="1">IFERROR(__xludf.DUMMYFUNCTION("""COMPUTED_VALUE"""),191.23)</f>
        <v>191.23</v>
      </c>
      <c r="E390" s="1">
        <f ca="1">IFERROR(__xludf.DUMMYFUNCTION("""COMPUTED_VALUE"""),191.94)</f>
        <v>191.94</v>
      </c>
      <c r="F390" s="1">
        <f ca="1">IFERROR(__xludf.DUMMYFUNCTION("""COMPUTED_VALUE"""),71951683)</f>
        <v>71951683</v>
      </c>
    </row>
    <row r="391" spans="1:6" ht="12.6">
      <c r="A391" s="2">
        <f ca="1">IFERROR(__xludf.DUMMYFUNCTION("""COMPUTED_VALUE"""),45131.6666666666)</f>
        <v>45131.666666666599</v>
      </c>
      <c r="B391" s="1">
        <f ca="1">IFERROR(__xludf.DUMMYFUNCTION("""COMPUTED_VALUE"""),193.41)</f>
        <v>193.41</v>
      </c>
      <c r="C391" s="1">
        <f ca="1">IFERROR(__xludf.DUMMYFUNCTION("""COMPUTED_VALUE"""),194.91)</f>
        <v>194.91</v>
      </c>
      <c r="D391" s="1">
        <f ca="1">IFERROR(__xludf.DUMMYFUNCTION("""COMPUTED_VALUE"""),192.25)</f>
        <v>192.25</v>
      </c>
      <c r="E391" s="1">
        <f ca="1">IFERROR(__xludf.DUMMYFUNCTION("""COMPUTED_VALUE"""),192.75)</f>
        <v>192.75</v>
      </c>
      <c r="F391" s="1">
        <f ca="1">IFERROR(__xludf.DUMMYFUNCTION("""COMPUTED_VALUE"""),45505097)</f>
        <v>45505097</v>
      </c>
    </row>
    <row r="392" spans="1:6" ht="12.6">
      <c r="A392" s="2">
        <f ca="1">IFERROR(__xludf.DUMMYFUNCTION("""COMPUTED_VALUE"""),45132.6666666666)</f>
        <v>45132.666666666599</v>
      </c>
      <c r="B392" s="1">
        <f ca="1">IFERROR(__xludf.DUMMYFUNCTION("""COMPUTED_VALUE"""),193.33)</f>
        <v>193.33</v>
      </c>
      <c r="C392" s="1">
        <f ca="1">IFERROR(__xludf.DUMMYFUNCTION("""COMPUTED_VALUE"""),194.44)</f>
        <v>194.44</v>
      </c>
      <c r="D392" s="1">
        <f ca="1">IFERROR(__xludf.DUMMYFUNCTION("""COMPUTED_VALUE"""),192.92)</f>
        <v>192.92</v>
      </c>
      <c r="E392" s="1">
        <f ca="1">IFERROR(__xludf.DUMMYFUNCTION("""COMPUTED_VALUE"""),193.62)</f>
        <v>193.62</v>
      </c>
      <c r="F392" s="1">
        <f ca="1">IFERROR(__xludf.DUMMYFUNCTION("""COMPUTED_VALUE"""),37283201)</f>
        <v>37283201</v>
      </c>
    </row>
    <row r="393" spans="1:6" ht="12.6">
      <c r="A393" s="2">
        <f ca="1">IFERROR(__xludf.DUMMYFUNCTION("""COMPUTED_VALUE"""),45133.6666666666)</f>
        <v>45133.666666666599</v>
      </c>
      <c r="B393" s="1">
        <f ca="1">IFERROR(__xludf.DUMMYFUNCTION("""COMPUTED_VALUE"""),193.67)</f>
        <v>193.67</v>
      </c>
      <c r="C393" s="1">
        <f ca="1">IFERROR(__xludf.DUMMYFUNCTION("""COMPUTED_VALUE"""),195.64)</f>
        <v>195.64</v>
      </c>
      <c r="D393" s="1">
        <f ca="1">IFERROR(__xludf.DUMMYFUNCTION("""COMPUTED_VALUE"""),193.32)</f>
        <v>193.32</v>
      </c>
      <c r="E393" s="1">
        <f ca="1">IFERROR(__xludf.DUMMYFUNCTION("""COMPUTED_VALUE"""),194.5)</f>
        <v>194.5</v>
      </c>
      <c r="F393" s="1">
        <f ca="1">IFERROR(__xludf.DUMMYFUNCTION("""COMPUTED_VALUE"""),47471868)</f>
        <v>47471868</v>
      </c>
    </row>
    <row r="394" spans="1:6" ht="12.6">
      <c r="A394" s="2">
        <f ca="1">IFERROR(__xludf.DUMMYFUNCTION("""COMPUTED_VALUE"""),45134.6666666666)</f>
        <v>45134.666666666599</v>
      </c>
      <c r="B394" s="1">
        <f ca="1">IFERROR(__xludf.DUMMYFUNCTION("""COMPUTED_VALUE"""),196.02)</f>
        <v>196.02</v>
      </c>
      <c r="C394" s="1">
        <f ca="1">IFERROR(__xludf.DUMMYFUNCTION("""COMPUTED_VALUE"""),197.2)</f>
        <v>197.2</v>
      </c>
      <c r="D394" s="1">
        <f ca="1">IFERROR(__xludf.DUMMYFUNCTION("""COMPUTED_VALUE"""),192.55)</f>
        <v>192.55</v>
      </c>
      <c r="E394" s="1">
        <f ca="1">IFERROR(__xludf.DUMMYFUNCTION("""COMPUTED_VALUE"""),193.22)</f>
        <v>193.22</v>
      </c>
      <c r="F394" s="1">
        <f ca="1">IFERROR(__xludf.DUMMYFUNCTION("""COMPUTED_VALUE"""),47460180)</f>
        <v>47460180</v>
      </c>
    </row>
    <row r="395" spans="1:6" ht="12.6">
      <c r="A395" s="2">
        <f ca="1">IFERROR(__xludf.DUMMYFUNCTION("""COMPUTED_VALUE"""),45135.6666666666)</f>
        <v>45135.666666666599</v>
      </c>
      <c r="B395" s="1">
        <f ca="1">IFERROR(__xludf.DUMMYFUNCTION("""COMPUTED_VALUE"""),194.67)</f>
        <v>194.67</v>
      </c>
      <c r="C395" s="1">
        <f ca="1">IFERROR(__xludf.DUMMYFUNCTION("""COMPUTED_VALUE"""),196.63)</f>
        <v>196.63</v>
      </c>
      <c r="D395" s="1">
        <f ca="1">IFERROR(__xludf.DUMMYFUNCTION("""COMPUTED_VALUE"""),194.14)</f>
        <v>194.14</v>
      </c>
      <c r="E395" s="1">
        <f ca="1">IFERROR(__xludf.DUMMYFUNCTION("""COMPUTED_VALUE"""),195.83)</f>
        <v>195.83</v>
      </c>
      <c r="F395" s="1">
        <f ca="1">IFERROR(__xludf.DUMMYFUNCTION("""COMPUTED_VALUE"""),48291443)</f>
        <v>48291443</v>
      </c>
    </row>
    <row r="396" spans="1:6" ht="12.6">
      <c r="A396" s="2">
        <f ca="1">IFERROR(__xludf.DUMMYFUNCTION("""COMPUTED_VALUE"""),45138.6666666666)</f>
        <v>45138.666666666599</v>
      </c>
      <c r="B396" s="1">
        <f ca="1">IFERROR(__xludf.DUMMYFUNCTION("""COMPUTED_VALUE"""),196.06)</f>
        <v>196.06</v>
      </c>
      <c r="C396" s="1">
        <f ca="1">IFERROR(__xludf.DUMMYFUNCTION("""COMPUTED_VALUE"""),196.49)</f>
        <v>196.49</v>
      </c>
      <c r="D396" s="1">
        <f ca="1">IFERROR(__xludf.DUMMYFUNCTION("""COMPUTED_VALUE"""),195.26)</f>
        <v>195.26</v>
      </c>
      <c r="E396" s="1">
        <f ca="1">IFERROR(__xludf.DUMMYFUNCTION("""COMPUTED_VALUE"""),196.45)</f>
        <v>196.45</v>
      </c>
      <c r="F396" s="1">
        <f ca="1">IFERROR(__xludf.DUMMYFUNCTION("""COMPUTED_VALUE"""),38824113)</f>
        <v>38824113</v>
      </c>
    </row>
    <row r="397" spans="1:6" ht="12.6">
      <c r="A397" s="2">
        <f ca="1">IFERROR(__xludf.DUMMYFUNCTION("""COMPUTED_VALUE"""),45139.6666666666)</f>
        <v>45139.666666666599</v>
      </c>
      <c r="B397" s="1">
        <f ca="1">IFERROR(__xludf.DUMMYFUNCTION("""COMPUTED_VALUE"""),196.24)</f>
        <v>196.24</v>
      </c>
      <c r="C397" s="1">
        <f ca="1">IFERROR(__xludf.DUMMYFUNCTION("""COMPUTED_VALUE"""),196.73)</f>
        <v>196.73</v>
      </c>
      <c r="D397" s="1">
        <f ca="1">IFERROR(__xludf.DUMMYFUNCTION("""COMPUTED_VALUE"""),195.28)</f>
        <v>195.28</v>
      </c>
      <c r="E397" s="1">
        <f ca="1">IFERROR(__xludf.DUMMYFUNCTION("""COMPUTED_VALUE"""),195.61)</f>
        <v>195.61</v>
      </c>
      <c r="F397" s="1">
        <f ca="1">IFERROR(__xludf.DUMMYFUNCTION("""COMPUTED_VALUE"""),35281426)</f>
        <v>35281426</v>
      </c>
    </row>
    <row r="398" spans="1:6" ht="12.6">
      <c r="A398" s="2">
        <f ca="1">IFERROR(__xludf.DUMMYFUNCTION("""COMPUTED_VALUE"""),45140.6666666666)</f>
        <v>45140.666666666599</v>
      </c>
      <c r="B398" s="1">
        <f ca="1">IFERROR(__xludf.DUMMYFUNCTION("""COMPUTED_VALUE"""),195.04)</f>
        <v>195.04</v>
      </c>
      <c r="C398" s="1">
        <f ca="1">IFERROR(__xludf.DUMMYFUNCTION("""COMPUTED_VALUE"""),195.18)</f>
        <v>195.18</v>
      </c>
      <c r="D398" s="1">
        <f ca="1">IFERROR(__xludf.DUMMYFUNCTION("""COMPUTED_VALUE"""),191.85)</f>
        <v>191.85</v>
      </c>
      <c r="E398" s="1">
        <f ca="1">IFERROR(__xludf.DUMMYFUNCTION("""COMPUTED_VALUE"""),192.58)</f>
        <v>192.58</v>
      </c>
      <c r="F398" s="1">
        <f ca="1">IFERROR(__xludf.DUMMYFUNCTION("""COMPUTED_VALUE"""),50389327)</f>
        <v>50389327</v>
      </c>
    </row>
    <row r="399" spans="1:6" ht="12.6">
      <c r="A399" s="2">
        <f ca="1">IFERROR(__xludf.DUMMYFUNCTION("""COMPUTED_VALUE"""),45141.6666666666)</f>
        <v>45141.666666666599</v>
      </c>
      <c r="B399" s="1">
        <f ca="1">IFERROR(__xludf.DUMMYFUNCTION("""COMPUTED_VALUE"""),191.57)</f>
        <v>191.57</v>
      </c>
      <c r="C399" s="1">
        <f ca="1">IFERROR(__xludf.DUMMYFUNCTION("""COMPUTED_VALUE"""),192.37)</f>
        <v>192.37</v>
      </c>
      <c r="D399" s="1">
        <f ca="1">IFERROR(__xludf.DUMMYFUNCTION("""COMPUTED_VALUE"""),190.69)</f>
        <v>190.69</v>
      </c>
      <c r="E399" s="1">
        <f ca="1">IFERROR(__xludf.DUMMYFUNCTION("""COMPUTED_VALUE"""),191.17)</f>
        <v>191.17</v>
      </c>
      <c r="F399" s="1">
        <f ca="1">IFERROR(__xludf.DUMMYFUNCTION("""COMPUTED_VALUE"""),62243282)</f>
        <v>62243282</v>
      </c>
    </row>
    <row r="400" spans="1:6" ht="12.6">
      <c r="A400" s="2">
        <f ca="1">IFERROR(__xludf.DUMMYFUNCTION("""COMPUTED_VALUE"""),45142.6666666666)</f>
        <v>45142.666666666599</v>
      </c>
      <c r="B400" s="1">
        <f ca="1">IFERROR(__xludf.DUMMYFUNCTION("""COMPUTED_VALUE"""),185.52)</f>
        <v>185.52</v>
      </c>
      <c r="C400" s="1">
        <f ca="1">IFERROR(__xludf.DUMMYFUNCTION("""COMPUTED_VALUE"""),187.38)</f>
        <v>187.38</v>
      </c>
      <c r="D400" s="1">
        <f ca="1">IFERROR(__xludf.DUMMYFUNCTION("""COMPUTED_VALUE"""),181.92)</f>
        <v>181.92</v>
      </c>
      <c r="E400" s="1">
        <f ca="1">IFERROR(__xludf.DUMMYFUNCTION("""COMPUTED_VALUE"""),181.99)</f>
        <v>181.99</v>
      </c>
      <c r="F400" s="1">
        <f ca="1">IFERROR(__xludf.DUMMYFUNCTION("""COMPUTED_VALUE"""),115956841)</f>
        <v>115956841</v>
      </c>
    </row>
    <row r="401" spans="1:6" ht="12.6">
      <c r="A401" s="2">
        <f ca="1">IFERROR(__xludf.DUMMYFUNCTION("""COMPUTED_VALUE"""),45145.6666666666)</f>
        <v>45145.666666666599</v>
      </c>
      <c r="B401" s="1">
        <f ca="1">IFERROR(__xludf.DUMMYFUNCTION("""COMPUTED_VALUE"""),182.13)</f>
        <v>182.13</v>
      </c>
      <c r="C401" s="1">
        <f ca="1">IFERROR(__xludf.DUMMYFUNCTION("""COMPUTED_VALUE"""),183.13)</f>
        <v>183.13</v>
      </c>
      <c r="D401" s="1">
        <f ca="1">IFERROR(__xludf.DUMMYFUNCTION("""COMPUTED_VALUE"""),177.35)</f>
        <v>177.35</v>
      </c>
      <c r="E401" s="1">
        <f ca="1">IFERROR(__xludf.DUMMYFUNCTION("""COMPUTED_VALUE"""),178.85)</f>
        <v>178.85</v>
      </c>
      <c r="F401" s="1">
        <f ca="1">IFERROR(__xludf.DUMMYFUNCTION("""COMPUTED_VALUE"""),97576069)</f>
        <v>97576069</v>
      </c>
    </row>
    <row r="402" spans="1:6" ht="12.6">
      <c r="A402" s="2">
        <f ca="1">IFERROR(__xludf.DUMMYFUNCTION("""COMPUTED_VALUE"""),45146.6666666666)</f>
        <v>45146.666666666599</v>
      </c>
      <c r="B402" s="1">
        <f ca="1">IFERROR(__xludf.DUMMYFUNCTION("""COMPUTED_VALUE"""),179.69)</f>
        <v>179.69</v>
      </c>
      <c r="C402" s="1">
        <f ca="1">IFERROR(__xludf.DUMMYFUNCTION("""COMPUTED_VALUE"""),180.27)</f>
        <v>180.27</v>
      </c>
      <c r="D402" s="1">
        <f ca="1">IFERROR(__xludf.DUMMYFUNCTION("""COMPUTED_VALUE"""),177.58)</f>
        <v>177.58</v>
      </c>
      <c r="E402" s="1">
        <f ca="1">IFERROR(__xludf.DUMMYFUNCTION("""COMPUTED_VALUE"""),179.8)</f>
        <v>179.8</v>
      </c>
      <c r="F402" s="1">
        <f ca="1">IFERROR(__xludf.DUMMYFUNCTION("""COMPUTED_VALUE"""),67823003)</f>
        <v>67823003</v>
      </c>
    </row>
    <row r="403" spans="1:6" ht="12.6">
      <c r="A403" s="2">
        <f ca="1">IFERROR(__xludf.DUMMYFUNCTION("""COMPUTED_VALUE"""),45147.6666666666)</f>
        <v>45147.666666666599</v>
      </c>
      <c r="B403" s="1">
        <f ca="1">IFERROR(__xludf.DUMMYFUNCTION("""COMPUTED_VALUE"""),180.87)</f>
        <v>180.87</v>
      </c>
      <c r="C403" s="1">
        <f ca="1">IFERROR(__xludf.DUMMYFUNCTION("""COMPUTED_VALUE"""),180.93)</f>
        <v>180.93</v>
      </c>
      <c r="D403" s="1">
        <f ca="1">IFERROR(__xludf.DUMMYFUNCTION("""COMPUTED_VALUE"""),177.01)</f>
        <v>177.01</v>
      </c>
      <c r="E403" s="1">
        <f ca="1">IFERROR(__xludf.DUMMYFUNCTION("""COMPUTED_VALUE"""),178.19)</f>
        <v>178.19</v>
      </c>
      <c r="F403" s="1">
        <f ca="1">IFERROR(__xludf.DUMMYFUNCTION("""COMPUTED_VALUE"""),60378492)</f>
        <v>60378492</v>
      </c>
    </row>
    <row r="404" spans="1:6" ht="12.6">
      <c r="A404" s="2">
        <f ca="1">IFERROR(__xludf.DUMMYFUNCTION("""COMPUTED_VALUE"""),45148.6666666666)</f>
        <v>45148.666666666599</v>
      </c>
      <c r="B404" s="1">
        <f ca="1">IFERROR(__xludf.DUMMYFUNCTION("""COMPUTED_VALUE"""),179.48)</f>
        <v>179.48</v>
      </c>
      <c r="C404" s="1">
        <f ca="1">IFERROR(__xludf.DUMMYFUNCTION("""COMPUTED_VALUE"""),180.75)</f>
        <v>180.75</v>
      </c>
      <c r="D404" s="1">
        <f ca="1">IFERROR(__xludf.DUMMYFUNCTION("""COMPUTED_VALUE"""),177.6)</f>
        <v>177.6</v>
      </c>
      <c r="E404" s="1">
        <f ca="1">IFERROR(__xludf.DUMMYFUNCTION("""COMPUTED_VALUE"""),177.97)</f>
        <v>177.97</v>
      </c>
      <c r="F404" s="1">
        <f ca="1">IFERROR(__xludf.DUMMYFUNCTION("""COMPUTED_VALUE"""),54686851)</f>
        <v>54686851</v>
      </c>
    </row>
    <row r="405" spans="1:6" ht="12.6">
      <c r="A405" s="2">
        <f ca="1">IFERROR(__xludf.DUMMYFUNCTION("""COMPUTED_VALUE"""),45149.6666666666)</f>
        <v>45149.666666666599</v>
      </c>
      <c r="B405" s="1">
        <f ca="1">IFERROR(__xludf.DUMMYFUNCTION("""COMPUTED_VALUE"""),177.32)</f>
        <v>177.32</v>
      </c>
      <c r="C405" s="1">
        <f ca="1">IFERROR(__xludf.DUMMYFUNCTION("""COMPUTED_VALUE"""),178.62)</f>
        <v>178.62</v>
      </c>
      <c r="D405" s="1">
        <f ca="1">IFERROR(__xludf.DUMMYFUNCTION("""COMPUTED_VALUE"""),176.55)</f>
        <v>176.55</v>
      </c>
      <c r="E405" s="1">
        <f ca="1">IFERROR(__xludf.DUMMYFUNCTION("""COMPUTED_VALUE"""),177.79)</f>
        <v>177.79</v>
      </c>
      <c r="F405" s="1">
        <f ca="1">IFERROR(__xludf.DUMMYFUNCTION("""COMPUTED_VALUE"""),52036672)</f>
        <v>52036672</v>
      </c>
    </row>
    <row r="406" spans="1:6" ht="12.6">
      <c r="A406" s="2">
        <f ca="1">IFERROR(__xludf.DUMMYFUNCTION("""COMPUTED_VALUE"""),45152.6666666666)</f>
        <v>45152.666666666599</v>
      </c>
      <c r="B406" s="1">
        <f ca="1">IFERROR(__xludf.DUMMYFUNCTION("""COMPUTED_VALUE"""),177.97)</f>
        <v>177.97</v>
      </c>
      <c r="C406" s="1">
        <f ca="1">IFERROR(__xludf.DUMMYFUNCTION("""COMPUTED_VALUE"""),179.69)</f>
        <v>179.69</v>
      </c>
      <c r="D406" s="1">
        <f ca="1">IFERROR(__xludf.DUMMYFUNCTION("""COMPUTED_VALUE"""),177.31)</f>
        <v>177.31</v>
      </c>
      <c r="E406" s="1">
        <f ca="1">IFERROR(__xludf.DUMMYFUNCTION("""COMPUTED_VALUE"""),179.46)</f>
        <v>179.46</v>
      </c>
      <c r="F406" s="1">
        <f ca="1">IFERROR(__xludf.DUMMYFUNCTION("""COMPUTED_VALUE"""),43675627)</f>
        <v>43675627</v>
      </c>
    </row>
    <row r="407" spans="1:6" ht="12.6">
      <c r="A407" s="2">
        <f ca="1">IFERROR(__xludf.DUMMYFUNCTION("""COMPUTED_VALUE"""),45153.6666666666)</f>
        <v>45153.666666666599</v>
      </c>
      <c r="B407" s="1">
        <f ca="1">IFERROR(__xludf.DUMMYFUNCTION("""COMPUTED_VALUE"""),178.88)</f>
        <v>178.88</v>
      </c>
      <c r="C407" s="1">
        <f ca="1">IFERROR(__xludf.DUMMYFUNCTION("""COMPUTED_VALUE"""),179.48)</f>
        <v>179.48</v>
      </c>
      <c r="D407" s="1">
        <f ca="1">IFERROR(__xludf.DUMMYFUNCTION("""COMPUTED_VALUE"""),177.05)</f>
        <v>177.05</v>
      </c>
      <c r="E407" s="1">
        <f ca="1">IFERROR(__xludf.DUMMYFUNCTION("""COMPUTED_VALUE"""),177.45)</f>
        <v>177.45</v>
      </c>
      <c r="F407" s="1">
        <f ca="1">IFERROR(__xludf.DUMMYFUNCTION("""COMPUTED_VALUE"""),43622593)</f>
        <v>43622593</v>
      </c>
    </row>
    <row r="408" spans="1:6" ht="12.6">
      <c r="A408" s="2">
        <f ca="1">IFERROR(__xludf.DUMMYFUNCTION("""COMPUTED_VALUE"""),45154.6666666666)</f>
        <v>45154.666666666599</v>
      </c>
      <c r="B408" s="1">
        <f ca="1">IFERROR(__xludf.DUMMYFUNCTION("""COMPUTED_VALUE"""),177.13)</f>
        <v>177.13</v>
      </c>
      <c r="C408" s="1">
        <f ca="1">IFERROR(__xludf.DUMMYFUNCTION("""COMPUTED_VALUE"""),178.54)</f>
        <v>178.54</v>
      </c>
      <c r="D408" s="1">
        <f ca="1">IFERROR(__xludf.DUMMYFUNCTION("""COMPUTED_VALUE"""),176.5)</f>
        <v>176.5</v>
      </c>
      <c r="E408" s="1">
        <f ca="1">IFERROR(__xludf.DUMMYFUNCTION("""COMPUTED_VALUE"""),176.57)</f>
        <v>176.57</v>
      </c>
      <c r="F408" s="1">
        <f ca="1">IFERROR(__xludf.DUMMYFUNCTION("""COMPUTED_VALUE"""),46964857)</f>
        <v>46964857</v>
      </c>
    </row>
    <row r="409" spans="1:6" ht="12.6">
      <c r="A409" s="2">
        <f ca="1">IFERROR(__xludf.DUMMYFUNCTION("""COMPUTED_VALUE"""),45155.6666666666)</f>
        <v>45155.666666666599</v>
      </c>
      <c r="B409" s="1">
        <f ca="1">IFERROR(__xludf.DUMMYFUNCTION("""COMPUTED_VALUE"""),177.14)</f>
        <v>177.14</v>
      </c>
      <c r="C409" s="1">
        <f ca="1">IFERROR(__xludf.DUMMYFUNCTION("""COMPUTED_VALUE"""),177.51)</f>
        <v>177.51</v>
      </c>
      <c r="D409" s="1">
        <f ca="1">IFERROR(__xludf.DUMMYFUNCTION("""COMPUTED_VALUE"""),173.48)</f>
        <v>173.48</v>
      </c>
      <c r="E409" s="1">
        <f ca="1">IFERROR(__xludf.DUMMYFUNCTION("""COMPUTED_VALUE"""),174)</f>
        <v>174</v>
      </c>
      <c r="F409" s="1">
        <f ca="1">IFERROR(__xludf.DUMMYFUNCTION("""COMPUTED_VALUE"""),66062882)</f>
        <v>66062882</v>
      </c>
    </row>
    <row r="410" spans="1:6" ht="12.6">
      <c r="A410" s="2">
        <f ca="1">IFERROR(__xludf.DUMMYFUNCTION("""COMPUTED_VALUE"""),45156.6666666666)</f>
        <v>45156.666666666599</v>
      </c>
      <c r="B410" s="1">
        <f ca="1">IFERROR(__xludf.DUMMYFUNCTION("""COMPUTED_VALUE"""),172.3)</f>
        <v>172.3</v>
      </c>
      <c r="C410" s="1">
        <f ca="1">IFERROR(__xludf.DUMMYFUNCTION("""COMPUTED_VALUE"""),175.1)</f>
        <v>175.1</v>
      </c>
      <c r="D410" s="1">
        <f ca="1">IFERROR(__xludf.DUMMYFUNCTION("""COMPUTED_VALUE"""),171.96)</f>
        <v>171.96</v>
      </c>
      <c r="E410" s="1">
        <f ca="1">IFERROR(__xludf.DUMMYFUNCTION("""COMPUTED_VALUE"""),174.49)</f>
        <v>174.49</v>
      </c>
      <c r="F410" s="1">
        <f ca="1">IFERROR(__xludf.DUMMYFUNCTION("""COMPUTED_VALUE"""),61172150)</f>
        <v>61172150</v>
      </c>
    </row>
    <row r="411" spans="1:6" ht="12.6">
      <c r="A411" s="2">
        <f ca="1">IFERROR(__xludf.DUMMYFUNCTION("""COMPUTED_VALUE"""),45159.6666666666)</f>
        <v>45159.666666666599</v>
      </c>
      <c r="B411" s="1">
        <f ca="1">IFERROR(__xludf.DUMMYFUNCTION("""COMPUTED_VALUE"""),175.07)</f>
        <v>175.07</v>
      </c>
      <c r="C411" s="1">
        <f ca="1">IFERROR(__xludf.DUMMYFUNCTION("""COMPUTED_VALUE"""),176.13)</f>
        <v>176.13</v>
      </c>
      <c r="D411" s="1">
        <f ca="1">IFERROR(__xludf.DUMMYFUNCTION("""COMPUTED_VALUE"""),173.74)</f>
        <v>173.74</v>
      </c>
      <c r="E411" s="1">
        <f ca="1">IFERROR(__xludf.DUMMYFUNCTION("""COMPUTED_VALUE"""),175.84)</f>
        <v>175.84</v>
      </c>
      <c r="F411" s="1">
        <f ca="1">IFERROR(__xludf.DUMMYFUNCTION("""COMPUTED_VALUE"""),46311879)</f>
        <v>46311879</v>
      </c>
    </row>
    <row r="412" spans="1:6" ht="12.6">
      <c r="A412" s="2">
        <f ca="1">IFERROR(__xludf.DUMMYFUNCTION("""COMPUTED_VALUE"""),45160.6666666666)</f>
        <v>45160.666666666599</v>
      </c>
      <c r="B412" s="1">
        <f ca="1">IFERROR(__xludf.DUMMYFUNCTION("""COMPUTED_VALUE"""),177.06)</f>
        <v>177.06</v>
      </c>
      <c r="C412" s="1">
        <f ca="1">IFERROR(__xludf.DUMMYFUNCTION("""COMPUTED_VALUE"""),177.68)</f>
        <v>177.68</v>
      </c>
      <c r="D412" s="1">
        <f ca="1">IFERROR(__xludf.DUMMYFUNCTION("""COMPUTED_VALUE"""),176.25)</f>
        <v>176.25</v>
      </c>
      <c r="E412" s="1">
        <f ca="1">IFERROR(__xludf.DUMMYFUNCTION("""COMPUTED_VALUE"""),177.23)</f>
        <v>177.23</v>
      </c>
      <c r="F412" s="1">
        <f ca="1">IFERROR(__xludf.DUMMYFUNCTION("""COMPUTED_VALUE"""),42084245)</f>
        <v>42084245</v>
      </c>
    </row>
    <row r="413" spans="1:6" ht="12.6">
      <c r="A413" s="2">
        <f ca="1">IFERROR(__xludf.DUMMYFUNCTION("""COMPUTED_VALUE"""),45161.6666666666)</f>
        <v>45161.666666666599</v>
      </c>
      <c r="B413" s="1">
        <f ca="1">IFERROR(__xludf.DUMMYFUNCTION("""COMPUTED_VALUE"""),178.52)</f>
        <v>178.52</v>
      </c>
      <c r="C413" s="1">
        <f ca="1">IFERROR(__xludf.DUMMYFUNCTION("""COMPUTED_VALUE"""),181.55)</f>
        <v>181.55</v>
      </c>
      <c r="D413" s="1">
        <f ca="1">IFERROR(__xludf.DUMMYFUNCTION("""COMPUTED_VALUE"""),178.33)</f>
        <v>178.33</v>
      </c>
      <c r="E413" s="1">
        <f ca="1">IFERROR(__xludf.DUMMYFUNCTION("""COMPUTED_VALUE"""),181.12)</f>
        <v>181.12</v>
      </c>
      <c r="F413" s="1">
        <f ca="1">IFERROR(__xludf.DUMMYFUNCTION("""COMPUTED_VALUE"""),52722752)</f>
        <v>52722752</v>
      </c>
    </row>
    <row r="414" spans="1:6" ht="12.6">
      <c r="A414" s="2">
        <f ca="1">IFERROR(__xludf.DUMMYFUNCTION("""COMPUTED_VALUE"""),45162.6666666666)</f>
        <v>45162.666666666599</v>
      </c>
      <c r="B414" s="1">
        <f ca="1">IFERROR(__xludf.DUMMYFUNCTION("""COMPUTED_VALUE"""),180.67)</f>
        <v>180.67</v>
      </c>
      <c r="C414" s="1">
        <f ca="1">IFERROR(__xludf.DUMMYFUNCTION("""COMPUTED_VALUE"""),181.1)</f>
        <v>181.1</v>
      </c>
      <c r="D414" s="1">
        <f ca="1">IFERROR(__xludf.DUMMYFUNCTION("""COMPUTED_VALUE"""),176.01)</f>
        <v>176.01</v>
      </c>
      <c r="E414" s="1">
        <f ca="1">IFERROR(__xludf.DUMMYFUNCTION("""COMPUTED_VALUE"""),176.38)</f>
        <v>176.38</v>
      </c>
      <c r="F414" s="1">
        <f ca="1">IFERROR(__xludf.DUMMYFUNCTION("""COMPUTED_VALUE"""),54945798)</f>
        <v>54945798</v>
      </c>
    </row>
    <row r="415" spans="1:6" ht="12.6">
      <c r="A415" s="2">
        <f ca="1">IFERROR(__xludf.DUMMYFUNCTION("""COMPUTED_VALUE"""),45163.6666666666)</f>
        <v>45163.666666666599</v>
      </c>
      <c r="B415" s="1">
        <f ca="1">IFERROR(__xludf.DUMMYFUNCTION("""COMPUTED_VALUE"""),177.38)</f>
        <v>177.38</v>
      </c>
      <c r="C415" s="1">
        <f ca="1">IFERROR(__xludf.DUMMYFUNCTION("""COMPUTED_VALUE"""),179.15)</f>
        <v>179.15</v>
      </c>
      <c r="D415" s="1">
        <f ca="1">IFERROR(__xludf.DUMMYFUNCTION("""COMPUTED_VALUE"""),175.82)</f>
        <v>175.82</v>
      </c>
      <c r="E415" s="1">
        <f ca="1">IFERROR(__xludf.DUMMYFUNCTION("""COMPUTED_VALUE"""),178.61)</f>
        <v>178.61</v>
      </c>
      <c r="F415" s="1">
        <f ca="1">IFERROR(__xludf.DUMMYFUNCTION("""COMPUTED_VALUE"""),51449594)</f>
        <v>51449594</v>
      </c>
    </row>
    <row r="416" spans="1:6" ht="12.6">
      <c r="A416" s="2">
        <f ca="1">IFERROR(__xludf.DUMMYFUNCTION("""COMPUTED_VALUE"""),45166.6666666666)</f>
        <v>45166.666666666599</v>
      </c>
      <c r="B416" s="1">
        <f ca="1">IFERROR(__xludf.DUMMYFUNCTION("""COMPUTED_VALUE"""),180.09)</f>
        <v>180.09</v>
      </c>
      <c r="C416" s="1">
        <f ca="1">IFERROR(__xludf.DUMMYFUNCTION("""COMPUTED_VALUE"""),180.59)</f>
        <v>180.59</v>
      </c>
      <c r="D416" s="1">
        <f ca="1">IFERROR(__xludf.DUMMYFUNCTION("""COMPUTED_VALUE"""),178.55)</f>
        <v>178.55</v>
      </c>
      <c r="E416" s="1">
        <f ca="1">IFERROR(__xludf.DUMMYFUNCTION("""COMPUTED_VALUE"""),180.19)</f>
        <v>180.19</v>
      </c>
      <c r="F416" s="1">
        <f ca="1">IFERROR(__xludf.DUMMYFUNCTION("""COMPUTED_VALUE"""),43820697)</f>
        <v>43820697</v>
      </c>
    </row>
    <row r="417" spans="1:6" ht="12.6">
      <c r="A417" s="2">
        <f ca="1">IFERROR(__xludf.DUMMYFUNCTION("""COMPUTED_VALUE"""),45167.6666666666)</f>
        <v>45167.666666666599</v>
      </c>
      <c r="B417" s="1">
        <f ca="1">IFERROR(__xludf.DUMMYFUNCTION("""COMPUTED_VALUE"""),179.7)</f>
        <v>179.7</v>
      </c>
      <c r="C417" s="1">
        <f ca="1">IFERROR(__xludf.DUMMYFUNCTION("""COMPUTED_VALUE"""),184.9)</f>
        <v>184.9</v>
      </c>
      <c r="D417" s="1">
        <f ca="1">IFERROR(__xludf.DUMMYFUNCTION("""COMPUTED_VALUE"""),179.5)</f>
        <v>179.5</v>
      </c>
      <c r="E417" s="1">
        <f ca="1">IFERROR(__xludf.DUMMYFUNCTION("""COMPUTED_VALUE"""),184.12)</f>
        <v>184.12</v>
      </c>
      <c r="F417" s="1">
        <f ca="1">IFERROR(__xludf.DUMMYFUNCTION("""COMPUTED_VALUE"""),53003948)</f>
        <v>53003948</v>
      </c>
    </row>
    <row r="418" spans="1:6" ht="12.6">
      <c r="A418" s="2">
        <f ca="1">IFERROR(__xludf.DUMMYFUNCTION("""COMPUTED_VALUE"""),45168.6666666666)</f>
        <v>45168.666666666599</v>
      </c>
      <c r="B418" s="1">
        <f ca="1">IFERROR(__xludf.DUMMYFUNCTION("""COMPUTED_VALUE"""),184.94)</f>
        <v>184.94</v>
      </c>
      <c r="C418" s="1">
        <f ca="1">IFERROR(__xludf.DUMMYFUNCTION("""COMPUTED_VALUE"""),187.85)</f>
        <v>187.85</v>
      </c>
      <c r="D418" s="1">
        <f ca="1">IFERROR(__xludf.DUMMYFUNCTION("""COMPUTED_VALUE"""),184.74)</f>
        <v>184.74</v>
      </c>
      <c r="E418" s="1">
        <f ca="1">IFERROR(__xludf.DUMMYFUNCTION("""COMPUTED_VALUE"""),187.65)</f>
        <v>187.65</v>
      </c>
      <c r="F418" s="1">
        <f ca="1">IFERROR(__xludf.DUMMYFUNCTION("""COMPUTED_VALUE"""),60813888)</f>
        <v>60813888</v>
      </c>
    </row>
    <row r="419" spans="1:6" ht="12.6">
      <c r="A419" s="2">
        <f ca="1">IFERROR(__xludf.DUMMYFUNCTION("""COMPUTED_VALUE"""),45169.6666666666)</f>
        <v>45169.666666666599</v>
      </c>
      <c r="B419" s="1">
        <f ca="1">IFERROR(__xludf.DUMMYFUNCTION("""COMPUTED_VALUE"""),187.84)</f>
        <v>187.84</v>
      </c>
      <c r="C419" s="1">
        <f ca="1">IFERROR(__xludf.DUMMYFUNCTION("""COMPUTED_VALUE"""),189.12)</f>
        <v>189.12</v>
      </c>
      <c r="D419" s="1">
        <f ca="1">IFERROR(__xludf.DUMMYFUNCTION("""COMPUTED_VALUE"""),187.48)</f>
        <v>187.48</v>
      </c>
      <c r="E419" s="1">
        <f ca="1">IFERROR(__xludf.DUMMYFUNCTION("""COMPUTED_VALUE"""),187.87)</f>
        <v>187.87</v>
      </c>
      <c r="F419" s="1">
        <f ca="1">IFERROR(__xludf.DUMMYFUNCTION("""COMPUTED_VALUE"""),60794467)</f>
        <v>60794467</v>
      </c>
    </row>
    <row r="420" spans="1:6" ht="12.6">
      <c r="A420" s="2">
        <f ca="1">IFERROR(__xludf.DUMMYFUNCTION("""COMPUTED_VALUE"""),45170.6666666666)</f>
        <v>45170.666666666599</v>
      </c>
      <c r="B420" s="1">
        <f ca="1">IFERROR(__xludf.DUMMYFUNCTION("""COMPUTED_VALUE"""),189.49)</f>
        <v>189.49</v>
      </c>
      <c r="C420" s="1">
        <f ca="1">IFERROR(__xludf.DUMMYFUNCTION("""COMPUTED_VALUE"""),189.92)</f>
        <v>189.92</v>
      </c>
      <c r="D420" s="1">
        <f ca="1">IFERROR(__xludf.DUMMYFUNCTION("""COMPUTED_VALUE"""),188.28)</f>
        <v>188.28</v>
      </c>
      <c r="E420" s="1">
        <f ca="1">IFERROR(__xludf.DUMMYFUNCTION("""COMPUTED_VALUE"""),189.46)</f>
        <v>189.46</v>
      </c>
      <c r="F420" s="1">
        <f ca="1">IFERROR(__xludf.DUMMYFUNCTION("""COMPUTED_VALUE"""),45766503)</f>
        <v>45766503</v>
      </c>
    </row>
    <row r="421" spans="1:6" ht="12.6">
      <c r="A421" s="2">
        <f ca="1">IFERROR(__xludf.DUMMYFUNCTION("""COMPUTED_VALUE"""),45174.6666666666)</f>
        <v>45174.666666666599</v>
      </c>
      <c r="B421" s="1">
        <f ca="1">IFERROR(__xludf.DUMMYFUNCTION("""COMPUTED_VALUE"""),188.28)</f>
        <v>188.28</v>
      </c>
      <c r="C421" s="1">
        <f ca="1">IFERROR(__xludf.DUMMYFUNCTION("""COMPUTED_VALUE"""),189.98)</f>
        <v>189.98</v>
      </c>
      <c r="D421" s="1">
        <f ca="1">IFERROR(__xludf.DUMMYFUNCTION("""COMPUTED_VALUE"""),187.61)</f>
        <v>187.61</v>
      </c>
      <c r="E421" s="1">
        <f ca="1">IFERROR(__xludf.DUMMYFUNCTION("""COMPUTED_VALUE"""),189.7)</f>
        <v>189.7</v>
      </c>
      <c r="F421" s="1">
        <f ca="1">IFERROR(__xludf.DUMMYFUNCTION("""COMPUTED_VALUE"""),45280027)</f>
        <v>45280027</v>
      </c>
    </row>
    <row r="422" spans="1:6" ht="12.6">
      <c r="A422" s="2">
        <f ca="1">IFERROR(__xludf.DUMMYFUNCTION("""COMPUTED_VALUE"""),45175.6666666666)</f>
        <v>45175.666666666599</v>
      </c>
      <c r="B422" s="1">
        <f ca="1">IFERROR(__xludf.DUMMYFUNCTION("""COMPUTED_VALUE"""),188.4)</f>
        <v>188.4</v>
      </c>
      <c r="C422" s="1">
        <f ca="1">IFERROR(__xludf.DUMMYFUNCTION("""COMPUTED_VALUE"""),188.85)</f>
        <v>188.85</v>
      </c>
      <c r="D422" s="1">
        <f ca="1">IFERROR(__xludf.DUMMYFUNCTION("""COMPUTED_VALUE"""),181.47)</f>
        <v>181.47</v>
      </c>
      <c r="E422" s="1">
        <f ca="1">IFERROR(__xludf.DUMMYFUNCTION("""COMPUTED_VALUE"""),182.91)</f>
        <v>182.91</v>
      </c>
      <c r="F422" s="1">
        <f ca="1">IFERROR(__xludf.DUMMYFUNCTION("""COMPUTED_VALUE"""),81755816)</f>
        <v>81755816</v>
      </c>
    </row>
    <row r="423" spans="1:6" ht="12.6">
      <c r="A423" s="2">
        <f ca="1">IFERROR(__xludf.DUMMYFUNCTION("""COMPUTED_VALUE"""),45176.6666666666)</f>
        <v>45176.666666666599</v>
      </c>
      <c r="B423" s="1">
        <f ca="1">IFERROR(__xludf.DUMMYFUNCTION("""COMPUTED_VALUE"""),175.18)</f>
        <v>175.18</v>
      </c>
      <c r="C423" s="1">
        <f ca="1">IFERROR(__xludf.DUMMYFUNCTION("""COMPUTED_VALUE"""),178.21)</f>
        <v>178.21</v>
      </c>
      <c r="D423" s="1">
        <f ca="1">IFERROR(__xludf.DUMMYFUNCTION("""COMPUTED_VALUE"""),173.54)</f>
        <v>173.54</v>
      </c>
      <c r="E423" s="1">
        <f ca="1">IFERROR(__xludf.DUMMYFUNCTION("""COMPUTED_VALUE"""),177.56)</f>
        <v>177.56</v>
      </c>
      <c r="F423" s="1">
        <f ca="1">IFERROR(__xludf.DUMMYFUNCTION("""COMPUTED_VALUE"""),112488803)</f>
        <v>112488803</v>
      </c>
    </row>
    <row r="424" spans="1:6" ht="12.6">
      <c r="A424" s="2">
        <f ca="1">IFERROR(__xludf.DUMMYFUNCTION("""COMPUTED_VALUE"""),45177.6666666666)</f>
        <v>45177.666666666599</v>
      </c>
      <c r="B424" s="1">
        <f ca="1">IFERROR(__xludf.DUMMYFUNCTION("""COMPUTED_VALUE"""),178.35)</f>
        <v>178.35</v>
      </c>
      <c r="C424" s="1">
        <f ca="1">IFERROR(__xludf.DUMMYFUNCTION("""COMPUTED_VALUE"""),180.24)</f>
        <v>180.24</v>
      </c>
      <c r="D424" s="1">
        <f ca="1">IFERROR(__xludf.DUMMYFUNCTION("""COMPUTED_VALUE"""),177.79)</f>
        <v>177.79</v>
      </c>
      <c r="E424" s="1">
        <f ca="1">IFERROR(__xludf.DUMMYFUNCTION("""COMPUTED_VALUE"""),178.18)</f>
        <v>178.18</v>
      </c>
      <c r="F424" s="1">
        <f ca="1">IFERROR(__xludf.DUMMYFUNCTION("""COMPUTED_VALUE"""),65602066)</f>
        <v>65602066</v>
      </c>
    </row>
    <row r="425" spans="1:6" ht="12.6">
      <c r="A425" s="2">
        <f ca="1">IFERROR(__xludf.DUMMYFUNCTION("""COMPUTED_VALUE"""),45180.6666666666)</f>
        <v>45180.666666666599</v>
      </c>
      <c r="B425" s="1">
        <f ca="1">IFERROR(__xludf.DUMMYFUNCTION("""COMPUTED_VALUE"""),180.07)</f>
        <v>180.07</v>
      </c>
      <c r="C425" s="1">
        <f ca="1">IFERROR(__xludf.DUMMYFUNCTION("""COMPUTED_VALUE"""),180.3)</f>
        <v>180.3</v>
      </c>
      <c r="D425" s="1">
        <f ca="1">IFERROR(__xludf.DUMMYFUNCTION("""COMPUTED_VALUE"""),177.34)</f>
        <v>177.34</v>
      </c>
      <c r="E425" s="1">
        <f ca="1">IFERROR(__xludf.DUMMYFUNCTION("""COMPUTED_VALUE"""),179.36)</f>
        <v>179.36</v>
      </c>
      <c r="F425" s="1">
        <f ca="1">IFERROR(__xludf.DUMMYFUNCTION("""COMPUTED_VALUE"""),58953052)</f>
        <v>58953052</v>
      </c>
    </row>
    <row r="426" spans="1:6" ht="12.6">
      <c r="A426" s="2">
        <f ca="1">IFERROR(__xludf.DUMMYFUNCTION("""COMPUTED_VALUE"""),45181.6666666666)</f>
        <v>45181.666666666599</v>
      </c>
      <c r="B426" s="1">
        <f ca="1">IFERROR(__xludf.DUMMYFUNCTION("""COMPUTED_VALUE"""),179.49)</f>
        <v>179.49</v>
      </c>
      <c r="C426" s="1">
        <f ca="1">IFERROR(__xludf.DUMMYFUNCTION("""COMPUTED_VALUE"""),180.13)</f>
        <v>180.13</v>
      </c>
      <c r="D426" s="1">
        <f ca="1">IFERROR(__xludf.DUMMYFUNCTION("""COMPUTED_VALUE"""),174.82)</f>
        <v>174.82</v>
      </c>
      <c r="E426" s="1">
        <f ca="1">IFERROR(__xludf.DUMMYFUNCTION("""COMPUTED_VALUE"""),176.3)</f>
        <v>176.3</v>
      </c>
      <c r="F426" s="1">
        <f ca="1">IFERROR(__xludf.DUMMYFUNCTION("""COMPUTED_VALUE"""),90370192)</f>
        <v>90370192</v>
      </c>
    </row>
    <row r="427" spans="1:6" ht="12.6">
      <c r="A427" s="2">
        <f ca="1">IFERROR(__xludf.DUMMYFUNCTION("""COMPUTED_VALUE"""),45182.6666666666)</f>
        <v>45182.666666666599</v>
      </c>
      <c r="B427" s="1">
        <f ca="1">IFERROR(__xludf.DUMMYFUNCTION("""COMPUTED_VALUE"""),176.51)</f>
        <v>176.51</v>
      </c>
      <c r="C427" s="1">
        <f ca="1">IFERROR(__xludf.DUMMYFUNCTION("""COMPUTED_VALUE"""),177.3)</f>
        <v>177.3</v>
      </c>
      <c r="D427" s="1">
        <f ca="1">IFERROR(__xludf.DUMMYFUNCTION("""COMPUTED_VALUE"""),173.98)</f>
        <v>173.98</v>
      </c>
      <c r="E427" s="1">
        <f ca="1">IFERROR(__xludf.DUMMYFUNCTION("""COMPUTED_VALUE"""),174.21)</f>
        <v>174.21</v>
      </c>
      <c r="F427" s="1">
        <f ca="1">IFERROR(__xludf.DUMMYFUNCTION("""COMPUTED_VALUE"""),84267928)</f>
        <v>84267928</v>
      </c>
    </row>
    <row r="428" spans="1:6" ht="12.6">
      <c r="A428" s="2">
        <f ca="1">IFERROR(__xludf.DUMMYFUNCTION("""COMPUTED_VALUE"""),45183.6666666666)</f>
        <v>45183.666666666599</v>
      </c>
      <c r="B428" s="1">
        <f ca="1">IFERROR(__xludf.DUMMYFUNCTION("""COMPUTED_VALUE"""),174)</f>
        <v>174</v>
      </c>
      <c r="C428" s="1">
        <f ca="1">IFERROR(__xludf.DUMMYFUNCTION("""COMPUTED_VALUE"""),176.1)</f>
        <v>176.1</v>
      </c>
      <c r="D428" s="1">
        <f ca="1">IFERROR(__xludf.DUMMYFUNCTION("""COMPUTED_VALUE"""),173.58)</f>
        <v>173.58</v>
      </c>
      <c r="E428" s="1">
        <f ca="1">IFERROR(__xludf.DUMMYFUNCTION("""COMPUTED_VALUE"""),175.74)</f>
        <v>175.74</v>
      </c>
      <c r="F428" s="1">
        <f ca="1">IFERROR(__xludf.DUMMYFUNCTION("""COMPUTED_VALUE"""),60895757)</f>
        <v>60895757</v>
      </c>
    </row>
    <row r="429" spans="1:6" ht="12.6">
      <c r="A429" s="2">
        <f ca="1">IFERROR(__xludf.DUMMYFUNCTION("""COMPUTED_VALUE"""),45184.6666666666)</f>
        <v>45184.666666666599</v>
      </c>
      <c r="B429" s="1">
        <f ca="1">IFERROR(__xludf.DUMMYFUNCTION("""COMPUTED_VALUE"""),176.48)</f>
        <v>176.48</v>
      </c>
      <c r="C429" s="1">
        <f ca="1">IFERROR(__xludf.DUMMYFUNCTION("""COMPUTED_VALUE"""),176.5)</f>
        <v>176.5</v>
      </c>
      <c r="D429" s="1">
        <f ca="1">IFERROR(__xludf.DUMMYFUNCTION("""COMPUTED_VALUE"""),173.82)</f>
        <v>173.82</v>
      </c>
      <c r="E429" s="1">
        <f ca="1">IFERROR(__xludf.DUMMYFUNCTION("""COMPUTED_VALUE"""),175.01)</f>
        <v>175.01</v>
      </c>
      <c r="F429" s="1">
        <f ca="1">IFERROR(__xludf.DUMMYFUNCTION("""COMPUTED_VALUE"""),109259461)</f>
        <v>109259461</v>
      </c>
    </row>
    <row r="430" spans="1:6" ht="12.6">
      <c r="A430" s="2">
        <f ca="1">IFERROR(__xludf.DUMMYFUNCTION("""COMPUTED_VALUE"""),45187.6666666666)</f>
        <v>45187.666666666599</v>
      </c>
      <c r="B430" s="1">
        <f ca="1">IFERROR(__xludf.DUMMYFUNCTION("""COMPUTED_VALUE"""),176.48)</f>
        <v>176.48</v>
      </c>
      <c r="C430" s="1">
        <f ca="1">IFERROR(__xludf.DUMMYFUNCTION("""COMPUTED_VALUE"""),179.38)</f>
        <v>179.38</v>
      </c>
      <c r="D430" s="1">
        <f ca="1">IFERROR(__xludf.DUMMYFUNCTION("""COMPUTED_VALUE"""),176.17)</f>
        <v>176.17</v>
      </c>
      <c r="E430" s="1">
        <f ca="1">IFERROR(__xludf.DUMMYFUNCTION("""COMPUTED_VALUE"""),177.97)</f>
        <v>177.97</v>
      </c>
      <c r="F430" s="1">
        <f ca="1">IFERROR(__xludf.DUMMYFUNCTION("""COMPUTED_VALUE"""),67257573)</f>
        <v>67257573</v>
      </c>
    </row>
    <row r="431" spans="1:6" ht="12.6">
      <c r="A431" s="2">
        <f ca="1">IFERROR(__xludf.DUMMYFUNCTION("""COMPUTED_VALUE"""),45188.6666666666)</f>
        <v>45188.666666666599</v>
      </c>
      <c r="B431" s="1">
        <f ca="1">IFERROR(__xludf.DUMMYFUNCTION("""COMPUTED_VALUE"""),177.52)</f>
        <v>177.52</v>
      </c>
      <c r="C431" s="1">
        <f ca="1">IFERROR(__xludf.DUMMYFUNCTION("""COMPUTED_VALUE"""),179.63)</f>
        <v>179.63</v>
      </c>
      <c r="D431" s="1">
        <f ca="1">IFERROR(__xludf.DUMMYFUNCTION("""COMPUTED_VALUE"""),177.13)</f>
        <v>177.13</v>
      </c>
      <c r="E431" s="1">
        <f ca="1">IFERROR(__xludf.DUMMYFUNCTION("""COMPUTED_VALUE"""),179.07)</f>
        <v>179.07</v>
      </c>
      <c r="F431" s="1">
        <f ca="1">IFERROR(__xludf.DUMMYFUNCTION("""COMPUTED_VALUE"""),51826941)</f>
        <v>51826941</v>
      </c>
    </row>
    <row r="432" spans="1:6" ht="12.6">
      <c r="A432" s="2">
        <f ca="1">IFERROR(__xludf.DUMMYFUNCTION("""COMPUTED_VALUE"""),45189.6666666666)</f>
        <v>45189.666666666599</v>
      </c>
      <c r="B432" s="1">
        <f ca="1">IFERROR(__xludf.DUMMYFUNCTION("""COMPUTED_VALUE"""),179.26)</f>
        <v>179.26</v>
      </c>
      <c r="C432" s="1">
        <f ca="1">IFERROR(__xludf.DUMMYFUNCTION("""COMPUTED_VALUE"""),179.7)</f>
        <v>179.7</v>
      </c>
      <c r="D432" s="1">
        <f ca="1">IFERROR(__xludf.DUMMYFUNCTION("""COMPUTED_VALUE"""),175.4)</f>
        <v>175.4</v>
      </c>
      <c r="E432" s="1">
        <f ca="1">IFERROR(__xludf.DUMMYFUNCTION("""COMPUTED_VALUE"""),175.49)</f>
        <v>175.49</v>
      </c>
      <c r="F432" s="1">
        <f ca="1">IFERROR(__xludf.DUMMYFUNCTION("""COMPUTED_VALUE"""),58436181)</f>
        <v>58436181</v>
      </c>
    </row>
    <row r="433" spans="1:6" ht="12.6">
      <c r="A433" s="2">
        <f ca="1">IFERROR(__xludf.DUMMYFUNCTION("""COMPUTED_VALUE"""),45190.6666666666)</f>
        <v>45190.666666666599</v>
      </c>
      <c r="B433" s="1">
        <f ca="1">IFERROR(__xludf.DUMMYFUNCTION("""COMPUTED_VALUE"""),174.55)</f>
        <v>174.55</v>
      </c>
      <c r="C433" s="1">
        <f ca="1">IFERROR(__xludf.DUMMYFUNCTION("""COMPUTED_VALUE"""),176.3)</f>
        <v>176.3</v>
      </c>
      <c r="D433" s="1">
        <f ca="1">IFERROR(__xludf.DUMMYFUNCTION("""COMPUTED_VALUE"""),173.86)</f>
        <v>173.86</v>
      </c>
      <c r="E433" s="1">
        <f ca="1">IFERROR(__xludf.DUMMYFUNCTION("""COMPUTED_VALUE"""),173.93)</f>
        <v>173.93</v>
      </c>
      <c r="F433" s="1">
        <f ca="1">IFERROR(__xludf.DUMMYFUNCTION("""COMPUTED_VALUE"""),63149116)</f>
        <v>63149116</v>
      </c>
    </row>
    <row r="434" spans="1:6" ht="12.6">
      <c r="A434" s="2">
        <f ca="1">IFERROR(__xludf.DUMMYFUNCTION("""COMPUTED_VALUE"""),45191.6666666666)</f>
        <v>45191.666666666599</v>
      </c>
      <c r="B434" s="1">
        <f ca="1">IFERROR(__xludf.DUMMYFUNCTION("""COMPUTED_VALUE"""),174.67)</f>
        <v>174.67</v>
      </c>
      <c r="C434" s="1">
        <f ca="1">IFERROR(__xludf.DUMMYFUNCTION("""COMPUTED_VALUE"""),177.08)</f>
        <v>177.08</v>
      </c>
      <c r="D434" s="1">
        <f ca="1">IFERROR(__xludf.DUMMYFUNCTION("""COMPUTED_VALUE"""),174.05)</f>
        <v>174.05</v>
      </c>
      <c r="E434" s="1">
        <f ca="1">IFERROR(__xludf.DUMMYFUNCTION("""COMPUTED_VALUE"""),174.79)</f>
        <v>174.79</v>
      </c>
      <c r="F434" s="1">
        <f ca="1">IFERROR(__xludf.DUMMYFUNCTION("""COMPUTED_VALUE"""),56725385)</f>
        <v>56725385</v>
      </c>
    </row>
    <row r="435" spans="1:6" ht="12.6">
      <c r="A435" s="2">
        <f ca="1">IFERROR(__xludf.DUMMYFUNCTION("""COMPUTED_VALUE"""),45194.6666666666)</f>
        <v>45194.666666666599</v>
      </c>
      <c r="B435" s="1">
        <f ca="1">IFERROR(__xludf.DUMMYFUNCTION("""COMPUTED_VALUE"""),174.2)</f>
        <v>174.2</v>
      </c>
      <c r="C435" s="1">
        <f ca="1">IFERROR(__xludf.DUMMYFUNCTION("""COMPUTED_VALUE"""),176.97)</f>
        <v>176.97</v>
      </c>
      <c r="D435" s="1">
        <f ca="1">IFERROR(__xludf.DUMMYFUNCTION("""COMPUTED_VALUE"""),174.15)</f>
        <v>174.15</v>
      </c>
      <c r="E435" s="1">
        <f ca="1">IFERROR(__xludf.DUMMYFUNCTION("""COMPUTED_VALUE"""),176.08)</f>
        <v>176.08</v>
      </c>
      <c r="F435" s="1">
        <f ca="1">IFERROR(__xludf.DUMMYFUNCTION("""COMPUTED_VALUE"""),46172740)</f>
        <v>46172740</v>
      </c>
    </row>
    <row r="436" spans="1:6" ht="12.6">
      <c r="A436" s="2">
        <f ca="1">IFERROR(__xludf.DUMMYFUNCTION("""COMPUTED_VALUE"""),45195.6666666666)</f>
        <v>45195.666666666599</v>
      </c>
      <c r="B436" s="1">
        <f ca="1">IFERROR(__xludf.DUMMYFUNCTION("""COMPUTED_VALUE"""),174.82)</f>
        <v>174.82</v>
      </c>
      <c r="C436" s="1">
        <f ca="1">IFERROR(__xludf.DUMMYFUNCTION("""COMPUTED_VALUE"""),175.2)</f>
        <v>175.2</v>
      </c>
      <c r="D436" s="1">
        <f ca="1">IFERROR(__xludf.DUMMYFUNCTION("""COMPUTED_VALUE"""),171.66)</f>
        <v>171.66</v>
      </c>
      <c r="E436" s="1">
        <f ca="1">IFERROR(__xludf.DUMMYFUNCTION("""COMPUTED_VALUE"""),171.96)</f>
        <v>171.96</v>
      </c>
      <c r="F436" s="1">
        <f ca="1">IFERROR(__xludf.DUMMYFUNCTION("""COMPUTED_VALUE"""),64588945)</f>
        <v>64588945</v>
      </c>
    </row>
    <row r="437" spans="1:6" ht="12.6">
      <c r="A437" s="2">
        <f ca="1">IFERROR(__xludf.DUMMYFUNCTION("""COMPUTED_VALUE"""),45196.6666666666)</f>
        <v>45196.666666666599</v>
      </c>
      <c r="B437" s="1">
        <f ca="1">IFERROR(__xludf.DUMMYFUNCTION("""COMPUTED_VALUE"""),172.62)</f>
        <v>172.62</v>
      </c>
      <c r="C437" s="1">
        <f ca="1">IFERROR(__xludf.DUMMYFUNCTION("""COMPUTED_VALUE"""),173.04)</f>
        <v>173.04</v>
      </c>
      <c r="D437" s="1">
        <f ca="1">IFERROR(__xludf.DUMMYFUNCTION("""COMPUTED_VALUE"""),169.05)</f>
        <v>169.05</v>
      </c>
      <c r="E437" s="1">
        <f ca="1">IFERROR(__xludf.DUMMYFUNCTION("""COMPUTED_VALUE"""),170.43)</f>
        <v>170.43</v>
      </c>
      <c r="F437" s="1">
        <f ca="1">IFERROR(__xludf.DUMMYFUNCTION("""COMPUTED_VALUE"""),66921808)</f>
        <v>66921808</v>
      </c>
    </row>
    <row r="438" spans="1:6" ht="12.6">
      <c r="A438" s="2">
        <f ca="1">IFERROR(__xludf.DUMMYFUNCTION("""COMPUTED_VALUE"""),45197.6666666666)</f>
        <v>45197.666666666599</v>
      </c>
      <c r="B438" s="1">
        <f ca="1">IFERROR(__xludf.DUMMYFUNCTION("""COMPUTED_VALUE"""),169.34)</f>
        <v>169.34</v>
      </c>
      <c r="C438" s="1">
        <f ca="1">IFERROR(__xludf.DUMMYFUNCTION("""COMPUTED_VALUE"""),172.03)</f>
        <v>172.03</v>
      </c>
      <c r="D438" s="1">
        <f ca="1">IFERROR(__xludf.DUMMYFUNCTION("""COMPUTED_VALUE"""),167.62)</f>
        <v>167.62</v>
      </c>
      <c r="E438" s="1">
        <f ca="1">IFERROR(__xludf.DUMMYFUNCTION("""COMPUTED_VALUE"""),170.69)</f>
        <v>170.69</v>
      </c>
      <c r="F438" s="1">
        <f ca="1">IFERROR(__xludf.DUMMYFUNCTION("""COMPUTED_VALUE"""),56294419)</f>
        <v>56294419</v>
      </c>
    </row>
    <row r="439" spans="1:6" ht="12.6">
      <c r="A439" s="2">
        <f ca="1">IFERROR(__xludf.DUMMYFUNCTION("""COMPUTED_VALUE"""),45198.6666666666)</f>
        <v>45198.666666666599</v>
      </c>
      <c r="B439" s="1">
        <f ca="1">IFERROR(__xludf.DUMMYFUNCTION("""COMPUTED_VALUE"""),172.02)</f>
        <v>172.02</v>
      </c>
      <c r="C439" s="1">
        <f ca="1">IFERROR(__xludf.DUMMYFUNCTION("""COMPUTED_VALUE"""),173.07)</f>
        <v>173.07</v>
      </c>
      <c r="D439" s="1">
        <f ca="1">IFERROR(__xludf.DUMMYFUNCTION("""COMPUTED_VALUE"""),170.34)</f>
        <v>170.34</v>
      </c>
      <c r="E439" s="1">
        <f ca="1">IFERROR(__xludf.DUMMYFUNCTION("""COMPUTED_VALUE"""),171.21)</f>
        <v>171.21</v>
      </c>
      <c r="F439" s="1">
        <f ca="1">IFERROR(__xludf.DUMMYFUNCTION("""COMPUTED_VALUE"""),51861083)</f>
        <v>51861083</v>
      </c>
    </row>
    <row r="440" spans="1:6" ht="12.6">
      <c r="A440" s="2">
        <f ca="1">IFERROR(__xludf.DUMMYFUNCTION("""COMPUTED_VALUE"""),45201.6666666666)</f>
        <v>45201.666666666599</v>
      </c>
      <c r="B440" s="1">
        <f ca="1">IFERROR(__xludf.DUMMYFUNCTION("""COMPUTED_VALUE"""),171.22)</f>
        <v>171.22</v>
      </c>
      <c r="C440" s="1">
        <f ca="1">IFERROR(__xludf.DUMMYFUNCTION("""COMPUTED_VALUE"""),174.3)</f>
        <v>174.3</v>
      </c>
      <c r="D440" s="1">
        <f ca="1">IFERROR(__xludf.DUMMYFUNCTION("""COMPUTED_VALUE"""),170.93)</f>
        <v>170.93</v>
      </c>
      <c r="E440" s="1">
        <f ca="1">IFERROR(__xludf.DUMMYFUNCTION("""COMPUTED_VALUE"""),173.75)</f>
        <v>173.75</v>
      </c>
      <c r="F440" s="1">
        <f ca="1">IFERROR(__xludf.DUMMYFUNCTION("""COMPUTED_VALUE"""),52164535)</f>
        <v>52164535</v>
      </c>
    </row>
    <row r="441" spans="1:6" ht="12.6">
      <c r="A441" s="2">
        <f ca="1">IFERROR(__xludf.DUMMYFUNCTION("""COMPUTED_VALUE"""),45202.6666666666)</f>
        <v>45202.666666666599</v>
      </c>
      <c r="B441" s="1">
        <f ca="1">IFERROR(__xludf.DUMMYFUNCTION("""COMPUTED_VALUE"""),172.26)</f>
        <v>172.26</v>
      </c>
      <c r="C441" s="1">
        <f ca="1">IFERROR(__xludf.DUMMYFUNCTION("""COMPUTED_VALUE"""),173.63)</f>
        <v>173.63</v>
      </c>
      <c r="D441" s="1">
        <f ca="1">IFERROR(__xludf.DUMMYFUNCTION("""COMPUTED_VALUE"""),170.82)</f>
        <v>170.82</v>
      </c>
      <c r="E441" s="1">
        <f ca="1">IFERROR(__xludf.DUMMYFUNCTION("""COMPUTED_VALUE"""),172.4)</f>
        <v>172.4</v>
      </c>
      <c r="F441" s="1">
        <f ca="1">IFERROR(__xludf.DUMMYFUNCTION("""COMPUTED_VALUE"""),49594613)</f>
        <v>49594613</v>
      </c>
    </row>
    <row r="442" spans="1:6" ht="12.6">
      <c r="A442" s="2">
        <f ca="1">IFERROR(__xludf.DUMMYFUNCTION("""COMPUTED_VALUE"""),45203.6666666666)</f>
        <v>45203.666666666599</v>
      </c>
      <c r="B442" s="1">
        <f ca="1">IFERROR(__xludf.DUMMYFUNCTION("""COMPUTED_VALUE"""),171.09)</f>
        <v>171.09</v>
      </c>
      <c r="C442" s="1">
        <f ca="1">IFERROR(__xludf.DUMMYFUNCTION("""COMPUTED_VALUE"""),174.21)</f>
        <v>174.21</v>
      </c>
      <c r="D442" s="1">
        <f ca="1">IFERROR(__xludf.DUMMYFUNCTION("""COMPUTED_VALUE"""),170.97)</f>
        <v>170.97</v>
      </c>
      <c r="E442" s="1">
        <f ca="1">IFERROR(__xludf.DUMMYFUNCTION("""COMPUTED_VALUE"""),173.66)</f>
        <v>173.66</v>
      </c>
      <c r="F442" s="1">
        <f ca="1">IFERROR(__xludf.DUMMYFUNCTION("""COMPUTED_VALUE"""),53020286)</f>
        <v>53020286</v>
      </c>
    </row>
    <row r="443" spans="1:6" ht="12.6">
      <c r="A443" s="2">
        <f ca="1">IFERROR(__xludf.DUMMYFUNCTION("""COMPUTED_VALUE"""),45204.6666666666)</f>
        <v>45204.666666666599</v>
      </c>
      <c r="B443" s="1">
        <f ca="1">IFERROR(__xludf.DUMMYFUNCTION("""COMPUTED_VALUE"""),173.79)</f>
        <v>173.79</v>
      </c>
      <c r="C443" s="1">
        <f ca="1">IFERROR(__xludf.DUMMYFUNCTION("""COMPUTED_VALUE"""),175.45)</f>
        <v>175.45</v>
      </c>
      <c r="D443" s="1">
        <f ca="1">IFERROR(__xludf.DUMMYFUNCTION("""COMPUTED_VALUE"""),172.68)</f>
        <v>172.68</v>
      </c>
      <c r="E443" s="1">
        <f ca="1">IFERROR(__xludf.DUMMYFUNCTION("""COMPUTED_VALUE"""),174.91)</f>
        <v>174.91</v>
      </c>
      <c r="F443" s="1">
        <f ca="1">IFERROR(__xludf.DUMMYFUNCTION("""COMPUTED_VALUE"""),48527918)</f>
        <v>48527918</v>
      </c>
    </row>
    <row r="444" spans="1:6" ht="12.6">
      <c r="A444" s="2">
        <f ca="1">IFERROR(__xludf.DUMMYFUNCTION("""COMPUTED_VALUE"""),45205.6666666666)</f>
        <v>45205.666666666599</v>
      </c>
      <c r="B444" s="1">
        <f ca="1">IFERROR(__xludf.DUMMYFUNCTION("""COMPUTED_VALUE"""),173.8)</f>
        <v>173.8</v>
      </c>
      <c r="C444" s="1">
        <f ca="1">IFERROR(__xludf.DUMMYFUNCTION("""COMPUTED_VALUE"""),177.99)</f>
        <v>177.99</v>
      </c>
      <c r="D444" s="1">
        <f ca="1">IFERROR(__xludf.DUMMYFUNCTION("""COMPUTED_VALUE"""),173.18)</f>
        <v>173.18</v>
      </c>
      <c r="E444" s="1">
        <f ca="1">IFERROR(__xludf.DUMMYFUNCTION("""COMPUTED_VALUE"""),177.49)</f>
        <v>177.49</v>
      </c>
      <c r="F444" s="1">
        <f ca="1">IFERROR(__xludf.DUMMYFUNCTION("""COMPUTED_VALUE"""),57266675)</f>
        <v>57266675</v>
      </c>
    </row>
    <row r="445" spans="1:6" ht="12.6">
      <c r="A445" s="2">
        <f ca="1">IFERROR(__xludf.DUMMYFUNCTION("""COMPUTED_VALUE"""),45208.6666666666)</f>
        <v>45208.666666666599</v>
      </c>
      <c r="B445" s="1">
        <f ca="1">IFERROR(__xludf.DUMMYFUNCTION("""COMPUTED_VALUE"""),176.81)</f>
        <v>176.81</v>
      </c>
      <c r="C445" s="1">
        <f ca="1">IFERROR(__xludf.DUMMYFUNCTION("""COMPUTED_VALUE"""),179.05)</f>
        <v>179.05</v>
      </c>
      <c r="D445" s="1">
        <f ca="1">IFERROR(__xludf.DUMMYFUNCTION("""COMPUTED_VALUE"""),175.8)</f>
        <v>175.8</v>
      </c>
      <c r="E445" s="1">
        <f ca="1">IFERROR(__xludf.DUMMYFUNCTION("""COMPUTED_VALUE"""),178.99)</f>
        <v>178.99</v>
      </c>
      <c r="F445" s="1">
        <f ca="1">IFERROR(__xludf.DUMMYFUNCTION("""COMPUTED_VALUE"""),42390772)</f>
        <v>42390772</v>
      </c>
    </row>
    <row r="446" spans="1:6" ht="12.6">
      <c r="A446" s="2">
        <f ca="1">IFERROR(__xludf.DUMMYFUNCTION("""COMPUTED_VALUE"""),45209.6666666666)</f>
        <v>45209.666666666599</v>
      </c>
      <c r="B446" s="1">
        <f ca="1">IFERROR(__xludf.DUMMYFUNCTION("""COMPUTED_VALUE"""),178.1)</f>
        <v>178.1</v>
      </c>
      <c r="C446" s="1">
        <f ca="1">IFERROR(__xludf.DUMMYFUNCTION("""COMPUTED_VALUE"""),179.72)</f>
        <v>179.72</v>
      </c>
      <c r="D446" s="1">
        <f ca="1">IFERROR(__xludf.DUMMYFUNCTION("""COMPUTED_VALUE"""),177.95)</f>
        <v>177.95</v>
      </c>
      <c r="E446" s="1">
        <f ca="1">IFERROR(__xludf.DUMMYFUNCTION("""COMPUTED_VALUE"""),178.39)</f>
        <v>178.39</v>
      </c>
      <c r="F446" s="1">
        <f ca="1">IFERROR(__xludf.DUMMYFUNCTION("""COMPUTED_VALUE"""),43698019)</f>
        <v>43698019</v>
      </c>
    </row>
    <row r="447" spans="1:6" ht="12.6">
      <c r="A447" s="2">
        <f ca="1">IFERROR(__xludf.DUMMYFUNCTION("""COMPUTED_VALUE"""),45210.6666666666)</f>
        <v>45210.666666666599</v>
      </c>
      <c r="B447" s="1">
        <f ca="1">IFERROR(__xludf.DUMMYFUNCTION("""COMPUTED_VALUE"""),178.2)</f>
        <v>178.2</v>
      </c>
      <c r="C447" s="1">
        <f ca="1">IFERROR(__xludf.DUMMYFUNCTION("""COMPUTED_VALUE"""),179.85)</f>
        <v>179.85</v>
      </c>
      <c r="D447" s="1">
        <f ca="1">IFERROR(__xludf.DUMMYFUNCTION("""COMPUTED_VALUE"""),177.6)</f>
        <v>177.6</v>
      </c>
      <c r="E447" s="1">
        <f ca="1">IFERROR(__xludf.DUMMYFUNCTION("""COMPUTED_VALUE"""),179.8)</f>
        <v>179.8</v>
      </c>
      <c r="F447" s="1">
        <f ca="1">IFERROR(__xludf.DUMMYFUNCTION("""COMPUTED_VALUE"""),47551098)</f>
        <v>47551098</v>
      </c>
    </row>
    <row r="448" spans="1:6" ht="12.6">
      <c r="A448" s="2">
        <f ca="1">IFERROR(__xludf.DUMMYFUNCTION("""COMPUTED_VALUE"""),45211.6666666666)</f>
        <v>45211.666666666599</v>
      </c>
      <c r="B448" s="1">
        <f ca="1">IFERROR(__xludf.DUMMYFUNCTION("""COMPUTED_VALUE"""),180.07)</f>
        <v>180.07</v>
      </c>
      <c r="C448" s="1">
        <f ca="1">IFERROR(__xludf.DUMMYFUNCTION("""COMPUTED_VALUE"""),182.34)</f>
        <v>182.34</v>
      </c>
      <c r="D448" s="1">
        <f ca="1">IFERROR(__xludf.DUMMYFUNCTION("""COMPUTED_VALUE"""),179.04)</f>
        <v>179.04</v>
      </c>
      <c r="E448" s="1">
        <f ca="1">IFERROR(__xludf.DUMMYFUNCTION("""COMPUTED_VALUE"""),180.71)</f>
        <v>180.71</v>
      </c>
      <c r="F448" s="1">
        <f ca="1">IFERROR(__xludf.DUMMYFUNCTION("""COMPUTED_VALUE"""),56743119)</f>
        <v>56743119</v>
      </c>
    </row>
    <row r="449" spans="1:6" ht="12.6">
      <c r="A449" s="2">
        <f ca="1">IFERROR(__xludf.DUMMYFUNCTION("""COMPUTED_VALUE"""),45212.6666666666)</f>
        <v>45212.666666666599</v>
      </c>
      <c r="B449" s="1">
        <f ca="1">IFERROR(__xludf.DUMMYFUNCTION("""COMPUTED_VALUE"""),181.42)</f>
        <v>181.42</v>
      </c>
      <c r="C449" s="1">
        <f ca="1">IFERROR(__xludf.DUMMYFUNCTION("""COMPUTED_VALUE"""),181.93)</f>
        <v>181.93</v>
      </c>
      <c r="D449" s="1">
        <f ca="1">IFERROR(__xludf.DUMMYFUNCTION("""COMPUTED_VALUE"""),178.14)</f>
        <v>178.14</v>
      </c>
      <c r="E449" s="1">
        <f ca="1">IFERROR(__xludf.DUMMYFUNCTION("""COMPUTED_VALUE"""),178.85)</f>
        <v>178.85</v>
      </c>
      <c r="F449" s="1">
        <f ca="1">IFERROR(__xludf.DUMMYFUNCTION("""COMPUTED_VALUE"""),51456082)</f>
        <v>51456082</v>
      </c>
    </row>
    <row r="450" spans="1:6" ht="12.6">
      <c r="A450" s="2">
        <f ca="1">IFERROR(__xludf.DUMMYFUNCTION("""COMPUTED_VALUE"""),45215.6666666666)</f>
        <v>45215.666666666599</v>
      </c>
      <c r="B450" s="1">
        <f ca="1">IFERROR(__xludf.DUMMYFUNCTION("""COMPUTED_VALUE"""),176.75)</f>
        <v>176.75</v>
      </c>
      <c r="C450" s="1">
        <f ca="1">IFERROR(__xludf.DUMMYFUNCTION("""COMPUTED_VALUE"""),179.08)</f>
        <v>179.08</v>
      </c>
      <c r="D450" s="1">
        <f ca="1">IFERROR(__xludf.DUMMYFUNCTION("""COMPUTED_VALUE"""),176.51)</f>
        <v>176.51</v>
      </c>
      <c r="E450" s="1">
        <f ca="1">IFERROR(__xludf.DUMMYFUNCTION("""COMPUTED_VALUE"""),178.72)</f>
        <v>178.72</v>
      </c>
      <c r="F450" s="1">
        <f ca="1">IFERROR(__xludf.DUMMYFUNCTION("""COMPUTED_VALUE"""),52516984)</f>
        <v>52516984</v>
      </c>
    </row>
    <row r="451" spans="1:6" ht="12.6">
      <c r="A451" s="2">
        <f ca="1">IFERROR(__xludf.DUMMYFUNCTION("""COMPUTED_VALUE"""),45216.6666666666)</f>
        <v>45216.666666666599</v>
      </c>
      <c r="B451" s="1">
        <f ca="1">IFERROR(__xludf.DUMMYFUNCTION("""COMPUTED_VALUE"""),176.65)</f>
        <v>176.65</v>
      </c>
      <c r="C451" s="1">
        <f ca="1">IFERROR(__xludf.DUMMYFUNCTION("""COMPUTED_VALUE"""),178.42)</f>
        <v>178.42</v>
      </c>
      <c r="D451" s="1">
        <f ca="1">IFERROR(__xludf.DUMMYFUNCTION("""COMPUTED_VALUE"""),174.8)</f>
        <v>174.8</v>
      </c>
      <c r="E451" s="1">
        <f ca="1">IFERROR(__xludf.DUMMYFUNCTION("""COMPUTED_VALUE"""),177.15)</f>
        <v>177.15</v>
      </c>
      <c r="F451" s="1">
        <f ca="1">IFERROR(__xludf.DUMMYFUNCTION("""COMPUTED_VALUE"""),57549350)</f>
        <v>57549350</v>
      </c>
    </row>
    <row r="452" spans="1:6" ht="12.6">
      <c r="A452" s="2">
        <f ca="1">IFERROR(__xludf.DUMMYFUNCTION("""COMPUTED_VALUE"""),45217.6666666666)</f>
        <v>45217.666666666599</v>
      </c>
      <c r="B452" s="1">
        <f ca="1">IFERROR(__xludf.DUMMYFUNCTION("""COMPUTED_VALUE"""),175.58)</f>
        <v>175.58</v>
      </c>
      <c r="C452" s="1">
        <f ca="1">IFERROR(__xludf.DUMMYFUNCTION("""COMPUTED_VALUE"""),177.58)</f>
        <v>177.58</v>
      </c>
      <c r="D452" s="1">
        <f ca="1">IFERROR(__xludf.DUMMYFUNCTION("""COMPUTED_VALUE"""),175.11)</f>
        <v>175.11</v>
      </c>
      <c r="E452" s="1">
        <f ca="1">IFERROR(__xludf.DUMMYFUNCTION("""COMPUTED_VALUE"""),175.84)</f>
        <v>175.84</v>
      </c>
      <c r="F452" s="1">
        <f ca="1">IFERROR(__xludf.DUMMYFUNCTION("""COMPUTED_VALUE"""),54764375)</f>
        <v>54764375</v>
      </c>
    </row>
    <row r="453" spans="1:6" ht="12.6">
      <c r="A453" s="2">
        <f ca="1">IFERROR(__xludf.DUMMYFUNCTION("""COMPUTED_VALUE"""),45218.6666666666)</f>
        <v>45218.666666666599</v>
      </c>
      <c r="B453" s="1">
        <f ca="1">IFERROR(__xludf.DUMMYFUNCTION("""COMPUTED_VALUE"""),176.04)</f>
        <v>176.04</v>
      </c>
      <c r="C453" s="1">
        <f ca="1">IFERROR(__xludf.DUMMYFUNCTION("""COMPUTED_VALUE"""),177.84)</f>
        <v>177.84</v>
      </c>
      <c r="D453" s="1">
        <f ca="1">IFERROR(__xludf.DUMMYFUNCTION("""COMPUTED_VALUE"""),175.19)</f>
        <v>175.19</v>
      </c>
      <c r="E453" s="1">
        <f ca="1">IFERROR(__xludf.DUMMYFUNCTION("""COMPUTED_VALUE"""),175.46)</f>
        <v>175.46</v>
      </c>
      <c r="F453" s="1">
        <f ca="1">IFERROR(__xludf.DUMMYFUNCTION("""COMPUTED_VALUE"""),59302863)</f>
        <v>59302863</v>
      </c>
    </row>
    <row r="454" spans="1:6" ht="12.6">
      <c r="A454" s="2">
        <f ca="1">IFERROR(__xludf.DUMMYFUNCTION("""COMPUTED_VALUE"""),45219.6666666666)</f>
        <v>45219.666666666599</v>
      </c>
      <c r="B454" s="1">
        <f ca="1">IFERROR(__xludf.DUMMYFUNCTION("""COMPUTED_VALUE"""),175.31)</f>
        <v>175.31</v>
      </c>
      <c r="C454" s="1">
        <f ca="1">IFERROR(__xludf.DUMMYFUNCTION("""COMPUTED_VALUE"""),175.42)</f>
        <v>175.42</v>
      </c>
      <c r="D454" s="1">
        <f ca="1">IFERROR(__xludf.DUMMYFUNCTION("""COMPUTED_VALUE"""),172.64)</f>
        <v>172.64</v>
      </c>
      <c r="E454" s="1">
        <f ca="1">IFERROR(__xludf.DUMMYFUNCTION("""COMPUTED_VALUE"""),172.88)</f>
        <v>172.88</v>
      </c>
      <c r="F454" s="1">
        <f ca="1">IFERROR(__xludf.DUMMYFUNCTION("""COMPUTED_VALUE"""),64244028)</f>
        <v>64244028</v>
      </c>
    </row>
    <row r="455" spans="1:6" ht="12.6">
      <c r="A455" s="2">
        <f ca="1">IFERROR(__xludf.DUMMYFUNCTION("""COMPUTED_VALUE"""),45222.6666666666)</f>
        <v>45222.666666666599</v>
      </c>
      <c r="B455" s="1">
        <f ca="1">IFERROR(__xludf.DUMMYFUNCTION("""COMPUTED_VALUE"""),170.91)</f>
        <v>170.91</v>
      </c>
      <c r="C455" s="1">
        <f ca="1">IFERROR(__xludf.DUMMYFUNCTION("""COMPUTED_VALUE"""),174.01)</f>
        <v>174.01</v>
      </c>
      <c r="D455" s="1">
        <f ca="1">IFERROR(__xludf.DUMMYFUNCTION("""COMPUTED_VALUE"""),169.93)</f>
        <v>169.93</v>
      </c>
      <c r="E455" s="1">
        <f ca="1">IFERROR(__xludf.DUMMYFUNCTION("""COMPUTED_VALUE"""),173)</f>
        <v>173</v>
      </c>
      <c r="F455" s="1">
        <f ca="1">IFERROR(__xludf.DUMMYFUNCTION("""COMPUTED_VALUE"""),55980109)</f>
        <v>55980109</v>
      </c>
    </row>
    <row r="456" spans="1:6" ht="12.6">
      <c r="A456" s="2">
        <f ca="1">IFERROR(__xludf.DUMMYFUNCTION("""COMPUTED_VALUE"""),45223.6666666666)</f>
        <v>45223.666666666599</v>
      </c>
      <c r="B456" s="1">
        <f ca="1">IFERROR(__xludf.DUMMYFUNCTION("""COMPUTED_VALUE"""),173.05)</f>
        <v>173.05</v>
      </c>
      <c r="C456" s="1">
        <f ca="1">IFERROR(__xludf.DUMMYFUNCTION("""COMPUTED_VALUE"""),173.67)</f>
        <v>173.67</v>
      </c>
      <c r="D456" s="1">
        <f ca="1">IFERROR(__xludf.DUMMYFUNCTION("""COMPUTED_VALUE"""),171.45)</f>
        <v>171.45</v>
      </c>
      <c r="E456" s="1">
        <f ca="1">IFERROR(__xludf.DUMMYFUNCTION("""COMPUTED_VALUE"""),173.44)</f>
        <v>173.44</v>
      </c>
      <c r="F456" s="1">
        <f ca="1">IFERROR(__xludf.DUMMYFUNCTION("""COMPUTED_VALUE"""),43816644)</f>
        <v>43816644</v>
      </c>
    </row>
    <row r="457" spans="1:6" ht="12.6">
      <c r="A457" s="2">
        <f ca="1">IFERROR(__xludf.DUMMYFUNCTION("""COMPUTED_VALUE"""),45224.6666666666)</f>
        <v>45224.666666666599</v>
      </c>
      <c r="B457" s="1">
        <f ca="1">IFERROR(__xludf.DUMMYFUNCTION("""COMPUTED_VALUE"""),171.88)</f>
        <v>171.88</v>
      </c>
      <c r="C457" s="1">
        <f ca="1">IFERROR(__xludf.DUMMYFUNCTION("""COMPUTED_VALUE"""),173.06)</f>
        <v>173.06</v>
      </c>
      <c r="D457" s="1">
        <f ca="1">IFERROR(__xludf.DUMMYFUNCTION("""COMPUTED_VALUE"""),170.65)</f>
        <v>170.65</v>
      </c>
      <c r="E457" s="1">
        <f ca="1">IFERROR(__xludf.DUMMYFUNCTION("""COMPUTED_VALUE"""),171.1)</f>
        <v>171.1</v>
      </c>
      <c r="F457" s="1">
        <f ca="1">IFERROR(__xludf.DUMMYFUNCTION("""COMPUTED_VALUE"""),57156962)</f>
        <v>57156962</v>
      </c>
    </row>
    <row r="458" spans="1:6" ht="12.6">
      <c r="A458" s="2">
        <f ca="1">IFERROR(__xludf.DUMMYFUNCTION("""COMPUTED_VALUE"""),45225.6666666666)</f>
        <v>45225.666666666599</v>
      </c>
      <c r="B458" s="1">
        <f ca="1">IFERROR(__xludf.DUMMYFUNCTION("""COMPUTED_VALUE"""),170.37)</f>
        <v>170.37</v>
      </c>
      <c r="C458" s="1">
        <f ca="1">IFERROR(__xludf.DUMMYFUNCTION("""COMPUTED_VALUE"""),171.38)</f>
        <v>171.38</v>
      </c>
      <c r="D458" s="1">
        <f ca="1">IFERROR(__xludf.DUMMYFUNCTION("""COMPUTED_VALUE"""),165.67)</f>
        <v>165.67</v>
      </c>
      <c r="E458" s="1">
        <f ca="1">IFERROR(__xludf.DUMMYFUNCTION("""COMPUTED_VALUE"""),166.89)</f>
        <v>166.89</v>
      </c>
      <c r="F458" s="1">
        <f ca="1">IFERROR(__xludf.DUMMYFUNCTION("""COMPUTED_VALUE"""),70625258)</f>
        <v>70625258</v>
      </c>
    </row>
    <row r="459" spans="1:6" ht="12.6">
      <c r="A459" s="2">
        <f ca="1">IFERROR(__xludf.DUMMYFUNCTION("""COMPUTED_VALUE"""),45226.6666666666)</f>
        <v>45226.666666666599</v>
      </c>
      <c r="B459" s="1">
        <f ca="1">IFERROR(__xludf.DUMMYFUNCTION("""COMPUTED_VALUE"""),166.91)</f>
        <v>166.91</v>
      </c>
      <c r="C459" s="1">
        <f ca="1">IFERROR(__xludf.DUMMYFUNCTION("""COMPUTED_VALUE"""),168.96)</f>
        <v>168.96</v>
      </c>
      <c r="D459" s="1">
        <f ca="1">IFERROR(__xludf.DUMMYFUNCTION("""COMPUTED_VALUE"""),166.83)</f>
        <v>166.83</v>
      </c>
      <c r="E459" s="1">
        <f ca="1">IFERROR(__xludf.DUMMYFUNCTION("""COMPUTED_VALUE"""),168.22)</f>
        <v>168.22</v>
      </c>
      <c r="F459" s="1">
        <f ca="1">IFERROR(__xludf.DUMMYFUNCTION("""COMPUTED_VALUE"""),58499129)</f>
        <v>58499129</v>
      </c>
    </row>
    <row r="460" spans="1:6" ht="12.6">
      <c r="A460" s="2">
        <f ca="1">IFERROR(__xludf.DUMMYFUNCTION("""COMPUTED_VALUE"""),45229.6666666666)</f>
        <v>45229.666666666599</v>
      </c>
      <c r="B460" s="1">
        <f ca="1">IFERROR(__xludf.DUMMYFUNCTION("""COMPUTED_VALUE"""),169.02)</f>
        <v>169.02</v>
      </c>
      <c r="C460" s="1">
        <f ca="1">IFERROR(__xludf.DUMMYFUNCTION("""COMPUTED_VALUE"""),171.17)</f>
        <v>171.17</v>
      </c>
      <c r="D460" s="1">
        <f ca="1">IFERROR(__xludf.DUMMYFUNCTION("""COMPUTED_VALUE"""),168.87)</f>
        <v>168.87</v>
      </c>
      <c r="E460" s="1">
        <f ca="1">IFERROR(__xludf.DUMMYFUNCTION("""COMPUTED_VALUE"""),170.29)</f>
        <v>170.29</v>
      </c>
      <c r="F460" s="1">
        <f ca="1">IFERROR(__xludf.DUMMYFUNCTION("""COMPUTED_VALUE"""),51130955)</f>
        <v>51130955</v>
      </c>
    </row>
    <row r="461" spans="1:6" ht="12.6">
      <c r="A461" s="2">
        <f ca="1">IFERROR(__xludf.DUMMYFUNCTION("""COMPUTED_VALUE"""),45230.6666666666)</f>
        <v>45230.666666666599</v>
      </c>
      <c r="B461" s="1">
        <f ca="1">IFERROR(__xludf.DUMMYFUNCTION("""COMPUTED_VALUE"""),169.35)</f>
        <v>169.35</v>
      </c>
      <c r="C461" s="1">
        <f ca="1">IFERROR(__xludf.DUMMYFUNCTION("""COMPUTED_VALUE"""),170.9)</f>
        <v>170.9</v>
      </c>
      <c r="D461" s="1">
        <f ca="1">IFERROR(__xludf.DUMMYFUNCTION("""COMPUTED_VALUE"""),167.9)</f>
        <v>167.9</v>
      </c>
      <c r="E461" s="1">
        <f ca="1">IFERROR(__xludf.DUMMYFUNCTION("""COMPUTED_VALUE"""),170.77)</f>
        <v>170.77</v>
      </c>
      <c r="F461" s="1">
        <f ca="1">IFERROR(__xludf.DUMMYFUNCTION("""COMPUTED_VALUE"""),44846017)</f>
        <v>44846017</v>
      </c>
    </row>
    <row r="462" spans="1:6" ht="12.6">
      <c r="A462" s="2">
        <f ca="1">IFERROR(__xludf.DUMMYFUNCTION("""COMPUTED_VALUE"""),45231.6666666666)</f>
        <v>45231.666666666599</v>
      </c>
      <c r="B462" s="1">
        <f ca="1">IFERROR(__xludf.DUMMYFUNCTION("""COMPUTED_VALUE"""),171)</f>
        <v>171</v>
      </c>
      <c r="C462" s="1">
        <f ca="1">IFERROR(__xludf.DUMMYFUNCTION("""COMPUTED_VALUE"""),174.23)</f>
        <v>174.23</v>
      </c>
      <c r="D462" s="1">
        <f ca="1">IFERROR(__xludf.DUMMYFUNCTION("""COMPUTED_VALUE"""),170.12)</f>
        <v>170.12</v>
      </c>
      <c r="E462" s="1">
        <f ca="1">IFERROR(__xludf.DUMMYFUNCTION("""COMPUTED_VALUE"""),173.97)</f>
        <v>173.97</v>
      </c>
      <c r="F462" s="1">
        <f ca="1">IFERROR(__xludf.DUMMYFUNCTION("""COMPUTED_VALUE"""),56934906)</f>
        <v>56934906</v>
      </c>
    </row>
    <row r="463" spans="1:6" ht="12.6">
      <c r="A463" s="2">
        <f ca="1">IFERROR(__xludf.DUMMYFUNCTION("""COMPUTED_VALUE"""),45232.6666666666)</f>
        <v>45232.666666666599</v>
      </c>
      <c r="B463" s="1">
        <f ca="1">IFERROR(__xludf.DUMMYFUNCTION("""COMPUTED_VALUE"""),175.52)</f>
        <v>175.52</v>
      </c>
      <c r="C463" s="1">
        <f ca="1">IFERROR(__xludf.DUMMYFUNCTION("""COMPUTED_VALUE"""),177.78)</f>
        <v>177.78</v>
      </c>
      <c r="D463" s="1">
        <f ca="1">IFERROR(__xludf.DUMMYFUNCTION("""COMPUTED_VALUE"""),175.46)</f>
        <v>175.46</v>
      </c>
      <c r="E463" s="1">
        <f ca="1">IFERROR(__xludf.DUMMYFUNCTION("""COMPUTED_VALUE"""),177.57)</f>
        <v>177.57</v>
      </c>
      <c r="F463" s="1">
        <f ca="1">IFERROR(__xludf.DUMMYFUNCTION("""COMPUTED_VALUE"""),77334752)</f>
        <v>77334752</v>
      </c>
    </row>
    <row r="464" spans="1:6" ht="12.6">
      <c r="A464" s="2">
        <f ca="1">IFERROR(__xludf.DUMMYFUNCTION("""COMPUTED_VALUE"""),45233.6666666666)</f>
        <v>45233.666666666599</v>
      </c>
      <c r="B464" s="1">
        <f ca="1">IFERROR(__xludf.DUMMYFUNCTION("""COMPUTED_VALUE"""),174.24)</f>
        <v>174.24</v>
      </c>
      <c r="C464" s="1">
        <f ca="1">IFERROR(__xludf.DUMMYFUNCTION("""COMPUTED_VALUE"""),176.82)</f>
        <v>176.82</v>
      </c>
      <c r="D464" s="1">
        <f ca="1">IFERROR(__xludf.DUMMYFUNCTION("""COMPUTED_VALUE"""),173.35)</f>
        <v>173.35</v>
      </c>
      <c r="E464" s="1">
        <f ca="1">IFERROR(__xludf.DUMMYFUNCTION("""COMPUTED_VALUE"""),176.65)</f>
        <v>176.65</v>
      </c>
      <c r="F464" s="1">
        <f ca="1">IFERROR(__xludf.DUMMYFUNCTION("""COMPUTED_VALUE"""),79829246)</f>
        <v>79829246</v>
      </c>
    </row>
    <row r="465" spans="1:6" ht="12.6">
      <c r="A465" s="2">
        <f ca="1">IFERROR(__xludf.DUMMYFUNCTION("""COMPUTED_VALUE"""),45236.6666666666)</f>
        <v>45236.666666666599</v>
      </c>
      <c r="B465" s="1">
        <f ca="1">IFERROR(__xludf.DUMMYFUNCTION("""COMPUTED_VALUE"""),176.38)</f>
        <v>176.38</v>
      </c>
      <c r="C465" s="1">
        <f ca="1">IFERROR(__xludf.DUMMYFUNCTION("""COMPUTED_VALUE"""),179.43)</f>
        <v>179.43</v>
      </c>
      <c r="D465" s="1">
        <f ca="1">IFERROR(__xludf.DUMMYFUNCTION("""COMPUTED_VALUE"""),176.21)</f>
        <v>176.21</v>
      </c>
      <c r="E465" s="1">
        <f ca="1">IFERROR(__xludf.DUMMYFUNCTION("""COMPUTED_VALUE"""),179.23)</f>
        <v>179.23</v>
      </c>
      <c r="F465" s="1">
        <f ca="1">IFERROR(__xludf.DUMMYFUNCTION("""COMPUTED_VALUE"""),63841310)</f>
        <v>63841310</v>
      </c>
    </row>
    <row r="466" spans="1:6" ht="12.6">
      <c r="A466" s="2">
        <f ca="1">IFERROR(__xludf.DUMMYFUNCTION("""COMPUTED_VALUE"""),45237.6666666666)</f>
        <v>45237.666666666599</v>
      </c>
      <c r="B466" s="1">
        <f ca="1">IFERROR(__xludf.DUMMYFUNCTION("""COMPUTED_VALUE"""),179.18)</f>
        <v>179.18</v>
      </c>
      <c r="C466" s="1">
        <f ca="1">IFERROR(__xludf.DUMMYFUNCTION("""COMPUTED_VALUE"""),182.44)</f>
        <v>182.44</v>
      </c>
      <c r="D466" s="1">
        <f ca="1">IFERROR(__xludf.DUMMYFUNCTION("""COMPUTED_VALUE"""),178.97)</f>
        <v>178.97</v>
      </c>
      <c r="E466" s="1">
        <f ca="1">IFERROR(__xludf.DUMMYFUNCTION("""COMPUTED_VALUE"""),181.82)</f>
        <v>181.82</v>
      </c>
      <c r="F466" s="1">
        <f ca="1">IFERROR(__xludf.DUMMYFUNCTION("""COMPUTED_VALUE"""),70529966)</f>
        <v>70529966</v>
      </c>
    </row>
    <row r="467" spans="1:6" ht="12.6">
      <c r="A467" s="2">
        <f ca="1">IFERROR(__xludf.DUMMYFUNCTION("""COMPUTED_VALUE"""),45238.6666666666)</f>
        <v>45238.666666666599</v>
      </c>
      <c r="B467" s="1">
        <f ca="1">IFERROR(__xludf.DUMMYFUNCTION("""COMPUTED_VALUE"""),182.35)</f>
        <v>182.35</v>
      </c>
      <c r="C467" s="1">
        <f ca="1">IFERROR(__xludf.DUMMYFUNCTION("""COMPUTED_VALUE"""),183.45)</f>
        <v>183.45</v>
      </c>
      <c r="D467" s="1">
        <f ca="1">IFERROR(__xludf.DUMMYFUNCTION("""COMPUTED_VALUE"""),181.59)</f>
        <v>181.59</v>
      </c>
      <c r="E467" s="1">
        <f ca="1">IFERROR(__xludf.DUMMYFUNCTION("""COMPUTED_VALUE"""),182.89)</f>
        <v>182.89</v>
      </c>
      <c r="F467" s="1">
        <f ca="1">IFERROR(__xludf.DUMMYFUNCTION("""COMPUTED_VALUE"""),49340282)</f>
        <v>49340282</v>
      </c>
    </row>
    <row r="468" spans="1:6" ht="12.6">
      <c r="A468" s="2">
        <f ca="1">IFERROR(__xludf.DUMMYFUNCTION("""COMPUTED_VALUE"""),45239.6666666666)</f>
        <v>45239.666666666599</v>
      </c>
      <c r="B468" s="1">
        <f ca="1">IFERROR(__xludf.DUMMYFUNCTION("""COMPUTED_VALUE"""),182.96)</f>
        <v>182.96</v>
      </c>
      <c r="C468" s="1">
        <f ca="1">IFERROR(__xludf.DUMMYFUNCTION("""COMPUTED_VALUE"""),184.12)</f>
        <v>184.12</v>
      </c>
      <c r="D468" s="1">
        <f ca="1">IFERROR(__xludf.DUMMYFUNCTION("""COMPUTED_VALUE"""),181.81)</f>
        <v>181.81</v>
      </c>
      <c r="E468" s="1">
        <f ca="1">IFERROR(__xludf.DUMMYFUNCTION("""COMPUTED_VALUE"""),182.41)</f>
        <v>182.41</v>
      </c>
      <c r="F468" s="1">
        <f ca="1">IFERROR(__xludf.DUMMYFUNCTION("""COMPUTED_VALUE"""),53763540)</f>
        <v>53763540</v>
      </c>
    </row>
    <row r="469" spans="1:6" ht="12.6">
      <c r="A469" s="2">
        <f ca="1">IFERROR(__xludf.DUMMYFUNCTION("""COMPUTED_VALUE"""),45240.6666666666)</f>
        <v>45240.666666666599</v>
      </c>
      <c r="B469" s="1">
        <f ca="1">IFERROR(__xludf.DUMMYFUNCTION("""COMPUTED_VALUE"""),183.97)</f>
        <v>183.97</v>
      </c>
      <c r="C469" s="1">
        <f ca="1">IFERROR(__xludf.DUMMYFUNCTION("""COMPUTED_VALUE"""),186.57)</f>
        <v>186.57</v>
      </c>
      <c r="D469" s="1">
        <f ca="1">IFERROR(__xludf.DUMMYFUNCTION("""COMPUTED_VALUE"""),183.53)</f>
        <v>183.53</v>
      </c>
      <c r="E469" s="1">
        <f ca="1">IFERROR(__xludf.DUMMYFUNCTION("""COMPUTED_VALUE"""),186.4)</f>
        <v>186.4</v>
      </c>
      <c r="F469" s="1">
        <f ca="1">IFERROR(__xludf.DUMMYFUNCTION("""COMPUTED_VALUE"""),66177922)</f>
        <v>66177922</v>
      </c>
    </row>
    <row r="470" spans="1:6" ht="12.6">
      <c r="A470" s="2">
        <f ca="1">IFERROR(__xludf.DUMMYFUNCTION("""COMPUTED_VALUE"""),45243.6666666666)</f>
        <v>45243.666666666599</v>
      </c>
      <c r="B470" s="1">
        <f ca="1">IFERROR(__xludf.DUMMYFUNCTION("""COMPUTED_VALUE"""),185.82)</f>
        <v>185.82</v>
      </c>
      <c r="C470" s="1">
        <f ca="1">IFERROR(__xludf.DUMMYFUNCTION("""COMPUTED_VALUE"""),186.03)</f>
        <v>186.03</v>
      </c>
      <c r="D470" s="1">
        <f ca="1">IFERROR(__xludf.DUMMYFUNCTION("""COMPUTED_VALUE"""),184.21)</f>
        <v>184.21</v>
      </c>
      <c r="E470" s="1">
        <f ca="1">IFERROR(__xludf.DUMMYFUNCTION("""COMPUTED_VALUE"""),184.8)</f>
        <v>184.8</v>
      </c>
      <c r="F470" s="1">
        <f ca="1">IFERROR(__xludf.DUMMYFUNCTION("""COMPUTED_VALUE"""),43627519)</f>
        <v>43627519</v>
      </c>
    </row>
    <row r="471" spans="1:6" ht="12.6">
      <c r="A471" s="2">
        <f ca="1">IFERROR(__xludf.DUMMYFUNCTION("""COMPUTED_VALUE"""),45244.6666666666)</f>
        <v>45244.666666666599</v>
      </c>
      <c r="B471" s="1">
        <f ca="1">IFERROR(__xludf.DUMMYFUNCTION("""COMPUTED_VALUE"""),187.7)</f>
        <v>187.7</v>
      </c>
      <c r="C471" s="1">
        <f ca="1">IFERROR(__xludf.DUMMYFUNCTION("""COMPUTED_VALUE"""),188.11)</f>
        <v>188.11</v>
      </c>
      <c r="D471" s="1">
        <f ca="1">IFERROR(__xludf.DUMMYFUNCTION("""COMPUTED_VALUE"""),186.3)</f>
        <v>186.3</v>
      </c>
      <c r="E471" s="1">
        <f ca="1">IFERROR(__xludf.DUMMYFUNCTION("""COMPUTED_VALUE"""),187.44)</f>
        <v>187.44</v>
      </c>
      <c r="F471" s="1">
        <f ca="1">IFERROR(__xludf.DUMMYFUNCTION("""COMPUTED_VALUE"""),60108378)</f>
        <v>60108378</v>
      </c>
    </row>
    <row r="472" spans="1:6" ht="12.6">
      <c r="A472" s="2">
        <f ca="1">IFERROR(__xludf.DUMMYFUNCTION("""COMPUTED_VALUE"""),45245.6666666666)</f>
        <v>45245.666666666599</v>
      </c>
      <c r="B472" s="1">
        <f ca="1">IFERROR(__xludf.DUMMYFUNCTION("""COMPUTED_VALUE"""),187.85)</f>
        <v>187.85</v>
      </c>
      <c r="C472" s="1">
        <f ca="1">IFERROR(__xludf.DUMMYFUNCTION("""COMPUTED_VALUE"""),189.5)</f>
        <v>189.5</v>
      </c>
      <c r="D472" s="1">
        <f ca="1">IFERROR(__xludf.DUMMYFUNCTION("""COMPUTED_VALUE"""),187.78)</f>
        <v>187.78</v>
      </c>
      <c r="E472" s="1">
        <f ca="1">IFERROR(__xludf.DUMMYFUNCTION("""COMPUTED_VALUE"""),188.01)</f>
        <v>188.01</v>
      </c>
      <c r="F472" s="1">
        <f ca="1">IFERROR(__xludf.DUMMYFUNCTION("""COMPUTED_VALUE"""),53790499)</f>
        <v>53790499</v>
      </c>
    </row>
    <row r="473" spans="1:6" ht="12.6">
      <c r="A473" s="2">
        <f ca="1">IFERROR(__xludf.DUMMYFUNCTION("""COMPUTED_VALUE"""),45246.6666666666)</f>
        <v>45246.666666666599</v>
      </c>
      <c r="B473" s="1">
        <f ca="1">IFERROR(__xludf.DUMMYFUNCTION("""COMPUTED_VALUE"""),189.57)</f>
        <v>189.57</v>
      </c>
      <c r="C473" s="1">
        <f ca="1">IFERROR(__xludf.DUMMYFUNCTION("""COMPUTED_VALUE"""),190.96)</f>
        <v>190.96</v>
      </c>
      <c r="D473" s="1">
        <f ca="1">IFERROR(__xludf.DUMMYFUNCTION("""COMPUTED_VALUE"""),188.65)</f>
        <v>188.65</v>
      </c>
      <c r="E473" s="1">
        <f ca="1">IFERROR(__xludf.DUMMYFUNCTION("""COMPUTED_VALUE"""),189.71)</f>
        <v>189.71</v>
      </c>
      <c r="F473" s="1">
        <f ca="1">IFERROR(__xludf.DUMMYFUNCTION("""COMPUTED_VALUE"""),54412915)</f>
        <v>54412915</v>
      </c>
    </row>
    <row r="474" spans="1:6" ht="12.6">
      <c r="A474" s="2">
        <f ca="1">IFERROR(__xludf.DUMMYFUNCTION("""COMPUTED_VALUE"""),45247.6666666666)</f>
        <v>45247.666666666599</v>
      </c>
      <c r="B474" s="1">
        <f ca="1">IFERROR(__xludf.DUMMYFUNCTION("""COMPUTED_VALUE"""),190.25)</f>
        <v>190.25</v>
      </c>
      <c r="C474" s="1">
        <f ca="1">IFERROR(__xludf.DUMMYFUNCTION("""COMPUTED_VALUE"""),190.38)</f>
        <v>190.38</v>
      </c>
      <c r="D474" s="1">
        <f ca="1">IFERROR(__xludf.DUMMYFUNCTION("""COMPUTED_VALUE"""),188.57)</f>
        <v>188.57</v>
      </c>
      <c r="E474" s="1">
        <f ca="1">IFERROR(__xludf.DUMMYFUNCTION("""COMPUTED_VALUE"""),189.69)</f>
        <v>189.69</v>
      </c>
      <c r="F474" s="1">
        <f ca="1">IFERROR(__xludf.DUMMYFUNCTION("""COMPUTED_VALUE"""),50941404)</f>
        <v>50941404</v>
      </c>
    </row>
    <row r="475" spans="1:6" ht="12.6">
      <c r="A475" s="2">
        <f ca="1">IFERROR(__xludf.DUMMYFUNCTION("""COMPUTED_VALUE"""),45250.6666666666)</f>
        <v>45250.666666666599</v>
      </c>
      <c r="B475" s="1">
        <f ca="1">IFERROR(__xludf.DUMMYFUNCTION("""COMPUTED_VALUE"""),189.89)</f>
        <v>189.89</v>
      </c>
      <c r="C475" s="1">
        <f ca="1">IFERROR(__xludf.DUMMYFUNCTION("""COMPUTED_VALUE"""),191.91)</f>
        <v>191.91</v>
      </c>
      <c r="D475" s="1">
        <f ca="1">IFERROR(__xludf.DUMMYFUNCTION("""COMPUTED_VALUE"""),189.88)</f>
        <v>189.88</v>
      </c>
      <c r="E475" s="1">
        <f ca="1">IFERROR(__xludf.DUMMYFUNCTION("""COMPUTED_VALUE"""),191.45)</f>
        <v>191.45</v>
      </c>
      <c r="F475" s="1">
        <f ca="1">IFERROR(__xludf.DUMMYFUNCTION("""COMPUTED_VALUE"""),46538614)</f>
        <v>46538614</v>
      </c>
    </row>
    <row r="476" spans="1:6" ht="12.6">
      <c r="A476" s="2">
        <f ca="1">IFERROR(__xludf.DUMMYFUNCTION("""COMPUTED_VALUE"""),45251.6666666666)</f>
        <v>45251.666666666599</v>
      </c>
      <c r="B476" s="1">
        <f ca="1">IFERROR(__xludf.DUMMYFUNCTION("""COMPUTED_VALUE"""),191.41)</f>
        <v>191.41</v>
      </c>
      <c r="C476" s="1">
        <f ca="1">IFERROR(__xludf.DUMMYFUNCTION("""COMPUTED_VALUE"""),191.52)</f>
        <v>191.52</v>
      </c>
      <c r="D476" s="1">
        <f ca="1">IFERROR(__xludf.DUMMYFUNCTION("""COMPUTED_VALUE"""),189.74)</f>
        <v>189.74</v>
      </c>
      <c r="E476" s="1">
        <f ca="1">IFERROR(__xludf.DUMMYFUNCTION("""COMPUTED_VALUE"""),190.64)</f>
        <v>190.64</v>
      </c>
      <c r="F476" s="1">
        <f ca="1">IFERROR(__xludf.DUMMYFUNCTION("""COMPUTED_VALUE"""),38134485)</f>
        <v>38134485</v>
      </c>
    </row>
    <row r="477" spans="1:6" ht="12.6">
      <c r="A477" s="2">
        <f ca="1">IFERROR(__xludf.DUMMYFUNCTION("""COMPUTED_VALUE"""),45252.6666666666)</f>
        <v>45252.666666666599</v>
      </c>
      <c r="B477" s="1">
        <f ca="1">IFERROR(__xludf.DUMMYFUNCTION("""COMPUTED_VALUE"""),191.49)</f>
        <v>191.49</v>
      </c>
      <c r="C477" s="1">
        <f ca="1">IFERROR(__xludf.DUMMYFUNCTION("""COMPUTED_VALUE"""),192.93)</f>
        <v>192.93</v>
      </c>
      <c r="D477" s="1">
        <f ca="1">IFERROR(__xludf.DUMMYFUNCTION("""COMPUTED_VALUE"""),190.83)</f>
        <v>190.83</v>
      </c>
      <c r="E477" s="1">
        <f ca="1">IFERROR(__xludf.DUMMYFUNCTION("""COMPUTED_VALUE"""),191.31)</f>
        <v>191.31</v>
      </c>
      <c r="F477" s="1">
        <f ca="1">IFERROR(__xludf.DUMMYFUNCTION("""COMPUTED_VALUE"""),39630011)</f>
        <v>39630011</v>
      </c>
    </row>
    <row r="478" spans="1:6" ht="12.6">
      <c r="A478" s="2">
        <f ca="1">IFERROR(__xludf.DUMMYFUNCTION("""COMPUTED_VALUE"""),45254.5451388888)</f>
        <v>45254.545138888803</v>
      </c>
      <c r="B478" s="1">
        <f ca="1">IFERROR(__xludf.DUMMYFUNCTION("""COMPUTED_VALUE"""),190.87)</f>
        <v>190.87</v>
      </c>
      <c r="C478" s="1">
        <f ca="1">IFERROR(__xludf.DUMMYFUNCTION("""COMPUTED_VALUE"""),190.9)</f>
        <v>190.9</v>
      </c>
      <c r="D478" s="1">
        <f ca="1">IFERROR(__xludf.DUMMYFUNCTION("""COMPUTED_VALUE"""),189.25)</f>
        <v>189.25</v>
      </c>
      <c r="E478" s="1">
        <f ca="1">IFERROR(__xludf.DUMMYFUNCTION("""COMPUTED_VALUE"""),189.97)</f>
        <v>189.97</v>
      </c>
      <c r="F478" s="1">
        <f ca="1">IFERROR(__xludf.DUMMYFUNCTION("""COMPUTED_VALUE"""),24048344)</f>
        <v>24048344</v>
      </c>
    </row>
    <row r="479" spans="1:6" ht="12.6">
      <c r="A479" s="2">
        <f ca="1">IFERROR(__xludf.DUMMYFUNCTION("""COMPUTED_VALUE"""),45257.6666666666)</f>
        <v>45257.666666666599</v>
      </c>
      <c r="B479" s="1">
        <f ca="1">IFERROR(__xludf.DUMMYFUNCTION("""COMPUTED_VALUE"""),189.92)</f>
        <v>189.92</v>
      </c>
      <c r="C479" s="1">
        <f ca="1">IFERROR(__xludf.DUMMYFUNCTION("""COMPUTED_VALUE"""),190.67)</f>
        <v>190.67</v>
      </c>
      <c r="D479" s="1">
        <f ca="1">IFERROR(__xludf.DUMMYFUNCTION("""COMPUTED_VALUE"""),188.9)</f>
        <v>188.9</v>
      </c>
      <c r="E479" s="1">
        <f ca="1">IFERROR(__xludf.DUMMYFUNCTION("""COMPUTED_VALUE"""),189.79)</f>
        <v>189.79</v>
      </c>
      <c r="F479" s="1">
        <f ca="1">IFERROR(__xludf.DUMMYFUNCTION("""COMPUTED_VALUE"""),40552609)</f>
        <v>40552609</v>
      </c>
    </row>
    <row r="480" spans="1:6" ht="12.6">
      <c r="A480" s="2">
        <f ca="1">IFERROR(__xludf.DUMMYFUNCTION("""COMPUTED_VALUE"""),45258.6666666666)</f>
        <v>45258.666666666599</v>
      </c>
      <c r="B480" s="1">
        <f ca="1">IFERROR(__xludf.DUMMYFUNCTION("""COMPUTED_VALUE"""),189.78)</f>
        <v>189.78</v>
      </c>
      <c r="C480" s="1">
        <f ca="1">IFERROR(__xludf.DUMMYFUNCTION("""COMPUTED_VALUE"""),191.08)</f>
        <v>191.08</v>
      </c>
      <c r="D480" s="1">
        <f ca="1">IFERROR(__xludf.DUMMYFUNCTION("""COMPUTED_VALUE"""),189.4)</f>
        <v>189.4</v>
      </c>
      <c r="E480" s="1">
        <f ca="1">IFERROR(__xludf.DUMMYFUNCTION("""COMPUTED_VALUE"""),190.4)</f>
        <v>190.4</v>
      </c>
      <c r="F480" s="1">
        <f ca="1">IFERROR(__xludf.DUMMYFUNCTION("""COMPUTED_VALUE"""),38415419)</f>
        <v>38415419</v>
      </c>
    </row>
    <row r="481" spans="1:6" ht="12.6">
      <c r="A481" s="2">
        <f ca="1">IFERROR(__xludf.DUMMYFUNCTION("""COMPUTED_VALUE"""),45259.6666666666)</f>
        <v>45259.666666666599</v>
      </c>
      <c r="B481" s="1">
        <f ca="1">IFERROR(__xludf.DUMMYFUNCTION("""COMPUTED_VALUE"""),190.9)</f>
        <v>190.9</v>
      </c>
      <c r="C481" s="1">
        <f ca="1">IFERROR(__xludf.DUMMYFUNCTION("""COMPUTED_VALUE"""),192.09)</f>
        <v>192.09</v>
      </c>
      <c r="D481" s="1">
        <f ca="1">IFERROR(__xludf.DUMMYFUNCTION("""COMPUTED_VALUE"""),188.97)</f>
        <v>188.97</v>
      </c>
      <c r="E481" s="1">
        <f ca="1">IFERROR(__xludf.DUMMYFUNCTION("""COMPUTED_VALUE"""),189.37)</f>
        <v>189.37</v>
      </c>
      <c r="F481" s="1">
        <f ca="1">IFERROR(__xludf.DUMMYFUNCTION("""COMPUTED_VALUE"""),43014224)</f>
        <v>43014224</v>
      </c>
    </row>
    <row r="482" spans="1:6" ht="12.6">
      <c r="A482" s="2">
        <f ca="1">IFERROR(__xludf.DUMMYFUNCTION("""COMPUTED_VALUE"""),45260.6666666666)</f>
        <v>45260.666666666599</v>
      </c>
      <c r="B482" s="1">
        <f ca="1">IFERROR(__xludf.DUMMYFUNCTION("""COMPUTED_VALUE"""),189.84)</f>
        <v>189.84</v>
      </c>
      <c r="C482" s="1">
        <f ca="1">IFERROR(__xludf.DUMMYFUNCTION("""COMPUTED_VALUE"""),190.32)</f>
        <v>190.32</v>
      </c>
      <c r="D482" s="1">
        <f ca="1">IFERROR(__xludf.DUMMYFUNCTION("""COMPUTED_VALUE"""),188.19)</f>
        <v>188.19</v>
      </c>
      <c r="E482" s="1">
        <f ca="1">IFERROR(__xludf.DUMMYFUNCTION("""COMPUTED_VALUE"""),189.95)</f>
        <v>189.95</v>
      </c>
      <c r="F482" s="1">
        <f ca="1">IFERROR(__xludf.DUMMYFUNCTION("""COMPUTED_VALUE"""),48794366)</f>
        <v>48794366</v>
      </c>
    </row>
    <row r="483" spans="1:6" ht="12.6">
      <c r="A483" s="2">
        <f ca="1">IFERROR(__xludf.DUMMYFUNCTION("""COMPUTED_VALUE"""),45261.6666666666)</f>
        <v>45261.666666666599</v>
      </c>
      <c r="B483" s="1">
        <f ca="1">IFERROR(__xludf.DUMMYFUNCTION("""COMPUTED_VALUE"""),190.33)</f>
        <v>190.33</v>
      </c>
      <c r="C483" s="1">
        <f ca="1">IFERROR(__xludf.DUMMYFUNCTION("""COMPUTED_VALUE"""),191.56)</f>
        <v>191.56</v>
      </c>
      <c r="D483" s="1">
        <f ca="1">IFERROR(__xludf.DUMMYFUNCTION("""COMPUTED_VALUE"""),189.23)</f>
        <v>189.23</v>
      </c>
      <c r="E483" s="1">
        <f ca="1">IFERROR(__xludf.DUMMYFUNCTION("""COMPUTED_VALUE"""),191.24)</f>
        <v>191.24</v>
      </c>
      <c r="F483" s="1">
        <f ca="1">IFERROR(__xludf.DUMMYFUNCTION("""COMPUTED_VALUE"""),45704823)</f>
        <v>45704823</v>
      </c>
    </row>
    <row r="484" spans="1:6" ht="12.6">
      <c r="A484" s="2">
        <f ca="1">IFERROR(__xludf.DUMMYFUNCTION("""COMPUTED_VALUE"""),45264.6666666666)</f>
        <v>45264.666666666599</v>
      </c>
      <c r="B484" s="1">
        <f ca="1">IFERROR(__xludf.DUMMYFUNCTION("""COMPUTED_VALUE"""),189.98)</f>
        <v>189.98</v>
      </c>
      <c r="C484" s="1">
        <f ca="1">IFERROR(__xludf.DUMMYFUNCTION("""COMPUTED_VALUE"""),190.05)</f>
        <v>190.05</v>
      </c>
      <c r="D484" s="1">
        <f ca="1">IFERROR(__xludf.DUMMYFUNCTION("""COMPUTED_VALUE"""),187.45)</f>
        <v>187.45</v>
      </c>
      <c r="E484" s="1">
        <f ca="1">IFERROR(__xludf.DUMMYFUNCTION("""COMPUTED_VALUE"""),189.43)</f>
        <v>189.43</v>
      </c>
      <c r="F484" s="1">
        <f ca="1">IFERROR(__xludf.DUMMYFUNCTION("""COMPUTED_VALUE"""),43389519)</f>
        <v>43389519</v>
      </c>
    </row>
    <row r="485" spans="1:6" ht="12.6">
      <c r="A485" s="2">
        <f ca="1">IFERROR(__xludf.DUMMYFUNCTION("""COMPUTED_VALUE"""),45265.6666666666)</f>
        <v>45265.666666666599</v>
      </c>
      <c r="B485" s="1">
        <f ca="1">IFERROR(__xludf.DUMMYFUNCTION("""COMPUTED_VALUE"""),190.21)</f>
        <v>190.21</v>
      </c>
      <c r="C485" s="1">
        <f ca="1">IFERROR(__xludf.DUMMYFUNCTION("""COMPUTED_VALUE"""),194.4)</f>
        <v>194.4</v>
      </c>
      <c r="D485" s="1">
        <f ca="1">IFERROR(__xludf.DUMMYFUNCTION("""COMPUTED_VALUE"""),190.18)</f>
        <v>190.18</v>
      </c>
      <c r="E485" s="1">
        <f ca="1">IFERROR(__xludf.DUMMYFUNCTION("""COMPUTED_VALUE"""),193.42)</f>
        <v>193.42</v>
      </c>
      <c r="F485" s="1">
        <f ca="1">IFERROR(__xludf.DUMMYFUNCTION("""COMPUTED_VALUE"""),66628398)</f>
        <v>66628398</v>
      </c>
    </row>
    <row r="486" spans="1:6" ht="12.6">
      <c r="A486" s="2">
        <f ca="1">IFERROR(__xludf.DUMMYFUNCTION("""COMPUTED_VALUE"""),45266.6666666666)</f>
        <v>45266.666666666599</v>
      </c>
      <c r="B486" s="1">
        <f ca="1">IFERROR(__xludf.DUMMYFUNCTION("""COMPUTED_VALUE"""),194.45)</f>
        <v>194.45</v>
      </c>
      <c r="C486" s="1">
        <f ca="1">IFERROR(__xludf.DUMMYFUNCTION("""COMPUTED_VALUE"""),194.76)</f>
        <v>194.76</v>
      </c>
      <c r="D486" s="1">
        <f ca="1">IFERROR(__xludf.DUMMYFUNCTION("""COMPUTED_VALUE"""),192.11)</f>
        <v>192.11</v>
      </c>
      <c r="E486" s="1">
        <f ca="1">IFERROR(__xludf.DUMMYFUNCTION("""COMPUTED_VALUE"""),192.32)</f>
        <v>192.32</v>
      </c>
      <c r="F486" s="1">
        <f ca="1">IFERROR(__xludf.DUMMYFUNCTION("""COMPUTED_VALUE"""),41089737)</f>
        <v>41089737</v>
      </c>
    </row>
    <row r="487" spans="1:6" ht="12.6">
      <c r="A487" s="2">
        <f ca="1">IFERROR(__xludf.DUMMYFUNCTION("""COMPUTED_VALUE"""),45267.6666666666)</f>
        <v>45267.666666666599</v>
      </c>
      <c r="B487" s="1">
        <f ca="1">IFERROR(__xludf.DUMMYFUNCTION("""COMPUTED_VALUE"""),193.63)</f>
        <v>193.63</v>
      </c>
      <c r="C487" s="1">
        <f ca="1">IFERROR(__xludf.DUMMYFUNCTION("""COMPUTED_VALUE"""),195)</f>
        <v>195</v>
      </c>
      <c r="D487" s="1">
        <f ca="1">IFERROR(__xludf.DUMMYFUNCTION("""COMPUTED_VALUE"""),193.59)</f>
        <v>193.59</v>
      </c>
      <c r="E487" s="1">
        <f ca="1">IFERROR(__xludf.DUMMYFUNCTION("""COMPUTED_VALUE"""),194.27)</f>
        <v>194.27</v>
      </c>
      <c r="F487" s="1">
        <f ca="1">IFERROR(__xludf.DUMMYFUNCTION("""COMPUTED_VALUE"""),47477655)</f>
        <v>47477655</v>
      </c>
    </row>
    <row r="488" spans="1:6" ht="12.6">
      <c r="A488" s="2">
        <f ca="1">IFERROR(__xludf.DUMMYFUNCTION("""COMPUTED_VALUE"""),45268.6666666666)</f>
        <v>45268.666666666599</v>
      </c>
      <c r="B488" s="1">
        <f ca="1">IFERROR(__xludf.DUMMYFUNCTION("""COMPUTED_VALUE"""),194.2)</f>
        <v>194.2</v>
      </c>
      <c r="C488" s="1">
        <f ca="1">IFERROR(__xludf.DUMMYFUNCTION("""COMPUTED_VALUE"""),195.99)</f>
        <v>195.99</v>
      </c>
      <c r="D488" s="1">
        <f ca="1">IFERROR(__xludf.DUMMYFUNCTION("""COMPUTED_VALUE"""),193.67)</f>
        <v>193.67</v>
      </c>
      <c r="E488" s="1">
        <f ca="1">IFERROR(__xludf.DUMMYFUNCTION("""COMPUTED_VALUE"""),195.71)</f>
        <v>195.71</v>
      </c>
      <c r="F488" s="1">
        <f ca="1">IFERROR(__xludf.DUMMYFUNCTION("""COMPUTED_VALUE"""),53406358)</f>
        <v>53406358</v>
      </c>
    </row>
    <row r="489" spans="1:6" ht="12.6">
      <c r="A489" s="2">
        <f ca="1">IFERROR(__xludf.DUMMYFUNCTION("""COMPUTED_VALUE"""),45271.6666666666)</f>
        <v>45271.666666666599</v>
      </c>
      <c r="B489" s="1">
        <f ca="1">IFERROR(__xludf.DUMMYFUNCTION("""COMPUTED_VALUE"""),193.11)</f>
        <v>193.11</v>
      </c>
      <c r="C489" s="1">
        <f ca="1">IFERROR(__xludf.DUMMYFUNCTION("""COMPUTED_VALUE"""),193.49)</f>
        <v>193.49</v>
      </c>
      <c r="D489" s="1">
        <f ca="1">IFERROR(__xludf.DUMMYFUNCTION("""COMPUTED_VALUE"""),191.42)</f>
        <v>191.42</v>
      </c>
      <c r="E489" s="1">
        <f ca="1">IFERROR(__xludf.DUMMYFUNCTION("""COMPUTED_VALUE"""),193.18)</f>
        <v>193.18</v>
      </c>
      <c r="F489" s="1">
        <f ca="1">IFERROR(__xludf.DUMMYFUNCTION("""COMPUTED_VALUE"""),60943699)</f>
        <v>60943699</v>
      </c>
    </row>
    <row r="490" spans="1:6" ht="12.6">
      <c r="A490" s="2">
        <f ca="1">IFERROR(__xludf.DUMMYFUNCTION("""COMPUTED_VALUE"""),45272.6666666666)</f>
        <v>45272.666666666599</v>
      </c>
      <c r="B490" s="1">
        <f ca="1">IFERROR(__xludf.DUMMYFUNCTION("""COMPUTED_VALUE"""),193.08)</f>
        <v>193.08</v>
      </c>
      <c r="C490" s="1">
        <f ca="1">IFERROR(__xludf.DUMMYFUNCTION("""COMPUTED_VALUE"""),194.72)</f>
        <v>194.72</v>
      </c>
      <c r="D490" s="1">
        <f ca="1">IFERROR(__xludf.DUMMYFUNCTION("""COMPUTED_VALUE"""),191.72)</f>
        <v>191.72</v>
      </c>
      <c r="E490" s="1">
        <f ca="1">IFERROR(__xludf.DUMMYFUNCTION("""COMPUTED_VALUE"""),194.71)</f>
        <v>194.71</v>
      </c>
      <c r="F490" s="1">
        <f ca="1">IFERROR(__xludf.DUMMYFUNCTION("""COMPUTED_VALUE"""),52696900)</f>
        <v>52696900</v>
      </c>
    </row>
    <row r="491" spans="1:6" ht="12.6">
      <c r="A491" s="2">
        <f ca="1">IFERROR(__xludf.DUMMYFUNCTION("""COMPUTED_VALUE"""),45273.6666666666)</f>
        <v>45273.666666666599</v>
      </c>
      <c r="B491" s="1">
        <f ca="1">IFERROR(__xludf.DUMMYFUNCTION("""COMPUTED_VALUE"""),195.09)</f>
        <v>195.09</v>
      </c>
      <c r="C491" s="1">
        <f ca="1">IFERROR(__xludf.DUMMYFUNCTION("""COMPUTED_VALUE"""),198)</f>
        <v>198</v>
      </c>
      <c r="D491" s="1">
        <f ca="1">IFERROR(__xludf.DUMMYFUNCTION("""COMPUTED_VALUE"""),194.85)</f>
        <v>194.85</v>
      </c>
      <c r="E491" s="1">
        <f ca="1">IFERROR(__xludf.DUMMYFUNCTION("""COMPUTED_VALUE"""),197.96)</f>
        <v>197.96</v>
      </c>
      <c r="F491" s="1">
        <f ca="1">IFERROR(__xludf.DUMMYFUNCTION("""COMPUTED_VALUE"""),70404183)</f>
        <v>70404183</v>
      </c>
    </row>
    <row r="492" spans="1:6" ht="12.6">
      <c r="A492" s="2">
        <f ca="1">IFERROR(__xludf.DUMMYFUNCTION("""COMPUTED_VALUE"""),45274.6666666666)</f>
        <v>45274.666666666599</v>
      </c>
      <c r="B492" s="1">
        <f ca="1">IFERROR(__xludf.DUMMYFUNCTION("""COMPUTED_VALUE"""),198.02)</f>
        <v>198.02</v>
      </c>
      <c r="C492" s="1">
        <f ca="1">IFERROR(__xludf.DUMMYFUNCTION("""COMPUTED_VALUE"""),199.62)</f>
        <v>199.62</v>
      </c>
      <c r="D492" s="1">
        <f ca="1">IFERROR(__xludf.DUMMYFUNCTION("""COMPUTED_VALUE"""),196.16)</f>
        <v>196.16</v>
      </c>
      <c r="E492" s="1">
        <f ca="1">IFERROR(__xludf.DUMMYFUNCTION("""COMPUTED_VALUE"""),198.11)</f>
        <v>198.11</v>
      </c>
      <c r="F492" s="1">
        <f ca="1">IFERROR(__xludf.DUMMYFUNCTION("""COMPUTED_VALUE"""),66831572)</f>
        <v>66831572</v>
      </c>
    </row>
    <row r="493" spans="1:6" ht="12.6">
      <c r="A493" s="2">
        <f ca="1">IFERROR(__xludf.DUMMYFUNCTION("""COMPUTED_VALUE"""),45275.6666666666)</f>
        <v>45275.666666666599</v>
      </c>
      <c r="B493" s="1">
        <f ca="1">IFERROR(__xludf.DUMMYFUNCTION("""COMPUTED_VALUE"""),197.53)</f>
        <v>197.53</v>
      </c>
      <c r="C493" s="1">
        <f ca="1">IFERROR(__xludf.DUMMYFUNCTION("""COMPUTED_VALUE"""),198.4)</f>
        <v>198.4</v>
      </c>
      <c r="D493" s="1">
        <f ca="1">IFERROR(__xludf.DUMMYFUNCTION("""COMPUTED_VALUE"""),197)</f>
        <v>197</v>
      </c>
      <c r="E493" s="1">
        <f ca="1">IFERROR(__xludf.DUMMYFUNCTION("""COMPUTED_VALUE"""),197.57)</f>
        <v>197.57</v>
      </c>
      <c r="F493" s="1">
        <f ca="1">IFERROR(__xludf.DUMMYFUNCTION("""COMPUTED_VALUE"""),128538401)</f>
        <v>128538401</v>
      </c>
    </row>
    <row r="494" spans="1:6" ht="12.6">
      <c r="A494" s="2">
        <f ca="1">IFERROR(__xludf.DUMMYFUNCTION("""COMPUTED_VALUE"""),45278.6666666666)</f>
        <v>45278.666666666599</v>
      </c>
      <c r="B494" s="1">
        <f ca="1">IFERROR(__xludf.DUMMYFUNCTION("""COMPUTED_VALUE"""),196.09)</f>
        <v>196.09</v>
      </c>
      <c r="C494" s="1">
        <f ca="1">IFERROR(__xludf.DUMMYFUNCTION("""COMPUTED_VALUE"""),196.63)</f>
        <v>196.63</v>
      </c>
      <c r="D494" s="1">
        <f ca="1">IFERROR(__xludf.DUMMYFUNCTION("""COMPUTED_VALUE"""),194.39)</f>
        <v>194.39</v>
      </c>
      <c r="E494" s="1">
        <f ca="1">IFERROR(__xludf.DUMMYFUNCTION("""COMPUTED_VALUE"""),195.89)</f>
        <v>195.89</v>
      </c>
      <c r="F494" s="1">
        <f ca="1">IFERROR(__xludf.DUMMYFUNCTION("""COMPUTED_VALUE"""),55751861)</f>
        <v>55751861</v>
      </c>
    </row>
    <row r="495" spans="1:6" ht="12.6">
      <c r="A495" s="2">
        <f ca="1">IFERROR(__xludf.DUMMYFUNCTION("""COMPUTED_VALUE"""),45279.6666666666)</f>
        <v>45279.666666666599</v>
      </c>
      <c r="B495" s="1">
        <f ca="1">IFERROR(__xludf.DUMMYFUNCTION("""COMPUTED_VALUE"""),196.16)</f>
        <v>196.16</v>
      </c>
      <c r="C495" s="1">
        <f ca="1">IFERROR(__xludf.DUMMYFUNCTION("""COMPUTED_VALUE"""),196.95)</f>
        <v>196.95</v>
      </c>
      <c r="D495" s="1">
        <f ca="1">IFERROR(__xludf.DUMMYFUNCTION("""COMPUTED_VALUE"""),195.89)</f>
        <v>195.89</v>
      </c>
      <c r="E495" s="1">
        <f ca="1">IFERROR(__xludf.DUMMYFUNCTION("""COMPUTED_VALUE"""),196.94)</f>
        <v>196.94</v>
      </c>
      <c r="F495" s="1">
        <f ca="1">IFERROR(__xludf.DUMMYFUNCTION("""COMPUTED_VALUE"""),40714051)</f>
        <v>40714051</v>
      </c>
    </row>
    <row r="496" spans="1:6" ht="12.6">
      <c r="A496" s="2">
        <f ca="1">IFERROR(__xludf.DUMMYFUNCTION("""COMPUTED_VALUE"""),45280.6666666666)</f>
        <v>45280.666666666599</v>
      </c>
      <c r="B496" s="1">
        <f ca="1">IFERROR(__xludf.DUMMYFUNCTION("""COMPUTED_VALUE"""),196.9)</f>
        <v>196.9</v>
      </c>
      <c r="C496" s="1">
        <f ca="1">IFERROR(__xludf.DUMMYFUNCTION("""COMPUTED_VALUE"""),197.68)</f>
        <v>197.68</v>
      </c>
      <c r="D496" s="1">
        <f ca="1">IFERROR(__xludf.DUMMYFUNCTION("""COMPUTED_VALUE"""),194.83)</f>
        <v>194.83</v>
      </c>
      <c r="E496" s="1">
        <f ca="1">IFERROR(__xludf.DUMMYFUNCTION("""COMPUTED_VALUE"""),194.83)</f>
        <v>194.83</v>
      </c>
      <c r="F496" s="1">
        <f ca="1">IFERROR(__xludf.DUMMYFUNCTION("""COMPUTED_VALUE"""),52242815)</f>
        <v>52242815</v>
      </c>
    </row>
    <row r="497" spans="1:6" ht="12.6">
      <c r="A497" s="2">
        <f ca="1">IFERROR(__xludf.DUMMYFUNCTION("""COMPUTED_VALUE"""),45281.6666666666)</f>
        <v>45281.666666666599</v>
      </c>
      <c r="B497" s="1">
        <f ca="1">IFERROR(__xludf.DUMMYFUNCTION("""COMPUTED_VALUE"""),196.1)</f>
        <v>196.1</v>
      </c>
      <c r="C497" s="1">
        <f ca="1">IFERROR(__xludf.DUMMYFUNCTION("""COMPUTED_VALUE"""),197.08)</f>
        <v>197.08</v>
      </c>
      <c r="D497" s="1">
        <f ca="1">IFERROR(__xludf.DUMMYFUNCTION("""COMPUTED_VALUE"""),193.5)</f>
        <v>193.5</v>
      </c>
      <c r="E497" s="1">
        <f ca="1">IFERROR(__xludf.DUMMYFUNCTION("""COMPUTED_VALUE"""),194.68)</f>
        <v>194.68</v>
      </c>
      <c r="F497" s="1">
        <f ca="1">IFERROR(__xludf.DUMMYFUNCTION("""COMPUTED_VALUE"""),46482549)</f>
        <v>46482549</v>
      </c>
    </row>
    <row r="498" spans="1:6" ht="12.6">
      <c r="A498" s="2">
        <f ca="1">IFERROR(__xludf.DUMMYFUNCTION("""COMPUTED_VALUE"""),45282.6666666666)</f>
        <v>45282.666666666599</v>
      </c>
      <c r="B498" s="1">
        <f ca="1">IFERROR(__xludf.DUMMYFUNCTION("""COMPUTED_VALUE"""),195.18)</f>
        <v>195.18</v>
      </c>
      <c r="C498" s="1">
        <f ca="1">IFERROR(__xludf.DUMMYFUNCTION("""COMPUTED_VALUE"""),195.41)</f>
        <v>195.41</v>
      </c>
      <c r="D498" s="1">
        <f ca="1">IFERROR(__xludf.DUMMYFUNCTION("""COMPUTED_VALUE"""),192.97)</f>
        <v>192.97</v>
      </c>
      <c r="E498" s="1">
        <f ca="1">IFERROR(__xludf.DUMMYFUNCTION("""COMPUTED_VALUE"""),193.6)</f>
        <v>193.6</v>
      </c>
      <c r="F498" s="1">
        <f ca="1">IFERROR(__xludf.DUMMYFUNCTION("""COMPUTED_VALUE"""),37149570)</f>
        <v>37149570</v>
      </c>
    </row>
    <row r="499" spans="1:6" ht="12.6">
      <c r="A499" s="2">
        <f ca="1">IFERROR(__xludf.DUMMYFUNCTION("""COMPUTED_VALUE"""),45286.6666666666)</f>
        <v>45286.666666666599</v>
      </c>
      <c r="B499" s="1">
        <f ca="1">IFERROR(__xludf.DUMMYFUNCTION("""COMPUTED_VALUE"""),193.61)</f>
        <v>193.61</v>
      </c>
      <c r="C499" s="1">
        <f ca="1">IFERROR(__xludf.DUMMYFUNCTION("""COMPUTED_VALUE"""),193.89)</f>
        <v>193.89</v>
      </c>
      <c r="D499" s="1">
        <f ca="1">IFERROR(__xludf.DUMMYFUNCTION("""COMPUTED_VALUE"""),192.83)</f>
        <v>192.83</v>
      </c>
      <c r="E499" s="1">
        <f ca="1">IFERROR(__xludf.DUMMYFUNCTION("""COMPUTED_VALUE"""),193.05)</f>
        <v>193.05</v>
      </c>
      <c r="F499" s="1">
        <f ca="1">IFERROR(__xludf.DUMMYFUNCTION("""COMPUTED_VALUE"""),28919310)</f>
        <v>28919310</v>
      </c>
    </row>
    <row r="500" spans="1:6" ht="12.6">
      <c r="A500" s="2">
        <f ca="1">IFERROR(__xludf.DUMMYFUNCTION("""COMPUTED_VALUE"""),45287.6666666666)</f>
        <v>45287.666666666599</v>
      </c>
      <c r="B500" s="1">
        <f ca="1">IFERROR(__xludf.DUMMYFUNCTION("""COMPUTED_VALUE"""),192.49)</f>
        <v>192.49</v>
      </c>
      <c r="C500" s="1">
        <f ca="1">IFERROR(__xludf.DUMMYFUNCTION("""COMPUTED_VALUE"""),193.5)</f>
        <v>193.5</v>
      </c>
      <c r="D500" s="1">
        <f ca="1">IFERROR(__xludf.DUMMYFUNCTION("""COMPUTED_VALUE"""),191.09)</f>
        <v>191.09</v>
      </c>
      <c r="E500" s="1">
        <f ca="1">IFERROR(__xludf.DUMMYFUNCTION("""COMPUTED_VALUE"""),193.15)</f>
        <v>193.15</v>
      </c>
      <c r="F500" s="1">
        <f ca="1">IFERROR(__xludf.DUMMYFUNCTION("""COMPUTED_VALUE"""),48087681)</f>
        <v>48087681</v>
      </c>
    </row>
    <row r="501" spans="1:6" ht="12.6">
      <c r="A501" s="2">
        <f ca="1">IFERROR(__xludf.DUMMYFUNCTION("""COMPUTED_VALUE"""),45288.6666666666)</f>
        <v>45288.666666666599</v>
      </c>
      <c r="B501" s="1">
        <f ca="1">IFERROR(__xludf.DUMMYFUNCTION("""COMPUTED_VALUE"""),194.14)</f>
        <v>194.14</v>
      </c>
      <c r="C501" s="1">
        <f ca="1">IFERROR(__xludf.DUMMYFUNCTION("""COMPUTED_VALUE"""),194.66)</f>
        <v>194.66</v>
      </c>
      <c r="D501" s="1">
        <f ca="1">IFERROR(__xludf.DUMMYFUNCTION("""COMPUTED_VALUE"""),193.17)</f>
        <v>193.17</v>
      </c>
      <c r="E501" s="1">
        <f ca="1">IFERROR(__xludf.DUMMYFUNCTION("""COMPUTED_VALUE"""),193.58)</f>
        <v>193.58</v>
      </c>
      <c r="F501" s="1">
        <f ca="1">IFERROR(__xludf.DUMMYFUNCTION("""COMPUTED_VALUE"""),34049898)</f>
        <v>34049898</v>
      </c>
    </row>
    <row r="502" spans="1:6" ht="12.6">
      <c r="A502" s="2">
        <f ca="1">IFERROR(__xludf.DUMMYFUNCTION("""COMPUTED_VALUE"""),45289.6666666666)</f>
        <v>45289.666666666599</v>
      </c>
      <c r="B502" s="1">
        <f ca="1">IFERROR(__xludf.DUMMYFUNCTION("""COMPUTED_VALUE"""),193.9)</f>
        <v>193.9</v>
      </c>
      <c r="C502" s="1">
        <f ca="1">IFERROR(__xludf.DUMMYFUNCTION("""COMPUTED_VALUE"""),194.4)</f>
        <v>194.4</v>
      </c>
      <c r="D502" s="1">
        <f ca="1">IFERROR(__xludf.DUMMYFUNCTION("""COMPUTED_VALUE"""),191.73)</f>
        <v>191.73</v>
      </c>
      <c r="E502" s="1">
        <f ca="1">IFERROR(__xludf.DUMMYFUNCTION("""COMPUTED_VALUE"""),192.53)</f>
        <v>192.53</v>
      </c>
      <c r="F502" s="1">
        <f ca="1">IFERROR(__xludf.DUMMYFUNCTION("""COMPUTED_VALUE"""),42672148)</f>
        <v>42672148</v>
      </c>
    </row>
    <row r="503" spans="1:6" ht="12.6">
      <c r="A503" s="2">
        <f ca="1">IFERROR(__xludf.DUMMYFUNCTION("""COMPUTED_VALUE"""),45293.6666666666)</f>
        <v>45293.666666666599</v>
      </c>
      <c r="B503" s="1">
        <f ca="1">IFERROR(__xludf.DUMMYFUNCTION("""COMPUTED_VALUE"""),187.15)</f>
        <v>187.15</v>
      </c>
      <c r="C503" s="1">
        <f ca="1">IFERROR(__xludf.DUMMYFUNCTION("""COMPUTED_VALUE"""),188.44)</f>
        <v>188.44</v>
      </c>
      <c r="D503" s="1">
        <f ca="1">IFERROR(__xludf.DUMMYFUNCTION("""COMPUTED_VALUE"""),183.89)</f>
        <v>183.89</v>
      </c>
      <c r="E503" s="1">
        <f ca="1">IFERROR(__xludf.DUMMYFUNCTION("""COMPUTED_VALUE"""),185.64)</f>
        <v>185.64</v>
      </c>
      <c r="F503" s="1">
        <f ca="1">IFERROR(__xludf.DUMMYFUNCTION("""COMPUTED_VALUE"""),82488674)</f>
        <v>82488674</v>
      </c>
    </row>
    <row r="504" spans="1:6" ht="12.6">
      <c r="A504" s="2">
        <f ca="1">IFERROR(__xludf.DUMMYFUNCTION("""COMPUTED_VALUE"""),45294.6666666666)</f>
        <v>45294.666666666599</v>
      </c>
      <c r="B504" s="1">
        <f ca="1">IFERROR(__xludf.DUMMYFUNCTION("""COMPUTED_VALUE"""),184.22)</f>
        <v>184.22</v>
      </c>
      <c r="C504" s="1">
        <f ca="1">IFERROR(__xludf.DUMMYFUNCTION("""COMPUTED_VALUE"""),185.88)</f>
        <v>185.88</v>
      </c>
      <c r="D504" s="1">
        <f ca="1">IFERROR(__xludf.DUMMYFUNCTION("""COMPUTED_VALUE"""),183.43)</f>
        <v>183.43</v>
      </c>
      <c r="E504" s="1">
        <f ca="1">IFERROR(__xludf.DUMMYFUNCTION("""COMPUTED_VALUE"""),184.25)</f>
        <v>184.25</v>
      </c>
      <c r="F504" s="1">
        <f ca="1">IFERROR(__xludf.DUMMYFUNCTION("""COMPUTED_VALUE"""),58414460)</f>
        <v>58414460</v>
      </c>
    </row>
    <row r="505" spans="1:6" ht="12.6">
      <c r="A505" s="2">
        <f ca="1">IFERROR(__xludf.DUMMYFUNCTION("""COMPUTED_VALUE"""),45295.6666666666)</f>
        <v>45295.666666666599</v>
      </c>
      <c r="B505" s="1">
        <f ca="1">IFERROR(__xludf.DUMMYFUNCTION("""COMPUTED_VALUE"""),182.15)</f>
        <v>182.15</v>
      </c>
      <c r="C505" s="1">
        <f ca="1">IFERROR(__xludf.DUMMYFUNCTION("""COMPUTED_VALUE"""),183.09)</f>
        <v>183.09</v>
      </c>
      <c r="D505" s="1">
        <f ca="1">IFERROR(__xludf.DUMMYFUNCTION("""COMPUTED_VALUE"""),180.88)</f>
        <v>180.88</v>
      </c>
      <c r="E505" s="1">
        <f ca="1">IFERROR(__xludf.DUMMYFUNCTION("""COMPUTED_VALUE"""),181.91)</f>
        <v>181.91</v>
      </c>
      <c r="F505" s="1">
        <f ca="1">IFERROR(__xludf.DUMMYFUNCTION("""COMPUTED_VALUE"""),71983570)</f>
        <v>71983570</v>
      </c>
    </row>
    <row r="506" spans="1:6" ht="12.6">
      <c r="A506" s="2">
        <f ca="1">IFERROR(__xludf.DUMMYFUNCTION("""COMPUTED_VALUE"""),45296.6666666666)</f>
        <v>45296.666666666599</v>
      </c>
      <c r="B506" s="1">
        <f ca="1">IFERROR(__xludf.DUMMYFUNCTION("""COMPUTED_VALUE"""),181.99)</f>
        <v>181.99</v>
      </c>
      <c r="C506" s="1">
        <f ca="1">IFERROR(__xludf.DUMMYFUNCTION("""COMPUTED_VALUE"""),182.76)</f>
        <v>182.76</v>
      </c>
      <c r="D506" s="1">
        <f ca="1">IFERROR(__xludf.DUMMYFUNCTION("""COMPUTED_VALUE"""),180.17)</f>
        <v>180.17</v>
      </c>
      <c r="E506" s="1">
        <f ca="1">IFERROR(__xludf.DUMMYFUNCTION("""COMPUTED_VALUE"""),181.18)</f>
        <v>181.18</v>
      </c>
      <c r="F506" s="1">
        <f ca="1">IFERROR(__xludf.DUMMYFUNCTION("""COMPUTED_VALUE"""),62379661)</f>
        <v>62379661</v>
      </c>
    </row>
    <row r="507" spans="1:6" ht="12.6">
      <c r="A507" s="2">
        <f ca="1">IFERROR(__xludf.DUMMYFUNCTION("""COMPUTED_VALUE"""),45299.6666666666)</f>
        <v>45299.666666666599</v>
      </c>
      <c r="B507" s="1">
        <f ca="1">IFERROR(__xludf.DUMMYFUNCTION("""COMPUTED_VALUE"""),182.09)</f>
        <v>182.09</v>
      </c>
      <c r="C507" s="1">
        <f ca="1">IFERROR(__xludf.DUMMYFUNCTION("""COMPUTED_VALUE"""),185.6)</f>
        <v>185.6</v>
      </c>
      <c r="D507" s="1">
        <f ca="1">IFERROR(__xludf.DUMMYFUNCTION("""COMPUTED_VALUE"""),181.5)</f>
        <v>181.5</v>
      </c>
      <c r="E507" s="1">
        <f ca="1">IFERROR(__xludf.DUMMYFUNCTION("""COMPUTED_VALUE"""),185.56)</f>
        <v>185.56</v>
      </c>
      <c r="F507" s="1">
        <f ca="1">IFERROR(__xludf.DUMMYFUNCTION("""COMPUTED_VALUE"""),59144470)</f>
        <v>59144470</v>
      </c>
    </row>
    <row r="508" spans="1:6" ht="12.6">
      <c r="A508" s="2">
        <f ca="1">IFERROR(__xludf.DUMMYFUNCTION("""COMPUTED_VALUE"""),45300.6666666666)</f>
        <v>45300.666666666599</v>
      </c>
      <c r="B508" s="1">
        <f ca="1">IFERROR(__xludf.DUMMYFUNCTION("""COMPUTED_VALUE"""),183.92)</f>
        <v>183.92</v>
      </c>
      <c r="C508" s="1">
        <f ca="1">IFERROR(__xludf.DUMMYFUNCTION("""COMPUTED_VALUE"""),185.15)</f>
        <v>185.15</v>
      </c>
      <c r="D508" s="1">
        <f ca="1">IFERROR(__xludf.DUMMYFUNCTION("""COMPUTED_VALUE"""),182.73)</f>
        <v>182.73</v>
      </c>
      <c r="E508" s="1">
        <f ca="1">IFERROR(__xludf.DUMMYFUNCTION("""COMPUTED_VALUE"""),185.14)</f>
        <v>185.14</v>
      </c>
      <c r="F508" s="1">
        <f ca="1">IFERROR(__xludf.DUMMYFUNCTION("""COMPUTED_VALUE"""),42841809)</f>
        <v>42841809</v>
      </c>
    </row>
    <row r="509" spans="1:6" ht="12.6">
      <c r="A509" s="2">
        <f ca="1">IFERROR(__xludf.DUMMYFUNCTION("""COMPUTED_VALUE"""),45301.6666666666)</f>
        <v>45301.666666666599</v>
      </c>
      <c r="B509" s="1">
        <f ca="1">IFERROR(__xludf.DUMMYFUNCTION("""COMPUTED_VALUE"""),184.35)</f>
        <v>184.35</v>
      </c>
      <c r="C509" s="1">
        <f ca="1">IFERROR(__xludf.DUMMYFUNCTION("""COMPUTED_VALUE"""),186.4)</f>
        <v>186.4</v>
      </c>
      <c r="D509" s="1">
        <f ca="1">IFERROR(__xludf.DUMMYFUNCTION("""COMPUTED_VALUE"""),183.92)</f>
        <v>183.92</v>
      </c>
      <c r="E509" s="1">
        <f ca="1">IFERROR(__xludf.DUMMYFUNCTION("""COMPUTED_VALUE"""),186.19)</f>
        <v>186.19</v>
      </c>
      <c r="F509" s="1">
        <f ca="1">IFERROR(__xludf.DUMMYFUNCTION("""COMPUTED_VALUE"""),46792908)</f>
        <v>46792908</v>
      </c>
    </row>
    <row r="510" spans="1:6" ht="12.6">
      <c r="A510" s="2">
        <f ca="1">IFERROR(__xludf.DUMMYFUNCTION("""COMPUTED_VALUE"""),45302.6666666666)</f>
        <v>45302.666666666599</v>
      </c>
      <c r="B510" s="1">
        <f ca="1">IFERROR(__xludf.DUMMYFUNCTION("""COMPUTED_VALUE"""),186.54)</f>
        <v>186.54</v>
      </c>
      <c r="C510" s="1">
        <f ca="1">IFERROR(__xludf.DUMMYFUNCTION("""COMPUTED_VALUE"""),187.05)</f>
        <v>187.05</v>
      </c>
      <c r="D510" s="1">
        <f ca="1">IFERROR(__xludf.DUMMYFUNCTION("""COMPUTED_VALUE"""),183.62)</f>
        <v>183.62</v>
      </c>
      <c r="E510" s="1">
        <f ca="1">IFERROR(__xludf.DUMMYFUNCTION("""COMPUTED_VALUE"""),185.59)</f>
        <v>185.59</v>
      </c>
      <c r="F510" s="1">
        <f ca="1">IFERROR(__xludf.DUMMYFUNCTION("""COMPUTED_VALUE"""),49128408)</f>
        <v>49128408</v>
      </c>
    </row>
    <row r="511" spans="1:6" ht="12.6">
      <c r="A511" s="2">
        <f ca="1">IFERROR(__xludf.DUMMYFUNCTION("""COMPUTED_VALUE"""),45303.6666666666)</f>
        <v>45303.666666666599</v>
      </c>
      <c r="B511" s="1">
        <f ca="1">IFERROR(__xludf.DUMMYFUNCTION("""COMPUTED_VALUE"""),186.06)</f>
        <v>186.06</v>
      </c>
      <c r="C511" s="1">
        <f ca="1">IFERROR(__xludf.DUMMYFUNCTION("""COMPUTED_VALUE"""),186.74)</f>
        <v>186.74</v>
      </c>
      <c r="D511" s="1">
        <f ca="1">IFERROR(__xludf.DUMMYFUNCTION("""COMPUTED_VALUE"""),185.19)</f>
        <v>185.19</v>
      </c>
      <c r="E511" s="1">
        <f ca="1">IFERROR(__xludf.DUMMYFUNCTION("""COMPUTED_VALUE"""),185.92)</f>
        <v>185.92</v>
      </c>
      <c r="F511" s="1">
        <f ca="1">IFERROR(__xludf.DUMMYFUNCTION("""COMPUTED_VALUE"""),40477782)</f>
        <v>40477782</v>
      </c>
    </row>
    <row r="512" spans="1:6" ht="12.6">
      <c r="A512" s="2">
        <f ca="1">IFERROR(__xludf.DUMMYFUNCTION("""COMPUTED_VALUE"""),45307.6666666666)</f>
        <v>45307.666666666599</v>
      </c>
      <c r="B512" s="1">
        <f ca="1">IFERROR(__xludf.DUMMYFUNCTION("""COMPUTED_VALUE"""),182.16)</f>
        <v>182.16</v>
      </c>
      <c r="C512" s="1">
        <f ca="1">IFERROR(__xludf.DUMMYFUNCTION("""COMPUTED_VALUE"""),184.26)</f>
        <v>184.26</v>
      </c>
      <c r="D512" s="1">
        <f ca="1">IFERROR(__xludf.DUMMYFUNCTION("""COMPUTED_VALUE"""),180.93)</f>
        <v>180.93</v>
      </c>
      <c r="E512" s="1">
        <f ca="1">IFERROR(__xludf.DUMMYFUNCTION("""COMPUTED_VALUE"""),183.63)</f>
        <v>183.63</v>
      </c>
      <c r="F512" s="1">
        <f ca="1">IFERROR(__xludf.DUMMYFUNCTION("""COMPUTED_VALUE"""),65603041)</f>
        <v>65603041</v>
      </c>
    </row>
    <row r="513" spans="1:6" ht="12.6">
      <c r="A513" s="2">
        <f ca="1">IFERROR(__xludf.DUMMYFUNCTION("""COMPUTED_VALUE"""),45308.6666666666)</f>
        <v>45308.666666666599</v>
      </c>
      <c r="B513" s="1">
        <f ca="1">IFERROR(__xludf.DUMMYFUNCTION("""COMPUTED_VALUE"""),181.27)</f>
        <v>181.27</v>
      </c>
      <c r="C513" s="1">
        <f ca="1">IFERROR(__xludf.DUMMYFUNCTION("""COMPUTED_VALUE"""),182.93)</f>
        <v>182.93</v>
      </c>
      <c r="D513" s="1">
        <f ca="1">IFERROR(__xludf.DUMMYFUNCTION("""COMPUTED_VALUE"""),180.3)</f>
        <v>180.3</v>
      </c>
      <c r="E513" s="1">
        <f ca="1">IFERROR(__xludf.DUMMYFUNCTION("""COMPUTED_VALUE"""),182.68)</f>
        <v>182.68</v>
      </c>
      <c r="F513" s="1">
        <f ca="1">IFERROR(__xludf.DUMMYFUNCTION("""COMPUTED_VALUE"""),47317433)</f>
        <v>47317433</v>
      </c>
    </row>
    <row r="514" spans="1:6" ht="12.6">
      <c r="A514" s="2">
        <f ca="1">IFERROR(__xludf.DUMMYFUNCTION("""COMPUTED_VALUE"""),45309.6666666666)</f>
        <v>45309.666666666599</v>
      </c>
      <c r="B514" s="1">
        <f ca="1">IFERROR(__xludf.DUMMYFUNCTION("""COMPUTED_VALUE"""),186.09)</f>
        <v>186.09</v>
      </c>
      <c r="C514" s="1">
        <f ca="1">IFERROR(__xludf.DUMMYFUNCTION("""COMPUTED_VALUE"""),189.14)</f>
        <v>189.14</v>
      </c>
      <c r="D514" s="1">
        <f ca="1">IFERROR(__xludf.DUMMYFUNCTION("""COMPUTED_VALUE"""),185.83)</f>
        <v>185.83</v>
      </c>
      <c r="E514" s="1">
        <f ca="1">IFERROR(__xludf.DUMMYFUNCTION("""COMPUTED_VALUE"""),188.63)</f>
        <v>188.63</v>
      </c>
      <c r="F514" s="1">
        <f ca="1">IFERROR(__xludf.DUMMYFUNCTION("""COMPUTED_VALUE"""),78005754)</f>
        <v>78005754</v>
      </c>
    </row>
    <row r="515" spans="1:6" ht="12.6">
      <c r="A515" s="2">
        <f ca="1">IFERROR(__xludf.DUMMYFUNCTION("""COMPUTED_VALUE"""),45310.6666666666)</f>
        <v>45310.666666666599</v>
      </c>
      <c r="B515" s="1">
        <f ca="1">IFERROR(__xludf.DUMMYFUNCTION("""COMPUTED_VALUE"""),189.33)</f>
        <v>189.33</v>
      </c>
      <c r="C515" s="1">
        <f ca="1">IFERROR(__xludf.DUMMYFUNCTION("""COMPUTED_VALUE"""),191.95)</f>
        <v>191.95</v>
      </c>
      <c r="D515" s="1">
        <f ca="1">IFERROR(__xludf.DUMMYFUNCTION("""COMPUTED_VALUE"""),188.82)</f>
        <v>188.82</v>
      </c>
      <c r="E515" s="1">
        <f ca="1">IFERROR(__xludf.DUMMYFUNCTION("""COMPUTED_VALUE"""),191.56)</f>
        <v>191.56</v>
      </c>
      <c r="F515" s="1">
        <f ca="1">IFERROR(__xludf.DUMMYFUNCTION("""COMPUTED_VALUE"""),68902985)</f>
        <v>68902985</v>
      </c>
    </row>
    <row r="516" spans="1:6" ht="12.6">
      <c r="A516" s="2">
        <f ca="1">IFERROR(__xludf.DUMMYFUNCTION("""COMPUTED_VALUE"""),45313.6666666666)</f>
        <v>45313.666666666599</v>
      </c>
      <c r="B516" s="1">
        <f ca="1">IFERROR(__xludf.DUMMYFUNCTION("""COMPUTED_VALUE"""),192.3)</f>
        <v>192.3</v>
      </c>
      <c r="C516" s="1">
        <f ca="1">IFERROR(__xludf.DUMMYFUNCTION("""COMPUTED_VALUE"""),195.33)</f>
        <v>195.33</v>
      </c>
      <c r="D516" s="1">
        <f ca="1">IFERROR(__xludf.DUMMYFUNCTION("""COMPUTED_VALUE"""),192.26)</f>
        <v>192.26</v>
      </c>
      <c r="E516" s="1">
        <f ca="1">IFERROR(__xludf.DUMMYFUNCTION("""COMPUTED_VALUE"""),193.89)</f>
        <v>193.89</v>
      </c>
      <c r="F516" s="1">
        <f ca="1">IFERROR(__xludf.DUMMYFUNCTION("""COMPUTED_VALUE"""),60133852)</f>
        <v>60133852</v>
      </c>
    </row>
    <row r="517" spans="1:6" ht="12.6">
      <c r="A517" s="2">
        <f ca="1">IFERROR(__xludf.DUMMYFUNCTION("""COMPUTED_VALUE"""),45314.6666666666)</f>
        <v>45314.666666666599</v>
      </c>
      <c r="B517" s="1">
        <f ca="1">IFERROR(__xludf.DUMMYFUNCTION("""COMPUTED_VALUE"""),195.02)</f>
        <v>195.02</v>
      </c>
      <c r="C517" s="1">
        <f ca="1">IFERROR(__xludf.DUMMYFUNCTION("""COMPUTED_VALUE"""),195.75)</f>
        <v>195.75</v>
      </c>
      <c r="D517" s="1">
        <f ca="1">IFERROR(__xludf.DUMMYFUNCTION("""COMPUTED_VALUE"""),193.83)</f>
        <v>193.83</v>
      </c>
      <c r="E517" s="1">
        <f ca="1">IFERROR(__xludf.DUMMYFUNCTION("""COMPUTED_VALUE"""),195.18)</f>
        <v>195.18</v>
      </c>
      <c r="F517" s="1">
        <f ca="1">IFERROR(__xludf.DUMMYFUNCTION("""COMPUTED_VALUE"""),42355590)</f>
        <v>42355590</v>
      </c>
    </row>
    <row r="518" spans="1:6" ht="12.6">
      <c r="A518" s="2">
        <f ca="1">IFERROR(__xludf.DUMMYFUNCTION("""COMPUTED_VALUE"""),45315.6666666666)</f>
        <v>45315.666666666599</v>
      </c>
      <c r="B518" s="1">
        <f ca="1">IFERROR(__xludf.DUMMYFUNCTION("""COMPUTED_VALUE"""),195.42)</f>
        <v>195.42</v>
      </c>
      <c r="C518" s="1">
        <f ca="1">IFERROR(__xludf.DUMMYFUNCTION("""COMPUTED_VALUE"""),196.38)</f>
        <v>196.38</v>
      </c>
      <c r="D518" s="1">
        <f ca="1">IFERROR(__xludf.DUMMYFUNCTION("""COMPUTED_VALUE"""),194.34)</f>
        <v>194.34</v>
      </c>
      <c r="E518" s="1">
        <f ca="1">IFERROR(__xludf.DUMMYFUNCTION("""COMPUTED_VALUE"""),194.5)</f>
        <v>194.5</v>
      </c>
      <c r="F518" s="1">
        <f ca="1">IFERROR(__xludf.DUMMYFUNCTION("""COMPUTED_VALUE"""),53631316)</f>
        <v>53631316</v>
      </c>
    </row>
    <row r="519" spans="1:6" ht="12.6">
      <c r="A519" s="2">
        <f ca="1">IFERROR(__xludf.DUMMYFUNCTION("""COMPUTED_VALUE"""),45316.6666666666)</f>
        <v>45316.666666666599</v>
      </c>
      <c r="B519" s="1">
        <f ca="1">IFERROR(__xludf.DUMMYFUNCTION("""COMPUTED_VALUE"""),195.22)</f>
        <v>195.22</v>
      </c>
      <c r="C519" s="1">
        <f ca="1">IFERROR(__xludf.DUMMYFUNCTION("""COMPUTED_VALUE"""),196.27)</f>
        <v>196.27</v>
      </c>
      <c r="D519" s="1">
        <f ca="1">IFERROR(__xludf.DUMMYFUNCTION("""COMPUTED_VALUE"""),193.11)</f>
        <v>193.11</v>
      </c>
      <c r="E519" s="1">
        <f ca="1">IFERROR(__xludf.DUMMYFUNCTION("""COMPUTED_VALUE"""),194.17)</f>
        <v>194.17</v>
      </c>
      <c r="F519" s="1">
        <f ca="1">IFERROR(__xludf.DUMMYFUNCTION("""COMPUTED_VALUE"""),54822126)</f>
        <v>54822126</v>
      </c>
    </row>
    <row r="520" spans="1:6" ht="12.6">
      <c r="A520" s="2">
        <f ca="1">IFERROR(__xludf.DUMMYFUNCTION("""COMPUTED_VALUE"""),45317.6666666666)</f>
        <v>45317.666666666599</v>
      </c>
      <c r="B520" s="1">
        <f ca="1">IFERROR(__xludf.DUMMYFUNCTION("""COMPUTED_VALUE"""),194.27)</f>
        <v>194.27</v>
      </c>
      <c r="C520" s="1">
        <f ca="1">IFERROR(__xludf.DUMMYFUNCTION("""COMPUTED_VALUE"""),194.76)</f>
        <v>194.76</v>
      </c>
      <c r="D520" s="1">
        <f ca="1">IFERROR(__xludf.DUMMYFUNCTION("""COMPUTED_VALUE"""),191.94)</f>
        <v>191.94</v>
      </c>
      <c r="E520" s="1">
        <f ca="1">IFERROR(__xludf.DUMMYFUNCTION("""COMPUTED_VALUE"""),192.42)</f>
        <v>192.42</v>
      </c>
      <c r="F520" s="1">
        <f ca="1">IFERROR(__xludf.DUMMYFUNCTION("""COMPUTED_VALUE"""),44594011)</f>
        <v>44594011</v>
      </c>
    </row>
    <row r="521" spans="1:6" ht="12.6">
      <c r="A521" s="2">
        <f ca="1">IFERROR(__xludf.DUMMYFUNCTION("""COMPUTED_VALUE"""),45320.6666666666)</f>
        <v>45320.666666666599</v>
      </c>
      <c r="B521" s="1">
        <f ca="1">IFERROR(__xludf.DUMMYFUNCTION("""COMPUTED_VALUE"""),192.01)</f>
        <v>192.01</v>
      </c>
      <c r="C521" s="1">
        <f ca="1">IFERROR(__xludf.DUMMYFUNCTION("""COMPUTED_VALUE"""),192.2)</f>
        <v>192.2</v>
      </c>
      <c r="D521" s="1">
        <f ca="1">IFERROR(__xludf.DUMMYFUNCTION("""COMPUTED_VALUE"""),189.58)</f>
        <v>189.58</v>
      </c>
      <c r="E521" s="1">
        <f ca="1">IFERROR(__xludf.DUMMYFUNCTION("""COMPUTED_VALUE"""),191.73)</f>
        <v>191.73</v>
      </c>
      <c r="F521" s="1">
        <f ca="1">IFERROR(__xludf.DUMMYFUNCTION("""COMPUTED_VALUE"""),47145622)</f>
        <v>47145622</v>
      </c>
    </row>
    <row r="522" spans="1:6" ht="12.6">
      <c r="A522" s="2">
        <f ca="1">IFERROR(__xludf.DUMMYFUNCTION("""COMPUTED_VALUE"""),45321.6666666666)</f>
        <v>45321.666666666599</v>
      </c>
      <c r="B522" s="1">
        <f ca="1">IFERROR(__xludf.DUMMYFUNCTION("""COMPUTED_VALUE"""),190.94)</f>
        <v>190.94</v>
      </c>
      <c r="C522" s="1">
        <f ca="1">IFERROR(__xludf.DUMMYFUNCTION("""COMPUTED_VALUE"""),191.8)</f>
        <v>191.8</v>
      </c>
      <c r="D522" s="1">
        <f ca="1">IFERROR(__xludf.DUMMYFUNCTION("""COMPUTED_VALUE"""),187.47)</f>
        <v>187.47</v>
      </c>
      <c r="E522" s="1">
        <f ca="1">IFERROR(__xludf.DUMMYFUNCTION("""COMPUTED_VALUE"""),188.04)</f>
        <v>188.04</v>
      </c>
      <c r="F522" s="1">
        <f ca="1">IFERROR(__xludf.DUMMYFUNCTION("""COMPUTED_VALUE"""),55859370)</f>
        <v>55859370</v>
      </c>
    </row>
    <row r="523" spans="1:6" ht="12.6">
      <c r="A523" s="2">
        <f ca="1">IFERROR(__xludf.DUMMYFUNCTION("""COMPUTED_VALUE"""),45322.6666666666)</f>
        <v>45322.666666666599</v>
      </c>
      <c r="B523" s="1">
        <f ca="1">IFERROR(__xludf.DUMMYFUNCTION("""COMPUTED_VALUE"""),187.04)</f>
        <v>187.04</v>
      </c>
      <c r="C523" s="1">
        <f ca="1">IFERROR(__xludf.DUMMYFUNCTION("""COMPUTED_VALUE"""),187.1)</f>
        <v>187.1</v>
      </c>
      <c r="D523" s="1">
        <f ca="1">IFERROR(__xludf.DUMMYFUNCTION("""COMPUTED_VALUE"""),184.35)</f>
        <v>184.35</v>
      </c>
      <c r="E523" s="1">
        <f ca="1">IFERROR(__xludf.DUMMYFUNCTION("""COMPUTED_VALUE"""),184.4)</f>
        <v>184.4</v>
      </c>
      <c r="F523" s="1">
        <f ca="1">IFERROR(__xludf.DUMMYFUNCTION("""COMPUTED_VALUE"""),55467803)</f>
        <v>55467803</v>
      </c>
    </row>
    <row r="524" spans="1:6" ht="12.6">
      <c r="A524" s="2">
        <f ca="1">IFERROR(__xludf.DUMMYFUNCTION("""COMPUTED_VALUE"""),45323.6666666666)</f>
        <v>45323.666666666599</v>
      </c>
      <c r="B524" s="1">
        <f ca="1">IFERROR(__xludf.DUMMYFUNCTION("""COMPUTED_VALUE"""),183.99)</f>
        <v>183.99</v>
      </c>
      <c r="C524" s="1">
        <f ca="1">IFERROR(__xludf.DUMMYFUNCTION("""COMPUTED_VALUE"""),186.95)</f>
        <v>186.95</v>
      </c>
      <c r="D524" s="1">
        <f ca="1">IFERROR(__xludf.DUMMYFUNCTION("""COMPUTED_VALUE"""),183.82)</f>
        <v>183.82</v>
      </c>
      <c r="E524" s="1">
        <f ca="1">IFERROR(__xludf.DUMMYFUNCTION("""COMPUTED_VALUE"""),186.86)</f>
        <v>186.86</v>
      </c>
      <c r="F524" s="1">
        <f ca="1">IFERROR(__xludf.DUMMYFUNCTION("""COMPUTED_VALUE"""),64885408)</f>
        <v>64885408</v>
      </c>
    </row>
    <row r="525" spans="1:6" ht="12.6">
      <c r="A525" s="2">
        <f ca="1">IFERROR(__xludf.DUMMYFUNCTION("""COMPUTED_VALUE"""),45324.6666666666)</f>
        <v>45324.666666666599</v>
      </c>
      <c r="B525" s="1">
        <f ca="1">IFERROR(__xludf.DUMMYFUNCTION("""COMPUTED_VALUE"""),179.86)</f>
        <v>179.86</v>
      </c>
      <c r="C525" s="1">
        <f ca="1">IFERROR(__xludf.DUMMYFUNCTION("""COMPUTED_VALUE"""),187.33)</f>
        <v>187.33</v>
      </c>
      <c r="D525" s="1">
        <f ca="1">IFERROR(__xludf.DUMMYFUNCTION("""COMPUTED_VALUE"""),179.25)</f>
        <v>179.25</v>
      </c>
      <c r="E525" s="1">
        <f ca="1">IFERROR(__xludf.DUMMYFUNCTION("""COMPUTED_VALUE"""),185.85)</f>
        <v>185.85</v>
      </c>
      <c r="F525" s="1">
        <f ca="1">IFERROR(__xludf.DUMMYFUNCTION("""COMPUTED_VALUE"""),102551680)</f>
        <v>102551680</v>
      </c>
    </row>
    <row r="526" spans="1:6" ht="12.6">
      <c r="A526" s="2">
        <f ca="1">IFERROR(__xludf.DUMMYFUNCTION("""COMPUTED_VALUE"""),45327.6666666666)</f>
        <v>45327.666666666599</v>
      </c>
      <c r="B526" s="1">
        <f ca="1">IFERROR(__xludf.DUMMYFUNCTION("""COMPUTED_VALUE"""),188.15)</f>
        <v>188.15</v>
      </c>
      <c r="C526" s="1">
        <f ca="1">IFERROR(__xludf.DUMMYFUNCTION("""COMPUTED_VALUE"""),189.25)</f>
        <v>189.25</v>
      </c>
      <c r="D526" s="1">
        <f ca="1">IFERROR(__xludf.DUMMYFUNCTION("""COMPUTED_VALUE"""),185.84)</f>
        <v>185.84</v>
      </c>
      <c r="E526" s="1">
        <f ca="1">IFERROR(__xludf.DUMMYFUNCTION("""COMPUTED_VALUE"""),187.68)</f>
        <v>187.68</v>
      </c>
      <c r="F526" s="1">
        <f ca="1">IFERROR(__xludf.DUMMYFUNCTION("""COMPUTED_VALUE"""),69668820)</f>
        <v>69668820</v>
      </c>
    </row>
    <row r="527" spans="1:6" ht="12.6">
      <c r="A527" s="2">
        <f ca="1">IFERROR(__xludf.DUMMYFUNCTION("""COMPUTED_VALUE"""),45328.6666666666)</f>
        <v>45328.666666666599</v>
      </c>
      <c r="B527" s="1">
        <f ca="1">IFERROR(__xludf.DUMMYFUNCTION("""COMPUTED_VALUE"""),186.86)</f>
        <v>186.86</v>
      </c>
      <c r="C527" s="1">
        <f ca="1">IFERROR(__xludf.DUMMYFUNCTION("""COMPUTED_VALUE"""),189.31)</f>
        <v>189.31</v>
      </c>
      <c r="D527" s="1">
        <f ca="1">IFERROR(__xludf.DUMMYFUNCTION("""COMPUTED_VALUE"""),186.77)</f>
        <v>186.77</v>
      </c>
      <c r="E527" s="1">
        <f ca="1">IFERROR(__xludf.DUMMYFUNCTION("""COMPUTED_VALUE"""),189.3)</f>
        <v>189.3</v>
      </c>
      <c r="F527" s="1">
        <f ca="1">IFERROR(__xludf.DUMMYFUNCTION("""COMPUTED_VALUE"""),43490759)</f>
        <v>43490759</v>
      </c>
    </row>
    <row r="528" spans="1:6" ht="12.6">
      <c r="A528" s="2">
        <f ca="1">IFERROR(__xludf.DUMMYFUNCTION("""COMPUTED_VALUE"""),45329.6666666666)</f>
        <v>45329.666666666599</v>
      </c>
      <c r="B528" s="1">
        <f ca="1">IFERROR(__xludf.DUMMYFUNCTION("""COMPUTED_VALUE"""),190.64)</f>
        <v>190.64</v>
      </c>
      <c r="C528" s="1">
        <f ca="1">IFERROR(__xludf.DUMMYFUNCTION("""COMPUTED_VALUE"""),191.05)</f>
        <v>191.05</v>
      </c>
      <c r="D528" s="1">
        <f ca="1">IFERROR(__xludf.DUMMYFUNCTION("""COMPUTED_VALUE"""),188.61)</f>
        <v>188.61</v>
      </c>
      <c r="E528" s="1">
        <f ca="1">IFERROR(__xludf.DUMMYFUNCTION("""COMPUTED_VALUE"""),189.41)</f>
        <v>189.41</v>
      </c>
      <c r="F528" s="1">
        <f ca="1">IFERROR(__xludf.DUMMYFUNCTION("""COMPUTED_VALUE"""),53438955)</f>
        <v>53438955</v>
      </c>
    </row>
    <row r="529" spans="1:6" ht="12.6">
      <c r="A529" s="2">
        <f ca="1">IFERROR(__xludf.DUMMYFUNCTION("""COMPUTED_VALUE"""),45330.6666666666)</f>
        <v>45330.666666666599</v>
      </c>
      <c r="B529" s="1">
        <f ca="1">IFERROR(__xludf.DUMMYFUNCTION("""COMPUTED_VALUE"""),189.39)</f>
        <v>189.39</v>
      </c>
      <c r="C529" s="1">
        <f ca="1">IFERROR(__xludf.DUMMYFUNCTION("""COMPUTED_VALUE"""),189.54)</f>
        <v>189.54</v>
      </c>
      <c r="D529" s="1">
        <f ca="1">IFERROR(__xludf.DUMMYFUNCTION("""COMPUTED_VALUE"""),187.35)</f>
        <v>187.35</v>
      </c>
      <c r="E529" s="1">
        <f ca="1">IFERROR(__xludf.DUMMYFUNCTION("""COMPUTED_VALUE"""),188.32)</f>
        <v>188.32</v>
      </c>
      <c r="F529" s="1">
        <f ca="1">IFERROR(__xludf.DUMMYFUNCTION("""COMPUTED_VALUE"""),40962046)</f>
        <v>40962046</v>
      </c>
    </row>
    <row r="530" spans="1:6" ht="12.6">
      <c r="A530" s="2">
        <f ca="1">IFERROR(__xludf.DUMMYFUNCTION("""COMPUTED_VALUE"""),45331.6666666666)</f>
        <v>45331.666666666599</v>
      </c>
      <c r="B530" s="1">
        <f ca="1">IFERROR(__xludf.DUMMYFUNCTION("""COMPUTED_VALUE"""),188.65)</f>
        <v>188.65</v>
      </c>
      <c r="C530" s="1">
        <f ca="1">IFERROR(__xludf.DUMMYFUNCTION("""COMPUTED_VALUE"""),189.99)</f>
        <v>189.99</v>
      </c>
      <c r="D530" s="1">
        <f ca="1">IFERROR(__xludf.DUMMYFUNCTION("""COMPUTED_VALUE"""),188)</f>
        <v>188</v>
      </c>
      <c r="E530" s="1">
        <f ca="1">IFERROR(__xludf.DUMMYFUNCTION("""COMPUTED_VALUE"""),188.85)</f>
        <v>188.85</v>
      </c>
      <c r="F530" s="1">
        <f ca="1">IFERROR(__xludf.DUMMYFUNCTION("""COMPUTED_VALUE"""),45155216)</f>
        <v>45155216</v>
      </c>
    </row>
    <row r="531" spans="1:6" ht="12.6">
      <c r="A531" s="2">
        <f ca="1">IFERROR(__xludf.DUMMYFUNCTION("""COMPUTED_VALUE"""),45334.6666666666)</f>
        <v>45334.666666666599</v>
      </c>
      <c r="B531" s="1">
        <f ca="1">IFERROR(__xludf.DUMMYFUNCTION("""COMPUTED_VALUE"""),188.42)</f>
        <v>188.42</v>
      </c>
      <c r="C531" s="1">
        <f ca="1">IFERROR(__xludf.DUMMYFUNCTION("""COMPUTED_VALUE"""),188.67)</f>
        <v>188.67</v>
      </c>
      <c r="D531" s="1">
        <f ca="1">IFERROR(__xludf.DUMMYFUNCTION("""COMPUTED_VALUE"""),186.79)</f>
        <v>186.79</v>
      </c>
      <c r="E531" s="1">
        <f ca="1">IFERROR(__xludf.DUMMYFUNCTION("""COMPUTED_VALUE"""),187.15)</f>
        <v>187.15</v>
      </c>
      <c r="F531" s="1">
        <f ca="1">IFERROR(__xludf.DUMMYFUNCTION("""COMPUTED_VALUE"""),41781934)</f>
        <v>41781934</v>
      </c>
    </row>
    <row r="532" spans="1:6" ht="12.6">
      <c r="A532" s="2">
        <f ca="1">IFERROR(__xludf.DUMMYFUNCTION("""COMPUTED_VALUE"""),45335.6666666666)</f>
        <v>45335.666666666599</v>
      </c>
      <c r="B532" s="1">
        <f ca="1">IFERROR(__xludf.DUMMYFUNCTION("""COMPUTED_VALUE"""),185.77)</f>
        <v>185.77</v>
      </c>
      <c r="C532" s="1">
        <f ca="1">IFERROR(__xludf.DUMMYFUNCTION("""COMPUTED_VALUE"""),186.21)</f>
        <v>186.21</v>
      </c>
      <c r="D532" s="1">
        <f ca="1">IFERROR(__xludf.DUMMYFUNCTION("""COMPUTED_VALUE"""),183.51)</f>
        <v>183.51</v>
      </c>
      <c r="E532" s="1">
        <f ca="1">IFERROR(__xludf.DUMMYFUNCTION("""COMPUTED_VALUE"""),185.04)</f>
        <v>185.04</v>
      </c>
      <c r="F532" s="1">
        <f ca="1">IFERROR(__xludf.DUMMYFUNCTION("""COMPUTED_VALUE"""),56529529)</f>
        <v>56529529</v>
      </c>
    </row>
    <row r="533" spans="1:6" ht="12.6">
      <c r="A533" s="2">
        <f ca="1">IFERROR(__xludf.DUMMYFUNCTION("""COMPUTED_VALUE"""),45336.6666666666)</f>
        <v>45336.666666666599</v>
      </c>
      <c r="B533" s="1">
        <f ca="1">IFERROR(__xludf.DUMMYFUNCTION("""COMPUTED_VALUE"""),185.32)</f>
        <v>185.32</v>
      </c>
      <c r="C533" s="1">
        <f ca="1">IFERROR(__xludf.DUMMYFUNCTION("""COMPUTED_VALUE"""),185.53)</f>
        <v>185.53</v>
      </c>
      <c r="D533" s="1">
        <f ca="1">IFERROR(__xludf.DUMMYFUNCTION("""COMPUTED_VALUE"""),182.44)</f>
        <v>182.44</v>
      </c>
      <c r="E533" s="1">
        <f ca="1">IFERROR(__xludf.DUMMYFUNCTION("""COMPUTED_VALUE"""),184.15)</f>
        <v>184.15</v>
      </c>
      <c r="F533" s="1">
        <f ca="1">IFERROR(__xludf.DUMMYFUNCTION("""COMPUTED_VALUE"""),54630517)</f>
        <v>54630517</v>
      </c>
    </row>
    <row r="534" spans="1:6" ht="12.6">
      <c r="A534" s="2">
        <f ca="1">IFERROR(__xludf.DUMMYFUNCTION("""COMPUTED_VALUE"""),45337.6666666666)</f>
        <v>45337.666666666599</v>
      </c>
      <c r="B534" s="1">
        <f ca="1">IFERROR(__xludf.DUMMYFUNCTION("""COMPUTED_VALUE"""),183.55)</f>
        <v>183.55</v>
      </c>
      <c r="C534" s="1">
        <f ca="1">IFERROR(__xludf.DUMMYFUNCTION("""COMPUTED_VALUE"""),184.49)</f>
        <v>184.49</v>
      </c>
      <c r="D534" s="1">
        <f ca="1">IFERROR(__xludf.DUMMYFUNCTION("""COMPUTED_VALUE"""),181.35)</f>
        <v>181.35</v>
      </c>
      <c r="E534" s="1">
        <f ca="1">IFERROR(__xludf.DUMMYFUNCTION("""COMPUTED_VALUE"""),183.86)</f>
        <v>183.86</v>
      </c>
      <c r="F534" s="1">
        <f ca="1">IFERROR(__xludf.DUMMYFUNCTION("""COMPUTED_VALUE"""),65434496)</f>
        <v>65434496</v>
      </c>
    </row>
    <row r="535" spans="1:6" ht="12.6">
      <c r="A535" s="2">
        <f ca="1">IFERROR(__xludf.DUMMYFUNCTION("""COMPUTED_VALUE"""),45338.6666666666)</f>
        <v>45338.666666666599</v>
      </c>
      <c r="B535" s="1">
        <f ca="1">IFERROR(__xludf.DUMMYFUNCTION("""COMPUTED_VALUE"""),183.42)</f>
        <v>183.42</v>
      </c>
      <c r="C535" s="1">
        <f ca="1">IFERROR(__xludf.DUMMYFUNCTION("""COMPUTED_VALUE"""),184.85)</f>
        <v>184.85</v>
      </c>
      <c r="D535" s="1">
        <f ca="1">IFERROR(__xludf.DUMMYFUNCTION("""COMPUTED_VALUE"""),181.67)</f>
        <v>181.67</v>
      </c>
      <c r="E535" s="1">
        <f ca="1">IFERROR(__xludf.DUMMYFUNCTION("""COMPUTED_VALUE"""),182.31)</f>
        <v>182.31</v>
      </c>
      <c r="F535" s="1">
        <f ca="1">IFERROR(__xludf.DUMMYFUNCTION("""COMPUTED_VALUE"""),49752465)</f>
        <v>49752465</v>
      </c>
    </row>
    <row r="536" spans="1:6" ht="12.6">
      <c r="A536" s="2">
        <f ca="1">IFERROR(__xludf.DUMMYFUNCTION("""COMPUTED_VALUE"""),45342.6666666666)</f>
        <v>45342.666666666599</v>
      </c>
      <c r="B536" s="1">
        <f ca="1">IFERROR(__xludf.DUMMYFUNCTION("""COMPUTED_VALUE"""),181.79)</f>
        <v>181.79</v>
      </c>
      <c r="C536" s="1">
        <f ca="1">IFERROR(__xludf.DUMMYFUNCTION("""COMPUTED_VALUE"""),182.43)</f>
        <v>182.43</v>
      </c>
      <c r="D536" s="1">
        <f ca="1">IFERROR(__xludf.DUMMYFUNCTION("""COMPUTED_VALUE"""),180)</f>
        <v>180</v>
      </c>
      <c r="E536" s="1">
        <f ca="1">IFERROR(__xludf.DUMMYFUNCTION("""COMPUTED_VALUE"""),181.56)</f>
        <v>181.56</v>
      </c>
      <c r="F536" s="1">
        <f ca="1">IFERROR(__xludf.DUMMYFUNCTION("""COMPUTED_VALUE"""),53665553)</f>
        <v>53665553</v>
      </c>
    </row>
    <row r="537" spans="1:6" ht="12.6">
      <c r="A537" s="2">
        <f ca="1">IFERROR(__xludf.DUMMYFUNCTION("""COMPUTED_VALUE"""),45343.6666666666)</f>
        <v>45343.666666666599</v>
      </c>
      <c r="B537" s="1">
        <f ca="1">IFERROR(__xludf.DUMMYFUNCTION("""COMPUTED_VALUE"""),181.94)</f>
        <v>181.94</v>
      </c>
      <c r="C537" s="1">
        <f ca="1">IFERROR(__xludf.DUMMYFUNCTION("""COMPUTED_VALUE"""),182.89)</f>
        <v>182.89</v>
      </c>
      <c r="D537" s="1">
        <f ca="1">IFERROR(__xludf.DUMMYFUNCTION("""COMPUTED_VALUE"""),180.66)</f>
        <v>180.66</v>
      </c>
      <c r="E537" s="1">
        <f ca="1">IFERROR(__xludf.DUMMYFUNCTION("""COMPUTED_VALUE"""),182.32)</f>
        <v>182.32</v>
      </c>
      <c r="F537" s="1">
        <f ca="1">IFERROR(__xludf.DUMMYFUNCTION("""COMPUTED_VALUE"""),41529674)</f>
        <v>41529674</v>
      </c>
    </row>
    <row r="538" spans="1:6" ht="12.6">
      <c r="A538" s="2">
        <f ca="1">IFERROR(__xludf.DUMMYFUNCTION("""COMPUTED_VALUE"""),45344.6666666666)</f>
        <v>45344.666666666599</v>
      </c>
      <c r="B538" s="1">
        <f ca="1">IFERROR(__xludf.DUMMYFUNCTION("""COMPUTED_VALUE"""),183.48)</f>
        <v>183.48</v>
      </c>
      <c r="C538" s="1">
        <f ca="1">IFERROR(__xludf.DUMMYFUNCTION("""COMPUTED_VALUE"""),184.96)</f>
        <v>184.96</v>
      </c>
      <c r="D538" s="1">
        <f ca="1">IFERROR(__xludf.DUMMYFUNCTION("""COMPUTED_VALUE"""),182.46)</f>
        <v>182.46</v>
      </c>
      <c r="E538" s="1">
        <f ca="1">IFERROR(__xludf.DUMMYFUNCTION("""COMPUTED_VALUE"""),184.37)</f>
        <v>184.37</v>
      </c>
      <c r="F538" s="1">
        <f ca="1">IFERROR(__xludf.DUMMYFUNCTION("""COMPUTED_VALUE"""),52292208)</f>
        <v>52292208</v>
      </c>
    </row>
    <row r="539" spans="1:6" ht="12.6">
      <c r="A539" s="2">
        <f ca="1">IFERROR(__xludf.DUMMYFUNCTION("""COMPUTED_VALUE"""),45345.6666666666)</f>
        <v>45345.666666666599</v>
      </c>
      <c r="B539" s="1">
        <f ca="1">IFERROR(__xludf.DUMMYFUNCTION("""COMPUTED_VALUE"""),185.01)</f>
        <v>185.01</v>
      </c>
      <c r="C539" s="1">
        <f ca="1">IFERROR(__xludf.DUMMYFUNCTION("""COMPUTED_VALUE"""),185.04)</f>
        <v>185.04</v>
      </c>
      <c r="D539" s="1">
        <f ca="1">IFERROR(__xludf.DUMMYFUNCTION("""COMPUTED_VALUE"""),182.23)</f>
        <v>182.23</v>
      </c>
      <c r="E539" s="1">
        <f ca="1">IFERROR(__xludf.DUMMYFUNCTION("""COMPUTED_VALUE"""),182.52)</f>
        <v>182.52</v>
      </c>
      <c r="F539" s="1">
        <f ca="1">IFERROR(__xludf.DUMMYFUNCTION("""COMPUTED_VALUE"""),45119677)</f>
        <v>45119677</v>
      </c>
    </row>
    <row r="540" spans="1:6" ht="12.6">
      <c r="A540" s="2">
        <f ca="1">IFERROR(__xludf.DUMMYFUNCTION("""COMPUTED_VALUE"""),45348.6666666666)</f>
        <v>45348.666666666599</v>
      </c>
      <c r="B540" s="1">
        <f ca="1">IFERROR(__xludf.DUMMYFUNCTION("""COMPUTED_VALUE"""),182.24)</f>
        <v>182.24</v>
      </c>
      <c r="C540" s="1">
        <f ca="1">IFERROR(__xludf.DUMMYFUNCTION("""COMPUTED_VALUE"""),182.76)</f>
        <v>182.76</v>
      </c>
      <c r="D540" s="1">
        <f ca="1">IFERROR(__xludf.DUMMYFUNCTION("""COMPUTED_VALUE"""),180.65)</f>
        <v>180.65</v>
      </c>
      <c r="E540" s="1">
        <f ca="1">IFERROR(__xludf.DUMMYFUNCTION("""COMPUTED_VALUE"""),181.16)</f>
        <v>181.16</v>
      </c>
      <c r="F540" s="1">
        <f ca="1">IFERROR(__xludf.DUMMYFUNCTION("""COMPUTED_VALUE"""),40867421)</f>
        <v>40867421</v>
      </c>
    </row>
    <row r="541" spans="1:6" ht="12.6">
      <c r="A541" s="2">
        <f ca="1">IFERROR(__xludf.DUMMYFUNCTION("""COMPUTED_VALUE"""),45349.6666666666)</f>
        <v>45349.666666666599</v>
      </c>
      <c r="B541" s="1">
        <f ca="1">IFERROR(__xludf.DUMMYFUNCTION("""COMPUTED_VALUE"""),181.1)</f>
        <v>181.1</v>
      </c>
      <c r="C541" s="1">
        <f ca="1">IFERROR(__xludf.DUMMYFUNCTION("""COMPUTED_VALUE"""),183.92)</f>
        <v>183.92</v>
      </c>
      <c r="D541" s="1">
        <f ca="1">IFERROR(__xludf.DUMMYFUNCTION("""COMPUTED_VALUE"""),179.56)</f>
        <v>179.56</v>
      </c>
      <c r="E541" s="1">
        <f ca="1">IFERROR(__xludf.DUMMYFUNCTION("""COMPUTED_VALUE"""),182.63)</f>
        <v>182.63</v>
      </c>
      <c r="F541" s="1">
        <f ca="1">IFERROR(__xludf.DUMMYFUNCTION("""COMPUTED_VALUE"""),54318851)</f>
        <v>54318851</v>
      </c>
    </row>
    <row r="542" spans="1:6" ht="12.6">
      <c r="A542" s="2">
        <f ca="1">IFERROR(__xludf.DUMMYFUNCTION("""COMPUTED_VALUE"""),45350.6666666666)</f>
        <v>45350.666666666599</v>
      </c>
      <c r="B542" s="1">
        <f ca="1">IFERROR(__xludf.DUMMYFUNCTION("""COMPUTED_VALUE"""),182.51)</f>
        <v>182.51</v>
      </c>
      <c r="C542" s="1">
        <f ca="1">IFERROR(__xludf.DUMMYFUNCTION("""COMPUTED_VALUE"""),183.12)</f>
        <v>183.12</v>
      </c>
      <c r="D542" s="1">
        <f ca="1">IFERROR(__xludf.DUMMYFUNCTION("""COMPUTED_VALUE"""),180.13)</f>
        <v>180.13</v>
      </c>
      <c r="E542" s="1">
        <f ca="1">IFERROR(__xludf.DUMMYFUNCTION("""COMPUTED_VALUE"""),181.42)</f>
        <v>181.42</v>
      </c>
      <c r="F542" s="1">
        <f ca="1">IFERROR(__xludf.DUMMYFUNCTION("""COMPUTED_VALUE"""),48953939)</f>
        <v>48953939</v>
      </c>
    </row>
    <row r="543" spans="1:6" ht="12.6">
      <c r="A543" s="2">
        <f ca="1">IFERROR(__xludf.DUMMYFUNCTION("""COMPUTED_VALUE"""),45351.6666666666)</f>
        <v>45351.666666666599</v>
      </c>
      <c r="B543" s="1">
        <f ca="1">IFERROR(__xludf.DUMMYFUNCTION("""COMPUTED_VALUE"""),181.27)</f>
        <v>181.27</v>
      </c>
      <c r="C543" s="1">
        <f ca="1">IFERROR(__xludf.DUMMYFUNCTION("""COMPUTED_VALUE"""),182.57)</f>
        <v>182.57</v>
      </c>
      <c r="D543" s="1">
        <f ca="1">IFERROR(__xludf.DUMMYFUNCTION("""COMPUTED_VALUE"""),179.53)</f>
        <v>179.53</v>
      </c>
      <c r="E543" s="1">
        <f ca="1">IFERROR(__xludf.DUMMYFUNCTION("""COMPUTED_VALUE"""),180.75)</f>
        <v>180.75</v>
      </c>
      <c r="F543" s="1">
        <f ca="1">IFERROR(__xludf.DUMMYFUNCTION("""COMPUTED_VALUE"""),136682597)</f>
        <v>136682597</v>
      </c>
    </row>
    <row r="544" spans="1:6" ht="12.6">
      <c r="A544" s="2">
        <f ca="1">IFERROR(__xludf.DUMMYFUNCTION("""COMPUTED_VALUE"""),45352.6666666666)</f>
        <v>45352.666666666599</v>
      </c>
      <c r="B544" s="1">
        <f ca="1">IFERROR(__xludf.DUMMYFUNCTION("""COMPUTED_VALUE"""),179.55)</f>
        <v>179.55</v>
      </c>
      <c r="C544" s="1">
        <f ca="1">IFERROR(__xludf.DUMMYFUNCTION("""COMPUTED_VALUE"""),180.53)</f>
        <v>180.53</v>
      </c>
      <c r="D544" s="1">
        <f ca="1">IFERROR(__xludf.DUMMYFUNCTION("""COMPUTED_VALUE"""),177.38)</f>
        <v>177.38</v>
      </c>
      <c r="E544" s="1">
        <f ca="1">IFERROR(__xludf.DUMMYFUNCTION("""COMPUTED_VALUE"""),179.66)</f>
        <v>179.66</v>
      </c>
      <c r="F544" s="1">
        <f ca="1">IFERROR(__xludf.DUMMYFUNCTION("""COMPUTED_VALUE"""),73563082)</f>
        <v>73563082</v>
      </c>
    </row>
    <row r="545" spans="1:6" ht="12.6">
      <c r="A545" s="2">
        <f ca="1">IFERROR(__xludf.DUMMYFUNCTION("""COMPUTED_VALUE"""),45355.6666666666)</f>
        <v>45355.666666666599</v>
      </c>
      <c r="B545" s="1">
        <f ca="1">IFERROR(__xludf.DUMMYFUNCTION("""COMPUTED_VALUE"""),176.15)</f>
        <v>176.15</v>
      </c>
      <c r="C545" s="1">
        <f ca="1">IFERROR(__xludf.DUMMYFUNCTION("""COMPUTED_VALUE"""),176.9)</f>
        <v>176.9</v>
      </c>
      <c r="D545" s="1">
        <f ca="1">IFERROR(__xludf.DUMMYFUNCTION("""COMPUTED_VALUE"""),173.79)</f>
        <v>173.79</v>
      </c>
      <c r="E545" s="1">
        <f ca="1">IFERROR(__xludf.DUMMYFUNCTION("""COMPUTED_VALUE"""),175.1)</f>
        <v>175.1</v>
      </c>
      <c r="F545" s="1">
        <f ca="1">IFERROR(__xludf.DUMMYFUNCTION("""COMPUTED_VALUE"""),81510101)</f>
        <v>81510101</v>
      </c>
    </row>
    <row r="546" spans="1:6" ht="12.6">
      <c r="A546" s="2">
        <f ca="1">IFERROR(__xludf.DUMMYFUNCTION("""COMPUTED_VALUE"""),45356.6666666666)</f>
        <v>45356.666666666599</v>
      </c>
      <c r="B546" s="1">
        <f ca="1">IFERROR(__xludf.DUMMYFUNCTION("""COMPUTED_VALUE"""),170.76)</f>
        <v>170.76</v>
      </c>
      <c r="C546" s="1">
        <f ca="1">IFERROR(__xludf.DUMMYFUNCTION("""COMPUTED_VALUE"""),172.04)</f>
        <v>172.04</v>
      </c>
      <c r="D546" s="1">
        <f ca="1">IFERROR(__xludf.DUMMYFUNCTION("""COMPUTED_VALUE"""),169.62)</f>
        <v>169.62</v>
      </c>
      <c r="E546" s="1">
        <f ca="1">IFERROR(__xludf.DUMMYFUNCTION("""COMPUTED_VALUE"""),170.12)</f>
        <v>170.12</v>
      </c>
      <c r="F546" s="1">
        <f ca="1">IFERROR(__xludf.DUMMYFUNCTION("""COMPUTED_VALUE"""),95132355)</f>
        <v>95132355</v>
      </c>
    </row>
    <row r="547" spans="1:6" ht="12.6">
      <c r="A547" s="2">
        <f ca="1">IFERROR(__xludf.DUMMYFUNCTION("""COMPUTED_VALUE"""),45357.6666666666)</f>
        <v>45357.666666666599</v>
      </c>
      <c r="B547" s="1">
        <f ca="1">IFERROR(__xludf.DUMMYFUNCTION("""COMPUTED_VALUE"""),171.06)</f>
        <v>171.06</v>
      </c>
      <c r="C547" s="1">
        <f ca="1">IFERROR(__xludf.DUMMYFUNCTION("""COMPUTED_VALUE"""),171.24)</f>
        <v>171.24</v>
      </c>
      <c r="D547" s="1">
        <f ca="1">IFERROR(__xludf.DUMMYFUNCTION("""COMPUTED_VALUE"""),168.68)</f>
        <v>168.68</v>
      </c>
      <c r="E547" s="1">
        <f ca="1">IFERROR(__xludf.DUMMYFUNCTION("""COMPUTED_VALUE"""),169.12)</f>
        <v>169.12</v>
      </c>
      <c r="F547" s="1">
        <f ca="1">IFERROR(__xludf.DUMMYFUNCTION("""COMPUTED_VALUE"""),68587707)</f>
        <v>68587707</v>
      </c>
    </row>
    <row r="548" spans="1:6" ht="12.6">
      <c r="A548" s="2">
        <f ca="1">IFERROR(__xludf.DUMMYFUNCTION("""COMPUTED_VALUE"""),45358.6666666666)</f>
        <v>45358.666666666599</v>
      </c>
      <c r="B548" s="1">
        <f ca="1">IFERROR(__xludf.DUMMYFUNCTION("""COMPUTED_VALUE"""),169.15)</f>
        <v>169.15</v>
      </c>
      <c r="C548" s="1">
        <f ca="1">IFERROR(__xludf.DUMMYFUNCTION("""COMPUTED_VALUE"""),170.73)</f>
        <v>170.73</v>
      </c>
      <c r="D548" s="1">
        <f ca="1">IFERROR(__xludf.DUMMYFUNCTION("""COMPUTED_VALUE"""),168.49)</f>
        <v>168.49</v>
      </c>
      <c r="E548" s="1">
        <f ca="1">IFERROR(__xludf.DUMMYFUNCTION("""COMPUTED_VALUE"""),169)</f>
        <v>169</v>
      </c>
      <c r="F548" s="1">
        <f ca="1">IFERROR(__xludf.DUMMYFUNCTION("""COMPUTED_VALUE"""),71765061)</f>
        <v>71765061</v>
      </c>
    </row>
    <row r="549" spans="1:6" ht="12.6">
      <c r="A549" s="2">
        <f ca="1">IFERROR(__xludf.DUMMYFUNCTION("""COMPUTED_VALUE"""),45359.6666666666)</f>
        <v>45359.666666666599</v>
      </c>
      <c r="B549" s="1">
        <f ca="1">IFERROR(__xludf.DUMMYFUNCTION("""COMPUTED_VALUE"""),169)</f>
        <v>169</v>
      </c>
      <c r="C549" s="1">
        <f ca="1">IFERROR(__xludf.DUMMYFUNCTION("""COMPUTED_VALUE"""),173.7)</f>
        <v>173.7</v>
      </c>
      <c r="D549" s="1">
        <f ca="1">IFERROR(__xludf.DUMMYFUNCTION("""COMPUTED_VALUE"""),168.94)</f>
        <v>168.94</v>
      </c>
      <c r="E549" s="1">
        <f ca="1">IFERROR(__xludf.DUMMYFUNCTION("""COMPUTED_VALUE"""),170.73)</f>
        <v>170.73</v>
      </c>
      <c r="F549" s="1">
        <f ca="1">IFERROR(__xludf.DUMMYFUNCTION("""COMPUTED_VALUE"""),76267041)</f>
        <v>76267041</v>
      </c>
    </row>
    <row r="550" spans="1:6" ht="12.6">
      <c r="A550" s="2">
        <f ca="1">IFERROR(__xludf.DUMMYFUNCTION("""COMPUTED_VALUE"""),45362.6666666666)</f>
        <v>45362.666666666599</v>
      </c>
      <c r="B550" s="1">
        <f ca="1">IFERROR(__xludf.DUMMYFUNCTION("""COMPUTED_VALUE"""),172.94)</f>
        <v>172.94</v>
      </c>
      <c r="C550" s="1">
        <f ca="1">IFERROR(__xludf.DUMMYFUNCTION("""COMPUTED_VALUE"""),174.38)</f>
        <v>174.38</v>
      </c>
      <c r="D550" s="1">
        <f ca="1">IFERROR(__xludf.DUMMYFUNCTION("""COMPUTED_VALUE"""),172.05)</f>
        <v>172.05</v>
      </c>
      <c r="E550" s="1">
        <f ca="1">IFERROR(__xludf.DUMMYFUNCTION("""COMPUTED_VALUE"""),172.75)</f>
        <v>172.75</v>
      </c>
      <c r="F550" s="1">
        <f ca="1">IFERROR(__xludf.DUMMYFUNCTION("""COMPUTED_VALUE"""),60139473)</f>
        <v>60139473</v>
      </c>
    </row>
    <row r="551" spans="1:6" ht="12.6">
      <c r="A551" s="2">
        <f ca="1">IFERROR(__xludf.DUMMYFUNCTION("""COMPUTED_VALUE"""),45363.6666666666)</f>
        <v>45363.666666666599</v>
      </c>
      <c r="B551" s="1">
        <f ca="1">IFERROR(__xludf.DUMMYFUNCTION("""COMPUTED_VALUE"""),173.15)</f>
        <v>173.15</v>
      </c>
      <c r="C551" s="1">
        <f ca="1">IFERROR(__xludf.DUMMYFUNCTION("""COMPUTED_VALUE"""),174.03)</f>
        <v>174.03</v>
      </c>
      <c r="D551" s="1">
        <f ca="1">IFERROR(__xludf.DUMMYFUNCTION("""COMPUTED_VALUE"""),171.01)</f>
        <v>171.01</v>
      </c>
      <c r="E551" s="1">
        <f ca="1">IFERROR(__xludf.DUMMYFUNCTION("""COMPUTED_VALUE"""),173.23)</f>
        <v>173.23</v>
      </c>
      <c r="F551" s="1">
        <f ca="1">IFERROR(__xludf.DUMMYFUNCTION("""COMPUTED_VALUE"""),59825372)</f>
        <v>59825372</v>
      </c>
    </row>
    <row r="552" spans="1:6" ht="12.6">
      <c r="A552" s="2">
        <f ca="1">IFERROR(__xludf.DUMMYFUNCTION("""COMPUTED_VALUE"""),45364.6666666666)</f>
        <v>45364.666666666599</v>
      </c>
      <c r="B552" s="1">
        <f ca="1">IFERROR(__xludf.DUMMYFUNCTION("""COMPUTED_VALUE"""),172.77)</f>
        <v>172.77</v>
      </c>
      <c r="C552" s="1">
        <f ca="1">IFERROR(__xludf.DUMMYFUNCTION("""COMPUTED_VALUE"""),173.19)</f>
        <v>173.19</v>
      </c>
      <c r="D552" s="1">
        <f ca="1">IFERROR(__xludf.DUMMYFUNCTION("""COMPUTED_VALUE"""),170.76)</f>
        <v>170.76</v>
      </c>
      <c r="E552" s="1">
        <f ca="1">IFERROR(__xludf.DUMMYFUNCTION("""COMPUTED_VALUE"""),171.13)</f>
        <v>171.13</v>
      </c>
      <c r="F552" s="1">
        <f ca="1">IFERROR(__xludf.DUMMYFUNCTION("""COMPUTED_VALUE"""),52488692)</f>
        <v>52488692</v>
      </c>
    </row>
    <row r="553" spans="1:6" ht="12.6">
      <c r="A553" s="2">
        <f ca="1">IFERROR(__xludf.DUMMYFUNCTION("""COMPUTED_VALUE"""),45365.6666666666)</f>
        <v>45365.666666666599</v>
      </c>
      <c r="B553" s="1">
        <f ca="1">IFERROR(__xludf.DUMMYFUNCTION("""COMPUTED_VALUE"""),172.91)</f>
        <v>172.91</v>
      </c>
      <c r="C553" s="1">
        <f ca="1">IFERROR(__xludf.DUMMYFUNCTION("""COMPUTED_VALUE"""),174.31)</f>
        <v>174.31</v>
      </c>
      <c r="D553" s="1">
        <f ca="1">IFERROR(__xludf.DUMMYFUNCTION("""COMPUTED_VALUE"""),172.05)</f>
        <v>172.05</v>
      </c>
      <c r="E553" s="1">
        <f ca="1">IFERROR(__xludf.DUMMYFUNCTION("""COMPUTED_VALUE"""),173)</f>
        <v>173</v>
      </c>
      <c r="F553" s="1">
        <f ca="1">IFERROR(__xludf.DUMMYFUNCTION("""COMPUTED_VALUE"""),72913507)</f>
        <v>72913507</v>
      </c>
    </row>
    <row r="554" spans="1:6" ht="12.6">
      <c r="A554" s="2">
        <f ca="1">IFERROR(__xludf.DUMMYFUNCTION("""COMPUTED_VALUE"""),45366.6666666666)</f>
        <v>45366.666666666599</v>
      </c>
      <c r="B554" s="1">
        <f ca="1">IFERROR(__xludf.DUMMYFUNCTION("""COMPUTED_VALUE"""),171.17)</f>
        <v>171.17</v>
      </c>
      <c r="C554" s="1">
        <f ca="1">IFERROR(__xludf.DUMMYFUNCTION("""COMPUTED_VALUE"""),172.62)</f>
        <v>172.62</v>
      </c>
      <c r="D554" s="1">
        <f ca="1">IFERROR(__xludf.DUMMYFUNCTION("""COMPUTED_VALUE"""),170.29)</f>
        <v>170.29</v>
      </c>
      <c r="E554" s="1">
        <f ca="1">IFERROR(__xludf.DUMMYFUNCTION("""COMPUTED_VALUE"""),172.62)</f>
        <v>172.62</v>
      </c>
      <c r="F554" s="1">
        <f ca="1">IFERROR(__xludf.DUMMYFUNCTION("""COMPUTED_VALUE"""),121752699)</f>
        <v>121752699</v>
      </c>
    </row>
    <row r="555" spans="1:6" ht="12.6">
      <c r="A555" s="2">
        <f ca="1">IFERROR(__xludf.DUMMYFUNCTION("""COMPUTED_VALUE"""),45369.6666666666)</f>
        <v>45369.666666666599</v>
      </c>
      <c r="B555" s="1">
        <f ca="1">IFERROR(__xludf.DUMMYFUNCTION("""COMPUTED_VALUE"""),175.57)</f>
        <v>175.57</v>
      </c>
      <c r="C555" s="1">
        <f ca="1">IFERROR(__xludf.DUMMYFUNCTION("""COMPUTED_VALUE"""),177.71)</f>
        <v>177.71</v>
      </c>
      <c r="D555" s="1">
        <f ca="1">IFERROR(__xludf.DUMMYFUNCTION("""COMPUTED_VALUE"""),173.52)</f>
        <v>173.52</v>
      </c>
      <c r="E555" s="1">
        <f ca="1">IFERROR(__xludf.DUMMYFUNCTION("""COMPUTED_VALUE"""),173.72)</f>
        <v>173.72</v>
      </c>
      <c r="F555" s="1">
        <f ca="1">IFERROR(__xludf.DUMMYFUNCTION("""COMPUTED_VALUE"""),75604184)</f>
        <v>75604184</v>
      </c>
    </row>
    <row r="556" spans="1:6" ht="12.6">
      <c r="A556" s="2">
        <f ca="1">IFERROR(__xludf.DUMMYFUNCTION("""COMPUTED_VALUE"""),45370.6666666666)</f>
        <v>45370.666666666599</v>
      </c>
      <c r="B556" s="1">
        <f ca="1">IFERROR(__xludf.DUMMYFUNCTION("""COMPUTED_VALUE"""),174.34)</f>
        <v>174.34</v>
      </c>
      <c r="C556" s="1">
        <f ca="1">IFERROR(__xludf.DUMMYFUNCTION("""COMPUTED_VALUE"""),176.61)</f>
        <v>176.61</v>
      </c>
      <c r="D556" s="1">
        <f ca="1">IFERROR(__xludf.DUMMYFUNCTION("""COMPUTED_VALUE"""),173.03)</f>
        <v>173.03</v>
      </c>
      <c r="E556" s="1">
        <f ca="1">IFERROR(__xludf.DUMMYFUNCTION("""COMPUTED_VALUE"""),176.08)</f>
        <v>176.08</v>
      </c>
      <c r="F556" s="1">
        <f ca="1">IFERROR(__xludf.DUMMYFUNCTION("""COMPUTED_VALUE"""),55215244)</f>
        <v>55215244</v>
      </c>
    </row>
    <row r="557" spans="1:6" ht="12.6">
      <c r="A557" s="2">
        <f ca="1">IFERROR(__xludf.DUMMYFUNCTION("""COMPUTED_VALUE"""),45371.6666666666)</f>
        <v>45371.666666666599</v>
      </c>
      <c r="B557" s="1">
        <f ca="1">IFERROR(__xludf.DUMMYFUNCTION("""COMPUTED_VALUE"""),175.72)</f>
        <v>175.72</v>
      </c>
      <c r="C557" s="1">
        <f ca="1">IFERROR(__xludf.DUMMYFUNCTION("""COMPUTED_VALUE"""),178.67)</f>
        <v>178.67</v>
      </c>
      <c r="D557" s="1">
        <f ca="1">IFERROR(__xludf.DUMMYFUNCTION("""COMPUTED_VALUE"""),175.09)</f>
        <v>175.09</v>
      </c>
      <c r="E557" s="1">
        <f ca="1">IFERROR(__xludf.DUMMYFUNCTION("""COMPUTED_VALUE"""),178.67)</f>
        <v>178.67</v>
      </c>
      <c r="F557" s="1">
        <f ca="1">IFERROR(__xludf.DUMMYFUNCTION("""COMPUTED_VALUE"""),53423102)</f>
        <v>53423102</v>
      </c>
    </row>
    <row r="558" spans="1:6" ht="12.6">
      <c r="A558" s="2">
        <f ca="1">IFERROR(__xludf.DUMMYFUNCTION("""COMPUTED_VALUE"""),45372.6666666666)</f>
        <v>45372.666666666599</v>
      </c>
      <c r="B558" s="1">
        <f ca="1">IFERROR(__xludf.DUMMYFUNCTION("""COMPUTED_VALUE"""),177.05)</f>
        <v>177.05</v>
      </c>
      <c r="C558" s="1">
        <f ca="1">IFERROR(__xludf.DUMMYFUNCTION("""COMPUTED_VALUE"""),177.49)</f>
        <v>177.49</v>
      </c>
      <c r="D558" s="1">
        <f ca="1">IFERROR(__xludf.DUMMYFUNCTION("""COMPUTED_VALUE"""),170.84)</f>
        <v>170.84</v>
      </c>
      <c r="E558" s="1">
        <f ca="1">IFERROR(__xludf.DUMMYFUNCTION("""COMPUTED_VALUE"""),171.37)</f>
        <v>171.37</v>
      </c>
      <c r="F558" s="1">
        <f ca="1">IFERROR(__xludf.DUMMYFUNCTION("""COMPUTED_VALUE"""),106181270)</f>
        <v>106181270</v>
      </c>
    </row>
    <row r="559" spans="1:6" ht="12.6">
      <c r="A559" s="2">
        <f ca="1">IFERROR(__xludf.DUMMYFUNCTION("""COMPUTED_VALUE"""),45373.6666666666)</f>
        <v>45373.666666666599</v>
      </c>
      <c r="B559" s="1">
        <f ca="1">IFERROR(__xludf.DUMMYFUNCTION("""COMPUTED_VALUE"""),171.76)</f>
        <v>171.76</v>
      </c>
      <c r="C559" s="1">
        <f ca="1">IFERROR(__xludf.DUMMYFUNCTION("""COMPUTED_VALUE"""),173.05)</f>
        <v>173.05</v>
      </c>
      <c r="D559" s="1">
        <f ca="1">IFERROR(__xludf.DUMMYFUNCTION("""COMPUTED_VALUE"""),170.06)</f>
        <v>170.06</v>
      </c>
      <c r="E559" s="1">
        <f ca="1">IFERROR(__xludf.DUMMYFUNCTION("""COMPUTED_VALUE"""),172.28)</f>
        <v>172.28</v>
      </c>
      <c r="F559" s="1">
        <f ca="1">IFERROR(__xludf.DUMMYFUNCTION("""COMPUTED_VALUE"""),71160138)</f>
        <v>71160138</v>
      </c>
    </row>
    <row r="560" spans="1:6" ht="12.6">
      <c r="A560" s="2">
        <f ca="1">IFERROR(__xludf.DUMMYFUNCTION("""COMPUTED_VALUE"""),45376.6666666666)</f>
        <v>45376.666666666599</v>
      </c>
      <c r="B560" s="1">
        <f ca="1">IFERROR(__xludf.DUMMYFUNCTION("""COMPUTED_VALUE"""),170.57)</f>
        <v>170.57</v>
      </c>
      <c r="C560" s="1">
        <f ca="1">IFERROR(__xludf.DUMMYFUNCTION("""COMPUTED_VALUE"""),171.94)</f>
        <v>171.94</v>
      </c>
      <c r="D560" s="1">
        <f ca="1">IFERROR(__xludf.DUMMYFUNCTION("""COMPUTED_VALUE"""),169.45)</f>
        <v>169.45</v>
      </c>
      <c r="E560" s="1">
        <f ca="1">IFERROR(__xludf.DUMMYFUNCTION("""COMPUTED_VALUE"""),170.85)</f>
        <v>170.85</v>
      </c>
      <c r="F560" s="1">
        <f ca="1">IFERROR(__xludf.DUMMYFUNCTION("""COMPUTED_VALUE"""),54288328)</f>
        <v>54288328</v>
      </c>
    </row>
    <row r="561" spans="1:6" ht="12.6">
      <c r="A561" s="2">
        <f ca="1">IFERROR(__xludf.DUMMYFUNCTION("""COMPUTED_VALUE"""),45377.6666666666)</f>
        <v>45377.666666666599</v>
      </c>
      <c r="B561" s="1">
        <f ca="1">IFERROR(__xludf.DUMMYFUNCTION("""COMPUTED_VALUE"""),170)</f>
        <v>170</v>
      </c>
      <c r="C561" s="1">
        <f ca="1">IFERROR(__xludf.DUMMYFUNCTION("""COMPUTED_VALUE"""),171.42)</f>
        <v>171.42</v>
      </c>
      <c r="D561" s="1">
        <f ca="1">IFERROR(__xludf.DUMMYFUNCTION("""COMPUTED_VALUE"""),169.58)</f>
        <v>169.58</v>
      </c>
      <c r="E561" s="1">
        <f ca="1">IFERROR(__xludf.DUMMYFUNCTION("""COMPUTED_VALUE"""),169.71)</f>
        <v>169.71</v>
      </c>
      <c r="F561" s="1">
        <f ca="1">IFERROR(__xludf.DUMMYFUNCTION("""COMPUTED_VALUE"""),57388449)</f>
        <v>57388449</v>
      </c>
    </row>
    <row r="562" spans="1:6" ht="12.6">
      <c r="A562" s="2">
        <f ca="1">IFERROR(__xludf.DUMMYFUNCTION("""COMPUTED_VALUE"""),45378.6666666666)</f>
        <v>45378.666666666599</v>
      </c>
      <c r="B562" s="1">
        <f ca="1">IFERROR(__xludf.DUMMYFUNCTION("""COMPUTED_VALUE"""),170.41)</f>
        <v>170.41</v>
      </c>
      <c r="C562" s="1">
        <f ca="1">IFERROR(__xludf.DUMMYFUNCTION("""COMPUTED_VALUE"""),173.6)</f>
        <v>173.6</v>
      </c>
      <c r="D562" s="1">
        <f ca="1">IFERROR(__xludf.DUMMYFUNCTION("""COMPUTED_VALUE"""),170.11)</f>
        <v>170.11</v>
      </c>
      <c r="E562" s="1">
        <f ca="1">IFERROR(__xludf.DUMMYFUNCTION("""COMPUTED_VALUE"""),173.31)</f>
        <v>173.31</v>
      </c>
      <c r="F562" s="1">
        <f ca="1">IFERROR(__xludf.DUMMYFUNCTION("""COMPUTED_VALUE"""),60273265)</f>
        <v>60273265</v>
      </c>
    </row>
    <row r="563" spans="1:6" ht="12.6">
      <c r="A563" s="2">
        <f ca="1">IFERROR(__xludf.DUMMYFUNCTION("""COMPUTED_VALUE"""),45379.6666666666)</f>
        <v>45379.666666666599</v>
      </c>
      <c r="B563" s="1">
        <f ca="1">IFERROR(__xludf.DUMMYFUNCTION("""COMPUTED_VALUE"""),171.75)</f>
        <v>171.75</v>
      </c>
      <c r="C563" s="1">
        <f ca="1">IFERROR(__xludf.DUMMYFUNCTION("""COMPUTED_VALUE"""),172.23)</f>
        <v>172.23</v>
      </c>
      <c r="D563" s="1">
        <f ca="1">IFERROR(__xludf.DUMMYFUNCTION("""COMPUTED_VALUE"""),170.51)</f>
        <v>170.51</v>
      </c>
      <c r="E563" s="1">
        <f ca="1">IFERROR(__xludf.DUMMYFUNCTION("""COMPUTED_VALUE"""),171.48)</f>
        <v>171.48</v>
      </c>
      <c r="F563" s="1">
        <f ca="1">IFERROR(__xludf.DUMMYFUNCTION("""COMPUTED_VALUE"""),65672690)</f>
        <v>65672690</v>
      </c>
    </row>
    <row r="564" spans="1:6" ht="12.6">
      <c r="A564" s="2">
        <f ca="1">IFERROR(__xludf.DUMMYFUNCTION("""COMPUTED_VALUE"""),45383.6666666666)</f>
        <v>45383.666666666599</v>
      </c>
      <c r="B564" s="1">
        <f ca="1">IFERROR(__xludf.DUMMYFUNCTION("""COMPUTED_VALUE"""),171.19)</f>
        <v>171.19</v>
      </c>
      <c r="C564" s="1">
        <f ca="1">IFERROR(__xludf.DUMMYFUNCTION("""COMPUTED_VALUE"""),171.25)</f>
        <v>171.25</v>
      </c>
      <c r="D564" s="1">
        <f ca="1">IFERROR(__xludf.DUMMYFUNCTION("""COMPUTED_VALUE"""),169.48)</f>
        <v>169.48</v>
      </c>
      <c r="E564" s="1">
        <f ca="1">IFERROR(__xludf.DUMMYFUNCTION("""COMPUTED_VALUE"""),170.03)</f>
        <v>170.03</v>
      </c>
      <c r="F564" s="1">
        <f ca="1">IFERROR(__xludf.DUMMYFUNCTION("""COMPUTED_VALUE"""),46240500)</f>
        <v>46240500</v>
      </c>
    </row>
    <row r="565" spans="1:6" ht="12.6">
      <c r="A565" s="2">
        <f ca="1">IFERROR(__xludf.DUMMYFUNCTION("""COMPUTED_VALUE"""),45384.6666666666)</f>
        <v>45384.666666666599</v>
      </c>
      <c r="B565" s="1">
        <f ca="1">IFERROR(__xludf.DUMMYFUNCTION("""COMPUTED_VALUE"""),169.08)</f>
        <v>169.08</v>
      </c>
      <c r="C565" s="1">
        <f ca="1">IFERROR(__xludf.DUMMYFUNCTION("""COMPUTED_VALUE"""),169.34)</f>
        <v>169.34</v>
      </c>
      <c r="D565" s="1">
        <f ca="1">IFERROR(__xludf.DUMMYFUNCTION("""COMPUTED_VALUE"""),168.23)</f>
        <v>168.23</v>
      </c>
      <c r="E565" s="1">
        <f ca="1">IFERROR(__xludf.DUMMYFUNCTION("""COMPUTED_VALUE"""),168.84)</f>
        <v>168.84</v>
      </c>
      <c r="F565" s="1">
        <f ca="1">IFERROR(__xludf.DUMMYFUNCTION("""COMPUTED_VALUE"""),49329481)</f>
        <v>49329481</v>
      </c>
    </row>
    <row r="566" spans="1:6" ht="12.6">
      <c r="A566" s="2">
        <f ca="1">IFERROR(__xludf.DUMMYFUNCTION("""COMPUTED_VALUE"""),45385.6666666666)</f>
        <v>45385.666666666599</v>
      </c>
      <c r="B566" s="1">
        <f ca="1">IFERROR(__xludf.DUMMYFUNCTION("""COMPUTED_VALUE"""),168.79)</f>
        <v>168.79</v>
      </c>
      <c r="C566" s="1">
        <f ca="1">IFERROR(__xludf.DUMMYFUNCTION("""COMPUTED_VALUE"""),170.68)</f>
        <v>170.68</v>
      </c>
      <c r="D566" s="1">
        <f ca="1">IFERROR(__xludf.DUMMYFUNCTION("""COMPUTED_VALUE"""),168.58)</f>
        <v>168.58</v>
      </c>
      <c r="E566" s="1">
        <f ca="1">IFERROR(__xludf.DUMMYFUNCTION("""COMPUTED_VALUE"""),169.65)</f>
        <v>169.65</v>
      </c>
      <c r="F566" s="1">
        <f ca="1">IFERROR(__xludf.DUMMYFUNCTION("""COMPUTED_VALUE"""),47691715)</f>
        <v>47691715</v>
      </c>
    </row>
    <row r="567" spans="1:6" ht="12.6">
      <c r="A567" s="2">
        <f ca="1">IFERROR(__xludf.DUMMYFUNCTION("""COMPUTED_VALUE"""),45386.6666666666)</f>
        <v>45386.666666666599</v>
      </c>
      <c r="B567" s="1">
        <f ca="1">IFERROR(__xludf.DUMMYFUNCTION("""COMPUTED_VALUE"""),170.29)</f>
        <v>170.29</v>
      </c>
      <c r="C567" s="1">
        <f ca="1">IFERROR(__xludf.DUMMYFUNCTION("""COMPUTED_VALUE"""),171.92)</f>
        <v>171.92</v>
      </c>
      <c r="D567" s="1">
        <f ca="1">IFERROR(__xludf.DUMMYFUNCTION("""COMPUTED_VALUE"""),168.82)</f>
        <v>168.82</v>
      </c>
      <c r="E567" s="1">
        <f ca="1">IFERROR(__xludf.DUMMYFUNCTION("""COMPUTED_VALUE"""),168.82)</f>
        <v>168.82</v>
      </c>
      <c r="F567" s="1">
        <f ca="1">IFERROR(__xludf.DUMMYFUNCTION("""COMPUTED_VALUE"""),53704386)</f>
        <v>53704386</v>
      </c>
    </row>
    <row r="568" spans="1:6" ht="12.6">
      <c r="A568" s="2">
        <f ca="1">IFERROR(__xludf.DUMMYFUNCTION("""COMPUTED_VALUE"""),45387.6666666666)</f>
        <v>45387.666666666599</v>
      </c>
      <c r="B568" s="1">
        <f ca="1">IFERROR(__xludf.DUMMYFUNCTION("""COMPUTED_VALUE"""),169.59)</f>
        <v>169.59</v>
      </c>
      <c r="C568" s="1">
        <f ca="1">IFERROR(__xludf.DUMMYFUNCTION("""COMPUTED_VALUE"""),170.39)</f>
        <v>170.39</v>
      </c>
      <c r="D568" s="1">
        <f ca="1">IFERROR(__xludf.DUMMYFUNCTION("""COMPUTED_VALUE"""),168.95)</f>
        <v>168.95</v>
      </c>
      <c r="E568" s="1">
        <f ca="1">IFERROR(__xludf.DUMMYFUNCTION("""COMPUTED_VALUE"""),169.58)</f>
        <v>169.58</v>
      </c>
      <c r="F568" s="1">
        <f ca="1">IFERROR(__xludf.DUMMYFUNCTION("""COMPUTED_VALUE"""),42104826)</f>
        <v>42104826</v>
      </c>
    </row>
    <row r="569" spans="1:6" ht="12.6">
      <c r="A569" s="2">
        <f ca="1">IFERROR(__xludf.DUMMYFUNCTION("""COMPUTED_VALUE"""),45390.6666666666)</f>
        <v>45390.666666666599</v>
      </c>
      <c r="B569" s="1">
        <f ca="1">IFERROR(__xludf.DUMMYFUNCTION("""COMPUTED_VALUE"""),169.03)</f>
        <v>169.03</v>
      </c>
      <c r="C569" s="1">
        <f ca="1">IFERROR(__xludf.DUMMYFUNCTION("""COMPUTED_VALUE"""),169.2)</f>
        <v>169.2</v>
      </c>
      <c r="D569" s="1">
        <f ca="1">IFERROR(__xludf.DUMMYFUNCTION("""COMPUTED_VALUE"""),168.24)</f>
        <v>168.24</v>
      </c>
      <c r="E569" s="1">
        <f ca="1">IFERROR(__xludf.DUMMYFUNCTION("""COMPUTED_VALUE"""),168.45)</f>
        <v>168.45</v>
      </c>
      <c r="F569" s="1">
        <f ca="1">IFERROR(__xludf.DUMMYFUNCTION("""COMPUTED_VALUE"""),37425513)</f>
        <v>37425513</v>
      </c>
    </row>
    <row r="570" spans="1:6" ht="12.6">
      <c r="A570" s="2">
        <f ca="1">IFERROR(__xludf.DUMMYFUNCTION("""COMPUTED_VALUE"""),45391.6666666666)</f>
        <v>45391.666666666599</v>
      </c>
      <c r="B570" s="1">
        <f ca="1">IFERROR(__xludf.DUMMYFUNCTION("""COMPUTED_VALUE"""),168.7)</f>
        <v>168.7</v>
      </c>
      <c r="C570" s="1">
        <f ca="1">IFERROR(__xludf.DUMMYFUNCTION("""COMPUTED_VALUE"""),170.08)</f>
        <v>170.08</v>
      </c>
      <c r="D570" s="1">
        <f ca="1">IFERROR(__xludf.DUMMYFUNCTION("""COMPUTED_VALUE"""),168.35)</f>
        <v>168.35</v>
      </c>
      <c r="E570" s="1">
        <f ca="1">IFERROR(__xludf.DUMMYFUNCTION("""COMPUTED_VALUE"""),169.67)</f>
        <v>169.67</v>
      </c>
      <c r="F570" s="1">
        <f ca="1">IFERROR(__xludf.DUMMYFUNCTION("""COMPUTED_VALUE"""),42451209)</f>
        <v>42451209</v>
      </c>
    </row>
    <row r="571" spans="1:6" ht="12.6">
      <c r="A571" s="2">
        <f ca="1">IFERROR(__xludf.DUMMYFUNCTION("""COMPUTED_VALUE"""),45392.6666666666)</f>
        <v>45392.666666666599</v>
      </c>
      <c r="B571" s="1">
        <f ca="1">IFERROR(__xludf.DUMMYFUNCTION("""COMPUTED_VALUE"""),168.8)</f>
        <v>168.8</v>
      </c>
      <c r="C571" s="1">
        <f ca="1">IFERROR(__xludf.DUMMYFUNCTION("""COMPUTED_VALUE"""),169.09)</f>
        <v>169.09</v>
      </c>
      <c r="D571" s="1">
        <f ca="1">IFERROR(__xludf.DUMMYFUNCTION("""COMPUTED_VALUE"""),167.11)</f>
        <v>167.11</v>
      </c>
      <c r="E571" s="1">
        <f ca="1">IFERROR(__xludf.DUMMYFUNCTION("""COMPUTED_VALUE"""),167.78)</f>
        <v>167.78</v>
      </c>
      <c r="F571" s="1">
        <f ca="1">IFERROR(__xludf.DUMMYFUNCTION("""COMPUTED_VALUE"""),49709336)</f>
        <v>49709336</v>
      </c>
    </row>
    <row r="572" spans="1:6" ht="12.6">
      <c r="A572" s="2">
        <f ca="1">IFERROR(__xludf.DUMMYFUNCTION("""COMPUTED_VALUE"""),45393.6666666666)</f>
        <v>45393.666666666599</v>
      </c>
      <c r="B572" s="1">
        <f ca="1">IFERROR(__xludf.DUMMYFUNCTION("""COMPUTED_VALUE"""),168.34)</f>
        <v>168.34</v>
      </c>
      <c r="C572" s="1">
        <f ca="1">IFERROR(__xludf.DUMMYFUNCTION("""COMPUTED_VALUE"""),175.46)</f>
        <v>175.46</v>
      </c>
      <c r="D572" s="1">
        <f ca="1">IFERROR(__xludf.DUMMYFUNCTION("""COMPUTED_VALUE"""),168.16)</f>
        <v>168.16</v>
      </c>
      <c r="E572" s="1">
        <f ca="1">IFERROR(__xludf.DUMMYFUNCTION("""COMPUTED_VALUE"""),175.04)</f>
        <v>175.04</v>
      </c>
      <c r="F572" s="1">
        <f ca="1">IFERROR(__xludf.DUMMYFUNCTION("""COMPUTED_VALUE"""),91070275)</f>
        <v>91070275</v>
      </c>
    </row>
    <row r="573" spans="1:6" ht="12.6">
      <c r="A573" s="2">
        <f ca="1">IFERROR(__xludf.DUMMYFUNCTION("""COMPUTED_VALUE"""),45394.6666666666)</f>
        <v>45394.666666666599</v>
      </c>
      <c r="B573" s="1">
        <f ca="1">IFERROR(__xludf.DUMMYFUNCTION("""COMPUTED_VALUE"""),174.26)</f>
        <v>174.26</v>
      </c>
      <c r="C573" s="1">
        <f ca="1">IFERROR(__xludf.DUMMYFUNCTION("""COMPUTED_VALUE"""),178.36)</f>
        <v>178.36</v>
      </c>
      <c r="D573" s="1">
        <f ca="1">IFERROR(__xludf.DUMMYFUNCTION("""COMPUTED_VALUE"""),174.21)</f>
        <v>174.21</v>
      </c>
      <c r="E573" s="1">
        <f ca="1">IFERROR(__xludf.DUMMYFUNCTION("""COMPUTED_VALUE"""),176.55)</f>
        <v>176.55</v>
      </c>
      <c r="F573" s="1">
        <f ca="1">IFERROR(__xludf.DUMMYFUNCTION("""COMPUTED_VALUE"""),101670886)</f>
        <v>101670886</v>
      </c>
    </row>
    <row r="574" spans="1:6" ht="12.6">
      <c r="A574" s="2">
        <f ca="1">IFERROR(__xludf.DUMMYFUNCTION("""COMPUTED_VALUE"""),45397.6666666666)</f>
        <v>45397.666666666599</v>
      </c>
      <c r="B574" s="1">
        <f ca="1">IFERROR(__xludf.DUMMYFUNCTION("""COMPUTED_VALUE"""),175.36)</f>
        <v>175.36</v>
      </c>
      <c r="C574" s="1">
        <f ca="1">IFERROR(__xludf.DUMMYFUNCTION("""COMPUTED_VALUE"""),176.63)</f>
        <v>176.63</v>
      </c>
      <c r="D574" s="1">
        <f ca="1">IFERROR(__xludf.DUMMYFUNCTION("""COMPUTED_VALUE"""),172.5)</f>
        <v>172.5</v>
      </c>
      <c r="E574" s="1">
        <f ca="1">IFERROR(__xludf.DUMMYFUNCTION("""COMPUTED_VALUE"""),172.69)</f>
        <v>172.69</v>
      </c>
      <c r="F574" s="1">
        <f ca="1">IFERROR(__xludf.DUMMYFUNCTION("""COMPUTED_VALUE"""),73531773)</f>
        <v>73531773</v>
      </c>
    </row>
    <row r="575" spans="1:6" ht="12.6">
      <c r="A575" s="2">
        <f ca="1">IFERROR(__xludf.DUMMYFUNCTION("""COMPUTED_VALUE"""),45398.6666666666)</f>
        <v>45398.666666666599</v>
      </c>
      <c r="B575" s="1">
        <f ca="1">IFERROR(__xludf.DUMMYFUNCTION("""COMPUTED_VALUE"""),171.75)</f>
        <v>171.75</v>
      </c>
      <c r="C575" s="1">
        <f ca="1">IFERROR(__xludf.DUMMYFUNCTION("""COMPUTED_VALUE"""),173.76)</f>
        <v>173.76</v>
      </c>
      <c r="D575" s="1">
        <f ca="1">IFERROR(__xludf.DUMMYFUNCTION("""COMPUTED_VALUE"""),168.27)</f>
        <v>168.27</v>
      </c>
      <c r="E575" s="1">
        <f ca="1">IFERROR(__xludf.DUMMYFUNCTION("""COMPUTED_VALUE"""),169.38)</f>
        <v>169.38</v>
      </c>
      <c r="F575" s="1">
        <f ca="1">IFERROR(__xludf.DUMMYFUNCTION("""COMPUTED_VALUE"""),73711235)</f>
        <v>73711235</v>
      </c>
    </row>
    <row r="576" spans="1:6" ht="12.6">
      <c r="A576" s="2">
        <f ca="1">IFERROR(__xludf.DUMMYFUNCTION("""COMPUTED_VALUE"""),45399.6666666666)</f>
        <v>45399.666666666599</v>
      </c>
      <c r="B576" s="1">
        <f ca="1">IFERROR(__xludf.DUMMYFUNCTION("""COMPUTED_VALUE"""),169.61)</f>
        <v>169.61</v>
      </c>
      <c r="C576" s="1">
        <f ca="1">IFERROR(__xludf.DUMMYFUNCTION("""COMPUTED_VALUE"""),170.65)</f>
        <v>170.65</v>
      </c>
      <c r="D576" s="1">
        <f ca="1">IFERROR(__xludf.DUMMYFUNCTION("""COMPUTED_VALUE"""),168)</f>
        <v>168</v>
      </c>
      <c r="E576" s="1">
        <f ca="1">IFERROR(__xludf.DUMMYFUNCTION("""COMPUTED_VALUE"""),168)</f>
        <v>168</v>
      </c>
      <c r="F576" s="1">
        <f ca="1">IFERROR(__xludf.DUMMYFUNCTION("""COMPUTED_VALUE"""),50901210)</f>
        <v>50901210</v>
      </c>
    </row>
    <row r="577" spans="1:6" ht="12.6">
      <c r="A577" s="2">
        <f ca="1">IFERROR(__xludf.DUMMYFUNCTION("""COMPUTED_VALUE"""),45400.6666666666)</f>
        <v>45400.666666666599</v>
      </c>
      <c r="B577" s="1">
        <f ca="1">IFERROR(__xludf.DUMMYFUNCTION("""COMPUTED_VALUE"""),168.03)</f>
        <v>168.03</v>
      </c>
      <c r="C577" s="1">
        <f ca="1">IFERROR(__xludf.DUMMYFUNCTION("""COMPUTED_VALUE"""),168.64)</f>
        <v>168.64</v>
      </c>
      <c r="D577" s="1">
        <f ca="1">IFERROR(__xludf.DUMMYFUNCTION("""COMPUTED_VALUE"""),166.55)</f>
        <v>166.55</v>
      </c>
      <c r="E577" s="1">
        <f ca="1">IFERROR(__xludf.DUMMYFUNCTION("""COMPUTED_VALUE"""),167.04)</f>
        <v>167.04</v>
      </c>
      <c r="F577" s="1">
        <f ca="1">IFERROR(__xludf.DUMMYFUNCTION("""COMPUTED_VALUE"""),43122903)</f>
        <v>43122903</v>
      </c>
    </row>
    <row r="578" spans="1:6" ht="12.6">
      <c r="A578" s="2">
        <f ca="1">IFERROR(__xludf.DUMMYFUNCTION("""COMPUTED_VALUE"""),45401.6666666666)</f>
        <v>45401.666666666599</v>
      </c>
      <c r="B578" s="1">
        <f ca="1">IFERROR(__xludf.DUMMYFUNCTION("""COMPUTED_VALUE"""),166.21)</f>
        <v>166.21</v>
      </c>
      <c r="C578" s="1">
        <f ca="1">IFERROR(__xludf.DUMMYFUNCTION("""COMPUTED_VALUE"""),166.4)</f>
        <v>166.4</v>
      </c>
      <c r="D578" s="1">
        <f ca="1">IFERROR(__xludf.DUMMYFUNCTION("""COMPUTED_VALUE"""),164.08)</f>
        <v>164.08</v>
      </c>
      <c r="E578" s="1">
        <f ca="1">IFERROR(__xludf.DUMMYFUNCTION("""COMPUTED_VALUE"""),165)</f>
        <v>165</v>
      </c>
      <c r="F578" s="1">
        <f ca="1">IFERROR(__xludf.DUMMYFUNCTION("""COMPUTED_VALUE"""),68149377)</f>
        <v>68149377</v>
      </c>
    </row>
    <row r="579" spans="1:6" ht="12.6">
      <c r="A579" s="2">
        <f ca="1">IFERROR(__xludf.DUMMYFUNCTION("""COMPUTED_VALUE"""),45404.6666666666)</f>
        <v>45404.666666666599</v>
      </c>
      <c r="B579" s="1">
        <f ca="1">IFERROR(__xludf.DUMMYFUNCTION("""COMPUTED_VALUE"""),165.52)</f>
        <v>165.52</v>
      </c>
      <c r="C579" s="1">
        <f ca="1">IFERROR(__xludf.DUMMYFUNCTION("""COMPUTED_VALUE"""),167.26)</f>
        <v>167.26</v>
      </c>
      <c r="D579" s="1">
        <f ca="1">IFERROR(__xludf.DUMMYFUNCTION("""COMPUTED_VALUE"""),164.77)</f>
        <v>164.77</v>
      </c>
      <c r="E579" s="1">
        <f ca="1">IFERROR(__xludf.DUMMYFUNCTION("""COMPUTED_VALUE"""),165.84)</f>
        <v>165.84</v>
      </c>
      <c r="F579" s="1">
        <f ca="1">IFERROR(__xludf.DUMMYFUNCTION("""COMPUTED_VALUE"""),48116443)</f>
        <v>48116443</v>
      </c>
    </row>
    <row r="580" spans="1:6" ht="12.6">
      <c r="A580" s="2">
        <f ca="1">IFERROR(__xludf.DUMMYFUNCTION("""COMPUTED_VALUE"""),45405.6666666666)</f>
        <v>45405.666666666599</v>
      </c>
      <c r="B580" s="1">
        <f ca="1">IFERROR(__xludf.DUMMYFUNCTION("""COMPUTED_VALUE"""),165.35)</f>
        <v>165.35</v>
      </c>
      <c r="C580" s="1">
        <f ca="1">IFERROR(__xludf.DUMMYFUNCTION("""COMPUTED_VALUE"""),167.05)</f>
        <v>167.05</v>
      </c>
      <c r="D580" s="1">
        <f ca="1">IFERROR(__xludf.DUMMYFUNCTION("""COMPUTED_VALUE"""),164.92)</f>
        <v>164.92</v>
      </c>
      <c r="E580" s="1">
        <f ca="1">IFERROR(__xludf.DUMMYFUNCTION("""COMPUTED_VALUE"""),166.9)</f>
        <v>166.9</v>
      </c>
      <c r="F580" s="1">
        <f ca="1">IFERROR(__xludf.DUMMYFUNCTION("""COMPUTED_VALUE"""),49537761)</f>
        <v>49537761</v>
      </c>
    </row>
    <row r="581" spans="1:6" ht="12.6">
      <c r="A581" s="2">
        <f ca="1">IFERROR(__xludf.DUMMYFUNCTION("""COMPUTED_VALUE"""),45406.6666666666)</f>
        <v>45406.666666666599</v>
      </c>
      <c r="B581" s="1">
        <f ca="1">IFERROR(__xludf.DUMMYFUNCTION("""COMPUTED_VALUE"""),166.54)</f>
        <v>166.54</v>
      </c>
      <c r="C581" s="1">
        <f ca="1">IFERROR(__xludf.DUMMYFUNCTION("""COMPUTED_VALUE"""),169.3)</f>
        <v>169.3</v>
      </c>
      <c r="D581" s="1">
        <f ca="1">IFERROR(__xludf.DUMMYFUNCTION("""COMPUTED_VALUE"""),166.21)</f>
        <v>166.21</v>
      </c>
      <c r="E581" s="1">
        <f ca="1">IFERROR(__xludf.DUMMYFUNCTION("""COMPUTED_VALUE"""),169.02)</f>
        <v>169.02</v>
      </c>
      <c r="F581" s="1">
        <f ca="1">IFERROR(__xludf.DUMMYFUNCTION("""COMPUTED_VALUE"""),48251835)</f>
        <v>48251835</v>
      </c>
    </row>
    <row r="582" spans="1:6" ht="12.6">
      <c r="A582" s="2">
        <f ca="1">IFERROR(__xludf.DUMMYFUNCTION("""COMPUTED_VALUE"""),45407.6666666666)</f>
        <v>45407.666666666599</v>
      </c>
      <c r="B582" s="1">
        <f ca="1">IFERROR(__xludf.DUMMYFUNCTION("""COMPUTED_VALUE"""),169.53)</f>
        <v>169.53</v>
      </c>
      <c r="C582" s="1">
        <f ca="1">IFERROR(__xludf.DUMMYFUNCTION("""COMPUTED_VALUE"""),170.61)</f>
        <v>170.61</v>
      </c>
      <c r="D582" s="1">
        <f ca="1">IFERROR(__xludf.DUMMYFUNCTION("""COMPUTED_VALUE"""),168.15)</f>
        <v>168.15</v>
      </c>
      <c r="E582" s="1">
        <f ca="1">IFERROR(__xludf.DUMMYFUNCTION("""COMPUTED_VALUE"""),169.89)</f>
        <v>169.89</v>
      </c>
      <c r="F582" s="1">
        <f ca="1">IFERROR(__xludf.DUMMYFUNCTION("""COMPUTED_VALUE"""),50558329)</f>
        <v>50558329</v>
      </c>
    </row>
    <row r="583" spans="1:6" ht="12.6">
      <c r="A583" s="2">
        <f ca="1">IFERROR(__xludf.DUMMYFUNCTION("""COMPUTED_VALUE"""),45408.6666666666)</f>
        <v>45408.666666666599</v>
      </c>
      <c r="B583" s="1">
        <f ca="1">IFERROR(__xludf.DUMMYFUNCTION("""COMPUTED_VALUE"""),169.88)</f>
        <v>169.88</v>
      </c>
      <c r="C583" s="1">
        <f ca="1">IFERROR(__xludf.DUMMYFUNCTION("""COMPUTED_VALUE"""),171.34)</f>
        <v>171.34</v>
      </c>
      <c r="D583" s="1">
        <f ca="1">IFERROR(__xludf.DUMMYFUNCTION("""COMPUTED_VALUE"""),169.18)</f>
        <v>169.18</v>
      </c>
      <c r="E583" s="1">
        <f ca="1">IFERROR(__xludf.DUMMYFUNCTION("""COMPUTED_VALUE"""),169.3)</f>
        <v>169.3</v>
      </c>
      <c r="F583" s="1">
        <f ca="1">IFERROR(__xludf.DUMMYFUNCTION("""COMPUTED_VALUE"""),44838354)</f>
        <v>44838354</v>
      </c>
    </row>
    <row r="584" spans="1:6" ht="12.6">
      <c r="A584" s="2">
        <f ca="1">IFERROR(__xludf.DUMMYFUNCTION("""COMPUTED_VALUE"""),45411.6666666666)</f>
        <v>45411.666666666599</v>
      </c>
      <c r="B584" s="1">
        <f ca="1">IFERROR(__xludf.DUMMYFUNCTION("""COMPUTED_VALUE"""),173.37)</f>
        <v>173.37</v>
      </c>
      <c r="C584" s="1">
        <f ca="1">IFERROR(__xludf.DUMMYFUNCTION("""COMPUTED_VALUE"""),176.03)</f>
        <v>176.03</v>
      </c>
      <c r="D584" s="1">
        <f ca="1">IFERROR(__xludf.DUMMYFUNCTION("""COMPUTED_VALUE"""),173.1)</f>
        <v>173.1</v>
      </c>
      <c r="E584" s="1">
        <f ca="1">IFERROR(__xludf.DUMMYFUNCTION("""COMPUTED_VALUE"""),173.5)</f>
        <v>173.5</v>
      </c>
      <c r="F584" s="1">
        <f ca="1">IFERROR(__xludf.DUMMYFUNCTION("""COMPUTED_VALUE"""),68169419)</f>
        <v>68169419</v>
      </c>
    </row>
    <row r="585" spans="1:6" ht="12.6">
      <c r="A585" s="2">
        <f ca="1">IFERROR(__xludf.DUMMYFUNCTION("""COMPUTED_VALUE"""),45412.6666666666)</f>
        <v>45412.666666666599</v>
      </c>
      <c r="B585" s="1">
        <f ca="1">IFERROR(__xludf.DUMMYFUNCTION("""COMPUTED_VALUE"""),173.33)</f>
        <v>173.33</v>
      </c>
      <c r="C585" s="1">
        <f ca="1">IFERROR(__xludf.DUMMYFUNCTION("""COMPUTED_VALUE"""),174.99)</f>
        <v>174.99</v>
      </c>
      <c r="D585" s="1">
        <f ca="1">IFERROR(__xludf.DUMMYFUNCTION("""COMPUTED_VALUE"""),170)</f>
        <v>170</v>
      </c>
      <c r="E585" s="1">
        <f ca="1">IFERROR(__xludf.DUMMYFUNCTION("""COMPUTED_VALUE"""),170.33)</f>
        <v>170.33</v>
      </c>
      <c r="F585" s="1">
        <f ca="1">IFERROR(__xludf.DUMMYFUNCTION("""COMPUTED_VALUE"""),65934776)</f>
        <v>65934776</v>
      </c>
    </row>
    <row r="586" spans="1:6" ht="12.6">
      <c r="A586" s="2">
        <f ca="1">IFERROR(__xludf.DUMMYFUNCTION("""COMPUTED_VALUE"""),45413.6666666666)</f>
        <v>45413.666666666599</v>
      </c>
      <c r="B586" s="1">
        <f ca="1">IFERROR(__xludf.DUMMYFUNCTION("""COMPUTED_VALUE"""),169.58)</f>
        <v>169.58</v>
      </c>
      <c r="C586" s="1">
        <f ca="1">IFERROR(__xludf.DUMMYFUNCTION("""COMPUTED_VALUE"""),172.71)</f>
        <v>172.71</v>
      </c>
      <c r="D586" s="1">
        <f ca="1">IFERROR(__xludf.DUMMYFUNCTION("""COMPUTED_VALUE"""),169.11)</f>
        <v>169.11</v>
      </c>
      <c r="E586" s="1">
        <f ca="1">IFERROR(__xludf.DUMMYFUNCTION("""COMPUTED_VALUE"""),169.3)</f>
        <v>169.3</v>
      </c>
      <c r="F586" s="1">
        <f ca="1">IFERROR(__xludf.DUMMYFUNCTION("""COMPUTED_VALUE"""),50383147)</f>
        <v>50383147</v>
      </c>
    </row>
    <row r="587" spans="1:6" ht="12.6">
      <c r="A587" s="2">
        <f ca="1">IFERROR(__xludf.DUMMYFUNCTION("""COMPUTED_VALUE"""),45414.6666666666)</f>
        <v>45414.666666666599</v>
      </c>
      <c r="B587" s="1">
        <f ca="1">IFERROR(__xludf.DUMMYFUNCTION("""COMPUTED_VALUE"""),172.51)</f>
        <v>172.51</v>
      </c>
      <c r="C587" s="1">
        <f ca="1">IFERROR(__xludf.DUMMYFUNCTION("""COMPUTED_VALUE"""),173.42)</f>
        <v>173.42</v>
      </c>
      <c r="D587" s="1">
        <f ca="1">IFERROR(__xludf.DUMMYFUNCTION("""COMPUTED_VALUE"""),170.89)</f>
        <v>170.89</v>
      </c>
      <c r="E587" s="1">
        <f ca="1">IFERROR(__xludf.DUMMYFUNCTION("""COMPUTED_VALUE"""),173.03)</f>
        <v>173.03</v>
      </c>
      <c r="F587" s="1">
        <f ca="1">IFERROR(__xludf.DUMMYFUNCTION("""COMPUTED_VALUE"""),94214915)</f>
        <v>94214915</v>
      </c>
    </row>
    <row r="588" spans="1:6" ht="12.6">
      <c r="A588" s="2">
        <f ca="1">IFERROR(__xludf.DUMMYFUNCTION("""COMPUTED_VALUE"""),45415.6666666666)</f>
        <v>45415.666666666599</v>
      </c>
      <c r="B588" s="1">
        <f ca="1">IFERROR(__xludf.DUMMYFUNCTION("""COMPUTED_VALUE"""),186.65)</f>
        <v>186.65</v>
      </c>
      <c r="C588" s="1">
        <f ca="1">IFERROR(__xludf.DUMMYFUNCTION("""COMPUTED_VALUE"""),187)</f>
        <v>187</v>
      </c>
      <c r="D588" s="1">
        <f ca="1">IFERROR(__xludf.DUMMYFUNCTION("""COMPUTED_VALUE"""),182.66)</f>
        <v>182.66</v>
      </c>
      <c r="E588" s="1">
        <f ca="1">IFERROR(__xludf.DUMMYFUNCTION("""COMPUTED_VALUE"""),183.38)</f>
        <v>183.38</v>
      </c>
      <c r="F588" s="1">
        <f ca="1">IFERROR(__xludf.DUMMYFUNCTION("""COMPUTED_VALUE"""),163224109)</f>
        <v>163224109</v>
      </c>
    </row>
    <row r="589" spans="1:6" ht="12.6">
      <c r="A589" s="2">
        <f ca="1">IFERROR(__xludf.DUMMYFUNCTION("""COMPUTED_VALUE"""),45418.6666666666)</f>
        <v>45418.666666666599</v>
      </c>
      <c r="B589" s="1">
        <f ca="1">IFERROR(__xludf.DUMMYFUNCTION("""COMPUTED_VALUE"""),182.35)</f>
        <v>182.35</v>
      </c>
      <c r="C589" s="1">
        <f ca="1">IFERROR(__xludf.DUMMYFUNCTION("""COMPUTED_VALUE"""),184.2)</f>
        <v>184.2</v>
      </c>
      <c r="D589" s="1">
        <f ca="1">IFERROR(__xludf.DUMMYFUNCTION("""COMPUTED_VALUE"""),180.42)</f>
        <v>180.42</v>
      </c>
      <c r="E589" s="1">
        <f ca="1">IFERROR(__xludf.DUMMYFUNCTION("""COMPUTED_VALUE"""),181.71)</f>
        <v>181.71</v>
      </c>
      <c r="F589" s="1">
        <f ca="1">IFERROR(__xludf.DUMMYFUNCTION("""COMPUTED_VALUE"""),78569667)</f>
        <v>78569667</v>
      </c>
    </row>
    <row r="590" spans="1:6" ht="12.6">
      <c r="A590" s="2">
        <f ca="1">IFERROR(__xludf.DUMMYFUNCTION("""COMPUTED_VALUE"""),45419.6666666666)</f>
        <v>45419.666666666599</v>
      </c>
      <c r="B590" s="1">
        <f ca="1">IFERROR(__xludf.DUMMYFUNCTION("""COMPUTED_VALUE"""),183.45)</f>
        <v>183.45</v>
      </c>
      <c r="C590" s="1">
        <f ca="1">IFERROR(__xludf.DUMMYFUNCTION("""COMPUTED_VALUE"""),184.9)</f>
        <v>184.9</v>
      </c>
      <c r="D590" s="1">
        <f ca="1">IFERROR(__xludf.DUMMYFUNCTION("""COMPUTED_VALUE"""),181.32)</f>
        <v>181.32</v>
      </c>
      <c r="E590" s="1">
        <f ca="1">IFERROR(__xludf.DUMMYFUNCTION("""COMPUTED_VALUE"""),182.4)</f>
        <v>182.4</v>
      </c>
      <c r="F590" s="1">
        <f ca="1">IFERROR(__xludf.DUMMYFUNCTION("""COMPUTED_VALUE"""),77305771)</f>
        <v>77305771</v>
      </c>
    </row>
    <row r="591" spans="1:6" ht="12.6">
      <c r="A591" s="2">
        <f ca="1">IFERROR(__xludf.DUMMYFUNCTION("""COMPUTED_VALUE"""),45420.6666666666)</f>
        <v>45420.666666666599</v>
      </c>
      <c r="B591" s="1">
        <f ca="1">IFERROR(__xludf.DUMMYFUNCTION("""COMPUTED_VALUE"""),182.85)</f>
        <v>182.85</v>
      </c>
      <c r="C591" s="1">
        <f ca="1">IFERROR(__xludf.DUMMYFUNCTION("""COMPUTED_VALUE"""),183.07)</f>
        <v>183.07</v>
      </c>
      <c r="D591" s="1">
        <f ca="1">IFERROR(__xludf.DUMMYFUNCTION("""COMPUTED_VALUE"""),181.45)</f>
        <v>181.45</v>
      </c>
      <c r="E591" s="1">
        <f ca="1">IFERROR(__xludf.DUMMYFUNCTION("""COMPUTED_VALUE"""),182.74)</f>
        <v>182.74</v>
      </c>
      <c r="F591" s="1">
        <f ca="1">IFERROR(__xludf.DUMMYFUNCTION("""COMPUTED_VALUE"""),45057087)</f>
        <v>45057087</v>
      </c>
    </row>
    <row r="592" spans="1:6" ht="12.6">
      <c r="A592" s="2">
        <f ca="1">IFERROR(__xludf.DUMMYFUNCTION("""COMPUTED_VALUE"""),45421.6666666666)</f>
        <v>45421.666666666599</v>
      </c>
      <c r="B592" s="1">
        <f ca="1">IFERROR(__xludf.DUMMYFUNCTION("""COMPUTED_VALUE"""),182.56)</f>
        <v>182.56</v>
      </c>
      <c r="C592" s="1">
        <f ca="1">IFERROR(__xludf.DUMMYFUNCTION("""COMPUTED_VALUE"""),184.66)</f>
        <v>184.66</v>
      </c>
      <c r="D592" s="1">
        <f ca="1">IFERROR(__xludf.DUMMYFUNCTION("""COMPUTED_VALUE"""),182.11)</f>
        <v>182.11</v>
      </c>
      <c r="E592" s="1">
        <f ca="1">IFERROR(__xludf.DUMMYFUNCTION("""COMPUTED_VALUE"""),184.57)</f>
        <v>184.57</v>
      </c>
      <c r="F592" s="1">
        <f ca="1">IFERROR(__xludf.DUMMYFUNCTION("""COMPUTED_VALUE"""),48982972)</f>
        <v>48982972</v>
      </c>
    </row>
    <row r="593" spans="1:6" ht="12.6">
      <c r="A593" s="2">
        <f ca="1">IFERROR(__xludf.DUMMYFUNCTION("""COMPUTED_VALUE"""),45422.6666666666)</f>
        <v>45422.666666666599</v>
      </c>
      <c r="B593" s="1">
        <f ca="1">IFERROR(__xludf.DUMMYFUNCTION("""COMPUTED_VALUE"""),184.9)</f>
        <v>184.9</v>
      </c>
      <c r="C593" s="1">
        <f ca="1">IFERROR(__xludf.DUMMYFUNCTION("""COMPUTED_VALUE"""),185.09)</f>
        <v>185.09</v>
      </c>
      <c r="D593" s="1">
        <f ca="1">IFERROR(__xludf.DUMMYFUNCTION("""COMPUTED_VALUE"""),182.13)</f>
        <v>182.13</v>
      </c>
      <c r="E593" s="1">
        <f ca="1">IFERROR(__xludf.DUMMYFUNCTION("""COMPUTED_VALUE"""),183.05)</f>
        <v>183.05</v>
      </c>
      <c r="F593" s="1">
        <f ca="1">IFERROR(__xludf.DUMMYFUNCTION("""COMPUTED_VALUE"""),50759496)</f>
        <v>50759496</v>
      </c>
    </row>
    <row r="594" spans="1:6" ht="12.6">
      <c r="A594" s="2">
        <f ca="1">IFERROR(__xludf.DUMMYFUNCTION("""COMPUTED_VALUE"""),45425.6666666666)</f>
        <v>45425.666666666599</v>
      </c>
      <c r="B594" s="1">
        <f ca="1">IFERROR(__xludf.DUMMYFUNCTION("""COMPUTED_VALUE"""),185.44)</f>
        <v>185.44</v>
      </c>
      <c r="C594" s="1">
        <f ca="1">IFERROR(__xludf.DUMMYFUNCTION("""COMPUTED_VALUE"""),187.1)</f>
        <v>187.1</v>
      </c>
      <c r="D594" s="1">
        <f ca="1">IFERROR(__xludf.DUMMYFUNCTION("""COMPUTED_VALUE"""),184.62)</f>
        <v>184.62</v>
      </c>
      <c r="E594" s="1">
        <f ca="1">IFERROR(__xludf.DUMMYFUNCTION("""COMPUTED_VALUE"""),186.28)</f>
        <v>186.28</v>
      </c>
      <c r="F594" s="1">
        <f ca="1">IFERROR(__xludf.DUMMYFUNCTION("""COMPUTED_VALUE"""),72044809)</f>
        <v>72044809</v>
      </c>
    </row>
    <row r="595" spans="1:6" ht="12.6">
      <c r="A595" s="2">
        <f ca="1">IFERROR(__xludf.DUMMYFUNCTION("""COMPUTED_VALUE"""),45426.6666666666)</f>
        <v>45426.666666666599</v>
      </c>
      <c r="B595" s="1">
        <f ca="1">IFERROR(__xludf.DUMMYFUNCTION("""COMPUTED_VALUE"""),187.51)</f>
        <v>187.51</v>
      </c>
      <c r="C595" s="1">
        <f ca="1">IFERROR(__xludf.DUMMYFUNCTION("""COMPUTED_VALUE"""),188.3)</f>
        <v>188.3</v>
      </c>
      <c r="D595" s="1">
        <f ca="1">IFERROR(__xludf.DUMMYFUNCTION("""COMPUTED_VALUE"""),186.29)</f>
        <v>186.29</v>
      </c>
      <c r="E595" s="1">
        <f ca="1">IFERROR(__xludf.DUMMYFUNCTION("""COMPUTED_VALUE"""),187.43)</f>
        <v>187.43</v>
      </c>
      <c r="F595" s="1">
        <f ca="1">IFERROR(__xludf.DUMMYFUNCTION("""COMPUTED_VALUE"""),52393619)</f>
        <v>52393619</v>
      </c>
    </row>
    <row r="596" spans="1:6" ht="12.6">
      <c r="A596" s="2">
        <f ca="1">IFERROR(__xludf.DUMMYFUNCTION("""COMPUTED_VALUE"""),45427.6666666666)</f>
        <v>45427.666666666599</v>
      </c>
      <c r="B596" s="1">
        <f ca="1">IFERROR(__xludf.DUMMYFUNCTION("""COMPUTED_VALUE"""),187.91)</f>
        <v>187.91</v>
      </c>
      <c r="C596" s="1">
        <f ca="1">IFERROR(__xludf.DUMMYFUNCTION("""COMPUTED_VALUE"""),190.65)</f>
        <v>190.65</v>
      </c>
      <c r="D596" s="1">
        <f ca="1">IFERROR(__xludf.DUMMYFUNCTION("""COMPUTED_VALUE"""),187.37)</f>
        <v>187.37</v>
      </c>
      <c r="E596" s="1">
        <f ca="1">IFERROR(__xludf.DUMMYFUNCTION("""COMPUTED_VALUE"""),189.72)</f>
        <v>189.72</v>
      </c>
      <c r="F596" s="1">
        <f ca="1">IFERROR(__xludf.DUMMYFUNCTION("""COMPUTED_VALUE"""),70399988)</f>
        <v>70399988</v>
      </c>
    </row>
    <row r="597" spans="1:6" ht="12.6">
      <c r="A597" s="2">
        <f ca="1">IFERROR(__xludf.DUMMYFUNCTION("""COMPUTED_VALUE"""),45428.6666666666)</f>
        <v>45428.666666666599</v>
      </c>
      <c r="B597" s="1">
        <f ca="1">IFERROR(__xludf.DUMMYFUNCTION("""COMPUTED_VALUE"""),190.47)</f>
        <v>190.47</v>
      </c>
      <c r="C597" s="1">
        <f ca="1">IFERROR(__xludf.DUMMYFUNCTION("""COMPUTED_VALUE"""),191.1)</f>
        <v>191.1</v>
      </c>
      <c r="D597" s="1">
        <f ca="1">IFERROR(__xludf.DUMMYFUNCTION("""COMPUTED_VALUE"""),189.66)</f>
        <v>189.66</v>
      </c>
      <c r="E597" s="1">
        <f ca="1">IFERROR(__xludf.DUMMYFUNCTION("""COMPUTED_VALUE"""),189.84)</f>
        <v>189.84</v>
      </c>
      <c r="F597" s="1">
        <f ca="1">IFERROR(__xludf.DUMMYFUNCTION("""COMPUTED_VALUE"""),52845230)</f>
        <v>52845230</v>
      </c>
    </row>
    <row r="598" spans="1:6" ht="12.6">
      <c r="A598" s="2">
        <f ca="1">IFERROR(__xludf.DUMMYFUNCTION("""COMPUTED_VALUE"""),45429.6666666666)</f>
        <v>45429.666666666599</v>
      </c>
      <c r="B598" s="1">
        <f ca="1">IFERROR(__xludf.DUMMYFUNCTION("""COMPUTED_VALUE"""),189.51)</f>
        <v>189.51</v>
      </c>
      <c r="C598" s="1">
        <f ca="1">IFERROR(__xludf.DUMMYFUNCTION("""COMPUTED_VALUE"""),190.81)</f>
        <v>190.81</v>
      </c>
      <c r="D598" s="1">
        <f ca="1">IFERROR(__xludf.DUMMYFUNCTION("""COMPUTED_VALUE"""),189.18)</f>
        <v>189.18</v>
      </c>
      <c r="E598" s="1">
        <f ca="1">IFERROR(__xludf.DUMMYFUNCTION("""COMPUTED_VALUE"""),189.87)</f>
        <v>189.87</v>
      </c>
      <c r="F598" s="1">
        <f ca="1">IFERROR(__xludf.DUMMYFUNCTION("""COMPUTED_VALUE"""),41282925)</f>
        <v>41282925</v>
      </c>
    </row>
    <row r="599" spans="1:6" ht="12.6">
      <c r="A599" s="2">
        <f ca="1">IFERROR(__xludf.DUMMYFUNCTION("""COMPUTED_VALUE"""),45432.6666666666)</f>
        <v>45432.666666666599</v>
      </c>
      <c r="B599" s="1">
        <f ca="1">IFERROR(__xludf.DUMMYFUNCTION("""COMPUTED_VALUE"""),189.35)</f>
        <v>189.35</v>
      </c>
      <c r="C599" s="1">
        <f ca="1">IFERROR(__xludf.DUMMYFUNCTION("""COMPUTED_VALUE"""),191.92)</f>
        <v>191.92</v>
      </c>
      <c r="D599" s="1">
        <f ca="1">IFERROR(__xludf.DUMMYFUNCTION("""COMPUTED_VALUE"""),189.01)</f>
        <v>189.01</v>
      </c>
      <c r="E599" s="1">
        <f ca="1">IFERROR(__xludf.DUMMYFUNCTION("""COMPUTED_VALUE"""),191.04)</f>
        <v>191.04</v>
      </c>
      <c r="F599" s="1">
        <f ca="1">IFERROR(__xludf.DUMMYFUNCTION("""COMPUTED_VALUE"""),44361275)</f>
        <v>44361275</v>
      </c>
    </row>
    <row r="600" spans="1:6" ht="12.6">
      <c r="A600" s="2">
        <f ca="1">IFERROR(__xludf.DUMMYFUNCTION("""COMPUTED_VALUE"""),45433.6666666666)</f>
        <v>45433.666666666599</v>
      </c>
      <c r="B600" s="1">
        <f ca="1">IFERROR(__xludf.DUMMYFUNCTION("""COMPUTED_VALUE"""),191.09)</f>
        <v>191.09</v>
      </c>
      <c r="C600" s="1">
        <f ca="1">IFERROR(__xludf.DUMMYFUNCTION("""COMPUTED_VALUE"""),192.73)</f>
        <v>192.73</v>
      </c>
      <c r="D600" s="1">
        <f ca="1">IFERROR(__xludf.DUMMYFUNCTION("""COMPUTED_VALUE"""),190.92)</f>
        <v>190.92</v>
      </c>
      <c r="E600" s="1">
        <f ca="1">IFERROR(__xludf.DUMMYFUNCTION("""COMPUTED_VALUE"""),192.35)</f>
        <v>192.35</v>
      </c>
      <c r="F600" s="1">
        <f ca="1">IFERROR(__xludf.DUMMYFUNCTION("""COMPUTED_VALUE"""),42309401)</f>
        <v>42309401</v>
      </c>
    </row>
    <row r="601" spans="1:6" ht="12.6">
      <c r="A601" s="2">
        <f ca="1">IFERROR(__xludf.DUMMYFUNCTION("""COMPUTED_VALUE"""),45434.6666666666)</f>
        <v>45434.666666666599</v>
      </c>
      <c r="B601" s="1">
        <f ca="1">IFERROR(__xludf.DUMMYFUNCTION("""COMPUTED_VALUE"""),192.27)</f>
        <v>192.27</v>
      </c>
      <c r="C601" s="1">
        <f ca="1">IFERROR(__xludf.DUMMYFUNCTION("""COMPUTED_VALUE"""),192.82)</f>
        <v>192.82</v>
      </c>
      <c r="D601" s="1">
        <f ca="1">IFERROR(__xludf.DUMMYFUNCTION("""COMPUTED_VALUE"""),190.27)</f>
        <v>190.27</v>
      </c>
      <c r="E601" s="1">
        <f ca="1">IFERROR(__xludf.DUMMYFUNCTION("""COMPUTED_VALUE"""),190.9)</f>
        <v>190.9</v>
      </c>
      <c r="F601" s="1">
        <f ca="1">IFERROR(__xludf.DUMMYFUNCTION("""COMPUTED_VALUE"""),34648547)</f>
        <v>34648547</v>
      </c>
    </row>
    <row r="602" spans="1:6" ht="12.6">
      <c r="A602" s="2">
        <f ca="1">IFERROR(__xludf.DUMMYFUNCTION("""COMPUTED_VALUE"""),45435.6666666666)</f>
        <v>45435.666666666599</v>
      </c>
      <c r="B602" s="1">
        <f ca="1">IFERROR(__xludf.DUMMYFUNCTION("""COMPUTED_VALUE"""),190.98)</f>
        <v>190.98</v>
      </c>
      <c r="C602" s="1">
        <f ca="1">IFERROR(__xludf.DUMMYFUNCTION("""COMPUTED_VALUE"""),191)</f>
        <v>191</v>
      </c>
      <c r="D602" s="1">
        <f ca="1">IFERROR(__xludf.DUMMYFUNCTION("""COMPUTED_VALUE"""),186.63)</f>
        <v>186.63</v>
      </c>
      <c r="E602" s="1">
        <f ca="1">IFERROR(__xludf.DUMMYFUNCTION("""COMPUTED_VALUE"""),186.88)</f>
        <v>186.88</v>
      </c>
      <c r="F602" s="1">
        <f ca="1">IFERROR(__xludf.DUMMYFUNCTION("""COMPUTED_VALUE"""),51005924)</f>
        <v>51005924</v>
      </c>
    </row>
    <row r="603" spans="1:6" ht="12.6">
      <c r="A603" s="2">
        <f ca="1">IFERROR(__xludf.DUMMYFUNCTION("""COMPUTED_VALUE"""),45436.6666666666)</f>
        <v>45436.666666666599</v>
      </c>
      <c r="B603" s="1">
        <f ca="1">IFERROR(__xludf.DUMMYFUNCTION("""COMPUTED_VALUE"""),188.82)</f>
        <v>188.82</v>
      </c>
      <c r="C603" s="1">
        <f ca="1">IFERROR(__xludf.DUMMYFUNCTION("""COMPUTED_VALUE"""),190.58)</f>
        <v>190.58</v>
      </c>
      <c r="D603" s="1">
        <f ca="1">IFERROR(__xludf.DUMMYFUNCTION("""COMPUTED_VALUE"""),188.04)</f>
        <v>188.04</v>
      </c>
      <c r="E603" s="1">
        <f ca="1">IFERROR(__xludf.DUMMYFUNCTION("""COMPUTED_VALUE"""),189.98)</f>
        <v>189.98</v>
      </c>
      <c r="F603" s="1">
        <f ca="1">IFERROR(__xludf.DUMMYFUNCTION("""COMPUTED_VALUE"""),36326975)</f>
        <v>36326975</v>
      </c>
    </row>
    <row r="604" spans="1:6" ht="12.6">
      <c r="A604" s="2">
        <f ca="1">IFERROR(__xludf.DUMMYFUNCTION("""COMPUTED_VALUE"""),45440.6666666666)</f>
        <v>45440.666666666599</v>
      </c>
      <c r="B604" s="1">
        <f ca="1">IFERROR(__xludf.DUMMYFUNCTION("""COMPUTED_VALUE"""),191.51)</f>
        <v>191.51</v>
      </c>
      <c r="C604" s="1">
        <f ca="1">IFERROR(__xludf.DUMMYFUNCTION("""COMPUTED_VALUE"""),193)</f>
        <v>193</v>
      </c>
      <c r="D604" s="1">
        <f ca="1">IFERROR(__xludf.DUMMYFUNCTION("""COMPUTED_VALUE"""),189.1)</f>
        <v>189.1</v>
      </c>
      <c r="E604" s="1">
        <f ca="1">IFERROR(__xludf.DUMMYFUNCTION("""COMPUTED_VALUE"""),189.99)</f>
        <v>189.99</v>
      </c>
      <c r="F604" s="1">
        <f ca="1">IFERROR(__xludf.DUMMYFUNCTION("""COMPUTED_VALUE"""),52280051)</f>
        <v>52280051</v>
      </c>
    </row>
    <row r="605" spans="1:6" ht="12.6">
      <c r="A605" s="2">
        <f ca="1">IFERROR(__xludf.DUMMYFUNCTION("""COMPUTED_VALUE"""),45441.6666666666)</f>
        <v>45441.666666666599</v>
      </c>
      <c r="B605" s="1">
        <f ca="1">IFERROR(__xludf.DUMMYFUNCTION("""COMPUTED_VALUE"""),189.61)</f>
        <v>189.61</v>
      </c>
      <c r="C605" s="1">
        <f ca="1">IFERROR(__xludf.DUMMYFUNCTION("""COMPUTED_VALUE"""),192.25)</f>
        <v>192.25</v>
      </c>
      <c r="D605" s="1">
        <f ca="1">IFERROR(__xludf.DUMMYFUNCTION("""COMPUTED_VALUE"""),189.51)</f>
        <v>189.51</v>
      </c>
      <c r="E605" s="1">
        <f ca="1">IFERROR(__xludf.DUMMYFUNCTION("""COMPUTED_VALUE"""),190.29)</f>
        <v>190.29</v>
      </c>
      <c r="F605" s="1">
        <f ca="1">IFERROR(__xludf.DUMMYFUNCTION("""COMPUTED_VALUE"""),53068016)</f>
        <v>53068016</v>
      </c>
    </row>
    <row r="606" spans="1:6" ht="12.6">
      <c r="A606" s="2">
        <f ca="1">IFERROR(__xludf.DUMMYFUNCTION("""COMPUTED_VALUE"""),45442.6666666666)</f>
        <v>45442.666666666599</v>
      </c>
      <c r="B606" s="1">
        <f ca="1">IFERROR(__xludf.DUMMYFUNCTION("""COMPUTED_VALUE"""),190.76)</f>
        <v>190.76</v>
      </c>
      <c r="C606" s="1">
        <f ca="1">IFERROR(__xludf.DUMMYFUNCTION("""COMPUTED_VALUE"""),192.18)</f>
        <v>192.18</v>
      </c>
      <c r="D606" s="1">
        <f ca="1">IFERROR(__xludf.DUMMYFUNCTION("""COMPUTED_VALUE"""),190.63)</f>
        <v>190.63</v>
      </c>
      <c r="E606" s="1">
        <f ca="1">IFERROR(__xludf.DUMMYFUNCTION("""COMPUTED_VALUE"""),191.29)</f>
        <v>191.29</v>
      </c>
      <c r="F606" s="1">
        <f ca="1">IFERROR(__xludf.DUMMYFUNCTION("""COMPUTED_VALUE"""),49947941)</f>
        <v>49947941</v>
      </c>
    </row>
    <row r="607" spans="1:6" ht="12.6">
      <c r="A607" s="2">
        <f ca="1">IFERROR(__xludf.DUMMYFUNCTION("""COMPUTED_VALUE"""),45443.6666666666)</f>
        <v>45443.666666666599</v>
      </c>
      <c r="B607" s="1">
        <f ca="1">IFERROR(__xludf.DUMMYFUNCTION("""COMPUTED_VALUE"""),191.44)</f>
        <v>191.44</v>
      </c>
      <c r="C607" s="1">
        <f ca="1">IFERROR(__xludf.DUMMYFUNCTION("""COMPUTED_VALUE"""),192.57)</f>
        <v>192.57</v>
      </c>
      <c r="D607" s="1">
        <f ca="1">IFERROR(__xludf.DUMMYFUNCTION("""COMPUTED_VALUE"""),189.91)</f>
        <v>189.91</v>
      </c>
      <c r="E607" s="1">
        <f ca="1">IFERROR(__xludf.DUMMYFUNCTION("""COMPUTED_VALUE"""),192.25)</f>
        <v>192.25</v>
      </c>
      <c r="F607" s="1">
        <f ca="1">IFERROR(__xludf.DUMMYFUNCTION("""COMPUTED_VALUE"""),75158277)</f>
        <v>75158277</v>
      </c>
    </row>
    <row r="608" spans="1:6" ht="12.6">
      <c r="A608" s="2">
        <f ca="1">IFERROR(__xludf.DUMMYFUNCTION("""COMPUTED_VALUE"""),45446.6666666666)</f>
        <v>45446.666666666599</v>
      </c>
      <c r="B608" s="1">
        <f ca="1">IFERROR(__xludf.DUMMYFUNCTION("""COMPUTED_VALUE"""),192.9)</f>
        <v>192.9</v>
      </c>
      <c r="C608" s="1">
        <f ca="1">IFERROR(__xludf.DUMMYFUNCTION("""COMPUTED_VALUE"""),194.99)</f>
        <v>194.99</v>
      </c>
      <c r="D608" s="1">
        <f ca="1">IFERROR(__xludf.DUMMYFUNCTION("""COMPUTED_VALUE"""),192.52)</f>
        <v>192.52</v>
      </c>
      <c r="E608" s="1">
        <f ca="1">IFERROR(__xludf.DUMMYFUNCTION("""COMPUTED_VALUE"""),194.03)</f>
        <v>194.03</v>
      </c>
      <c r="F608" s="1">
        <f ca="1">IFERROR(__xludf.DUMMYFUNCTION("""COMPUTED_VALUE"""),50080539)</f>
        <v>50080539</v>
      </c>
    </row>
    <row r="609" spans="1:6" ht="12.6">
      <c r="A609" s="2">
        <f ca="1">IFERROR(__xludf.DUMMYFUNCTION("""COMPUTED_VALUE"""),45447.6666666666)</f>
        <v>45447.666666666599</v>
      </c>
      <c r="B609" s="1">
        <f ca="1">IFERROR(__xludf.DUMMYFUNCTION("""COMPUTED_VALUE"""),194.64)</f>
        <v>194.64</v>
      </c>
      <c r="C609" s="1">
        <f ca="1">IFERROR(__xludf.DUMMYFUNCTION("""COMPUTED_VALUE"""),195.32)</f>
        <v>195.32</v>
      </c>
      <c r="D609" s="1">
        <f ca="1">IFERROR(__xludf.DUMMYFUNCTION("""COMPUTED_VALUE"""),193.03)</f>
        <v>193.03</v>
      </c>
      <c r="E609" s="1">
        <f ca="1">IFERROR(__xludf.DUMMYFUNCTION("""COMPUTED_VALUE"""),194.35)</f>
        <v>194.35</v>
      </c>
      <c r="F609" s="1">
        <f ca="1">IFERROR(__xludf.DUMMYFUNCTION("""COMPUTED_VALUE"""),47471445)</f>
        <v>47471445</v>
      </c>
    </row>
    <row r="610" spans="1:6" ht="12.6">
      <c r="A610" s="2">
        <f ca="1">IFERROR(__xludf.DUMMYFUNCTION("""COMPUTED_VALUE"""),45448.6666666666)</f>
        <v>45448.666666666599</v>
      </c>
      <c r="B610" s="1">
        <f ca="1">IFERROR(__xludf.DUMMYFUNCTION("""COMPUTED_VALUE"""),195.4)</f>
        <v>195.4</v>
      </c>
      <c r="C610" s="1">
        <f ca="1">IFERROR(__xludf.DUMMYFUNCTION("""COMPUTED_VALUE"""),196.9)</f>
        <v>196.9</v>
      </c>
      <c r="D610" s="1">
        <f ca="1">IFERROR(__xludf.DUMMYFUNCTION("""COMPUTED_VALUE"""),194.87)</f>
        <v>194.87</v>
      </c>
      <c r="E610" s="1">
        <f ca="1">IFERROR(__xludf.DUMMYFUNCTION("""COMPUTED_VALUE"""),195.87)</f>
        <v>195.87</v>
      </c>
      <c r="F610" s="1">
        <f ca="1">IFERROR(__xludf.DUMMYFUNCTION("""COMPUTED_VALUE"""),54156785)</f>
        <v>54156785</v>
      </c>
    </row>
    <row r="611" spans="1:6" ht="12.6">
      <c r="A611" s="2">
        <f ca="1">IFERROR(__xludf.DUMMYFUNCTION("""COMPUTED_VALUE"""),45449.6666666666)</f>
        <v>45449.666666666599</v>
      </c>
      <c r="B611" s="1">
        <f ca="1">IFERROR(__xludf.DUMMYFUNCTION("""COMPUTED_VALUE"""),195.69)</f>
        <v>195.69</v>
      </c>
      <c r="C611" s="1">
        <f ca="1">IFERROR(__xludf.DUMMYFUNCTION("""COMPUTED_VALUE"""),196.5)</f>
        <v>196.5</v>
      </c>
      <c r="D611" s="1">
        <f ca="1">IFERROR(__xludf.DUMMYFUNCTION("""COMPUTED_VALUE"""),194.17)</f>
        <v>194.17</v>
      </c>
      <c r="E611" s="1">
        <f ca="1">IFERROR(__xludf.DUMMYFUNCTION("""COMPUTED_VALUE"""),194.48)</f>
        <v>194.48</v>
      </c>
      <c r="F611" s="1">
        <f ca="1">IFERROR(__xludf.DUMMYFUNCTION("""COMPUTED_VALUE"""),41181753)</f>
        <v>41181753</v>
      </c>
    </row>
    <row r="612" spans="1:6" ht="12.6">
      <c r="A612" s="2">
        <f ca="1">IFERROR(__xludf.DUMMYFUNCTION("""COMPUTED_VALUE"""),45450.6666666666)</f>
        <v>45450.666666666599</v>
      </c>
      <c r="B612" s="1">
        <f ca="1">IFERROR(__xludf.DUMMYFUNCTION("""COMPUTED_VALUE"""),194.65)</f>
        <v>194.65</v>
      </c>
      <c r="C612" s="1">
        <f ca="1">IFERROR(__xludf.DUMMYFUNCTION("""COMPUTED_VALUE"""),196.94)</f>
        <v>196.94</v>
      </c>
      <c r="D612" s="1">
        <f ca="1">IFERROR(__xludf.DUMMYFUNCTION("""COMPUTED_VALUE"""),194.14)</f>
        <v>194.14</v>
      </c>
      <c r="E612" s="1">
        <f ca="1">IFERROR(__xludf.DUMMYFUNCTION("""COMPUTED_VALUE"""),196.89)</f>
        <v>196.89</v>
      </c>
      <c r="F612" s="1">
        <f ca="1">IFERROR(__xludf.DUMMYFUNCTION("""COMPUTED_VALUE"""),53103912)</f>
        <v>53103912</v>
      </c>
    </row>
    <row r="613" spans="1:6" ht="12.6">
      <c r="A613" s="2">
        <f ca="1">IFERROR(__xludf.DUMMYFUNCTION("""COMPUTED_VALUE"""),45453.6666666666)</f>
        <v>45453.666666666599</v>
      </c>
      <c r="B613" s="1">
        <f ca="1">IFERROR(__xludf.DUMMYFUNCTION("""COMPUTED_VALUE"""),196.9)</f>
        <v>196.9</v>
      </c>
      <c r="C613" s="1">
        <f ca="1">IFERROR(__xludf.DUMMYFUNCTION("""COMPUTED_VALUE"""),197.3)</f>
        <v>197.3</v>
      </c>
      <c r="D613" s="1">
        <f ca="1">IFERROR(__xludf.DUMMYFUNCTION("""COMPUTED_VALUE"""),192.15)</f>
        <v>192.15</v>
      </c>
      <c r="E613" s="1">
        <f ca="1">IFERROR(__xludf.DUMMYFUNCTION("""COMPUTED_VALUE"""),193.12)</f>
        <v>193.12</v>
      </c>
      <c r="F613" s="1">
        <f ca="1">IFERROR(__xludf.DUMMYFUNCTION("""COMPUTED_VALUE"""),97262077)</f>
        <v>97262077</v>
      </c>
    </row>
    <row r="614" spans="1:6" ht="12.6">
      <c r="A614" s="2">
        <f ca="1">IFERROR(__xludf.DUMMYFUNCTION("""COMPUTED_VALUE"""),45454.6666666666)</f>
        <v>45454.666666666599</v>
      </c>
      <c r="B614" s="1">
        <f ca="1">IFERROR(__xludf.DUMMYFUNCTION("""COMPUTED_VALUE"""),193.65)</f>
        <v>193.65</v>
      </c>
      <c r="C614" s="1">
        <f ca="1">IFERROR(__xludf.DUMMYFUNCTION("""COMPUTED_VALUE"""),207.16)</f>
        <v>207.16</v>
      </c>
      <c r="D614" s="1">
        <f ca="1">IFERROR(__xludf.DUMMYFUNCTION("""COMPUTED_VALUE"""),193.63)</f>
        <v>193.63</v>
      </c>
      <c r="E614" s="1">
        <f ca="1">IFERROR(__xludf.DUMMYFUNCTION("""COMPUTED_VALUE"""),207.15)</f>
        <v>207.15</v>
      </c>
      <c r="F614" s="1">
        <f ca="1">IFERROR(__xludf.DUMMYFUNCTION("""COMPUTED_VALUE"""),172373296)</f>
        <v>172373296</v>
      </c>
    </row>
    <row r="615" spans="1:6" ht="12.6">
      <c r="A615" s="2">
        <f ca="1">IFERROR(__xludf.DUMMYFUNCTION("""COMPUTED_VALUE"""),45455.6666666666)</f>
        <v>45455.666666666599</v>
      </c>
      <c r="B615" s="1">
        <f ca="1">IFERROR(__xludf.DUMMYFUNCTION("""COMPUTED_VALUE"""),207.37)</f>
        <v>207.37</v>
      </c>
      <c r="C615" s="1">
        <f ca="1">IFERROR(__xludf.DUMMYFUNCTION("""COMPUTED_VALUE"""),220.2)</f>
        <v>220.2</v>
      </c>
      <c r="D615" s="1">
        <f ca="1">IFERROR(__xludf.DUMMYFUNCTION("""COMPUTED_VALUE"""),206.9)</f>
        <v>206.9</v>
      </c>
      <c r="E615" s="1">
        <f ca="1">IFERROR(__xludf.DUMMYFUNCTION("""COMPUTED_VALUE"""),213.07)</f>
        <v>213.07</v>
      </c>
      <c r="F615" s="1">
        <f ca="1">IFERROR(__xludf.DUMMYFUNCTION("""COMPUTED_VALUE"""),198134293)</f>
        <v>198134293</v>
      </c>
    </row>
    <row r="616" spans="1:6" ht="12.6">
      <c r="A616" s="2">
        <f ca="1">IFERROR(__xludf.DUMMYFUNCTION("""COMPUTED_VALUE"""),45456.6666666666)</f>
        <v>45456.666666666599</v>
      </c>
      <c r="B616" s="1">
        <f ca="1">IFERROR(__xludf.DUMMYFUNCTION("""COMPUTED_VALUE"""),214.74)</f>
        <v>214.74</v>
      </c>
      <c r="C616" s="1">
        <f ca="1">IFERROR(__xludf.DUMMYFUNCTION("""COMPUTED_VALUE"""),216.75)</f>
        <v>216.75</v>
      </c>
      <c r="D616" s="1">
        <f ca="1">IFERROR(__xludf.DUMMYFUNCTION("""COMPUTED_VALUE"""),211.6)</f>
        <v>211.6</v>
      </c>
      <c r="E616" s="1">
        <f ca="1">IFERROR(__xludf.DUMMYFUNCTION("""COMPUTED_VALUE"""),214.24)</f>
        <v>214.24</v>
      </c>
      <c r="F616" s="1">
        <f ca="1">IFERROR(__xludf.DUMMYFUNCTION("""COMPUTED_VALUE"""),97862729)</f>
        <v>97862729</v>
      </c>
    </row>
    <row r="617" spans="1:6" ht="12.6">
      <c r="A617" s="2">
        <f ca="1">IFERROR(__xludf.DUMMYFUNCTION("""COMPUTED_VALUE"""),45457.6666666666)</f>
        <v>45457.666666666599</v>
      </c>
      <c r="B617" s="1">
        <f ca="1">IFERROR(__xludf.DUMMYFUNCTION("""COMPUTED_VALUE"""),213.85)</f>
        <v>213.85</v>
      </c>
      <c r="C617" s="1">
        <f ca="1">IFERROR(__xludf.DUMMYFUNCTION("""COMPUTED_VALUE"""),215.17)</f>
        <v>215.17</v>
      </c>
      <c r="D617" s="1">
        <f ca="1">IFERROR(__xludf.DUMMYFUNCTION("""COMPUTED_VALUE"""),211.3)</f>
        <v>211.3</v>
      </c>
      <c r="E617" s="1">
        <f ca="1">IFERROR(__xludf.DUMMYFUNCTION("""COMPUTED_VALUE"""),212.49)</f>
        <v>212.49</v>
      </c>
      <c r="F617" s="1">
        <f ca="1">IFERROR(__xludf.DUMMYFUNCTION("""COMPUTED_VALUE"""),70122748)</f>
        <v>70122748</v>
      </c>
    </row>
    <row r="618" spans="1:6" ht="12.6">
      <c r="A618" s="2">
        <f ca="1">IFERROR(__xludf.DUMMYFUNCTION("""COMPUTED_VALUE"""),45460.6666666666)</f>
        <v>45460.666666666599</v>
      </c>
      <c r="B618" s="1">
        <f ca="1">IFERROR(__xludf.DUMMYFUNCTION("""COMPUTED_VALUE"""),213.37)</f>
        <v>213.37</v>
      </c>
      <c r="C618" s="1">
        <f ca="1">IFERROR(__xludf.DUMMYFUNCTION("""COMPUTED_VALUE"""),218.95)</f>
        <v>218.95</v>
      </c>
      <c r="D618" s="1">
        <f ca="1">IFERROR(__xludf.DUMMYFUNCTION("""COMPUTED_VALUE"""),212.72)</f>
        <v>212.72</v>
      </c>
      <c r="E618" s="1">
        <f ca="1">IFERROR(__xludf.DUMMYFUNCTION("""COMPUTED_VALUE"""),216.67)</f>
        <v>216.67</v>
      </c>
      <c r="F618" s="1">
        <f ca="1">IFERROR(__xludf.DUMMYFUNCTION("""COMPUTED_VALUE"""),93728300)</f>
        <v>93728300</v>
      </c>
    </row>
    <row r="619" spans="1:6" ht="12.6">
      <c r="A619" s="2">
        <f ca="1">IFERROR(__xludf.DUMMYFUNCTION("""COMPUTED_VALUE"""),45461.6666666666)</f>
        <v>45461.666666666599</v>
      </c>
      <c r="B619" s="1">
        <f ca="1">IFERROR(__xludf.DUMMYFUNCTION("""COMPUTED_VALUE"""),217.59)</f>
        <v>217.59</v>
      </c>
      <c r="C619" s="1">
        <f ca="1">IFERROR(__xludf.DUMMYFUNCTION("""COMPUTED_VALUE"""),218.63)</f>
        <v>218.63</v>
      </c>
      <c r="D619" s="1">
        <f ca="1">IFERROR(__xludf.DUMMYFUNCTION("""COMPUTED_VALUE"""),213)</f>
        <v>213</v>
      </c>
      <c r="E619" s="1">
        <f ca="1">IFERROR(__xludf.DUMMYFUNCTION("""COMPUTED_VALUE"""),214.29)</f>
        <v>214.29</v>
      </c>
      <c r="F619" s="1">
        <f ca="1">IFERROR(__xludf.DUMMYFUNCTION("""COMPUTED_VALUE"""),79943254)</f>
        <v>79943254</v>
      </c>
    </row>
    <row r="620" spans="1:6" ht="12.6">
      <c r="A620" s="2">
        <f ca="1">IFERROR(__xludf.DUMMYFUNCTION("""COMPUTED_VALUE"""),45463.6666666666)</f>
        <v>45463.666666666599</v>
      </c>
      <c r="B620" s="1">
        <f ca="1">IFERROR(__xludf.DUMMYFUNCTION("""COMPUTED_VALUE"""),213.93)</f>
        <v>213.93</v>
      </c>
      <c r="C620" s="1">
        <f ca="1">IFERROR(__xludf.DUMMYFUNCTION("""COMPUTED_VALUE"""),214.24)</f>
        <v>214.24</v>
      </c>
      <c r="D620" s="1">
        <f ca="1">IFERROR(__xludf.DUMMYFUNCTION("""COMPUTED_VALUE"""),208.85)</f>
        <v>208.85</v>
      </c>
      <c r="E620" s="1">
        <f ca="1">IFERROR(__xludf.DUMMYFUNCTION("""COMPUTED_VALUE"""),209.68)</f>
        <v>209.68</v>
      </c>
      <c r="F620" s="1">
        <f ca="1">IFERROR(__xludf.DUMMYFUNCTION("""COMPUTED_VALUE"""),86172451)</f>
        <v>86172451</v>
      </c>
    </row>
    <row r="621" spans="1:6" ht="12.6">
      <c r="A621" s="2">
        <f ca="1">IFERROR(__xludf.DUMMYFUNCTION("""COMPUTED_VALUE"""),45464.6666666666)</f>
        <v>45464.666666666599</v>
      </c>
      <c r="B621" s="1">
        <f ca="1">IFERROR(__xludf.DUMMYFUNCTION("""COMPUTED_VALUE"""),210.39)</f>
        <v>210.39</v>
      </c>
      <c r="C621" s="1">
        <f ca="1">IFERROR(__xludf.DUMMYFUNCTION("""COMPUTED_VALUE"""),211.89)</f>
        <v>211.89</v>
      </c>
      <c r="D621" s="1">
        <f ca="1">IFERROR(__xludf.DUMMYFUNCTION("""COMPUTED_VALUE"""),207.11)</f>
        <v>207.11</v>
      </c>
      <c r="E621" s="1">
        <f ca="1">IFERROR(__xludf.DUMMYFUNCTION("""COMPUTED_VALUE"""),207.49)</f>
        <v>207.49</v>
      </c>
      <c r="F621" s="1">
        <f ca="1">IFERROR(__xludf.DUMMYFUNCTION("""COMPUTED_VALUE"""),246421353)</f>
        <v>246421353</v>
      </c>
    </row>
    <row r="622" spans="1:6" ht="12.6">
      <c r="A622" s="2">
        <f ca="1">IFERROR(__xludf.DUMMYFUNCTION("""COMPUTED_VALUE"""),45467.6666666666)</f>
        <v>45467.666666666599</v>
      </c>
      <c r="B622" s="1">
        <f ca="1">IFERROR(__xludf.DUMMYFUNCTION("""COMPUTED_VALUE"""),207.72)</f>
        <v>207.72</v>
      </c>
      <c r="C622" s="1">
        <f ca="1">IFERROR(__xludf.DUMMYFUNCTION("""COMPUTED_VALUE"""),212.7)</f>
        <v>212.7</v>
      </c>
      <c r="D622" s="1">
        <f ca="1">IFERROR(__xludf.DUMMYFUNCTION("""COMPUTED_VALUE"""),206.59)</f>
        <v>206.59</v>
      </c>
      <c r="E622" s="1">
        <f ca="1">IFERROR(__xludf.DUMMYFUNCTION("""COMPUTED_VALUE"""),208.14)</f>
        <v>208.14</v>
      </c>
      <c r="F622" s="1">
        <f ca="1">IFERROR(__xludf.DUMMYFUNCTION("""COMPUTED_VALUE"""),80727006)</f>
        <v>80727006</v>
      </c>
    </row>
    <row r="623" spans="1:6" ht="12.6">
      <c r="A623" s="2">
        <f ca="1">IFERROR(__xludf.DUMMYFUNCTION("""COMPUTED_VALUE"""),45468.6666666666)</f>
        <v>45468.666666666599</v>
      </c>
      <c r="B623" s="1">
        <f ca="1">IFERROR(__xludf.DUMMYFUNCTION("""COMPUTED_VALUE"""),209.15)</f>
        <v>209.15</v>
      </c>
      <c r="C623" s="1">
        <f ca="1">IFERROR(__xludf.DUMMYFUNCTION("""COMPUTED_VALUE"""),211.38)</f>
        <v>211.38</v>
      </c>
      <c r="D623" s="1">
        <f ca="1">IFERROR(__xludf.DUMMYFUNCTION("""COMPUTED_VALUE"""),208.61)</f>
        <v>208.61</v>
      </c>
      <c r="E623" s="1">
        <f ca="1">IFERROR(__xludf.DUMMYFUNCTION("""COMPUTED_VALUE"""),209.07)</f>
        <v>209.07</v>
      </c>
      <c r="F623" s="1">
        <f ca="1">IFERROR(__xludf.DUMMYFUNCTION("""COMPUTED_VALUE"""),56713868)</f>
        <v>56713868</v>
      </c>
    </row>
    <row r="624" spans="1:6" ht="12.6">
      <c r="A624" s="2">
        <f ca="1">IFERROR(__xludf.DUMMYFUNCTION("""COMPUTED_VALUE"""),45469.6666666666)</f>
        <v>45469.666666666599</v>
      </c>
      <c r="B624" s="1">
        <f ca="1">IFERROR(__xludf.DUMMYFUNCTION("""COMPUTED_VALUE"""),211.5)</f>
        <v>211.5</v>
      </c>
      <c r="C624" s="1">
        <f ca="1">IFERROR(__xludf.DUMMYFUNCTION("""COMPUTED_VALUE"""),214.86)</f>
        <v>214.86</v>
      </c>
      <c r="D624" s="1">
        <f ca="1">IFERROR(__xludf.DUMMYFUNCTION("""COMPUTED_VALUE"""),210.64)</f>
        <v>210.64</v>
      </c>
      <c r="E624" s="1">
        <f ca="1">IFERROR(__xludf.DUMMYFUNCTION("""COMPUTED_VALUE"""),213.25)</f>
        <v>213.25</v>
      </c>
      <c r="F624" s="1">
        <f ca="1">IFERROR(__xludf.DUMMYFUNCTION("""COMPUTED_VALUE"""),66213186)</f>
        <v>66213186</v>
      </c>
    </row>
    <row r="625" spans="1:6" ht="12.6">
      <c r="A625" s="2">
        <f ca="1">IFERROR(__xludf.DUMMYFUNCTION("""COMPUTED_VALUE"""),45470.6666666666)</f>
        <v>45470.666666666599</v>
      </c>
      <c r="B625" s="1">
        <f ca="1">IFERROR(__xludf.DUMMYFUNCTION("""COMPUTED_VALUE"""),214.69)</f>
        <v>214.69</v>
      </c>
      <c r="C625" s="1">
        <f ca="1">IFERROR(__xludf.DUMMYFUNCTION("""COMPUTED_VALUE"""),215.74)</f>
        <v>215.74</v>
      </c>
      <c r="D625" s="1">
        <f ca="1">IFERROR(__xludf.DUMMYFUNCTION("""COMPUTED_VALUE"""),212.35)</f>
        <v>212.35</v>
      </c>
      <c r="E625" s="1">
        <f ca="1">IFERROR(__xludf.DUMMYFUNCTION("""COMPUTED_VALUE"""),214.1)</f>
        <v>214.1</v>
      </c>
      <c r="F625" s="1">
        <f ca="1">IFERROR(__xludf.DUMMYFUNCTION("""COMPUTED_VALUE"""),49772707)</f>
        <v>49772707</v>
      </c>
    </row>
    <row r="626" spans="1:6" ht="12.6">
      <c r="A626" s="2">
        <f ca="1">IFERROR(__xludf.DUMMYFUNCTION("""COMPUTED_VALUE"""),45471.6666666666)</f>
        <v>45471.666666666599</v>
      </c>
      <c r="B626" s="1">
        <f ca="1">IFERROR(__xludf.DUMMYFUNCTION("""COMPUTED_VALUE"""),215.77)</f>
        <v>215.77</v>
      </c>
      <c r="C626" s="1">
        <f ca="1">IFERROR(__xludf.DUMMYFUNCTION("""COMPUTED_VALUE"""),216.07)</f>
        <v>216.07</v>
      </c>
      <c r="D626" s="1">
        <f ca="1">IFERROR(__xludf.DUMMYFUNCTION("""COMPUTED_VALUE"""),210.3)</f>
        <v>210.3</v>
      </c>
      <c r="E626" s="1">
        <f ca="1">IFERROR(__xludf.DUMMYFUNCTION("""COMPUTED_VALUE"""),210.62)</f>
        <v>210.62</v>
      </c>
      <c r="F626" s="1">
        <f ca="1">IFERROR(__xludf.DUMMYFUNCTION("""COMPUTED_VALUE"""),82542718)</f>
        <v>82542718</v>
      </c>
    </row>
    <row r="627" spans="1:6" ht="12.6">
      <c r="A627" s="2">
        <f ca="1">IFERROR(__xludf.DUMMYFUNCTION("""COMPUTED_VALUE"""),45474.6666666666)</f>
        <v>45474.666666666599</v>
      </c>
      <c r="B627" s="1">
        <f ca="1">IFERROR(__xludf.DUMMYFUNCTION("""COMPUTED_VALUE"""),212.09)</f>
        <v>212.09</v>
      </c>
      <c r="C627" s="1">
        <f ca="1">IFERROR(__xludf.DUMMYFUNCTION("""COMPUTED_VALUE"""),217.51)</f>
        <v>217.51</v>
      </c>
      <c r="D627" s="1">
        <f ca="1">IFERROR(__xludf.DUMMYFUNCTION("""COMPUTED_VALUE"""),211.92)</f>
        <v>211.92</v>
      </c>
      <c r="E627" s="1">
        <f ca="1">IFERROR(__xludf.DUMMYFUNCTION("""COMPUTED_VALUE"""),216.75)</f>
        <v>216.75</v>
      </c>
      <c r="F627" s="1">
        <f ca="1">IFERROR(__xludf.DUMMYFUNCTION("""COMPUTED_VALUE"""),60402929)</f>
        <v>60402929</v>
      </c>
    </row>
    <row r="628" spans="1:6" ht="12.6">
      <c r="A628" s="2">
        <f ca="1">IFERROR(__xludf.DUMMYFUNCTION("""COMPUTED_VALUE"""),45475.6666666666)</f>
        <v>45475.666666666599</v>
      </c>
      <c r="B628" s="1">
        <f ca="1">IFERROR(__xludf.DUMMYFUNCTION("""COMPUTED_VALUE"""),216.15)</f>
        <v>216.15</v>
      </c>
      <c r="C628" s="1">
        <f ca="1">IFERROR(__xludf.DUMMYFUNCTION("""COMPUTED_VALUE"""),220.38)</f>
        <v>220.38</v>
      </c>
      <c r="D628" s="1">
        <f ca="1">IFERROR(__xludf.DUMMYFUNCTION("""COMPUTED_VALUE"""),215.1)</f>
        <v>215.1</v>
      </c>
      <c r="E628" s="1">
        <f ca="1">IFERROR(__xludf.DUMMYFUNCTION("""COMPUTED_VALUE"""),220.27)</f>
        <v>220.27</v>
      </c>
      <c r="F628" s="1">
        <f ca="1">IFERROR(__xludf.DUMMYFUNCTION("""COMPUTED_VALUE"""),58046178)</f>
        <v>58046178</v>
      </c>
    </row>
    <row r="629" spans="1:6" ht="12.6">
      <c r="A629" s="2">
        <f ca="1">IFERROR(__xludf.DUMMYFUNCTION("""COMPUTED_VALUE"""),45476.5451388888)</f>
        <v>45476.545138888803</v>
      </c>
      <c r="B629" s="1">
        <f ca="1">IFERROR(__xludf.DUMMYFUNCTION("""COMPUTED_VALUE"""),220)</f>
        <v>220</v>
      </c>
      <c r="C629" s="1">
        <f ca="1">IFERROR(__xludf.DUMMYFUNCTION("""COMPUTED_VALUE"""),221.55)</f>
        <v>221.55</v>
      </c>
      <c r="D629" s="1">
        <f ca="1">IFERROR(__xludf.DUMMYFUNCTION("""COMPUTED_VALUE"""),219.03)</f>
        <v>219.03</v>
      </c>
      <c r="E629" s="1">
        <f ca="1">IFERROR(__xludf.DUMMYFUNCTION("""COMPUTED_VALUE"""),221.55)</f>
        <v>221.55</v>
      </c>
      <c r="F629" s="1">
        <f ca="1">IFERROR(__xludf.DUMMYFUNCTION("""COMPUTED_VALUE"""),37369801)</f>
        <v>37369801</v>
      </c>
    </row>
    <row r="630" spans="1:6" ht="12.6">
      <c r="A630" s="2">
        <f ca="1">IFERROR(__xludf.DUMMYFUNCTION("""COMPUTED_VALUE"""),45478.6666666666)</f>
        <v>45478.666666666599</v>
      </c>
      <c r="B630" s="1">
        <f ca="1">IFERROR(__xludf.DUMMYFUNCTION("""COMPUTED_VALUE"""),221.65)</f>
        <v>221.65</v>
      </c>
      <c r="C630" s="1">
        <f ca="1">IFERROR(__xludf.DUMMYFUNCTION("""COMPUTED_VALUE"""),226.45)</f>
        <v>226.45</v>
      </c>
      <c r="D630" s="1">
        <f ca="1">IFERROR(__xludf.DUMMYFUNCTION("""COMPUTED_VALUE"""),221.65)</f>
        <v>221.65</v>
      </c>
      <c r="E630" s="1">
        <f ca="1">IFERROR(__xludf.DUMMYFUNCTION("""COMPUTED_VALUE"""),226.34)</f>
        <v>226.34</v>
      </c>
      <c r="F630" s="1">
        <f ca="1">IFERROR(__xludf.DUMMYFUNCTION("""COMPUTED_VALUE"""),60412408)</f>
        <v>60412408</v>
      </c>
    </row>
    <row r="631" spans="1:6" ht="12.6">
      <c r="A631" s="2">
        <f ca="1">IFERROR(__xludf.DUMMYFUNCTION("""COMPUTED_VALUE"""),45481.6666666666)</f>
        <v>45481.666666666599</v>
      </c>
      <c r="B631" s="1">
        <f ca="1">IFERROR(__xludf.DUMMYFUNCTION("""COMPUTED_VALUE"""),227.09)</f>
        <v>227.09</v>
      </c>
      <c r="C631" s="1">
        <f ca="1">IFERROR(__xludf.DUMMYFUNCTION("""COMPUTED_VALUE"""),227.85)</f>
        <v>227.85</v>
      </c>
      <c r="D631" s="1">
        <f ca="1">IFERROR(__xludf.DUMMYFUNCTION("""COMPUTED_VALUE"""),223.25)</f>
        <v>223.25</v>
      </c>
      <c r="E631" s="1">
        <f ca="1">IFERROR(__xludf.DUMMYFUNCTION("""COMPUTED_VALUE"""),227.82)</f>
        <v>227.82</v>
      </c>
      <c r="F631" s="1">
        <f ca="1">IFERROR(__xludf.DUMMYFUNCTION("""COMPUTED_VALUE"""),59085861)</f>
        <v>59085861</v>
      </c>
    </row>
    <row r="632" spans="1:6" ht="12.6">
      <c r="A632" s="2">
        <f ca="1">IFERROR(__xludf.DUMMYFUNCTION("""COMPUTED_VALUE"""),45482.6666666666)</f>
        <v>45482.666666666599</v>
      </c>
      <c r="B632" s="1">
        <f ca="1">IFERROR(__xludf.DUMMYFUNCTION("""COMPUTED_VALUE"""),227.93)</f>
        <v>227.93</v>
      </c>
      <c r="C632" s="1">
        <f ca="1">IFERROR(__xludf.DUMMYFUNCTION("""COMPUTED_VALUE"""),229.4)</f>
        <v>229.4</v>
      </c>
      <c r="D632" s="1">
        <f ca="1">IFERROR(__xludf.DUMMYFUNCTION("""COMPUTED_VALUE"""),226.37)</f>
        <v>226.37</v>
      </c>
      <c r="E632" s="1">
        <f ca="1">IFERROR(__xludf.DUMMYFUNCTION("""COMPUTED_VALUE"""),228.68)</f>
        <v>228.68</v>
      </c>
      <c r="F632" s="1">
        <f ca="1">IFERROR(__xludf.DUMMYFUNCTION("""COMPUTED_VALUE"""),48169822)</f>
        <v>48169822</v>
      </c>
    </row>
    <row r="633" spans="1:6" ht="12.6">
      <c r="A633" s="2">
        <f ca="1">IFERROR(__xludf.DUMMYFUNCTION("""COMPUTED_VALUE"""),45483.6666666666)</f>
        <v>45483.666666666599</v>
      </c>
      <c r="B633" s="1">
        <f ca="1">IFERROR(__xludf.DUMMYFUNCTION("""COMPUTED_VALUE"""),229.3)</f>
        <v>229.3</v>
      </c>
      <c r="C633" s="1">
        <f ca="1">IFERROR(__xludf.DUMMYFUNCTION("""COMPUTED_VALUE"""),233.08)</f>
        <v>233.08</v>
      </c>
      <c r="D633" s="1">
        <f ca="1">IFERROR(__xludf.DUMMYFUNCTION("""COMPUTED_VALUE"""),229.25)</f>
        <v>229.25</v>
      </c>
      <c r="E633" s="1">
        <f ca="1">IFERROR(__xludf.DUMMYFUNCTION("""COMPUTED_VALUE"""),232.98)</f>
        <v>232.98</v>
      </c>
      <c r="F633" s="1">
        <f ca="1">IFERROR(__xludf.DUMMYFUNCTION("""COMPUTED_VALUE"""),62627687)</f>
        <v>62627687</v>
      </c>
    </row>
    <row r="634" spans="1:6" ht="12.6">
      <c r="A634" s="2">
        <f ca="1">IFERROR(__xludf.DUMMYFUNCTION("""COMPUTED_VALUE"""),45484.6666666666)</f>
        <v>45484.666666666599</v>
      </c>
      <c r="B634" s="1">
        <f ca="1">IFERROR(__xludf.DUMMYFUNCTION("""COMPUTED_VALUE"""),231.39)</f>
        <v>231.39</v>
      </c>
      <c r="C634" s="1">
        <f ca="1">IFERROR(__xludf.DUMMYFUNCTION("""COMPUTED_VALUE"""),232.39)</f>
        <v>232.39</v>
      </c>
      <c r="D634" s="1">
        <f ca="1">IFERROR(__xludf.DUMMYFUNCTION("""COMPUTED_VALUE"""),225.77)</f>
        <v>225.77</v>
      </c>
      <c r="E634" s="1">
        <f ca="1">IFERROR(__xludf.DUMMYFUNCTION("""COMPUTED_VALUE"""),227.57)</f>
        <v>227.57</v>
      </c>
      <c r="F634" s="1">
        <f ca="1">IFERROR(__xludf.DUMMYFUNCTION("""COMPUTED_VALUE"""),64710617)</f>
        <v>64710617</v>
      </c>
    </row>
    <row r="635" spans="1:6" ht="12.6">
      <c r="A635" s="2">
        <f ca="1">IFERROR(__xludf.DUMMYFUNCTION("""COMPUTED_VALUE"""),45485.6666666666)</f>
        <v>45485.666666666599</v>
      </c>
      <c r="B635" s="1">
        <f ca="1">IFERROR(__xludf.DUMMYFUNCTION("""COMPUTED_VALUE"""),228.92)</f>
        <v>228.92</v>
      </c>
      <c r="C635" s="1">
        <f ca="1">IFERROR(__xludf.DUMMYFUNCTION("""COMPUTED_VALUE"""),232.64)</f>
        <v>232.64</v>
      </c>
      <c r="D635" s="1">
        <f ca="1">IFERROR(__xludf.DUMMYFUNCTION("""COMPUTED_VALUE"""),228.68)</f>
        <v>228.68</v>
      </c>
      <c r="E635" s="1">
        <f ca="1">IFERROR(__xludf.DUMMYFUNCTION("""COMPUTED_VALUE"""),230.54)</f>
        <v>230.54</v>
      </c>
      <c r="F635" s="1">
        <f ca="1">IFERROR(__xludf.DUMMYFUNCTION("""COMPUTED_VALUE"""),53046527)</f>
        <v>53046527</v>
      </c>
    </row>
    <row r="636" spans="1:6" ht="12.6">
      <c r="A636" s="2">
        <f ca="1">IFERROR(__xludf.DUMMYFUNCTION("""COMPUTED_VALUE"""),45488.6666666666)</f>
        <v>45488.666666666599</v>
      </c>
      <c r="B636" s="1">
        <f ca="1">IFERROR(__xludf.DUMMYFUNCTION("""COMPUTED_VALUE"""),236.48)</f>
        <v>236.48</v>
      </c>
      <c r="C636" s="1">
        <f ca="1">IFERROR(__xludf.DUMMYFUNCTION("""COMPUTED_VALUE"""),237.23)</f>
        <v>237.23</v>
      </c>
      <c r="D636" s="1">
        <f ca="1">IFERROR(__xludf.DUMMYFUNCTION("""COMPUTED_VALUE"""),233.09)</f>
        <v>233.09</v>
      </c>
      <c r="E636" s="1">
        <f ca="1">IFERROR(__xludf.DUMMYFUNCTION("""COMPUTED_VALUE"""),234.4)</f>
        <v>234.4</v>
      </c>
      <c r="F636" s="1">
        <f ca="1">IFERROR(__xludf.DUMMYFUNCTION("""COMPUTED_VALUE"""),62631252)</f>
        <v>62631252</v>
      </c>
    </row>
    <row r="637" spans="1:6" ht="12.6">
      <c r="A637" s="2">
        <f ca="1">IFERROR(__xludf.DUMMYFUNCTION("""COMPUTED_VALUE"""),45489.6666666666)</f>
        <v>45489.666666666599</v>
      </c>
      <c r="B637" s="1">
        <f ca="1">IFERROR(__xludf.DUMMYFUNCTION("""COMPUTED_VALUE"""),235)</f>
        <v>235</v>
      </c>
      <c r="C637" s="1">
        <f ca="1">IFERROR(__xludf.DUMMYFUNCTION("""COMPUTED_VALUE"""),236.27)</f>
        <v>236.27</v>
      </c>
      <c r="D637" s="1">
        <f ca="1">IFERROR(__xludf.DUMMYFUNCTION("""COMPUTED_VALUE"""),232.33)</f>
        <v>232.33</v>
      </c>
      <c r="E637" s="1">
        <f ca="1">IFERROR(__xludf.DUMMYFUNCTION("""COMPUTED_VALUE"""),234.82)</f>
        <v>234.82</v>
      </c>
      <c r="F637" s="1">
        <f ca="1">IFERROR(__xludf.DUMMYFUNCTION("""COMPUTED_VALUE"""),43234278)</f>
        <v>43234278</v>
      </c>
    </row>
    <row r="638" spans="1:6" ht="12.6">
      <c r="A638" s="2">
        <f ca="1">IFERROR(__xludf.DUMMYFUNCTION("""COMPUTED_VALUE"""),45490.6666666666)</f>
        <v>45490.666666666599</v>
      </c>
      <c r="B638" s="1">
        <f ca="1">IFERROR(__xludf.DUMMYFUNCTION("""COMPUTED_VALUE"""),229.45)</f>
        <v>229.45</v>
      </c>
      <c r="C638" s="1">
        <f ca="1">IFERROR(__xludf.DUMMYFUNCTION("""COMPUTED_VALUE"""),231.46)</f>
        <v>231.46</v>
      </c>
      <c r="D638" s="1">
        <f ca="1">IFERROR(__xludf.DUMMYFUNCTION("""COMPUTED_VALUE"""),226.64)</f>
        <v>226.64</v>
      </c>
      <c r="E638" s="1">
        <f ca="1">IFERROR(__xludf.DUMMYFUNCTION("""COMPUTED_VALUE"""),228.88)</f>
        <v>228.88</v>
      </c>
      <c r="F638" s="1">
        <f ca="1">IFERROR(__xludf.DUMMYFUNCTION("""COMPUTED_VALUE"""),57345884)</f>
        <v>57345884</v>
      </c>
    </row>
    <row r="639" spans="1:6" ht="12.6">
      <c r="A639" s="2">
        <f ca="1">IFERROR(__xludf.DUMMYFUNCTION("""COMPUTED_VALUE"""),45491.6666666666)</f>
        <v>45491.666666666599</v>
      </c>
      <c r="B639" s="1">
        <f ca="1">IFERROR(__xludf.DUMMYFUNCTION("""COMPUTED_VALUE"""),230.28)</f>
        <v>230.28</v>
      </c>
      <c r="C639" s="1">
        <f ca="1">IFERROR(__xludf.DUMMYFUNCTION("""COMPUTED_VALUE"""),230.44)</f>
        <v>230.44</v>
      </c>
      <c r="D639" s="1">
        <f ca="1">IFERROR(__xludf.DUMMYFUNCTION("""COMPUTED_VALUE"""),222.27)</f>
        <v>222.27</v>
      </c>
      <c r="E639" s="1">
        <f ca="1">IFERROR(__xludf.DUMMYFUNCTION("""COMPUTED_VALUE"""),224.18)</f>
        <v>224.18</v>
      </c>
      <c r="F639" s="1">
        <f ca="1">IFERROR(__xludf.DUMMYFUNCTION("""COMPUTED_VALUE"""),66034585)</f>
        <v>66034585</v>
      </c>
    </row>
    <row r="640" spans="1:6" ht="12.6">
      <c r="A640" s="2">
        <f ca="1">IFERROR(__xludf.DUMMYFUNCTION("""COMPUTED_VALUE"""),45492.6666666666)</f>
        <v>45492.666666666599</v>
      </c>
      <c r="B640" s="1">
        <f ca="1">IFERROR(__xludf.DUMMYFUNCTION("""COMPUTED_VALUE"""),224.82)</f>
        <v>224.82</v>
      </c>
      <c r="C640" s="1">
        <f ca="1">IFERROR(__xludf.DUMMYFUNCTION("""COMPUTED_VALUE"""),226.8)</f>
        <v>226.8</v>
      </c>
      <c r="D640" s="1">
        <f ca="1">IFERROR(__xludf.DUMMYFUNCTION("""COMPUTED_VALUE"""),223.28)</f>
        <v>223.28</v>
      </c>
      <c r="E640" s="1">
        <f ca="1">IFERROR(__xludf.DUMMYFUNCTION("""COMPUTED_VALUE"""),224.31)</f>
        <v>224.31</v>
      </c>
      <c r="F640" s="1">
        <f ca="1">IFERROR(__xludf.DUMMYFUNCTION("""COMPUTED_VALUE"""),49151453)</f>
        <v>49151453</v>
      </c>
    </row>
    <row r="641" spans="1:6" ht="12.6">
      <c r="A641" s="2">
        <f ca="1">IFERROR(__xludf.DUMMYFUNCTION("""COMPUTED_VALUE"""),45495.6666666666)</f>
        <v>45495.666666666599</v>
      </c>
      <c r="B641" s="1">
        <f ca="1">IFERROR(__xludf.DUMMYFUNCTION("""COMPUTED_VALUE"""),227.01)</f>
        <v>227.01</v>
      </c>
      <c r="C641" s="1">
        <f ca="1">IFERROR(__xludf.DUMMYFUNCTION("""COMPUTED_VALUE"""),227.78)</f>
        <v>227.78</v>
      </c>
      <c r="D641" s="1">
        <f ca="1">IFERROR(__xludf.DUMMYFUNCTION("""COMPUTED_VALUE"""),223.09)</f>
        <v>223.09</v>
      </c>
      <c r="E641" s="1">
        <f ca="1">IFERROR(__xludf.DUMMYFUNCTION("""COMPUTED_VALUE"""),223.96)</f>
        <v>223.96</v>
      </c>
      <c r="F641" s="1">
        <f ca="1">IFERROR(__xludf.DUMMYFUNCTION("""COMPUTED_VALUE"""),48201835)</f>
        <v>48201835</v>
      </c>
    </row>
    <row r="642" spans="1:6" ht="12.6">
      <c r="A642" s="2">
        <f ca="1">IFERROR(__xludf.DUMMYFUNCTION("""COMPUTED_VALUE"""),45496.6666666666)</f>
        <v>45496.666666666599</v>
      </c>
      <c r="B642" s="1">
        <f ca="1">IFERROR(__xludf.DUMMYFUNCTION("""COMPUTED_VALUE"""),224.37)</f>
        <v>224.37</v>
      </c>
      <c r="C642" s="1">
        <f ca="1">IFERROR(__xludf.DUMMYFUNCTION("""COMPUTED_VALUE"""),226.94)</f>
        <v>226.94</v>
      </c>
      <c r="D642" s="1">
        <f ca="1">IFERROR(__xludf.DUMMYFUNCTION("""COMPUTED_VALUE"""),222.68)</f>
        <v>222.68</v>
      </c>
      <c r="E642" s="1">
        <f ca="1">IFERROR(__xludf.DUMMYFUNCTION("""COMPUTED_VALUE"""),225.01)</f>
        <v>225.01</v>
      </c>
      <c r="F642" s="1">
        <f ca="1">IFERROR(__xludf.DUMMYFUNCTION("""COMPUTED_VALUE"""),39960260)</f>
        <v>39960260</v>
      </c>
    </row>
    <row r="643" spans="1:6" ht="12.6">
      <c r="A643" s="2">
        <f ca="1">IFERROR(__xludf.DUMMYFUNCTION("""COMPUTED_VALUE"""),45497.6666666666)</f>
        <v>45497.666666666599</v>
      </c>
      <c r="B643" s="1">
        <f ca="1">IFERROR(__xludf.DUMMYFUNCTION("""COMPUTED_VALUE"""),224)</f>
        <v>224</v>
      </c>
      <c r="C643" s="1">
        <f ca="1">IFERROR(__xludf.DUMMYFUNCTION("""COMPUTED_VALUE"""),224.8)</f>
        <v>224.8</v>
      </c>
      <c r="D643" s="1">
        <f ca="1">IFERROR(__xludf.DUMMYFUNCTION("""COMPUTED_VALUE"""),217.13)</f>
        <v>217.13</v>
      </c>
      <c r="E643" s="1">
        <f ca="1">IFERROR(__xludf.DUMMYFUNCTION("""COMPUTED_VALUE"""),218.54)</f>
        <v>218.54</v>
      </c>
      <c r="F643" s="1">
        <f ca="1">IFERROR(__xludf.DUMMYFUNCTION("""COMPUTED_VALUE"""),61777576)</f>
        <v>61777576</v>
      </c>
    </row>
    <row r="644" spans="1:6" ht="12.6">
      <c r="A644" s="2">
        <f ca="1">IFERROR(__xludf.DUMMYFUNCTION("""COMPUTED_VALUE"""),45498.6666666666)</f>
        <v>45498.666666666599</v>
      </c>
      <c r="B644" s="1">
        <f ca="1">IFERROR(__xludf.DUMMYFUNCTION("""COMPUTED_VALUE"""),218.93)</f>
        <v>218.93</v>
      </c>
      <c r="C644" s="1">
        <f ca="1">IFERROR(__xludf.DUMMYFUNCTION("""COMPUTED_VALUE"""),220.85)</f>
        <v>220.85</v>
      </c>
      <c r="D644" s="1">
        <f ca="1">IFERROR(__xludf.DUMMYFUNCTION("""COMPUTED_VALUE"""),214.62)</f>
        <v>214.62</v>
      </c>
      <c r="E644" s="1">
        <f ca="1">IFERROR(__xludf.DUMMYFUNCTION("""COMPUTED_VALUE"""),217.49)</f>
        <v>217.49</v>
      </c>
      <c r="F644" s="1">
        <f ca="1">IFERROR(__xludf.DUMMYFUNCTION("""COMPUTED_VALUE"""),51391199)</f>
        <v>51391199</v>
      </c>
    </row>
    <row r="645" spans="1:6" ht="12.6">
      <c r="A645" s="2">
        <f ca="1">IFERROR(__xludf.DUMMYFUNCTION("""COMPUTED_VALUE"""),45499.6666666666)</f>
        <v>45499.666666666599</v>
      </c>
      <c r="B645" s="1">
        <f ca="1">IFERROR(__xludf.DUMMYFUNCTION("""COMPUTED_VALUE"""),218.7)</f>
        <v>218.7</v>
      </c>
      <c r="C645" s="1">
        <f ca="1">IFERROR(__xludf.DUMMYFUNCTION("""COMPUTED_VALUE"""),219.49)</f>
        <v>219.49</v>
      </c>
      <c r="D645" s="1">
        <f ca="1">IFERROR(__xludf.DUMMYFUNCTION("""COMPUTED_VALUE"""),216.01)</f>
        <v>216.01</v>
      </c>
      <c r="E645" s="1">
        <f ca="1">IFERROR(__xludf.DUMMYFUNCTION("""COMPUTED_VALUE"""),217.96)</f>
        <v>217.96</v>
      </c>
      <c r="F645" s="1">
        <f ca="1">IFERROR(__xludf.DUMMYFUNCTION("""COMPUTED_VALUE"""),41601345)</f>
        <v>41601345</v>
      </c>
    </row>
    <row r="646" spans="1:6" ht="12.6">
      <c r="A646" s="2">
        <f ca="1">IFERROR(__xludf.DUMMYFUNCTION("""COMPUTED_VALUE"""),45502.6666666666)</f>
        <v>45502.666666666599</v>
      </c>
      <c r="B646" s="1">
        <f ca="1">IFERROR(__xludf.DUMMYFUNCTION("""COMPUTED_VALUE"""),216.96)</f>
        <v>216.96</v>
      </c>
      <c r="C646" s="1">
        <f ca="1">IFERROR(__xludf.DUMMYFUNCTION("""COMPUTED_VALUE"""),219.3)</f>
        <v>219.3</v>
      </c>
      <c r="D646" s="1">
        <f ca="1">IFERROR(__xludf.DUMMYFUNCTION("""COMPUTED_VALUE"""),215.75)</f>
        <v>215.75</v>
      </c>
      <c r="E646" s="1">
        <f ca="1">IFERROR(__xludf.DUMMYFUNCTION("""COMPUTED_VALUE"""),218.24)</f>
        <v>218.24</v>
      </c>
      <c r="F646" s="1">
        <f ca="1">IFERROR(__xludf.DUMMYFUNCTION("""COMPUTED_VALUE"""),36311778)</f>
        <v>36311778</v>
      </c>
    </row>
    <row r="647" spans="1:6" ht="12.6">
      <c r="A647" s="2">
        <f ca="1">IFERROR(__xludf.DUMMYFUNCTION("""COMPUTED_VALUE"""),45503.6666666666)</f>
        <v>45503.666666666599</v>
      </c>
      <c r="B647" s="1">
        <f ca="1">IFERROR(__xludf.DUMMYFUNCTION("""COMPUTED_VALUE"""),219.19)</f>
        <v>219.19</v>
      </c>
      <c r="C647" s="1">
        <f ca="1">IFERROR(__xludf.DUMMYFUNCTION("""COMPUTED_VALUE"""),220.33)</f>
        <v>220.33</v>
      </c>
      <c r="D647" s="1">
        <f ca="1">IFERROR(__xludf.DUMMYFUNCTION("""COMPUTED_VALUE"""),216.12)</f>
        <v>216.12</v>
      </c>
      <c r="E647" s="1">
        <f ca="1">IFERROR(__xludf.DUMMYFUNCTION("""COMPUTED_VALUE"""),218.8)</f>
        <v>218.8</v>
      </c>
      <c r="F647" s="1">
        <f ca="1">IFERROR(__xludf.DUMMYFUNCTION("""COMPUTED_VALUE"""),41643840)</f>
        <v>41643840</v>
      </c>
    </row>
    <row r="648" spans="1:6" ht="12.6">
      <c r="A648" s="2">
        <f ca="1">IFERROR(__xludf.DUMMYFUNCTION("""COMPUTED_VALUE"""),45504.6666666666)</f>
        <v>45504.666666666599</v>
      </c>
      <c r="B648" s="1">
        <f ca="1">IFERROR(__xludf.DUMMYFUNCTION("""COMPUTED_VALUE"""),221.44)</f>
        <v>221.44</v>
      </c>
      <c r="C648" s="1">
        <f ca="1">IFERROR(__xludf.DUMMYFUNCTION("""COMPUTED_VALUE"""),223.82)</f>
        <v>223.82</v>
      </c>
      <c r="D648" s="1">
        <f ca="1">IFERROR(__xludf.DUMMYFUNCTION("""COMPUTED_VALUE"""),220.63)</f>
        <v>220.63</v>
      </c>
      <c r="E648" s="1">
        <f ca="1">IFERROR(__xludf.DUMMYFUNCTION("""COMPUTED_VALUE"""),222.08)</f>
        <v>222.08</v>
      </c>
      <c r="F648" s="1">
        <f ca="1">IFERROR(__xludf.DUMMYFUNCTION("""COMPUTED_VALUE"""),50036262)</f>
        <v>50036262</v>
      </c>
    </row>
    <row r="649" spans="1:6" ht="12.6">
      <c r="A649" s="2">
        <f ca="1">IFERROR(__xludf.DUMMYFUNCTION("""COMPUTED_VALUE"""),45505.6666666666)</f>
        <v>45505.666666666599</v>
      </c>
      <c r="B649" s="1">
        <f ca="1">IFERROR(__xludf.DUMMYFUNCTION("""COMPUTED_VALUE"""),224.37)</f>
        <v>224.37</v>
      </c>
      <c r="C649" s="1">
        <f ca="1">IFERROR(__xludf.DUMMYFUNCTION("""COMPUTED_VALUE"""),224.48)</f>
        <v>224.48</v>
      </c>
      <c r="D649" s="1">
        <f ca="1">IFERROR(__xludf.DUMMYFUNCTION("""COMPUTED_VALUE"""),217.02)</f>
        <v>217.02</v>
      </c>
      <c r="E649" s="1">
        <f ca="1">IFERROR(__xludf.DUMMYFUNCTION("""COMPUTED_VALUE"""),218.36)</f>
        <v>218.36</v>
      </c>
      <c r="F649" s="1">
        <f ca="1">IFERROR(__xludf.DUMMYFUNCTION("""COMPUTED_VALUE"""),62500996)</f>
        <v>62500996</v>
      </c>
    </row>
    <row r="650" spans="1:6" ht="12.6">
      <c r="A650" s="2">
        <f ca="1">IFERROR(__xludf.DUMMYFUNCTION("""COMPUTED_VALUE"""),45506.6666666666)</f>
        <v>45506.666666666599</v>
      </c>
      <c r="B650" s="1">
        <f ca="1">IFERROR(__xludf.DUMMYFUNCTION("""COMPUTED_VALUE"""),219.15)</f>
        <v>219.15</v>
      </c>
      <c r="C650" s="1">
        <f ca="1">IFERROR(__xludf.DUMMYFUNCTION("""COMPUTED_VALUE"""),225.6)</f>
        <v>225.6</v>
      </c>
      <c r="D650" s="1">
        <f ca="1">IFERROR(__xludf.DUMMYFUNCTION("""COMPUTED_VALUE"""),217.71)</f>
        <v>217.71</v>
      </c>
      <c r="E650" s="1">
        <f ca="1">IFERROR(__xludf.DUMMYFUNCTION("""COMPUTED_VALUE"""),219.86)</f>
        <v>219.86</v>
      </c>
      <c r="F650" s="1">
        <f ca="1">IFERROR(__xludf.DUMMYFUNCTION("""COMPUTED_VALUE"""),105568560)</f>
        <v>105568560</v>
      </c>
    </row>
    <row r="651" spans="1:6" ht="12.6">
      <c r="A651" s="2">
        <f ca="1">IFERROR(__xludf.DUMMYFUNCTION("""COMPUTED_VALUE"""),45509.6666666666)</f>
        <v>45509.666666666599</v>
      </c>
      <c r="B651" s="1">
        <f ca="1">IFERROR(__xludf.DUMMYFUNCTION("""COMPUTED_VALUE"""),199.09)</f>
        <v>199.09</v>
      </c>
      <c r="C651" s="1">
        <f ca="1">IFERROR(__xludf.DUMMYFUNCTION("""COMPUTED_VALUE"""),213.5)</f>
        <v>213.5</v>
      </c>
      <c r="D651" s="1">
        <f ca="1">IFERROR(__xludf.DUMMYFUNCTION("""COMPUTED_VALUE"""),196)</f>
        <v>196</v>
      </c>
      <c r="E651" s="1">
        <f ca="1">IFERROR(__xludf.DUMMYFUNCTION("""COMPUTED_VALUE"""),209.27)</f>
        <v>209.27</v>
      </c>
      <c r="F651" s="1">
        <f ca="1">IFERROR(__xludf.DUMMYFUNCTION("""COMPUTED_VALUE"""),119548589)</f>
        <v>119548589</v>
      </c>
    </row>
    <row r="652" spans="1:6" ht="12.6">
      <c r="A652" s="2">
        <f ca="1">IFERROR(__xludf.DUMMYFUNCTION("""COMPUTED_VALUE"""),45510.6666666666)</f>
        <v>45510.666666666599</v>
      </c>
      <c r="B652" s="1">
        <f ca="1">IFERROR(__xludf.DUMMYFUNCTION("""COMPUTED_VALUE"""),205.3)</f>
        <v>205.3</v>
      </c>
      <c r="C652" s="1">
        <f ca="1">IFERROR(__xludf.DUMMYFUNCTION("""COMPUTED_VALUE"""),209.99)</f>
        <v>209.99</v>
      </c>
      <c r="D652" s="1">
        <f ca="1">IFERROR(__xludf.DUMMYFUNCTION("""COMPUTED_VALUE"""),201.07)</f>
        <v>201.07</v>
      </c>
      <c r="E652" s="1">
        <f ca="1">IFERROR(__xludf.DUMMYFUNCTION("""COMPUTED_VALUE"""),207.23)</f>
        <v>207.23</v>
      </c>
      <c r="F652" s="1">
        <f ca="1">IFERROR(__xludf.DUMMYFUNCTION("""COMPUTED_VALUE"""),69660488)</f>
        <v>69660488</v>
      </c>
    </row>
    <row r="653" spans="1:6" ht="12.6">
      <c r="A653" s="2">
        <f ca="1">IFERROR(__xludf.DUMMYFUNCTION("""COMPUTED_VALUE"""),45511.6666666666)</f>
        <v>45511.666666666599</v>
      </c>
      <c r="B653" s="1">
        <f ca="1">IFERROR(__xludf.DUMMYFUNCTION("""COMPUTED_VALUE"""),206.9)</f>
        <v>206.9</v>
      </c>
      <c r="C653" s="1">
        <f ca="1">IFERROR(__xludf.DUMMYFUNCTION("""COMPUTED_VALUE"""),213.64)</f>
        <v>213.64</v>
      </c>
      <c r="D653" s="1">
        <f ca="1">IFERROR(__xludf.DUMMYFUNCTION("""COMPUTED_VALUE"""),206.39)</f>
        <v>206.39</v>
      </c>
      <c r="E653" s="1">
        <f ca="1">IFERROR(__xludf.DUMMYFUNCTION("""COMPUTED_VALUE"""),209.82)</f>
        <v>209.82</v>
      </c>
      <c r="F653" s="1">
        <f ca="1">IFERROR(__xludf.DUMMYFUNCTION("""COMPUTED_VALUE"""),63516417)</f>
        <v>63516417</v>
      </c>
    </row>
    <row r="654" spans="1:6" ht="12.6">
      <c r="A654" s="2">
        <f ca="1">IFERROR(__xludf.DUMMYFUNCTION("""COMPUTED_VALUE"""),45512.6666666666)</f>
        <v>45512.666666666599</v>
      </c>
      <c r="B654" s="1">
        <f ca="1">IFERROR(__xludf.DUMMYFUNCTION("""COMPUTED_VALUE"""),213.11)</f>
        <v>213.11</v>
      </c>
      <c r="C654" s="1">
        <f ca="1">IFERROR(__xludf.DUMMYFUNCTION("""COMPUTED_VALUE"""),214.2)</f>
        <v>214.2</v>
      </c>
      <c r="D654" s="1">
        <f ca="1">IFERROR(__xludf.DUMMYFUNCTION("""COMPUTED_VALUE"""),208.83)</f>
        <v>208.83</v>
      </c>
      <c r="E654" s="1">
        <f ca="1">IFERROR(__xludf.DUMMYFUNCTION("""COMPUTED_VALUE"""),213.31)</f>
        <v>213.31</v>
      </c>
      <c r="F654" s="1">
        <f ca="1">IFERROR(__xludf.DUMMYFUNCTION("""COMPUTED_VALUE"""),47161149)</f>
        <v>47161149</v>
      </c>
    </row>
    <row r="655" spans="1:6" ht="12.6">
      <c r="A655" s="2">
        <f ca="1">IFERROR(__xludf.DUMMYFUNCTION("""COMPUTED_VALUE"""),45513.6666666666)</f>
        <v>45513.666666666599</v>
      </c>
      <c r="B655" s="1">
        <f ca="1">IFERROR(__xludf.DUMMYFUNCTION("""COMPUTED_VALUE"""),212.1)</f>
        <v>212.1</v>
      </c>
      <c r="C655" s="1">
        <f ca="1">IFERROR(__xludf.DUMMYFUNCTION("""COMPUTED_VALUE"""),216.78)</f>
        <v>216.78</v>
      </c>
      <c r="D655" s="1">
        <f ca="1">IFERROR(__xludf.DUMMYFUNCTION("""COMPUTED_VALUE"""),211.97)</f>
        <v>211.97</v>
      </c>
      <c r="E655" s="1">
        <f ca="1">IFERROR(__xludf.DUMMYFUNCTION("""COMPUTED_VALUE"""),216.24)</f>
        <v>216.24</v>
      </c>
      <c r="F655" s="1">
        <f ca="1">IFERROR(__xludf.DUMMYFUNCTION("""COMPUTED_VALUE"""),42201646)</f>
        <v>42201646</v>
      </c>
    </row>
    <row r="656" spans="1:6" ht="12.6">
      <c r="A656" s="2">
        <f ca="1">IFERROR(__xludf.DUMMYFUNCTION("""COMPUTED_VALUE"""),45516.6666666666)</f>
        <v>45516.666666666599</v>
      </c>
      <c r="B656" s="1">
        <f ca="1">IFERROR(__xludf.DUMMYFUNCTION("""COMPUTED_VALUE"""),216.07)</f>
        <v>216.07</v>
      </c>
      <c r="C656" s="1">
        <f ca="1">IFERROR(__xludf.DUMMYFUNCTION("""COMPUTED_VALUE"""),219.51)</f>
        <v>219.51</v>
      </c>
      <c r="D656" s="1">
        <f ca="1">IFERROR(__xludf.DUMMYFUNCTION("""COMPUTED_VALUE"""),215.6)</f>
        <v>215.6</v>
      </c>
      <c r="E656" s="1">
        <f ca="1">IFERROR(__xludf.DUMMYFUNCTION("""COMPUTED_VALUE"""),217.53)</f>
        <v>217.53</v>
      </c>
      <c r="F656" s="1">
        <f ca="1">IFERROR(__xludf.DUMMYFUNCTION("""COMPUTED_VALUE"""),38028092)</f>
        <v>38028092</v>
      </c>
    </row>
    <row r="657" spans="1:6" ht="12.6">
      <c r="A657" s="2">
        <f ca="1">IFERROR(__xludf.DUMMYFUNCTION("""COMPUTED_VALUE"""),45517.6666666666)</f>
        <v>45517.666666666599</v>
      </c>
      <c r="B657" s="1">
        <f ca="1">IFERROR(__xludf.DUMMYFUNCTION("""COMPUTED_VALUE"""),219.01)</f>
        <v>219.01</v>
      </c>
      <c r="C657" s="1">
        <f ca="1">IFERROR(__xludf.DUMMYFUNCTION("""COMPUTED_VALUE"""),221.89)</f>
        <v>221.89</v>
      </c>
      <c r="D657" s="1">
        <f ca="1">IFERROR(__xludf.DUMMYFUNCTION("""COMPUTED_VALUE"""),219.01)</f>
        <v>219.01</v>
      </c>
      <c r="E657" s="1">
        <f ca="1">IFERROR(__xludf.DUMMYFUNCTION("""COMPUTED_VALUE"""),221.27)</f>
        <v>221.27</v>
      </c>
      <c r="F657" s="1">
        <f ca="1">IFERROR(__xludf.DUMMYFUNCTION("""COMPUTED_VALUE"""),44155331)</f>
        <v>44155331</v>
      </c>
    </row>
    <row r="658" spans="1:6" ht="12.6">
      <c r="A658" s="2">
        <f ca="1">IFERROR(__xludf.DUMMYFUNCTION("""COMPUTED_VALUE"""),45518.6666666666)</f>
        <v>45518.666666666599</v>
      </c>
      <c r="B658" s="1">
        <f ca="1">IFERROR(__xludf.DUMMYFUNCTION("""COMPUTED_VALUE"""),220.57)</f>
        <v>220.57</v>
      </c>
      <c r="C658" s="1">
        <f ca="1">IFERROR(__xludf.DUMMYFUNCTION("""COMPUTED_VALUE"""),223.03)</f>
        <v>223.03</v>
      </c>
      <c r="D658" s="1">
        <f ca="1">IFERROR(__xludf.DUMMYFUNCTION("""COMPUTED_VALUE"""),219.7)</f>
        <v>219.7</v>
      </c>
      <c r="E658" s="1">
        <f ca="1">IFERROR(__xludf.DUMMYFUNCTION("""COMPUTED_VALUE"""),221.72)</f>
        <v>221.72</v>
      </c>
      <c r="F658" s="1">
        <f ca="1">IFERROR(__xludf.DUMMYFUNCTION("""COMPUTED_VALUE"""),41960574)</f>
        <v>41960574</v>
      </c>
    </row>
    <row r="659" spans="1:6" ht="12.6">
      <c r="A659" s="2">
        <f ca="1">IFERROR(__xludf.DUMMYFUNCTION("""COMPUTED_VALUE"""),45519.6666666666)</f>
        <v>45519.666666666599</v>
      </c>
      <c r="B659" s="1">
        <f ca="1">IFERROR(__xludf.DUMMYFUNCTION("""COMPUTED_VALUE"""),224.6)</f>
        <v>224.6</v>
      </c>
      <c r="C659" s="1">
        <f ca="1">IFERROR(__xludf.DUMMYFUNCTION("""COMPUTED_VALUE"""),225.35)</f>
        <v>225.35</v>
      </c>
      <c r="D659" s="1">
        <f ca="1">IFERROR(__xludf.DUMMYFUNCTION("""COMPUTED_VALUE"""),222.76)</f>
        <v>222.76</v>
      </c>
      <c r="E659" s="1">
        <f ca="1">IFERROR(__xludf.DUMMYFUNCTION("""COMPUTED_VALUE"""),224.72)</f>
        <v>224.72</v>
      </c>
      <c r="F659" s="1">
        <f ca="1">IFERROR(__xludf.DUMMYFUNCTION("""COMPUTED_VALUE"""),46414013)</f>
        <v>46414013</v>
      </c>
    </row>
    <row r="660" spans="1:6" ht="12.6">
      <c r="A660" s="2">
        <f ca="1">IFERROR(__xludf.DUMMYFUNCTION("""COMPUTED_VALUE"""),45520.6666666666)</f>
        <v>45520.666666666599</v>
      </c>
      <c r="B660" s="1">
        <f ca="1">IFERROR(__xludf.DUMMYFUNCTION("""COMPUTED_VALUE"""),223.92)</f>
        <v>223.92</v>
      </c>
      <c r="C660" s="1">
        <f ca="1">IFERROR(__xludf.DUMMYFUNCTION("""COMPUTED_VALUE"""),226.83)</f>
        <v>226.83</v>
      </c>
      <c r="D660" s="1">
        <f ca="1">IFERROR(__xludf.DUMMYFUNCTION("""COMPUTED_VALUE"""),223.65)</f>
        <v>223.65</v>
      </c>
      <c r="E660" s="1">
        <f ca="1">IFERROR(__xludf.DUMMYFUNCTION("""COMPUTED_VALUE"""),226.05)</f>
        <v>226.05</v>
      </c>
      <c r="F660" s="1">
        <f ca="1">IFERROR(__xludf.DUMMYFUNCTION("""COMPUTED_VALUE"""),44340240)</f>
        <v>44340240</v>
      </c>
    </row>
    <row r="661" spans="1:6" ht="12.6">
      <c r="A661" s="2">
        <f ca="1">IFERROR(__xludf.DUMMYFUNCTION("""COMPUTED_VALUE"""),45523.6666666666)</f>
        <v>45523.666666666599</v>
      </c>
      <c r="B661" s="1">
        <f ca="1">IFERROR(__xludf.DUMMYFUNCTION("""COMPUTED_VALUE"""),225.72)</f>
        <v>225.72</v>
      </c>
      <c r="C661" s="1">
        <f ca="1">IFERROR(__xludf.DUMMYFUNCTION("""COMPUTED_VALUE"""),225.99)</f>
        <v>225.99</v>
      </c>
      <c r="D661" s="1">
        <f ca="1">IFERROR(__xludf.DUMMYFUNCTION("""COMPUTED_VALUE"""),223.04)</f>
        <v>223.04</v>
      </c>
      <c r="E661" s="1">
        <f ca="1">IFERROR(__xludf.DUMMYFUNCTION("""COMPUTED_VALUE"""),225.89)</f>
        <v>225.89</v>
      </c>
      <c r="F661" s="1">
        <f ca="1">IFERROR(__xludf.DUMMYFUNCTION("""COMPUTED_VALUE"""),40687813)</f>
        <v>40687813</v>
      </c>
    </row>
    <row r="662" spans="1:6" ht="12.6">
      <c r="A662" s="2">
        <f ca="1">IFERROR(__xludf.DUMMYFUNCTION("""COMPUTED_VALUE"""),45524.6666666666)</f>
        <v>45524.666666666599</v>
      </c>
      <c r="B662" s="1">
        <f ca="1">IFERROR(__xludf.DUMMYFUNCTION("""COMPUTED_VALUE"""),225.77)</f>
        <v>225.77</v>
      </c>
      <c r="C662" s="1">
        <f ca="1">IFERROR(__xludf.DUMMYFUNCTION("""COMPUTED_VALUE"""),227.17)</f>
        <v>227.17</v>
      </c>
      <c r="D662" s="1">
        <f ca="1">IFERROR(__xludf.DUMMYFUNCTION("""COMPUTED_VALUE"""),225.45)</f>
        <v>225.45</v>
      </c>
      <c r="E662" s="1">
        <f ca="1">IFERROR(__xludf.DUMMYFUNCTION("""COMPUTED_VALUE"""),226.51)</f>
        <v>226.51</v>
      </c>
      <c r="F662" s="1">
        <f ca="1">IFERROR(__xludf.DUMMYFUNCTION("""COMPUTED_VALUE"""),30299033)</f>
        <v>30299033</v>
      </c>
    </row>
    <row r="663" spans="1:6" ht="12.6">
      <c r="A663" s="2">
        <f ca="1">IFERROR(__xludf.DUMMYFUNCTION("""COMPUTED_VALUE"""),45525.6666666666)</f>
        <v>45525.666666666599</v>
      </c>
      <c r="B663" s="1">
        <f ca="1">IFERROR(__xludf.DUMMYFUNCTION("""COMPUTED_VALUE"""),226.52)</f>
        <v>226.52</v>
      </c>
      <c r="C663" s="1">
        <f ca="1">IFERROR(__xludf.DUMMYFUNCTION("""COMPUTED_VALUE"""),227.98)</f>
        <v>227.98</v>
      </c>
      <c r="D663" s="1">
        <f ca="1">IFERROR(__xludf.DUMMYFUNCTION("""COMPUTED_VALUE"""),225.05)</f>
        <v>225.05</v>
      </c>
      <c r="E663" s="1">
        <f ca="1">IFERROR(__xludf.DUMMYFUNCTION("""COMPUTED_VALUE"""),226.4)</f>
        <v>226.4</v>
      </c>
      <c r="F663" s="1">
        <f ca="1">IFERROR(__xludf.DUMMYFUNCTION("""COMPUTED_VALUE"""),34765480)</f>
        <v>34765480</v>
      </c>
    </row>
    <row r="664" spans="1:6" ht="12.6">
      <c r="A664" s="2">
        <f ca="1">IFERROR(__xludf.DUMMYFUNCTION("""COMPUTED_VALUE"""),45526.6666666666)</f>
        <v>45526.666666666599</v>
      </c>
      <c r="B664" s="1">
        <f ca="1">IFERROR(__xludf.DUMMYFUNCTION("""COMPUTED_VALUE"""),227.79)</f>
        <v>227.79</v>
      </c>
      <c r="C664" s="1">
        <f ca="1">IFERROR(__xludf.DUMMYFUNCTION("""COMPUTED_VALUE"""),228.34)</f>
        <v>228.34</v>
      </c>
      <c r="D664" s="1">
        <f ca="1">IFERROR(__xludf.DUMMYFUNCTION("""COMPUTED_VALUE"""),223.9)</f>
        <v>223.9</v>
      </c>
      <c r="E664" s="1">
        <f ca="1">IFERROR(__xludf.DUMMYFUNCTION("""COMPUTED_VALUE"""),224.53)</f>
        <v>224.53</v>
      </c>
      <c r="F664" s="1">
        <f ca="1">IFERROR(__xludf.DUMMYFUNCTION("""COMPUTED_VALUE"""),43695321)</f>
        <v>43695321</v>
      </c>
    </row>
    <row r="665" spans="1:6" ht="12.6">
      <c r="A665" s="2">
        <f ca="1">IFERROR(__xludf.DUMMYFUNCTION("""COMPUTED_VALUE"""),45527.6666666666)</f>
        <v>45527.666666666599</v>
      </c>
      <c r="B665" s="1">
        <f ca="1">IFERROR(__xludf.DUMMYFUNCTION("""COMPUTED_VALUE"""),225.66)</f>
        <v>225.66</v>
      </c>
      <c r="C665" s="1">
        <f ca="1">IFERROR(__xludf.DUMMYFUNCTION("""COMPUTED_VALUE"""),228.22)</f>
        <v>228.22</v>
      </c>
      <c r="D665" s="1">
        <f ca="1">IFERROR(__xludf.DUMMYFUNCTION("""COMPUTED_VALUE"""),224.33)</f>
        <v>224.33</v>
      </c>
      <c r="E665" s="1">
        <f ca="1">IFERROR(__xludf.DUMMYFUNCTION("""COMPUTED_VALUE"""),226.84)</f>
        <v>226.84</v>
      </c>
      <c r="F665" s="1">
        <f ca="1">IFERROR(__xludf.DUMMYFUNCTION("""COMPUTED_VALUE"""),38677250)</f>
        <v>38677250</v>
      </c>
    </row>
    <row r="666" spans="1:6" ht="12.6">
      <c r="A666" s="2">
        <f ca="1">IFERROR(__xludf.DUMMYFUNCTION("""COMPUTED_VALUE"""),45530.6666666666)</f>
        <v>45530.666666666599</v>
      </c>
      <c r="B666" s="1">
        <f ca="1">IFERROR(__xludf.DUMMYFUNCTION("""COMPUTED_VALUE"""),226.76)</f>
        <v>226.76</v>
      </c>
      <c r="C666" s="1">
        <f ca="1">IFERROR(__xludf.DUMMYFUNCTION("""COMPUTED_VALUE"""),227.28)</f>
        <v>227.28</v>
      </c>
      <c r="D666" s="1">
        <f ca="1">IFERROR(__xludf.DUMMYFUNCTION("""COMPUTED_VALUE"""),223.89)</f>
        <v>223.89</v>
      </c>
      <c r="E666" s="1">
        <f ca="1">IFERROR(__xludf.DUMMYFUNCTION("""COMPUTED_VALUE"""),227.18)</f>
        <v>227.18</v>
      </c>
      <c r="F666" s="1">
        <f ca="1">IFERROR(__xludf.DUMMYFUNCTION("""COMPUTED_VALUE"""),30602208)</f>
        <v>30602208</v>
      </c>
    </row>
    <row r="667" spans="1:6" ht="12.6">
      <c r="A667" s="2">
        <f ca="1">IFERROR(__xludf.DUMMYFUNCTION("""COMPUTED_VALUE"""),45531.6666666666)</f>
        <v>45531.666666666599</v>
      </c>
      <c r="B667" s="1">
        <f ca="1">IFERROR(__xludf.DUMMYFUNCTION("""COMPUTED_VALUE"""),226)</f>
        <v>226</v>
      </c>
      <c r="C667" s="1">
        <f ca="1">IFERROR(__xludf.DUMMYFUNCTION("""COMPUTED_VALUE"""),228.85)</f>
        <v>228.85</v>
      </c>
      <c r="D667" s="1">
        <f ca="1">IFERROR(__xludf.DUMMYFUNCTION("""COMPUTED_VALUE"""),224.89)</f>
        <v>224.89</v>
      </c>
      <c r="E667" s="1">
        <f ca="1">IFERROR(__xludf.DUMMYFUNCTION("""COMPUTED_VALUE"""),228.03)</f>
        <v>228.03</v>
      </c>
      <c r="F667" s="1">
        <f ca="1">IFERROR(__xludf.DUMMYFUNCTION("""COMPUTED_VALUE"""),35934559)</f>
        <v>35934559</v>
      </c>
    </row>
    <row r="668" spans="1:6" ht="12.6">
      <c r="A668" s="2">
        <f ca="1">IFERROR(__xludf.DUMMYFUNCTION("""COMPUTED_VALUE"""),45532.6666666666)</f>
        <v>45532.666666666599</v>
      </c>
      <c r="B668" s="1">
        <f ca="1">IFERROR(__xludf.DUMMYFUNCTION("""COMPUTED_VALUE"""),227.92)</f>
        <v>227.92</v>
      </c>
      <c r="C668" s="1">
        <f ca="1">IFERROR(__xludf.DUMMYFUNCTION("""COMPUTED_VALUE"""),229.86)</f>
        <v>229.86</v>
      </c>
      <c r="D668" s="1">
        <f ca="1">IFERROR(__xludf.DUMMYFUNCTION("""COMPUTED_VALUE"""),225.68)</f>
        <v>225.68</v>
      </c>
      <c r="E668" s="1">
        <f ca="1">IFERROR(__xludf.DUMMYFUNCTION("""COMPUTED_VALUE"""),226.49)</f>
        <v>226.49</v>
      </c>
      <c r="F668" s="1">
        <f ca="1">IFERROR(__xludf.DUMMYFUNCTION("""COMPUTED_VALUE"""),38052167)</f>
        <v>38052167</v>
      </c>
    </row>
    <row r="669" spans="1:6" ht="12.6">
      <c r="A669" s="2">
        <f ca="1">IFERROR(__xludf.DUMMYFUNCTION("""COMPUTED_VALUE"""),45533.6666666666)</f>
        <v>45533.666666666599</v>
      </c>
      <c r="B669" s="1">
        <f ca="1">IFERROR(__xludf.DUMMYFUNCTION("""COMPUTED_VALUE"""),230.1)</f>
        <v>230.1</v>
      </c>
      <c r="C669" s="1">
        <f ca="1">IFERROR(__xludf.DUMMYFUNCTION("""COMPUTED_VALUE"""),232.92)</f>
        <v>232.92</v>
      </c>
      <c r="D669" s="1">
        <f ca="1">IFERROR(__xludf.DUMMYFUNCTION("""COMPUTED_VALUE"""),228.88)</f>
        <v>228.88</v>
      </c>
      <c r="E669" s="1">
        <f ca="1">IFERROR(__xludf.DUMMYFUNCTION("""COMPUTED_VALUE"""),229.79)</f>
        <v>229.79</v>
      </c>
      <c r="F669" s="1">
        <f ca="1">IFERROR(__xludf.DUMMYFUNCTION("""COMPUTED_VALUE"""),51906297)</f>
        <v>51906297</v>
      </c>
    </row>
    <row r="670" spans="1:6" ht="12.6">
      <c r="A670" s="2">
        <f ca="1">IFERROR(__xludf.DUMMYFUNCTION("""COMPUTED_VALUE"""),45534.6666666666)</f>
        <v>45534.666666666599</v>
      </c>
      <c r="B670" s="1">
        <f ca="1">IFERROR(__xludf.DUMMYFUNCTION("""COMPUTED_VALUE"""),230.19)</f>
        <v>230.19</v>
      </c>
      <c r="C670" s="1">
        <f ca="1">IFERROR(__xludf.DUMMYFUNCTION("""COMPUTED_VALUE"""),230.4)</f>
        <v>230.4</v>
      </c>
      <c r="D670" s="1">
        <f ca="1">IFERROR(__xludf.DUMMYFUNCTION("""COMPUTED_VALUE"""),227.48)</f>
        <v>227.48</v>
      </c>
      <c r="E670" s="1">
        <f ca="1">IFERROR(__xludf.DUMMYFUNCTION("""COMPUTED_VALUE"""),229)</f>
        <v>229</v>
      </c>
      <c r="F670" s="1">
        <f ca="1">IFERROR(__xludf.DUMMYFUNCTION("""COMPUTED_VALUE"""),52990770)</f>
        <v>52990770</v>
      </c>
    </row>
    <row r="671" spans="1:6" ht="12.6">
      <c r="A671" s="2">
        <f ca="1">IFERROR(__xludf.DUMMYFUNCTION("""COMPUTED_VALUE"""),45538.6666666666)</f>
        <v>45538.666666666599</v>
      </c>
      <c r="B671" s="1">
        <f ca="1">IFERROR(__xludf.DUMMYFUNCTION("""COMPUTED_VALUE"""),228.55)</f>
        <v>228.55</v>
      </c>
      <c r="C671" s="1">
        <f ca="1">IFERROR(__xludf.DUMMYFUNCTION("""COMPUTED_VALUE"""),229)</f>
        <v>229</v>
      </c>
      <c r="D671" s="1">
        <f ca="1">IFERROR(__xludf.DUMMYFUNCTION("""COMPUTED_VALUE"""),221.17)</f>
        <v>221.17</v>
      </c>
      <c r="E671" s="1">
        <f ca="1">IFERROR(__xludf.DUMMYFUNCTION("""COMPUTED_VALUE"""),222.77)</f>
        <v>222.77</v>
      </c>
      <c r="F671" s="1">
        <f ca="1">IFERROR(__xludf.DUMMYFUNCTION("""COMPUTED_VALUE"""),50190574)</f>
        <v>50190574</v>
      </c>
    </row>
    <row r="672" spans="1:6" ht="12.6">
      <c r="A672" s="2">
        <f ca="1">IFERROR(__xludf.DUMMYFUNCTION("""COMPUTED_VALUE"""),45539.6666666666)</f>
        <v>45539.666666666599</v>
      </c>
      <c r="B672" s="1">
        <f ca="1">IFERROR(__xludf.DUMMYFUNCTION("""COMPUTED_VALUE"""),221.66)</f>
        <v>221.66</v>
      </c>
      <c r="C672" s="1">
        <f ca="1">IFERROR(__xludf.DUMMYFUNCTION("""COMPUTED_VALUE"""),221.78)</f>
        <v>221.78</v>
      </c>
      <c r="D672" s="1">
        <f ca="1">IFERROR(__xludf.DUMMYFUNCTION("""COMPUTED_VALUE"""),217.48)</f>
        <v>217.48</v>
      </c>
      <c r="E672" s="1">
        <f ca="1">IFERROR(__xludf.DUMMYFUNCTION("""COMPUTED_VALUE"""),220.85)</f>
        <v>220.85</v>
      </c>
      <c r="F672" s="1">
        <f ca="1">IFERROR(__xludf.DUMMYFUNCTION("""COMPUTED_VALUE"""),43840196)</f>
        <v>43840196</v>
      </c>
    </row>
    <row r="673" spans="1:6" ht="12.6">
      <c r="A673" s="2">
        <f ca="1">IFERROR(__xludf.DUMMYFUNCTION("""COMPUTED_VALUE"""),45540.6666666666)</f>
        <v>45540.666666666599</v>
      </c>
      <c r="B673" s="1">
        <f ca="1">IFERROR(__xludf.DUMMYFUNCTION("""COMPUTED_VALUE"""),221.63)</f>
        <v>221.63</v>
      </c>
      <c r="C673" s="1">
        <f ca="1">IFERROR(__xludf.DUMMYFUNCTION("""COMPUTED_VALUE"""),225.48)</f>
        <v>225.48</v>
      </c>
      <c r="D673" s="1">
        <f ca="1">IFERROR(__xludf.DUMMYFUNCTION("""COMPUTED_VALUE"""),221.52)</f>
        <v>221.52</v>
      </c>
      <c r="E673" s="1">
        <f ca="1">IFERROR(__xludf.DUMMYFUNCTION("""COMPUTED_VALUE"""),222.38)</f>
        <v>222.38</v>
      </c>
      <c r="F673" s="1">
        <f ca="1">IFERROR(__xludf.DUMMYFUNCTION("""COMPUTED_VALUE"""),36615398)</f>
        <v>36615398</v>
      </c>
    </row>
    <row r="674" spans="1:6" ht="12.6">
      <c r="A674" s="2">
        <f ca="1">IFERROR(__xludf.DUMMYFUNCTION("""COMPUTED_VALUE"""),45541.6666666666)</f>
        <v>45541.666666666599</v>
      </c>
      <c r="B674" s="1">
        <f ca="1">IFERROR(__xludf.DUMMYFUNCTION("""COMPUTED_VALUE"""),223.95)</f>
        <v>223.95</v>
      </c>
      <c r="C674" s="1">
        <f ca="1">IFERROR(__xludf.DUMMYFUNCTION("""COMPUTED_VALUE"""),225.24)</f>
        <v>225.24</v>
      </c>
      <c r="D674" s="1">
        <f ca="1">IFERROR(__xludf.DUMMYFUNCTION("""COMPUTED_VALUE"""),219.77)</f>
        <v>219.77</v>
      </c>
      <c r="E674" s="1">
        <f ca="1">IFERROR(__xludf.DUMMYFUNCTION("""COMPUTED_VALUE"""),220.82)</f>
        <v>220.82</v>
      </c>
      <c r="F674" s="1">
        <f ca="1">IFERROR(__xludf.DUMMYFUNCTION("""COMPUTED_VALUE"""),48423011)</f>
        <v>48423011</v>
      </c>
    </row>
    <row r="675" spans="1:6" ht="12.6">
      <c r="A675" s="2">
        <f ca="1">IFERROR(__xludf.DUMMYFUNCTION("""COMPUTED_VALUE"""),45544.6666666666)</f>
        <v>45544.666666666599</v>
      </c>
      <c r="B675" s="1">
        <f ca="1">IFERROR(__xludf.DUMMYFUNCTION("""COMPUTED_VALUE"""),220.82)</f>
        <v>220.82</v>
      </c>
      <c r="C675" s="1">
        <f ca="1">IFERROR(__xludf.DUMMYFUNCTION("""COMPUTED_VALUE"""),221.27)</f>
        <v>221.27</v>
      </c>
      <c r="D675" s="1">
        <f ca="1">IFERROR(__xludf.DUMMYFUNCTION("""COMPUTED_VALUE"""),216.71)</f>
        <v>216.71</v>
      </c>
      <c r="E675" s="1">
        <f ca="1">IFERROR(__xludf.DUMMYFUNCTION("""COMPUTED_VALUE"""),220.91)</f>
        <v>220.91</v>
      </c>
      <c r="F675" s="1">
        <f ca="1">IFERROR(__xludf.DUMMYFUNCTION("""COMPUTED_VALUE"""),67179965)</f>
        <v>67179965</v>
      </c>
    </row>
    <row r="676" spans="1:6" ht="12.6">
      <c r="A676" s="2">
        <f ca="1">IFERROR(__xludf.DUMMYFUNCTION("""COMPUTED_VALUE"""),45545.6666666666)</f>
        <v>45545.666666666599</v>
      </c>
      <c r="B676" s="1">
        <f ca="1">IFERROR(__xludf.DUMMYFUNCTION("""COMPUTED_VALUE"""),218.92)</f>
        <v>218.92</v>
      </c>
      <c r="C676" s="1">
        <f ca="1">IFERROR(__xludf.DUMMYFUNCTION("""COMPUTED_VALUE"""),221.48)</f>
        <v>221.48</v>
      </c>
      <c r="D676" s="1">
        <f ca="1">IFERROR(__xludf.DUMMYFUNCTION("""COMPUTED_VALUE"""),216.73)</f>
        <v>216.73</v>
      </c>
      <c r="E676" s="1">
        <f ca="1">IFERROR(__xludf.DUMMYFUNCTION("""COMPUTED_VALUE"""),220.11)</f>
        <v>220.11</v>
      </c>
      <c r="F676" s="1">
        <f ca="1">IFERROR(__xludf.DUMMYFUNCTION("""COMPUTED_VALUE"""),51591033)</f>
        <v>51591033</v>
      </c>
    </row>
    <row r="677" spans="1:6" ht="12.6">
      <c r="A677" s="2">
        <f ca="1">IFERROR(__xludf.DUMMYFUNCTION("""COMPUTED_VALUE"""),45546.6666666666)</f>
        <v>45546.666666666599</v>
      </c>
      <c r="B677" s="1">
        <f ca="1">IFERROR(__xludf.DUMMYFUNCTION("""COMPUTED_VALUE"""),221.46)</f>
        <v>221.46</v>
      </c>
      <c r="C677" s="1">
        <f ca="1">IFERROR(__xludf.DUMMYFUNCTION("""COMPUTED_VALUE"""),223.09)</f>
        <v>223.09</v>
      </c>
      <c r="D677" s="1">
        <f ca="1">IFERROR(__xludf.DUMMYFUNCTION("""COMPUTED_VALUE"""),217.89)</f>
        <v>217.89</v>
      </c>
      <c r="E677" s="1">
        <f ca="1">IFERROR(__xludf.DUMMYFUNCTION("""COMPUTED_VALUE"""),222.66)</f>
        <v>222.66</v>
      </c>
      <c r="F677" s="1">
        <f ca="1">IFERROR(__xludf.DUMMYFUNCTION("""COMPUTED_VALUE"""),44587072)</f>
        <v>44587072</v>
      </c>
    </row>
    <row r="678" spans="1:6" ht="12.6">
      <c r="A678" s="2">
        <f ca="1">IFERROR(__xludf.DUMMYFUNCTION("""COMPUTED_VALUE"""),45547.6666666666)</f>
        <v>45547.666666666599</v>
      </c>
      <c r="B678" s="1">
        <f ca="1">IFERROR(__xludf.DUMMYFUNCTION("""COMPUTED_VALUE"""),222.5)</f>
        <v>222.5</v>
      </c>
      <c r="C678" s="1">
        <f ca="1">IFERROR(__xludf.DUMMYFUNCTION("""COMPUTED_VALUE"""),223.55)</f>
        <v>223.55</v>
      </c>
      <c r="D678" s="1">
        <f ca="1">IFERROR(__xludf.DUMMYFUNCTION("""COMPUTED_VALUE"""),219.82)</f>
        <v>219.82</v>
      </c>
      <c r="E678" s="1">
        <f ca="1">IFERROR(__xludf.DUMMYFUNCTION("""COMPUTED_VALUE"""),222.77)</f>
        <v>222.77</v>
      </c>
      <c r="F678" s="1">
        <f ca="1">IFERROR(__xludf.DUMMYFUNCTION("""COMPUTED_VALUE"""),37498225)</f>
        <v>37498225</v>
      </c>
    </row>
    <row r="679" spans="1:6" ht="12.6">
      <c r="A679" s="2">
        <f ca="1">IFERROR(__xludf.DUMMYFUNCTION("""COMPUTED_VALUE"""),45548.6666666666)</f>
        <v>45548.666666666599</v>
      </c>
      <c r="B679" s="1">
        <f ca="1">IFERROR(__xludf.DUMMYFUNCTION("""COMPUTED_VALUE"""),223.58)</f>
        <v>223.58</v>
      </c>
      <c r="C679" s="1">
        <f ca="1">IFERROR(__xludf.DUMMYFUNCTION("""COMPUTED_VALUE"""),224.04)</f>
        <v>224.04</v>
      </c>
      <c r="D679" s="1">
        <f ca="1">IFERROR(__xludf.DUMMYFUNCTION("""COMPUTED_VALUE"""),221.91)</f>
        <v>221.91</v>
      </c>
      <c r="E679" s="1">
        <f ca="1">IFERROR(__xludf.DUMMYFUNCTION("""COMPUTED_VALUE"""),222.5)</f>
        <v>222.5</v>
      </c>
      <c r="F679" s="1">
        <f ca="1">IFERROR(__xludf.DUMMYFUNCTION("""COMPUTED_VALUE"""),36766619)</f>
        <v>36766619</v>
      </c>
    </row>
    <row r="680" spans="1:6" ht="12.6">
      <c r="A680" s="2">
        <f ca="1">IFERROR(__xludf.DUMMYFUNCTION("""COMPUTED_VALUE"""),45551.6666666666)</f>
        <v>45551.666666666599</v>
      </c>
      <c r="B680" s="1">
        <f ca="1">IFERROR(__xludf.DUMMYFUNCTION("""COMPUTED_VALUE"""),216.54)</f>
        <v>216.54</v>
      </c>
      <c r="C680" s="1">
        <f ca="1">IFERROR(__xludf.DUMMYFUNCTION("""COMPUTED_VALUE"""),217.22)</f>
        <v>217.22</v>
      </c>
      <c r="D680" s="1">
        <f ca="1">IFERROR(__xludf.DUMMYFUNCTION("""COMPUTED_VALUE"""),213.92)</f>
        <v>213.92</v>
      </c>
      <c r="E680" s="1">
        <f ca="1">IFERROR(__xludf.DUMMYFUNCTION("""COMPUTED_VALUE"""),216.32)</f>
        <v>216.32</v>
      </c>
      <c r="F680" s="1">
        <f ca="1">IFERROR(__xludf.DUMMYFUNCTION("""COMPUTED_VALUE"""),59357427)</f>
        <v>59357427</v>
      </c>
    </row>
    <row r="681" spans="1:6" ht="12.6">
      <c r="A681" s="2">
        <f ca="1">IFERROR(__xludf.DUMMYFUNCTION("""COMPUTED_VALUE"""),45552.6666666666)</f>
        <v>45552.666666666599</v>
      </c>
      <c r="B681" s="1">
        <f ca="1">IFERROR(__xludf.DUMMYFUNCTION("""COMPUTED_VALUE"""),215.75)</f>
        <v>215.75</v>
      </c>
      <c r="C681" s="1">
        <f ca="1">IFERROR(__xludf.DUMMYFUNCTION("""COMPUTED_VALUE"""),216.9)</f>
        <v>216.9</v>
      </c>
      <c r="D681" s="1">
        <f ca="1">IFERROR(__xludf.DUMMYFUNCTION("""COMPUTED_VALUE"""),214.5)</f>
        <v>214.5</v>
      </c>
      <c r="E681" s="1">
        <f ca="1">IFERROR(__xludf.DUMMYFUNCTION("""COMPUTED_VALUE"""),216.79)</f>
        <v>216.79</v>
      </c>
      <c r="F681" s="1">
        <f ca="1">IFERROR(__xludf.DUMMYFUNCTION("""COMPUTED_VALUE"""),45519339)</f>
        <v>45519339</v>
      </c>
    </row>
    <row r="682" spans="1:6" ht="12.6">
      <c r="A682" s="2">
        <f ca="1">IFERROR(__xludf.DUMMYFUNCTION("""COMPUTED_VALUE"""),45553.6666666666)</f>
        <v>45553.666666666599</v>
      </c>
      <c r="B682" s="1">
        <f ca="1">IFERROR(__xludf.DUMMYFUNCTION("""COMPUTED_VALUE"""),217.55)</f>
        <v>217.55</v>
      </c>
      <c r="C682" s="1">
        <f ca="1">IFERROR(__xludf.DUMMYFUNCTION("""COMPUTED_VALUE"""),222.71)</f>
        <v>222.71</v>
      </c>
      <c r="D682" s="1">
        <f ca="1">IFERROR(__xludf.DUMMYFUNCTION("""COMPUTED_VALUE"""),217.54)</f>
        <v>217.54</v>
      </c>
      <c r="E682" s="1">
        <f ca="1">IFERROR(__xludf.DUMMYFUNCTION("""COMPUTED_VALUE"""),220.69)</f>
        <v>220.69</v>
      </c>
      <c r="F682" s="1">
        <f ca="1">IFERROR(__xludf.DUMMYFUNCTION("""COMPUTED_VALUE"""),59894928)</f>
        <v>59894928</v>
      </c>
    </row>
    <row r="683" spans="1:6" ht="12.6">
      <c r="A683" s="2">
        <f ca="1">IFERROR(__xludf.DUMMYFUNCTION("""COMPUTED_VALUE"""),45554.6666666666)</f>
        <v>45554.666666666599</v>
      </c>
      <c r="B683" s="1">
        <f ca="1">IFERROR(__xludf.DUMMYFUNCTION("""COMPUTED_VALUE"""),224.99)</f>
        <v>224.99</v>
      </c>
      <c r="C683" s="1">
        <f ca="1">IFERROR(__xludf.DUMMYFUNCTION("""COMPUTED_VALUE"""),229.82)</f>
        <v>229.82</v>
      </c>
      <c r="D683" s="1">
        <f ca="1">IFERROR(__xludf.DUMMYFUNCTION("""COMPUTED_VALUE"""),224.63)</f>
        <v>224.63</v>
      </c>
      <c r="E683" s="1">
        <f ca="1">IFERROR(__xludf.DUMMYFUNCTION("""COMPUTED_VALUE"""),228.87)</f>
        <v>228.87</v>
      </c>
      <c r="F683" s="1">
        <f ca="1">IFERROR(__xludf.DUMMYFUNCTION("""COMPUTED_VALUE"""),66781315)</f>
        <v>66781315</v>
      </c>
    </row>
    <row r="684" spans="1:6" ht="12.6">
      <c r="A684" s="2">
        <f ca="1">IFERROR(__xludf.DUMMYFUNCTION("""COMPUTED_VALUE"""),45555.6666666666)</f>
        <v>45555.666666666599</v>
      </c>
      <c r="B684" s="1">
        <f ca="1">IFERROR(__xludf.DUMMYFUNCTION("""COMPUTED_VALUE"""),229.97)</f>
        <v>229.97</v>
      </c>
      <c r="C684" s="1">
        <f ca="1">IFERROR(__xludf.DUMMYFUNCTION("""COMPUTED_VALUE"""),233.09)</f>
        <v>233.09</v>
      </c>
      <c r="D684" s="1">
        <f ca="1">IFERROR(__xludf.DUMMYFUNCTION("""COMPUTED_VALUE"""),227.62)</f>
        <v>227.62</v>
      </c>
      <c r="E684" s="1">
        <f ca="1">IFERROR(__xludf.DUMMYFUNCTION("""COMPUTED_VALUE"""),228.2)</f>
        <v>228.2</v>
      </c>
      <c r="F684" s="1">
        <f ca="1">IFERROR(__xludf.DUMMYFUNCTION("""COMPUTED_VALUE"""),318679888)</f>
        <v>318679888</v>
      </c>
    </row>
    <row r="685" spans="1:6" ht="12.6">
      <c r="A685" s="2">
        <f ca="1">IFERROR(__xludf.DUMMYFUNCTION("""COMPUTED_VALUE"""),45558.6666666666)</f>
        <v>45558.666666666599</v>
      </c>
      <c r="B685" s="1">
        <f ca="1">IFERROR(__xludf.DUMMYFUNCTION("""COMPUTED_VALUE"""),227.34)</f>
        <v>227.34</v>
      </c>
      <c r="C685" s="1">
        <f ca="1">IFERROR(__xludf.DUMMYFUNCTION("""COMPUTED_VALUE"""),229.45)</f>
        <v>229.45</v>
      </c>
      <c r="D685" s="1">
        <f ca="1">IFERROR(__xludf.DUMMYFUNCTION("""COMPUTED_VALUE"""),225.81)</f>
        <v>225.81</v>
      </c>
      <c r="E685" s="1">
        <f ca="1">IFERROR(__xludf.DUMMYFUNCTION("""COMPUTED_VALUE"""),226.47)</f>
        <v>226.47</v>
      </c>
      <c r="F685" s="1">
        <f ca="1">IFERROR(__xludf.DUMMYFUNCTION("""COMPUTED_VALUE"""),54146023)</f>
        <v>54146023</v>
      </c>
    </row>
    <row r="686" spans="1:6" ht="12.6">
      <c r="A686" s="2">
        <f ca="1">IFERROR(__xludf.DUMMYFUNCTION("""COMPUTED_VALUE"""),45559.6666666666)</f>
        <v>45559.666666666599</v>
      </c>
      <c r="B686" s="1">
        <f ca="1">IFERROR(__xludf.DUMMYFUNCTION("""COMPUTED_VALUE"""),228.65)</f>
        <v>228.65</v>
      </c>
      <c r="C686" s="1">
        <f ca="1">IFERROR(__xludf.DUMMYFUNCTION("""COMPUTED_VALUE"""),229.35)</f>
        <v>229.35</v>
      </c>
      <c r="D686" s="1">
        <f ca="1">IFERROR(__xludf.DUMMYFUNCTION("""COMPUTED_VALUE"""),225.73)</f>
        <v>225.73</v>
      </c>
      <c r="E686" s="1">
        <f ca="1">IFERROR(__xludf.DUMMYFUNCTION("""COMPUTED_VALUE"""),227.37)</f>
        <v>227.37</v>
      </c>
      <c r="F686" s="1">
        <f ca="1">IFERROR(__xludf.DUMMYFUNCTION("""COMPUTED_VALUE"""),43556068)</f>
        <v>43556068</v>
      </c>
    </row>
    <row r="687" spans="1:6" ht="12.6">
      <c r="A687" s="2">
        <f ca="1">IFERROR(__xludf.DUMMYFUNCTION("""COMPUTED_VALUE"""),45560.6666666666)</f>
        <v>45560.666666666599</v>
      </c>
      <c r="B687" s="1">
        <f ca="1">IFERROR(__xludf.DUMMYFUNCTION("""COMPUTED_VALUE"""),224.93)</f>
        <v>224.93</v>
      </c>
      <c r="C687" s="1">
        <f ca="1">IFERROR(__xludf.DUMMYFUNCTION("""COMPUTED_VALUE"""),227.29)</f>
        <v>227.29</v>
      </c>
      <c r="D687" s="1">
        <f ca="1">IFERROR(__xludf.DUMMYFUNCTION("""COMPUTED_VALUE"""),224.02)</f>
        <v>224.02</v>
      </c>
      <c r="E687" s="1">
        <f ca="1">IFERROR(__xludf.DUMMYFUNCTION("""COMPUTED_VALUE"""),226.37)</f>
        <v>226.37</v>
      </c>
      <c r="F687" s="1">
        <f ca="1">IFERROR(__xludf.DUMMYFUNCTION("""COMPUTED_VALUE"""),42308715)</f>
        <v>42308715</v>
      </c>
    </row>
    <row r="688" spans="1:6" ht="12.6">
      <c r="A688" s="2">
        <f ca="1">IFERROR(__xludf.DUMMYFUNCTION("""COMPUTED_VALUE"""),45561.6666666666)</f>
        <v>45561.666666666599</v>
      </c>
      <c r="B688" s="1">
        <f ca="1">IFERROR(__xludf.DUMMYFUNCTION("""COMPUTED_VALUE"""),227.3)</f>
        <v>227.3</v>
      </c>
      <c r="C688" s="1">
        <f ca="1">IFERROR(__xludf.DUMMYFUNCTION("""COMPUTED_VALUE"""),228.5)</f>
        <v>228.5</v>
      </c>
      <c r="D688" s="1">
        <f ca="1">IFERROR(__xludf.DUMMYFUNCTION("""COMPUTED_VALUE"""),225.41)</f>
        <v>225.41</v>
      </c>
      <c r="E688" s="1">
        <f ca="1">IFERROR(__xludf.DUMMYFUNCTION("""COMPUTED_VALUE"""),227.52)</f>
        <v>227.52</v>
      </c>
      <c r="F688" s="1">
        <f ca="1">IFERROR(__xludf.DUMMYFUNCTION("""COMPUTED_VALUE"""),36636707)</f>
        <v>36636707</v>
      </c>
    </row>
    <row r="689" spans="1:6" ht="12.6">
      <c r="A689" s="2">
        <f ca="1">IFERROR(__xludf.DUMMYFUNCTION("""COMPUTED_VALUE"""),45562.6666666666)</f>
        <v>45562.666666666599</v>
      </c>
      <c r="B689" s="1">
        <f ca="1">IFERROR(__xludf.DUMMYFUNCTION("""COMPUTED_VALUE"""),228.46)</f>
        <v>228.46</v>
      </c>
      <c r="C689" s="1">
        <f ca="1">IFERROR(__xludf.DUMMYFUNCTION("""COMPUTED_VALUE"""),229.52)</f>
        <v>229.52</v>
      </c>
      <c r="D689" s="1">
        <f ca="1">IFERROR(__xludf.DUMMYFUNCTION("""COMPUTED_VALUE"""),227.3)</f>
        <v>227.3</v>
      </c>
      <c r="E689" s="1">
        <f ca="1">IFERROR(__xludf.DUMMYFUNCTION("""COMPUTED_VALUE"""),227.79)</f>
        <v>227.79</v>
      </c>
      <c r="F689" s="1">
        <f ca="1">IFERROR(__xludf.DUMMYFUNCTION("""COMPUTED_VALUE"""),34025967)</f>
        <v>34025967</v>
      </c>
    </row>
    <row r="690" spans="1:6" ht="12.6">
      <c r="A690" s="2">
        <f ca="1">IFERROR(__xludf.DUMMYFUNCTION("""COMPUTED_VALUE"""),45565.6666666666)</f>
        <v>45565.666666666599</v>
      </c>
      <c r="B690" s="1">
        <f ca="1">IFERROR(__xludf.DUMMYFUNCTION("""COMPUTED_VALUE"""),230.04)</f>
        <v>230.04</v>
      </c>
      <c r="C690" s="1">
        <f ca="1">IFERROR(__xludf.DUMMYFUNCTION("""COMPUTED_VALUE"""),233)</f>
        <v>233</v>
      </c>
      <c r="D690" s="1">
        <f ca="1">IFERROR(__xludf.DUMMYFUNCTION("""COMPUTED_VALUE"""),229.65)</f>
        <v>229.65</v>
      </c>
      <c r="E690" s="1">
        <f ca="1">IFERROR(__xludf.DUMMYFUNCTION("""COMPUTED_VALUE"""),233)</f>
        <v>233</v>
      </c>
      <c r="F690" s="1">
        <f ca="1">IFERROR(__xludf.DUMMYFUNCTION("""COMPUTED_VALUE"""),54793391)</f>
        <v>54793391</v>
      </c>
    </row>
    <row r="691" spans="1:6" ht="12.6">
      <c r="A691" s="2">
        <f ca="1">IFERROR(__xludf.DUMMYFUNCTION("""COMPUTED_VALUE"""),45566.6666666666)</f>
        <v>45566.666666666599</v>
      </c>
      <c r="B691" s="1">
        <f ca="1">IFERROR(__xludf.DUMMYFUNCTION("""COMPUTED_VALUE"""),229.52)</f>
        <v>229.52</v>
      </c>
      <c r="C691" s="1">
        <f ca="1">IFERROR(__xludf.DUMMYFUNCTION("""COMPUTED_VALUE"""),229.65)</f>
        <v>229.65</v>
      </c>
      <c r="D691" s="1">
        <f ca="1">IFERROR(__xludf.DUMMYFUNCTION("""COMPUTED_VALUE"""),223.74)</f>
        <v>223.74</v>
      </c>
      <c r="E691" s="1">
        <f ca="1">IFERROR(__xludf.DUMMYFUNCTION("""COMPUTED_VALUE"""),226.21)</f>
        <v>226.21</v>
      </c>
      <c r="F691" s="1">
        <f ca="1">IFERROR(__xludf.DUMMYFUNCTION("""COMPUTED_VALUE"""),63285048)</f>
        <v>63285048</v>
      </c>
    </row>
    <row r="692" spans="1:6" ht="12.6">
      <c r="A692" s="2">
        <f ca="1">IFERROR(__xludf.DUMMYFUNCTION("""COMPUTED_VALUE"""),45567.6666666666)</f>
        <v>45567.666666666599</v>
      </c>
      <c r="B692" s="1">
        <f ca="1">IFERROR(__xludf.DUMMYFUNCTION("""COMPUTED_VALUE"""),225.89)</f>
        <v>225.89</v>
      </c>
      <c r="C692" s="1">
        <f ca="1">IFERROR(__xludf.DUMMYFUNCTION("""COMPUTED_VALUE"""),227.37)</f>
        <v>227.37</v>
      </c>
      <c r="D692" s="1">
        <f ca="1">IFERROR(__xludf.DUMMYFUNCTION("""COMPUTED_VALUE"""),223.02)</f>
        <v>223.02</v>
      </c>
      <c r="E692" s="1">
        <f ca="1">IFERROR(__xludf.DUMMYFUNCTION("""COMPUTED_VALUE"""),226.78)</f>
        <v>226.78</v>
      </c>
      <c r="F692" s="1">
        <f ca="1">IFERROR(__xludf.DUMMYFUNCTION("""COMPUTED_VALUE"""),32880605)</f>
        <v>32880605</v>
      </c>
    </row>
    <row r="693" spans="1:6" ht="12.6">
      <c r="A693" s="2">
        <f ca="1">IFERROR(__xludf.DUMMYFUNCTION("""COMPUTED_VALUE"""),45568.6666666666)</f>
        <v>45568.666666666599</v>
      </c>
      <c r="B693" s="1">
        <f ca="1">IFERROR(__xludf.DUMMYFUNCTION("""COMPUTED_VALUE"""),225.14)</f>
        <v>225.14</v>
      </c>
      <c r="C693" s="1">
        <f ca="1">IFERROR(__xludf.DUMMYFUNCTION("""COMPUTED_VALUE"""),226.81)</f>
        <v>226.81</v>
      </c>
      <c r="D693" s="1">
        <f ca="1">IFERROR(__xludf.DUMMYFUNCTION("""COMPUTED_VALUE"""),223.32)</f>
        <v>223.32</v>
      </c>
      <c r="E693" s="1">
        <f ca="1">IFERROR(__xludf.DUMMYFUNCTION("""COMPUTED_VALUE"""),225.67)</f>
        <v>225.67</v>
      </c>
      <c r="F693" s="1">
        <f ca="1">IFERROR(__xludf.DUMMYFUNCTION("""COMPUTED_VALUE"""),34044158)</f>
        <v>34044158</v>
      </c>
    </row>
    <row r="694" spans="1:6" ht="12.6">
      <c r="A694" s="2">
        <f ca="1">IFERROR(__xludf.DUMMYFUNCTION("""COMPUTED_VALUE"""),45569.6666666666)</f>
        <v>45569.666666666599</v>
      </c>
      <c r="B694" s="1">
        <f ca="1">IFERROR(__xludf.DUMMYFUNCTION("""COMPUTED_VALUE"""),227.9)</f>
        <v>227.9</v>
      </c>
      <c r="C694" s="1">
        <f ca="1">IFERROR(__xludf.DUMMYFUNCTION("""COMPUTED_VALUE"""),228)</f>
        <v>228</v>
      </c>
      <c r="D694" s="1">
        <f ca="1">IFERROR(__xludf.DUMMYFUNCTION("""COMPUTED_VALUE"""),224.13)</f>
        <v>224.13</v>
      </c>
      <c r="E694" s="1">
        <f ca="1">IFERROR(__xludf.DUMMYFUNCTION("""COMPUTED_VALUE"""),226.8)</f>
        <v>226.8</v>
      </c>
      <c r="F694" s="1">
        <f ca="1">IFERROR(__xludf.DUMMYFUNCTION("""COMPUTED_VALUE"""),37345098)</f>
        <v>37345098</v>
      </c>
    </row>
    <row r="695" spans="1:6" ht="12.6">
      <c r="A695" s="2">
        <f ca="1">IFERROR(__xludf.DUMMYFUNCTION("""COMPUTED_VALUE"""),45572.6666666666)</f>
        <v>45572.666666666599</v>
      </c>
      <c r="B695" s="1">
        <f ca="1">IFERROR(__xludf.DUMMYFUNCTION("""COMPUTED_VALUE"""),224.5)</f>
        <v>224.5</v>
      </c>
      <c r="C695" s="1">
        <f ca="1">IFERROR(__xludf.DUMMYFUNCTION("""COMPUTED_VALUE"""),225.69)</f>
        <v>225.69</v>
      </c>
      <c r="D695" s="1">
        <f ca="1">IFERROR(__xludf.DUMMYFUNCTION("""COMPUTED_VALUE"""),221.33)</f>
        <v>221.33</v>
      </c>
      <c r="E695" s="1">
        <f ca="1">IFERROR(__xludf.DUMMYFUNCTION("""COMPUTED_VALUE"""),221.69)</f>
        <v>221.69</v>
      </c>
      <c r="F695" s="1">
        <f ca="1">IFERROR(__xludf.DUMMYFUNCTION("""COMPUTED_VALUE"""),39505354)</f>
        <v>39505354</v>
      </c>
    </row>
    <row r="696" spans="1:6" ht="12.6">
      <c r="A696" s="2">
        <f ca="1">IFERROR(__xludf.DUMMYFUNCTION("""COMPUTED_VALUE"""),45573.6666666666)</f>
        <v>45573.666666666599</v>
      </c>
      <c r="B696" s="1">
        <f ca="1">IFERROR(__xludf.DUMMYFUNCTION("""COMPUTED_VALUE"""),224.3)</f>
        <v>224.3</v>
      </c>
      <c r="C696" s="1">
        <f ca="1">IFERROR(__xludf.DUMMYFUNCTION("""COMPUTED_VALUE"""),225.98)</f>
        <v>225.98</v>
      </c>
      <c r="D696" s="1">
        <f ca="1">IFERROR(__xludf.DUMMYFUNCTION("""COMPUTED_VALUE"""),223.25)</f>
        <v>223.25</v>
      </c>
      <c r="E696" s="1">
        <f ca="1">IFERROR(__xludf.DUMMYFUNCTION("""COMPUTED_VALUE"""),225.77)</f>
        <v>225.77</v>
      </c>
      <c r="F696" s="1">
        <f ca="1">IFERROR(__xludf.DUMMYFUNCTION("""COMPUTED_VALUE"""),31855693)</f>
        <v>31855693</v>
      </c>
    </row>
    <row r="697" spans="1:6" ht="12.6">
      <c r="A697" s="2">
        <f ca="1">IFERROR(__xludf.DUMMYFUNCTION("""COMPUTED_VALUE"""),45574.6666666666)</f>
        <v>45574.666666666599</v>
      </c>
      <c r="B697" s="1">
        <f ca="1">IFERROR(__xludf.DUMMYFUNCTION("""COMPUTED_VALUE"""),225.23)</f>
        <v>225.23</v>
      </c>
      <c r="C697" s="1">
        <f ca="1">IFERROR(__xludf.DUMMYFUNCTION("""COMPUTED_VALUE"""),229.75)</f>
        <v>229.75</v>
      </c>
      <c r="D697" s="1">
        <f ca="1">IFERROR(__xludf.DUMMYFUNCTION("""COMPUTED_VALUE"""),224.83)</f>
        <v>224.83</v>
      </c>
      <c r="E697" s="1">
        <f ca="1">IFERROR(__xludf.DUMMYFUNCTION("""COMPUTED_VALUE"""),229.54)</f>
        <v>229.54</v>
      </c>
      <c r="F697" s="1">
        <f ca="1">IFERROR(__xludf.DUMMYFUNCTION("""COMPUTED_VALUE"""),33591091)</f>
        <v>33591091</v>
      </c>
    </row>
    <row r="698" spans="1:6" ht="12.6">
      <c r="A698" s="2">
        <f ca="1">IFERROR(__xludf.DUMMYFUNCTION("""COMPUTED_VALUE"""),45575.6666666666)</f>
        <v>45575.666666666599</v>
      </c>
      <c r="B698" s="1">
        <f ca="1">IFERROR(__xludf.DUMMYFUNCTION("""COMPUTED_VALUE"""),227.78)</f>
        <v>227.78</v>
      </c>
      <c r="C698" s="1">
        <f ca="1">IFERROR(__xludf.DUMMYFUNCTION("""COMPUTED_VALUE"""),229.5)</f>
        <v>229.5</v>
      </c>
      <c r="D698" s="1">
        <f ca="1">IFERROR(__xludf.DUMMYFUNCTION("""COMPUTED_VALUE"""),227.17)</f>
        <v>227.17</v>
      </c>
      <c r="E698" s="1">
        <f ca="1">IFERROR(__xludf.DUMMYFUNCTION("""COMPUTED_VALUE"""),229.04)</f>
        <v>229.04</v>
      </c>
      <c r="F698" s="1">
        <f ca="1">IFERROR(__xludf.DUMMYFUNCTION("""COMPUTED_VALUE"""),28183544)</f>
        <v>28183544</v>
      </c>
    </row>
    <row r="699" spans="1:6" ht="12.6">
      <c r="A699" s="2">
        <f ca="1">IFERROR(__xludf.DUMMYFUNCTION("""COMPUTED_VALUE"""),45576.6666666666)</f>
        <v>45576.666666666599</v>
      </c>
      <c r="B699" s="1">
        <f ca="1">IFERROR(__xludf.DUMMYFUNCTION("""COMPUTED_VALUE"""),229.3)</f>
        <v>229.3</v>
      </c>
      <c r="C699" s="1">
        <f ca="1">IFERROR(__xludf.DUMMYFUNCTION("""COMPUTED_VALUE"""),229.41)</f>
        <v>229.41</v>
      </c>
      <c r="D699" s="1">
        <f ca="1">IFERROR(__xludf.DUMMYFUNCTION("""COMPUTED_VALUE"""),227.34)</f>
        <v>227.34</v>
      </c>
      <c r="E699" s="1">
        <f ca="1">IFERROR(__xludf.DUMMYFUNCTION("""COMPUTED_VALUE"""),227.55)</f>
        <v>227.55</v>
      </c>
      <c r="F699" s="1">
        <f ca="1">IFERROR(__xludf.DUMMYFUNCTION("""COMPUTED_VALUE"""),31759188)</f>
        <v>31759188</v>
      </c>
    </row>
    <row r="700" spans="1:6" ht="12.6">
      <c r="A700" s="2">
        <f ca="1">IFERROR(__xludf.DUMMYFUNCTION("""COMPUTED_VALUE"""),45579.6666666666)</f>
        <v>45579.666666666599</v>
      </c>
      <c r="B700" s="1">
        <f ca="1">IFERROR(__xludf.DUMMYFUNCTION("""COMPUTED_VALUE"""),228.7)</f>
        <v>228.7</v>
      </c>
      <c r="C700" s="1">
        <f ca="1">IFERROR(__xludf.DUMMYFUNCTION("""COMPUTED_VALUE"""),231.73)</f>
        <v>231.73</v>
      </c>
      <c r="D700" s="1">
        <f ca="1">IFERROR(__xludf.DUMMYFUNCTION("""COMPUTED_VALUE"""),228.6)</f>
        <v>228.6</v>
      </c>
      <c r="E700" s="1">
        <f ca="1">IFERROR(__xludf.DUMMYFUNCTION("""COMPUTED_VALUE"""),231.3)</f>
        <v>231.3</v>
      </c>
      <c r="F700" s="1">
        <f ca="1">IFERROR(__xludf.DUMMYFUNCTION("""COMPUTED_VALUE"""),39882085)</f>
        <v>39882085</v>
      </c>
    </row>
    <row r="701" spans="1:6" ht="12.6">
      <c r="A701" s="2">
        <f ca="1">IFERROR(__xludf.DUMMYFUNCTION("""COMPUTED_VALUE"""),45580.6666666666)</f>
        <v>45580.666666666599</v>
      </c>
      <c r="B701" s="1">
        <f ca="1">IFERROR(__xludf.DUMMYFUNCTION("""COMPUTED_VALUE"""),233.61)</f>
        <v>233.61</v>
      </c>
      <c r="C701" s="1">
        <f ca="1">IFERROR(__xludf.DUMMYFUNCTION("""COMPUTED_VALUE"""),237.49)</f>
        <v>237.49</v>
      </c>
      <c r="D701" s="1">
        <f ca="1">IFERROR(__xludf.DUMMYFUNCTION("""COMPUTED_VALUE"""),232.37)</f>
        <v>232.37</v>
      </c>
      <c r="E701" s="1">
        <f ca="1">IFERROR(__xludf.DUMMYFUNCTION("""COMPUTED_VALUE"""),233.85)</f>
        <v>233.85</v>
      </c>
      <c r="F701" s="1">
        <f ca="1">IFERROR(__xludf.DUMMYFUNCTION("""COMPUTED_VALUE"""),64751367)</f>
        <v>64751367</v>
      </c>
    </row>
    <row r="702" spans="1:6" ht="12.6">
      <c r="A702" s="2">
        <f ca="1">IFERROR(__xludf.DUMMYFUNCTION("""COMPUTED_VALUE"""),45581.6666666666)</f>
        <v>45581.666666666599</v>
      </c>
      <c r="B702" s="1">
        <f ca="1">IFERROR(__xludf.DUMMYFUNCTION("""COMPUTED_VALUE"""),231.6)</f>
        <v>231.6</v>
      </c>
      <c r="C702" s="1">
        <f ca="1">IFERROR(__xludf.DUMMYFUNCTION("""COMPUTED_VALUE"""),232.12)</f>
        <v>232.12</v>
      </c>
      <c r="D702" s="1">
        <f ca="1">IFERROR(__xludf.DUMMYFUNCTION("""COMPUTED_VALUE"""),229.84)</f>
        <v>229.84</v>
      </c>
      <c r="E702" s="1">
        <f ca="1">IFERROR(__xludf.DUMMYFUNCTION("""COMPUTED_VALUE"""),231.78)</f>
        <v>231.78</v>
      </c>
      <c r="F702" s="1">
        <f ca="1">IFERROR(__xludf.DUMMYFUNCTION("""COMPUTED_VALUE"""),34082240)</f>
        <v>34082240</v>
      </c>
    </row>
    <row r="703" spans="1:6" ht="12.6">
      <c r="A703" s="2">
        <f ca="1">IFERROR(__xludf.DUMMYFUNCTION("""COMPUTED_VALUE"""),45582.6666666666)</f>
        <v>45582.666666666599</v>
      </c>
      <c r="B703" s="1">
        <f ca="1">IFERROR(__xludf.DUMMYFUNCTION("""COMPUTED_VALUE"""),233.43)</f>
        <v>233.43</v>
      </c>
      <c r="C703" s="1">
        <f ca="1">IFERROR(__xludf.DUMMYFUNCTION("""COMPUTED_VALUE"""),233.85)</f>
        <v>233.85</v>
      </c>
      <c r="D703" s="1">
        <f ca="1">IFERROR(__xludf.DUMMYFUNCTION("""COMPUTED_VALUE"""),230.52)</f>
        <v>230.52</v>
      </c>
      <c r="E703" s="1">
        <f ca="1">IFERROR(__xludf.DUMMYFUNCTION("""COMPUTED_VALUE"""),232.15)</f>
        <v>232.15</v>
      </c>
      <c r="F703" s="1">
        <f ca="1">IFERROR(__xludf.DUMMYFUNCTION("""COMPUTED_VALUE"""),32993810)</f>
        <v>32993810</v>
      </c>
    </row>
    <row r="704" spans="1:6" ht="12.6">
      <c r="A704" s="2">
        <f ca="1">IFERROR(__xludf.DUMMYFUNCTION("""COMPUTED_VALUE"""),45583.6666666666)</f>
        <v>45583.666666666599</v>
      </c>
      <c r="B704" s="1">
        <f ca="1">IFERROR(__xludf.DUMMYFUNCTION("""COMPUTED_VALUE"""),236.18)</f>
        <v>236.18</v>
      </c>
      <c r="C704" s="1">
        <f ca="1">IFERROR(__xludf.DUMMYFUNCTION("""COMPUTED_VALUE"""),236.18)</f>
        <v>236.18</v>
      </c>
      <c r="D704" s="1">
        <f ca="1">IFERROR(__xludf.DUMMYFUNCTION("""COMPUTED_VALUE"""),234.01)</f>
        <v>234.01</v>
      </c>
      <c r="E704" s="1">
        <f ca="1">IFERROR(__xludf.DUMMYFUNCTION("""COMPUTED_VALUE"""),235)</f>
        <v>235</v>
      </c>
      <c r="F704" s="1">
        <f ca="1">IFERROR(__xludf.DUMMYFUNCTION("""COMPUTED_VALUE"""),46431472)</f>
        <v>46431472</v>
      </c>
    </row>
    <row r="705" spans="1:6" ht="12.6">
      <c r="A705" s="2">
        <f ca="1">IFERROR(__xludf.DUMMYFUNCTION("""COMPUTED_VALUE"""),45586.6666666666)</f>
        <v>45586.666666666599</v>
      </c>
      <c r="B705" s="1">
        <f ca="1">IFERROR(__xludf.DUMMYFUNCTION("""COMPUTED_VALUE"""),234.45)</f>
        <v>234.45</v>
      </c>
      <c r="C705" s="1">
        <f ca="1">IFERROR(__xludf.DUMMYFUNCTION("""COMPUTED_VALUE"""),236.85)</f>
        <v>236.85</v>
      </c>
      <c r="D705" s="1">
        <f ca="1">IFERROR(__xludf.DUMMYFUNCTION("""COMPUTED_VALUE"""),234.45)</f>
        <v>234.45</v>
      </c>
      <c r="E705" s="1">
        <f ca="1">IFERROR(__xludf.DUMMYFUNCTION("""COMPUTED_VALUE"""),236.48)</f>
        <v>236.48</v>
      </c>
      <c r="F705" s="1">
        <f ca="1">IFERROR(__xludf.DUMMYFUNCTION("""COMPUTED_VALUE"""),36254470)</f>
        <v>36254470</v>
      </c>
    </row>
    <row r="706" spans="1:6" ht="12.6">
      <c r="A706" s="2">
        <f ca="1">IFERROR(__xludf.DUMMYFUNCTION("""COMPUTED_VALUE"""),45587.6666666666)</f>
        <v>45587.666666666599</v>
      </c>
      <c r="B706" s="1">
        <f ca="1">IFERROR(__xludf.DUMMYFUNCTION("""COMPUTED_VALUE"""),233.89)</f>
        <v>233.89</v>
      </c>
      <c r="C706" s="1">
        <f ca="1">IFERROR(__xludf.DUMMYFUNCTION("""COMPUTED_VALUE"""),236.22)</f>
        <v>236.22</v>
      </c>
      <c r="D706" s="1">
        <f ca="1">IFERROR(__xludf.DUMMYFUNCTION("""COMPUTED_VALUE"""),232.6)</f>
        <v>232.6</v>
      </c>
      <c r="E706" s="1">
        <f ca="1">IFERROR(__xludf.DUMMYFUNCTION("""COMPUTED_VALUE"""),235.86)</f>
        <v>235.86</v>
      </c>
      <c r="F706" s="1">
        <f ca="1">IFERROR(__xludf.DUMMYFUNCTION("""COMPUTED_VALUE"""),38846578)</f>
        <v>38846578</v>
      </c>
    </row>
    <row r="707" spans="1:6" ht="12.6">
      <c r="A707" s="2">
        <f ca="1">IFERROR(__xludf.DUMMYFUNCTION("""COMPUTED_VALUE"""),45588.6666666666)</f>
        <v>45588.666666666599</v>
      </c>
      <c r="B707" s="1">
        <f ca="1">IFERROR(__xludf.DUMMYFUNCTION("""COMPUTED_VALUE"""),234.08)</f>
        <v>234.08</v>
      </c>
      <c r="C707" s="1">
        <f ca="1">IFERROR(__xludf.DUMMYFUNCTION("""COMPUTED_VALUE"""),235.14)</f>
        <v>235.14</v>
      </c>
      <c r="D707" s="1">
        <f ca="1">IFERROR(__xludf.DUMMYFUNCTION("""COMPUTED_VALUE"""),227.76)</f>
        <v>227.76</v>
      </c>
      <c r="E707" s="1">
        <f ca="1">IFERROR(__xludf.DUMMYFUNCTION("""COMPUTED_VALUE"""),230.76)</f>
        <v>230.76</v>
      </c>
      <c r="F707" s="1">
        <f ca="1">IFERROR(__xludf.DUMMYFUNCTION("""COMPUTED_VALUE"""),52286979)</f>
        <v>52286979</v>
      </c>
    </row>
    <row r="708" spans="1:6" ht="12.6">
      <c r="A708" s="2">
        <f ca="1">IFERROR(__xludf.DUMMYFUNCTION("""COMPUTED_VALUE"""),45589.6666666666)</f>
        <v>45589.666666666599</v>
      </c>
      <c r="B708" s="1">
        <f ca="1">IFERROR(__xludf.DUMMYFUNCTION("""COMPUTED_VALUE"""),229.98)</f>
        <v>229.98</v>
      </c>
      <c r="C708" s="1">
        <f ca="1">IFERROR(__xludf.DUMMYFUNCTION("""COMPUTED_VALUE"""),230.82)</f>
        <v>230.82</v>
      </c>
      <c r="D708" s="1">
        <f ca="1">IFERROR(__xludf.DUMMYFUNCTION("""COMPUTED_VALUE"""),228.41)</f>
        <v>228.41</v>
      </c>
      <c r="E708" s="1">
        <f ca="1">IFERROR(__xludf.DUMMYFUNCTION("""COMPUTED_VALUE"""),230.57)</f>
        <v>230.57</v>
      </c>
      <c r="F708" s="1">
        <f ca="1">IFERROR(__xludf.DUMMYFUNCTION("""COMPUTED_VALUE"""),31109503)</f>
        <v>31109503</v>
      </c>
    </row>
    <row r="709" spans="1:6" ht="12.6">
      <c r="A709" s="2">
        <f ca="1">IFERROR(__xludf.DUMMYFUNCTION("""COMPUTED_VALUE"""),45590.6666666666)</f>
        <v>45590.666666666599</v>
      </c>
      <c r="B709" s="1">
        <f ca="1">IFERROR(__xludf.DUMMYFUNCTION("""COMPUTED_VALUE"""),229.74)</f>
        <v>229.74</v>
      </c>
      <c r="C709" s="1">
        <f ca="1">IFERROR(__xludf.DUMMYFUNCTION("""COMPUTED_VALUE"""),233.22)</f>
        <v>233.22</v>
      </c>
      <c r="D709" s="1">
        <f ca="1">IFERROR(__xludf.DUMMYFUNCTION("""COMPUTED_VALUE"""),229.57)</f>
        <v>229.57</v>
      </c>
      <c r="E709" s="1">
        <f ca="1">IFERROR(__xludf.DUMMYFUNCTION("""COMPUTED_VALUE"""),231.41)</f>
        <v>231.41</v>
      </c>
      <c r="F709" s="1">
        <f ca="1">IFERROR(__xludf.DUMMYFUNCTION("""COMPUTED_VALUE"""),38802304)</f>
        <v>38802304</v>
      </c>
    </row>
    <row r="710" spans="1:6" ht="12.6">
      <c r="A710" s="2">
        <f ca="1">IFERROR(__xludf.DUMMYFUNCTION("""COMPUTED_VALUE"""),45593.6666666666)</f>
        <v>45593.666666666599</v>
      </c>
      <c r="B710" s="1">
        <f ca="1">IFERROR(__xludf.DUMMYFUNCTION("""COMPUTED_VALUE"""),233.32)</f>
        <v>233.32</v>
      </c>
      <c r="C710" s="1">
        <f ca="1">IFERROR(__xludf.DUMMYFUNCTION("""COMPUTED_VALUE"""),234.73)</f>
        <v>234.73</v>
      </c>
      <c r="D710" s="1">
        <f ca="1">IFERROR(__xludf.DUMMYFUNCTION("""COMPUTED_VALUE"""),232.55)</f>
        <v>232.55</v>
      </c>
      <c r="E710" s="1">
        <f ca="1">IFERROR(__xludf.DUMMYFUNCTION("""COMPUTED_VALUE"""),233.4)</f>
        <v>233.4</v>
      </c>
      <c r="F710" s="1">
        <f ca="1">IFERROR(__xludf.DUMMYFUNCTION("""COMPUTED_VALUE"""),36087134)</f>
        <v>36087134</v>
      </c>
    </row>
    <row r="711" spans="1:6" ht="12.6">
      <c r="A711" s="2">
        <f ca="1">IFERROR(__xludf.DUMMYFUNCTION("""COMPUTED_VALUE"""),45594.6666666666)</f>
        <v>45594.666666666599</v>
      </c>
      <c r="B711" s="1">
        <f ca="1">IFERROR(__xludf.DUMMYFUNCTION("""COMPUTED_VALUE"""),233.1)</f>
        <v>233.1</v>
      </c>
      <c r="C711" s="1">
        <f ca="1">IFERROR(__xludf.DUMMYFUNCTION("""COMPUTED_VALUE"""),234.33)</f>
        <v>234.33</v>
      </c>
      <c r="D711" s="1">
        <f ca="1">IFERROR(__xludf.DUMMYFUNCTION("""COMPUTED_VALUE"""),232.32)</f>
        <v>232.32</v>
      </c>
      <c r="E711" s="1">
        <f ca="1">IFERROR(__xludf.DUMMYFUNCTION("""COMPUTED_VALUE"""),233.67)</f>
        <v>233.67</v>
      </c>
      <c r="F711" s="1">
        <f ca="1">IFERROR(__xludf.DUMMYFUNCTION("""COMPUTED_VALUE"""),35417247)</f>
        <v>35417247</v>
      </c>
    </row>
    <row r="712" spans="1:6" ht="12.6">
      <c r="A712" s="2">
        <f ca="1">IFERROR(__xludf.DUMMYFUNCTION("""COMPUTED_VALUE"""),45595.6666666666)</f>
        <v>45595.666666666599</v>
      </c>
      <c r="B712" s="1">
        <f ca="1">IFERROR(__xludf.DUMMYFUNCTION("""COMPUTED_VALUE"""),232.61)</f>
        <v>232.61</v>
      </c>
      <c r="C712" s="1">
        <f ca="1">IFERROR(__xludf.DUMMYFUNCTION("""COMPUTED_VALUE"""),233.47)</f>
        <v>233.47</v>
      </c>
      <c r="D712" s="1">
        <f ca="1">IFERROR(__xludf.DUMMYFUNCTION("""COMPUTED_VALUE"""),229.55)</f>
        <v>229.55</v>
      </c>
      <c r="E712" s="1">
        <f ca="1">IFERROR(__xludf.DUMMYFUNCTION("""COMPUTED_VALUE"""),230.1)</f>
        <v>230.1</v>
      </c>
      <c r="F712" s="1">
        <f ca="1">IFERROR(__xludf.DUMMYFUNCTION("""COMPUTED_VALUE"""),47070907)</f>
        <v>47070907</v>
      </c>
    </row>
    <row r="713" spans="1:6" ht="12.6">
      <c r="A713" s="2">
        <f ca="1">IFERROR(__xludf.DUMMYFUNCTION("""COMPUTED_VALUE"""),45596.6666666666)</f>
        <v>45596.666666666599</v>
      </c>
      <c r="B713" s="1">
        <f ca="1">IFERROR(__xludf.DUMMYFUNCTION("""COMPUTED_VALUE"""),229.34)</f>
        <v>229.34</v>
      </c>
      <c r="C713" s="1">
        <f ca="1">IFERROR(__xludf.DUMMYFUNCTION("""COMPUTED_VALUE"""),229.83)</f>
        <v>229.83</v>
      </c>
      <c r="D713" s="1">
        <f ca="1">IFERROR(__xludf.DUMMYFUNCTION("""COMPUTED_VALUE"""),225.37)</f>
        <v>225.37</v>
      </c>
      <c r="E713" s="1">
        <f ca="1">IFERROR(__xludf.DUMMYFUNCTION("""COMPUTED_VALUE"""),225.91)</f>
        <v>225.91</v>
      </c>
      <c r="F713" s="1">
        <f ca="1">IFERROR(__xludf.DUMMYFUNCTION("""COMPUTED_VALUE"""),64370086)</f>
        <v>64370086</v>
      </c>
    </row>
    <row r="714" spans="1:6" ht="12.6">
      <c r="A714" s="2">
        <f ca="1">IFERROR(__xludf.DUMMYFUNCTION("""COMPUTED_VALUE"""),45597.6666666666)</f>
        <v>45597.666666666599</v>
      </c>
      <c r="B714" s="1">
        <f ca="1">IFERROR(__xludf.DUMMYFUNCTION("""COMPUTED_VALUE"""),220.97)</f>
        <v>220.97</v>
      </c>
      <c r="C714" s="1">
        <f ca="1">IFERROR(__xludf.DUMMYFUNCTION("""COMPUTED_VALUE"""),225.35)</f>
        <v>225.35</v>
      </c>
      <c r="D714" s="1">
        <f ca="1">IFERROR(__xludf.DUMMYFUNCTION("""COMPUTED_VALUE"""),220.27)</f>
        <v>220.27</v>
      </c>
      <c r="E714" s="1">
        <f ca="1">IFERROR(__xludf.DUMMYFUNCTION("""COMPUTED_VALUE"""),222.91)</f>
        <v>222.91</v>
      </c>
      <c r="F714" s="1">
        <f ca="1">IFERROR(__xludf.DUMMYFUNCTION("""COMPUTED_VALUE"""),65276741)</f>
        <v>65276741</v>
      </c>
    </row>
    <row r="715" spans="1:6" ht="12.6">
      <c r="A715" s="2">
        <f ca="1">IFERROR(__xludf.DUMMYFUNCTION("""COMPUTED_VALUE"""),45600.6666666666)</f>
        <v>45600.666666666599</v>
      </c>
      <c r="B715" s="1">
        <f ca="1">IFERROR(__xludf.DUMMYFUNCTION("""COMPUTED_VALUE"""),220.99)</f>
        <v>220.99</v>
      </c>
      <c r="C715" s="1">
        <f ca="1">IFERROR(__xludf.DUMMYFUNCTION("""COMPUTED_VALUE"""),222.79)</f>
        <v>222.79</v>
      </c>
      <c r="D715" s="1">
        <f ca="1">IFERROR(__xludf.DUMMYFUNCTION("""COMPUTED_VALUE"""),219.71)</f>
        <v>219.71</v>
      </c>
      <c r="E715" s="1">
        <f ca="1">IFERROR(__xludf.DUMMYFUNCTION("""COMPUTED_VALUE"""),222.01)</f>
        <v>222.01</v>
      </c>
      <c r="F715" s="1">
        <f ca="1">IFERROR(__xludf.DUMMYFUNCTION("""COMPUTED_VALUE"""),44944468)</f>
        <v>44944468</v>
      </c>
    </row>
    <row r="716" spans="1:6" ht="12.6">
      <c r="A716" s="2">
        <f ca="1">IFERROR(__xludf.DUMMYFUNCTION("""COMPUTED_VALUE"""),45601.6666666666)</f>
        <v>45601.666666666599</v>
      </c>
      <c r="B716" s="1">
        <f ca="1">IFERROR(__xludf.DUMMYFUNCTION("""COMPUTED_VALUE"""),221.8)</f>
        <v>221.8</v>
      </c>
      <c r="C716" s="1">
        <f ca="1">IFERROR(__xludf.DUMMYFUNCTION("""COMPUTED_VALUE"""),223.95)</f>
        <v>223.95</v>
      </c>
      <c r="D716" s="1">
        <f ca="1">IFERROR(__xludf.DUMMYFUNCTION("""COMPUTED_VALUE"""),221.14)</f>
        <v>221.14</v>
      </c>
      <c r="E716" s="1">
        <f ca="1">IFERROR(__xludf.DUMMYFUNCTION("""COMPUTED_VALUE"""),223.45)</f>
        <v>223.45</v>
      </c>
      <c r="F716" s="1">
        <f ca="1">IFERROR(__xludf.DUMMYFUNCTION("""COMPUTED_VALUE"""),28111338)</f>
        <v>28111338</v>
      </c>
    </row>
    <row r="717" spans="1:6" ht="12.6">
      <c r="A717" s="2">
        <f ca="1">IFERROR(__xludf.DUMMYFUNCTION("""COMPUTED_VALUE"""),45602.6666666666)</f>
        <v>45602.666666666599</v>
      </c>
      <c r="B717" s="1">
        <f ca="1">IFERROR(__xludf.DUMMYFUNCTION("""COMPUTED_VALUE"""),222.61)</f>
        <v>222.61</v>
      </c>
      <c r="C717" s="1">
        <f ca="1">IFERROR(__xludf.DUMMYFUNCTION("""COMPUTED_VALUE"""),226.07)</f>
        <v>226.07</v>
      </c>
      <c r="D717" s="1">
        <f ca="1">IFERROR(__xludf.DUMMYFUNCTION("""COMPUTED_VALUE"""),221.19)</f>
        <v>221.19</v>
      </c>
      <c r="E717" s="1">
        <f ca="1">IFERROR(__xludf.DUMMYFUNCTION("""COMPUTED_VALUE"""),222.72)</f>
        <v>222.72</v>
      </c>
      <c r="F717" s="1">
        <f ca="1">IFERROR(__xludf.DUMMYFUNCTION("""COMPUTED_VALUE"""),54561121)</f>
        <v>54561121</v>
      </c>
    </row>
    <row r="718" spans="1:6" ht="12.6">
      <c r="A718" s="2">
        <f ca="1">IFERROR(__xludf.DUMMYFUNCTION("""COMPUTED_VALUE"""),45603.6666666666)</f>
        <v>45603.666666666599</v>
      </c>
      <c r="B718" s="1">
        <f ca="1">IFERROR(__xludf.DUMMYFUNCTION("""COMPUTED_VALUE"""),224.63)</f>
        <v>224.63</v>
      </c>
      <c r="C718" s="1">
        <f ca="1">IFERROR(__xludf.DUMMYFUNCTION("""COMPUTED_VALUE"""),227.88)</f>
        <v>227.88</v>
      </c>
      <c r="D718" s="1">
        <f ca="1">IFERROR(__xludf.DUMMYFUNCTION("""COMPUTED_VALUE"""),224.57)</f>
        <v>224.57</v>
      </c>
      <c r="E718" s="1">
        <f ca="1">IFERROR(__xludf.DUMMYFUNCTION("""COMPUTED_VALUE"""),227.48)</f>
        <v>227.48</v>
      </c>
      <c r="F718" s="1">
        <f ca="1">IFERROR(__xludf.DUMMYFUNCTION("""COMPUTED_VALUE"""),42137691)</f>
        <v>42137691</v>
      </c>
    </row>
    <row r="719" spans="1:6" ht="12.6">
      <c r="A719" s="2">
        <f ca="1">IFERROR(__xludf.DUMMYFUNCTION("""COMPUTED_VALUE"""),45604.6666666666)</f>
        <v>45604.666666666599</v>
      </c>
      <c r="B719" s="1">
        <f ca="1">IFERROR(__xludf.DUMMYFUNCTION("""COMPUTED_VALUE"""),227.17)</f>
        <v>227.17</v>
      </c>
      <c r="C719" s="1">
        <f ca="1">IFERROR(__xludf.DUMMYFUNCTION("""COMPUTED_VALUE"""),228.66)</f>
        <v>228.66</v>
      </c>
      <c r="D719" s="1">
        <f ca="1">IFERROR(__xludf.DUMMYFUNCTION("""COMPUTED_VALUE"""),226.41)</f>
        <v>226.41</v>
      </c>
      <c r="E719" s="1">
        <f ca="1">IFERROR(__xludf.DUMMYFUNCTION("""COMPUTED_VALUE"""),226.96)</f>
        <v>226.96</v>
      </c>
      <c r="F719" s="1">
        <f ca="1">IFERROR(__xludf.DUMMYFUNCTION("""COMPUTED_VALUE"""),38328824)</f>
        <v>38328824</v>
      </c>
    </row>
    <row r="720" spans="1:6" ht="12.6">
      <c r="A720" s="2">
        <f ca="1">IFERROR(__xludf.DUMMYFUNCTION("""COMPUTED_VALUE"""),45607.6666666666)</f>
        <v>45607.666666666599</v>
      </c>
      <c r="B720" s="1">
        <f ca="1">IFERROR(__xludf.DUMMYFUNCTION("""COMPUTED_VALUE"""),225)</f>
        <v>225</v>
      </c>
      <c r="C720" s="1">
        <f ca="1">IFERROR(__xludf.DUMMYFUNCTION("""COMPUTED_VALUE"""),225.7)</f>
        <v>225.7</v>
      </c>
      <c r="D720" s="1">
        <f ca="1">IFERROR(__xludf.DUMMYFUNCTION("""COMPUTED_VALUE"""),221.5)</f>
        <v>221.5</v>
      </c>
      <c r="E720" s="1">
        <f ca="1">IFERROR(__xludf.DUMMYFUNCTION("""COMPUTED_VALUE"""),224.23)</f>
        <v>224.23</v>
      </c>
      <c r="F720" s="1">
        <f ca="1">IFERROR(__xludf.DUMMYFUNCTION("""COMPUTED_VALUE"""),42005602)</f>
        <v>42005602</v>
      </c>
    </row>
    <row r="721" spans="1:6" ht="12.6">
      <c r="A721" s="2">
        <f ca="1">IFERROR(__xludf.DUMMYFUNCTION("""COMPUTED_VALUE"""),45608.6666666666)</f>
        <v>45608.666666666599</v>
      </c>
      <c r="B721" s="1">
        <f ca="1">IFERROR(__xludf.DUMMYFUNCTION("""COMPUTED_VALUE"""),224.55)</f>
        <v>224.55</v>
      </c>
      <c r="C721" s="1">
        <f ca="1">IFERROR(__xludf.DUMMYFUNCTION("""COMPUTED_VALUE"""),225.59)</f>
        <v>225.59</v>
      </c>
      <c r="D721" s="1">
        <f ca="1">IFERROR(__xludf.DUMMYFUNCTION("""COMPUTED_VALUE"""),223.36)</f>
        <v>223.36</v>
      </c>
      <c r="E721" s="1">
        <f ca="1">IFERROR(__xludf.DUMMYFUNCTION("""COMPUTED_VALUE"""),224.23)</f>
        <v>224.23</v>
      </c>
      <c r="F721" s="1">
        <f ca="1">IFERROR(__xludf.DUMMYFUNCTION("""COMPUTED_VALUE"""),40398299)</f>
        <v>40398299</v>
      </c>
    </row>
    <row r="722" spans="1:6" ht="12.6">
      <c r="A722" s="2">
        <f ca="1">IFERROR(__xludf.DUMMYFUNCTION("""COMPUTED_VALUE"""),45609.6666666666)</f>
        <v>45609.666666666599</v>
      </c>
      <c r="B722" s="1">
        <f ca="1">IFERROR(__xludf.DUMMYFUNCTION("""COMPUTED_VALUE"""),224.01)</f>
        <v>224.01</v>
      </c>
      <c r="C722" s="1">
        <f ca="1">IFERROR(__xludf.DUMMYFUNCTION("""COMPUTED_VALUE"""),226.65)</f>
        <v>226.65</v>
      </c>
      <c r="D722" s="1">
        <f ca="1">IFERROR(__xludf.DUMMYFUNCTION("""COMPUTED_VALUE"""),222.76)</f>
        <v>222.76</v>
      </c>
      <c r="E722" s="1">
        <f ca="1">IFERROR(__xludf.DUMMYFUNCTION("""COMPUTED_VALUE"""),225.12)</f>
        <v>225.12</v>
      </c>
      <c r="F722" s="1">
        <f ca="1">IFERROR(__xludf.DUMMYFUNCTION("""COMPUTED_VALUE"""),48566217)</f>
        <v>48566217</v>
      </c>
    </row>
    <row r="723" spans="1:6" ht="12.6">
      <c r="A723" s="2">
        <f ca="1">IFERROR(__xludf.DUMMYFUNCTION("""COMPUTED_VALUE"""),45610.6666666666)</f>
        <v>45610.666666666599</v>
      </c>
      <c r="B723" s="1">
        <f ca="1">IFERROR(__xludf.DUMMYFUNCTION("""COMPUTED_VALUE"""),225.02)</f>
        <v>225.02</v>
      </c>
      <c r="C723" s="1">
        <f ca="1">IFERROR(__xludf.DUMMYFUNCTION("""COMPUTED_VALUE"""),228.87)</f>
        <v>228.87</v>
      </c>
      <c r="D723" s="1">
        <f ca="1">IFERROR(__xludf.DUMMYFUNCTION("""COMPUTED_VALUE"""),225)</f>
        <v>225</v>
      </c>
      <c r="E723" s="1">
        <f ca="1">IFERROR(__xludf.DUMMYFUNCTION("""COMPUTED_VALUE"""),228.22)</f>
        <v>228.22</v>
      </c>
      <c r="F723" s="1">
        <f ca="1">IFERROR(__xludf.DUMMYFUNCTION("""COMPUTED_VALUE"""),44923941)</f>
        <v>44923941</v>
      </c>
    </row>
    <row r="724" spans="1:6" ht="12.6">
      <c r="A724" s="2">
        <f ca="1">IFERROR(__xludf.DUMMYFUNCTION("""COMPUTED_VALUE"""),45611.6666666666)</f>
        <v>45611.666666666599</v>
      </c>
      <c r="B724" s="1">
        <f ca="1">IFERROR(__xludf.DUMMYFUNCTION("""COMPUTED_VALUE"""),226.4)</f>
        <v>226.4</v>
      </c>
      <c r="C724" s="1">
        <f ca="1">IFERROR(__xludf.DUMMYFUNCTION("""COMPUTED_VALUE"""),226.92)</f>
        <v>226.92</v>
      </c>
      <c r="D724" s="1">
        <f ca="1">IFERROR(__xludf.DUMMYFUNCTION("""COMPUTED_VALUE"""),224.27)</f>
        <v>224.27</v>
      </c>
      <c r="E724" s="1">
        <f ca="1">IFERROR(__xludf.DUMMYFUNCTION("""COMPUTED_VALUE"""),225)</f>
        <v>225</v>
      </c>
      <c r="F724" s="1">
        <f ca="1">IFERROR(__xludf.DUMMYFUNCTION("""COMPUTED_VALUE"""),47923696)</f>
        <v>47923696</v>
      </c>
    </row>
    <row r="725" spans="1:6" ht="12.6">
      <c r="A725" s="2">
        <f ca="1">IFERROR(__xludf.DUMMYFUNCTION("""COMPUTED_VALUE"""),45614.6666666666)</f>
        <v>45614.666666666599</v>
      </c>
      <c r="B725" s="1">
        <f ca="1">IFERROR(__xludf.DUMMYFUNCTION("""COMPUTED_VALUE"""),225.25)</f>
        <v>225.25</v>
      </c>
      <c r="C725" s="1">
        <f ca="1">IFERROR(__xludf.DUMMYFUNCTION("""COMPUTED_VALUE"""),229.74)</f>
        <v>229.74</v>
      </c>
      <c r="D725" s="1">
        <f ca="1">IFERROR(__xludf.DUMMYFUNCTION("""COMPUTED_VALUE"""),225.17)</f>
        <v>225.17</v>
      </c>
      <c r="E725" s="1">
        <f ca="1">IFERROR(__xludf.DUMMYFUNCTION("""COMPUTED_VALUE"""),228.02)</f>
        <v>228.02</v>
      </c>
      <c r="F725" s="1">
        <f ca="1">IFERROR(__xludf.DUMMYFUNCTION("""COMPUTED_VALUE"""),44686020)</f>
        <v>44686020</v>
      </c>
    </row>
    <row r="726" spans="1:6" ht="12.6">
      <c r="A726" s="2">
        <f ca="1">IFERROR(__xludf.DUMMYFUNCTION("""COMPUTED_VALUE"""),45615.6666666666)</f>
        <v>45615.666666666599</v>
      </c>
      <c r="B726" s="1">
        <f ca="1">IFERROR(__xludf.DUMMYFUNCTION("""COMPUTED_VALUE"""),226.98)</f>
        <v>226.98</v>
      </c>
      <c r="C726" s="1">
        <f ca="1">IFERROR(__xludf.DUMMYFUNCTION("""COMPUTED_VALUE"""),230.16)</f>
        <v>230.16</v>
      </c>
      <c r="D726" s="1">
        <f ca="1">IFERROR(__xludf.DUMMYFUNCTION("""COMPUTED_VALUE"""),226.66)</f>
        <v>226.66</v>
      </c>
      <c r="E726" s="1">
        <f ca="1">IFERROR(__xludf.DUMMYFUNCTION("""COMPUTED_VALUE"""),228.28)</f>
        <v>228.28</v>
      </c>
      <c r="F726" s="1">
        <f ca="1">IFERROR(__xludf.DUMMYFUNCTION("""COMPUTED_VALUE"""),36211774)</f>
        <v>36211774</v>
      </c>
    </row>
    <row r="727" spans="1:6" ht="12.6">
      <c r="A727" s="2">
        <f ca="1">IFERROR(__xludf.DUMMYFUNCTION("""COMPUTED_VALUE"""),45616.6666666666)</f>
        <v>45616.666666666599</v>
      </c>
      <c r="B727" s="1">
        <f ca="1">IFERROR(__xludf.DUMMYFUNCTION("""COMPUTED_VALUE"""),228.06)</f>
        <v>228.06</v>
      </c>
      <c r="C727" s="1">
        <f ca="1">IFERROR(__xludf.DUMMYFUNCTION("""COMPUTED_VALUE"""),229.93)</f>
        <v>229.93</v>
      </c>
      <c r="D727" s="1">
        <f ca="1">IFERROR(__xludf.DUMMYFUNCTION("""COMPUTED_VALUE"""),225.89)</f>
        <v>225.89</v>
      </c>
      <c r="E727" s="1">
        <f ca="1">IFERROR(__xludf.DUMMYFUNCTION("""COMPUTED_VALUE"""),229)</f>
        <v>229</v>
      </c>
      <c r="F727" s="1">
        <f ca="1">IFERROR(__xludf.DUMMYFUNCTION("""COMPUTED_VALUE"""),35169566)</f>
        <v>35169566</v>
      </c>
    </row>
    <row r="728" spans="1:6" ht="12.6">
      <c r="A728" s="2">
        <f ca="1">IFERROR(__xludf.DUMMYFUNCTION("""COMPUTED_VALUE"""),45617.6666666666)</f>
        <v>45617.666666666599</v>
      </c>
      <c r="B728" s="1">
        <f ca="1">IFERROR(__xludf.DUMMYFUNCTION("""COMPUTED_VALUE"""),228.88)</f>
        <v>228.88</v>
      </c>
      <c r="C728" s="1">
        <f ca="1">IFERROR(__xludf.DUMMYFUNCTION("""COMPUTED_VALUE"""),230.16)</f>
        <v>230.16</v>
      </c>
      <c r="D728" s="1">
        <f ca="1">IFERROR(__xludf.DUMMYFUNCTION("""COMPUTED_VALUE"""),225.71)</f>
        <v>225.71</v>
      </c>
      <c r="E728" s="1">
        <f ca="1">IFERROR(__xludf.DUMMYFUNCTION("""COMPUTED_VALUE"""),228.52)</f>
        <v>228.52</v>
      </c>
      <c r="F728" s="1">
        <f ca="1">IFERROR(__xludf.DUMMYFUNCTION("""COMPUTED_VALUE"""),42108327)</f>
        <v>42108327</v>
      </c>
    </row>
    <row r="729" spans="1:6" ht="12.6">
      <c r="A729" s="2">
        <f ca="1">IFERROR(__xludf.DUMMYFUNCTION("""COMPUTED_VALUE"""),45618.6666666666)</f>
        <v>45618.666666666599</v>
      </c>
      <c r="B729" s="1">
        <f ca="1">IFERROR(__xludf.DUMMYFUNCTION("""COMPUTED_VALUE"""),228.06)</f>
        <v>228.06</v>
      </c>
      <c r="C729" s="1">
        <f ca="1">IFERROR(__xludf.DUMMYFUNCTION("""COMPUTED_VALUE"""),230.72)</f>
        <v>230.72</v>
      </c>
      <c r="D729" s="1">
        <f ca="1">IFERROR(__xludf.DUMMYFUNCTION("""COMPUTED_VALUE"""),228.06)</f>
        <v>228.06</v>
      </c>
      <c r="E729" s="1">
        <f ca="1">IFERROR(__xludf.DUMMYFUNCTION("""COMPUTED_VALUE"""),229.87)</f>
        <v>229.87</v>
      </c>
      <c r="F729" s="1">
        <f ca="1">IFERROR(__xludf.DUMMYFUNCTION("""COMPUTED_VALUE"""),38168252)</f>
        <v>38168252</v>
      </c>
    </row>
    <row r="730" spans="1:6" ht="12.6">
      <c r="A730" s="2">
        <f ca="1">IFERROR(__xludf.DUMMYFUNCTION("""COMPUTED_VALUE"""),45621.6666666666)</f>
        <v>45621.666666666599</v>
      </c>
      <c r="B730" s="1">
        <f ca="1">IFERROR(__xludf.DUMMYFUNCTION("""COMPUTED_VALUE"""),231.46)</f>
        <v>231.46</v>
      </c>
      <c r="C730" s="1">
        <f ca="1">IFERROR(__xludf.DUMMYFUNCTION("""COMPUTED_VALUE"""),233.25)</f>
        <v>233.25</v>
      </c>
      <c r="D730" s="1">
        <f ca="1">IFERROR(__xludf.DUMMYFUNCTION("""COMPUTED_VALUE"""),229.74)</f>
        <v>229.74</v>
      </c>
      <c r="E730" s="1">
        <f ca="1">IFERROR(__xludf.DUMMYFUNCTION("""COMPUTED_VALUE"""),232.87)</f>
        <v>232.87</v>
      </c>
      <c r="F730" s="1">
        <f ca="1">IFERROR(__xludf.DUMMYFUNCTION("""COMPUTED_VALUE"""),90152832)</f>
        <v>90152832</v>
      </c>
    </row>
    <row r="731" spans="1:6" ht="12.6">
      <c r="A731" s="2">
        <f ca="1">IFERROR(__xludf.DUMMYFUNCTION("""COMPUTED_VALUE"""),45622.6666666666)</f>
        <v>45622.666666666599</v>
      </c>
      <c r="B731" s="1">
        <f ca="1">IFERROR(__xludf.DUMMYFUNCTION("""COMPUTED_VALUE"""),233.33)</f>
        <v>233.33</v>
      </c>
      <c r="C731" s="1">
        <f ca="1">IFERROR(__xludf.DUMMYFUNCTION("""COMPUTED_VALUE"""),235.57)</f>
        <v>235.57</v>
      </c>
      <c r="D731" s="1">
        <f ca="1">IFERROR(__xludf.DUMMYFUNCTION("""COMPUTED_VALUE"""),233.33)</f>
        <v>233.33</v>
      </c>
      <c r="E731" s="1">
        <f ca="1">IFERROR(__xludf.DUMMYFUNCTION("""COMPUTED_VALUE"""),235.06)</f>
        <v>235.06</v>
      </c>
      <c r="F731" s="1">
        <f ca="1">IFERROR(__xludf.DUMMYFUNCTION("""COMPUTED_VALUE"""),45986189)</f>
        <v>45986189</v>
      </c>
    </row>
    <row r="732" spans="1:6" ht="12.6">
      <c r="A732" s="2">
        <f ca="1">IFERROR(__xludf.DUMMYFUNCTION("""COMPUTED_VALUE"""),45623.6666666666)</f>
        <v>45623.666666666599</v>
      </c>
      <c r="B732" s="1">
        <f ca="1">IFERROR(__xludf.DUMMYFUNCTION("""COMPUTED_VALUE"""),234.47)</f>
        <v>234.47</v>
      </c>
      <c r="C732" s="1">
        <f ca="1">IFERROR(__xludf.DUMMYFUNCTION("""COMPUTED_VALUE"""),235.69)</f>
        <v>235.69</v>
      </c>
      <c r="D732" s="1">
        <f ca="1">IFERROR(__xludf.DUMMYFUNCTION("""COMPUTED_VALUE"""),233.81)</f>
        <v>233.81</v>
      </c>
      <c r="E732" s="1">
        <f ca="1">IFERROR(__xludf.DUMMYFUNCTION("""COMPUTED_VALUE"""),234.93)</f>
        <v>234.93</v>
      </c>
      <c r="F732" s="1">
        <f ca="1">IFERROR(__xludf.DUMMYFUNCTION("""COMPUTED_VALUE"""),33498439)</f>
        <v>33498439</v>
      </c>
    </row>
    <row r="733" spans="1:6" ht="12.6">
      <c r="A733" s="2">
        <f ca="1">IFERROR(__xludf.DUMMYFUNCTION("""COMPUTED_VALUE"""),45625.5451388888)</f>
        <v>45625.545138888803</v>
      </c>
      <c r="B733" s="1">
        <f ca="1">IFERROR(__xludf.DUMMYFUNCTION("""COMPUTED_VALUE"""),234.81)</f>
        <v>234.81</v>
      </c>
      <c r="C733" s="1">
        <f ca="1">IFERROR(__xludf.DUMMYFUNCTION("""COMPUTED_VALUE"""),237.81)</f>
        <v>237.81</v>
      </c>
      <c r="D733" s="1">
        <f ca="1">IFERROR(__xludf.DUMMYFUNCTION("""COMPUTED_VALUE"""),233.97)</f>
        <v>233.97</v>
      </c>
      <c r="E733" s="1">
        <f ca="1">IFERROR(__xludf.DUMMYFUNCTION("""COMPUTED_VALUE"""),237.33)</f>
        <v>237.33</v>
      </c>
      <c r="F733" s="1">
        <f ca="1">IFERROR(__xludf.DUMMYFUNCTION("""COMPUTED_VALUE"""),28481377)</f>
        <v>28481377</v>
      </c>
    </row>
    <row r="734" spans="1:6" ht="12.6">
      <c r="A734" s="2">
        <f ca="1">IFERROR(__xludf.DUMMYFUNCTION("""COMPUTED_VALUE"""),45628.6666666666)</f>
        <v>45628.666666666599</v>
      </c>
      <c r="B734" s="1">
        <f ca="1">IFERROR(__xludf.DUMMYFUNCTION("""COMPUTED_VALUE"""),237.27)</f>
        <v>237.27</v>
      </c>
      <c r="C734" s="1">
        <f ca="1">IFERROR(__xludf.DUMMYFUNCTION("""COMPUTED_VALUE"""),240.79)</f>
        <v>240.79</v>
      </c>
      <c r="D734" s="1">
        <f ca="1">IFERROR(__xludf.DUMMYFUNCTION("""COMPUTED_VALUE"""),237.16)</f>
        <v>237.16</v>
      </c>
      <c r="E734" s="1">
        <f ca="1">IFERROR(__xludf.DUMMYFUNCTION("""COMPUTED_VALUE"""),239.59)</f>
        <v>239.59</v>
      </c>
      <c r="F734" s="1">
        <f ca="1">IFERROR(__xludf.DUMMYFUNCTION("""COMPUTED_VALUE"""),48137103)</f>
        <v>48137103</v>
      </c>
    </row>
    <row r="735" spans="1:6" ht="12.6">
      <c r="A735" s="2">
        <f ca="1">IFERROR(__xludf.DUMMYFUNCTION("""COMPUTED_VALUE"""),45629.6666666666)</f>
        <v>45629.666666666599</v>
      </c>
      <c r="B735" s="1">
        <f ca="1">IFERROR(__xludf.DUMMYFUNCTION("""COMPUTED_VALUE"""),239.81)</f>
        <v>239.81</v>
      </c>
      <c r="C735" s="1">
        <f ca="1">IFERROR(__xludf.DUMMYFUNCTION("""COMPUTED_VALUE"""),242.76)</f>
        <v>242.76</v>
      </c>
      <c r="D735" s="1">
        <f ca="1">IFERROR(__xludf.DUMMYFUNCTION("""COMPUTED_VALUE"""),238.9)</f>
        <v>238.9</v>
      </c>
      <c r="E735" s="1">
        <f ca="1">IFERROR(__xludf.DUMMYFUNCTION("""COMPUTED_VALUE"""),242.65)</f>
        <v>242.65</v>
      </c>
      <c r="F735" s="1">
        <f ca="1">IFERROR(__xludf.DUMMYFUNCTION("""COMPUTED_VALUE"""),38861017)</f>
        <v>38861017</v>
      </c>
    </row>
    <row r="736" spans="1:6" ht="12.6">
      <c r="A736" s="2">
        <f ca="1">IFERROR(__xludf.DUMMYFUNCTION("""COMPUTED_VALUE"""),45630.6666666666)</f>
        <v>45630.666666666599</v>
      </c>
      <c r="B736" s="1">
        <f ca="1">IFERROR(__xludf.DUMMYFUNCTION("""COMPUTED_VALUE"""),242.87)</f>
        <v>242.87</v>
      </c>
      <c r="C736" s="1">
        <f ca="1">IFERROR(__xludf.DUMMYFUNCTION("""COMPUTED_VALUE"""),244.11)</f>
        <v>244.11</v>
      </c>
      <c r="D736" s="1">
        <f ca="1">IFERROR(__xludf.DUMMYFUNCTION("""COMPUTED_VALUE"""),241.25)</f>
        <v>241.25</v>
      </c>
      <c r="E736" s="1">
        <f ca="1">IFERROR(__xludf.DUMMYFUNCTION("""COMPUTED_VALUE"""),243.01)</f>
        <v>243.01</v>
      </c>
      <c r="F736" s="1">
        <f ca="1">IFERROR(__xludf.DUMMYFUNCTION("""COMPUTED_VALUE"""),44383935)</f>
        <v>44383935</v>
      </c>
    </row>
    <row r="737" spans="1:6" ht="12.6">
      <c r="A737" s="2">
        <f ca="1">IFERROR(__xludf.DUMMYFUNCTION("""COMPUTED_VALUE"""),45631.6666666666)</f>
        <v>45631.666666666599</v>
      </c>
      <c r="B737" s="1">
        <f ca="1">IFERROR(__xludf.DUMMYFUNCTION("""COMPUTED_VALUE"""),243.99)</f>
        <v>243.99</v>
      </c>
      <c r="C737" s="1">
        <f ca="1">IFERROR(__xludf.DUMMYFUNCTION("""COMPUTED_VALUE"""),244.54)</f>
        <v>244.54</v>
      </c>
      <c r="D737" s="1">
        <f ca="1">IFERROR(__xludf.DUMMYFUNCTION("""COMPUTED_VALUE"""),242.13)</f>
        <v>242.13</v>
      </c>
      <c r="E737" s="1">
        <f ca="1">IFERROR(__xludf.DUMMYFUNCTION("""COMPUTED_VALUE"""),243.04)</f>
        <v>243.04</v>
      </c>
      <c r="F737" s="1">
        <f ca="1">IFERROR(__xludf.DUMMYFUNCTION("""COMPUTED_VALUE"""),40033878)</f>
        <v>40033878</v>
      </c>
    </row>
    <row r="738" spans="1:6" ht="12.6">
      <c r="A738" s="2">
        <f ca="1">IFERROR(__xludf.DUMMYFUNCTION("""COMPUTED_VALUE"""),45632.6666666666)</f>
        <v>45632.666666666599</v>
      </c>
      <c r="B738" s="1">
        <f ca="1">IFERROR(__xludf.DUMMYFUNCTION("""COMPUTED_VALUE"""),242.91)</f>
        <v>242.91</v>
      </c>
      <c r="C738" s="1">
        <f ca="1">IFERROR(__xludf.DUMMYFUNCTION("""COMPUTED_VALUE"""),244.63)</f>
        <v>244.63</v>
      </c>
      <c r="D738" s="1">
        <f ca="1">IFERROR(__xludf.DUMMYFUNCTION("""COMPUTED_VALUE"""),242.08)</f>
        <v>242.08</v>
      </c>
      <c r="E738" s="1">
        <f ca="1">IFERROR(__xludf.DUMMYFUNCTION("""COMPUTED_VALUE"""),242.84)</f>
        <v>242.84</v>
      </c>
      <c r="F738" s="1">
        <f ca="1">IFERROR(__xludf.DUMMYFUNCTION("""COMPUTED_VALUE"""),36870619)</f>
        <v>36870619</v>
      </c>
    </row>
    <row r="739" spans="1:6" ht="12.6">
      <c r="A739" s="2">
        <f ca="1">IFERROR(__xludf.DUMMYFUNCTION("""COMPUTED_VALUE"""),45635.6666666666)</f>
        <v>45635.666666666599</v>
      </c>
      <c r="B739" s="1">
        <f ca="1">IFERROR(__xludf.DUMMYFUNCTION("""COMPUTED_VALUE"""),241.83)</f>
        <v>241.83</v>
      </c>
      <c r="C739" s="1">
        <f ca="1">IFERROR(__xludf.DUMMYFUNCTION("""COMPUTED_VALUE"""),247.24)</f>
        <v>247.24</v>
      </c>
      <c r="D739" s="1">
        <f ca="1">IFERROR(__xludf.DUMMYFUNCTION("""COMPUTED_VALUE"""),241.75)</f>
        <v>241.75</v>
      </c>
      <c r="E739" s="1">
        <f ca="1">IFERROR(__xludf.DUMMYFUNCTION("""COMPUTED_VALUE"""),246.75)</f>
        <v>246.75</v>
      </c>
      <c r="F739" s="1">
        <f ca="1">IFERROR(__xludf.DUMMYFUNCTION("""COMPUTED_VALUE"""),44649232)</f>
        <v>44649232</v>
      </c>
    </row>
    <row r="740" spans="1:6" ht="12.6">
      <c r="A740" s="2">
        <f ca="1">IFERROR(__xludf.DUMMYFUNCTION("""COMPUTED_VALUE"""),45636.6666666666)</f>
        <v>45636.666666666599</v>
      </c>
      <c r="B740" s="1">
        <f ca="1">IFERROR(__xludf.DUMMYFUNCTION("""COMPUTED_VALUE"""),246.89)</f>
        <v>246.89</v>
      </c>
      <c r="C740" s="1">
        <f ca="1">IFERROR(__xludf.DUMMYFUNCTION("""COMPUTED_VALUE"""),248.21)</f>
        <v>248.21</v>
      </c>
      <c r="D740" s="1">
        <f ca="1">IFERROR(__xludf.DUMMYFUNCTION("""COMPUTED_VALUE"""),245.34)</f>
        <v>245.34</v>
      </c>
      <c r="E740" s="1">
        <f ca="1">IFERROR(__xludf.DUMMYFUNCTION("""COMPUTED_VALUE"""),247.77)</f>
        <v>247.77</v>
      </c>
      <c r="F740" s="1">
        <f ca="1">IFERROR(__xludf.DUMMYFUNCTION("""COMPUTED_VALUE"""),36914806)</f>
        <v>36914806</v>
      </c>
    </row>
    <row r="741" spans="1:6" ht="12.6">
      <c r="A741" s="2">
        <f ca="1">IFERROR(__xludf.DUMMYFUNCTION("""COMPUTED_VALUE"""),45637.6666666666)</f>
        <v>45637.666666666599</v>
      </c>
      <c r="B741" s="1">
        <f ca="1">IFERROR(__xludf.DUMMYFUNCTION("""COMPUTED_VALUE"""),247.96)</f>
        <v>247.96</v>
      </c>
      <c r="C741" s="1">
        <f ca="1">IFERROR(__xludf.DUMMYFUNCTION("""COMPUTED_VALUE"""),250.8)</f>
        <v>250.8</v>
      </c>
      <c r="D741" s="1">
        <f ca="1">IFERROR(__xludf.DUMMYFUNCTION("""COMPUTED_VALUE"""),246.26)</f>
        <v>246.26</v>
      </c>
      <c r="E741" s="1">
        <f ca="1">IFERROR(__xludf.DUMMYFUNCTION("""COMPUTED_VALUE"""),246.49)</f>
        <v>246.49</v>
      </c>
      <c r="F741" s="1">
        <f ca="1">IFERROR(__xludf.DUMMYFUNCTION("""COMPUTED_VALUE"""),45205814)</f>
        <v>45205814</v>
      </c>
    </row>
    <row r="742" spans="1:6" ht="12.6">
      <c r="A742" s="2">
        <f ca="1">IFERROR(__xludf.DUMMYFUNCTION("""COMPUTED_VALUE"""),45638.6666666666)</f>
        <v>45638.666666666599</v>
      </c>
      <c r="B742" s="1">
        <f ca="1">IFERROR(__xludf.DUMMYFUNCTION("""COMPUTED_VALUE"""),246.89)</f>
        <v>246.89</v>
      </c>
      <c r="C742" s="1">
        <f ca="1">IFERROR(__xludf.DUMMYFUNCTION("""COMPUTED_VALUE"""),248.74)</f>
        <v>248.74</v>
      </c>
      <c r="D742" s="1">
        <f ca="1">IFERROR(__xludf.DUMMYFUNCTION("""COMPUTED_VALUE"""),245.68)</f>
        <v>245.68</v>
      </c>
      <c r="E742" s="1">
        <f ca="1">IFERROR(__xludf.DUMMYFUNCTION("""COMPUTED_VALUE"""),247.96)</f>
        <v>247.96</v>
      </c>
      <c r="F742" s="1">
        <f ca="1">IFERROR(__xludf.DUMMYFUNCTION("""COMPUTED_VALUE"""),32777532)</f>
        <v>32777532</v>
      </c>
    </row>
    <row r="743" spans="1:6" ht="12.6">
      <c r="A743" s="2">
        <f ca="1">IFERROR(__xludf.DUMMYFUNCTION("""COMPUTED_VALUE"""),45639.6666666666)</f>
        <v>45639.666666666599</v>
      </c>
      <c r="B743" s="1">
        <f ca="1">IFERROR(__xludf.DUMMYFUNCTION("""COMPUTED_VALUE"""),247.82)</f>
        <v>247.82</v>
      </c>
      <c r="C743" s="1">
        <f ca="1">IFERROR(__xludf.DUMMYFUNCTION("""COMPUTED_VALUE"""),249.29)</f>
        <v>249.29</v>
      </c>
      <c r="D743" s="1">
        <f ca="1">IFERROR(__xludf.DUMMYFUNCTION("""COMPUTED_VALUE"""),246.24)</f>
        <v>246.24</v>
      </c>
      <c r="E743" s="1">
        <f ca="1">IFERROR(__xludf.DUMMYFUNCTION("""COMPUTED_VALUE"""),248.13)</f>
        <v>248.13</v>
      </c>
      <c r="F743" s="1">
        <f ca="1">IFERROR(__xludf.DUMMYFUNCTION("""COMPUTED_VALUE"""),33155290)</f>
        <v>33155290</v>
      </c>
    </row>
    <row r="744" spans="1:6" ht="12.6">
      <c r="A744" s="2">
        <f ca="1">IFERROR(__xludf.DUMMYFUNCTION("""COMPUTED_VALUE"""),45642.6666666666)</f>
        <v>45642.666666666599</v>
      </c>
      <c r="B744" s="1">
        <f ca="1">IFERROR(__xludf.DUMMYFUNCTION("""COMPUTED_VALUE"""),247.99)</f>
        <v>247.99</v>
      </c>
      <c r="C744" s="1">
        <f ca="1">IFERROR(__xludf.DUMMYFUNCTION("""COMPUTED_VALUE"""),251.38)</f>
        <v>251.38</v>
      </c>
      <c r="D744" s="1">
        <f ca="1">IFERROR(__xludf.DUMMYFUNCTION("""COMPUTED_VALUE"""),247.65)</f>
        <v>247.65</v>
      </c>
      <c r="E744" s="1">
        <f ca="1">IFERROR(__xludf.DUMMYFUNCTION("""COMPUTED_VALUE"""),251.04)</f>
        <v>251.04</v>
      </c>
      <c r="F744" s="1">
        <f ca="1">IFERROR(__xludf.DUMMYFUNCTION("""COMPUTED_VALUE"""),51694753)</f>
        <v>51694753</v>
      </c>
    </row>
    <row r="745" spans="1:6" ht="12.6">
      <c r="A745" s="2">
        <f ca="1">IFERROR(__xludf.DUMMYFUNCTION("""COMPUTED_VALUE"""),45643.6666666666)</f>
        <v>45643.666666666599</v>
      </c>
      <c r="B745" s="1">
        <f ca="1">IFERROR(__xludf.DUMMYFUNCTION("""COMPUTED_VALUE"""),250.08)</f>
        <v>250.08</v>
      </c>
      <c r="C745" s="1">
        <f ca="1">IFERROR(__xludf.DUMMYFUNCTION("""COMPUTED_VALUE"""),253.83)</f>
        <v>253.83</v>
      </c>
      <c r="D745" s="1">
        <f ca="1">IFERROR(__xludf.DUMMYFUNCTION("""COMPUTED_VALUE"""),249.78)</f>
        <v>249.78</v>
      </c>
      <c r="E745" s="1">
        <f ca="1">IFERROR(__xludf.DUMMYFUNCTION("""COMPUTED_VALUE"""),253.48)</f>
        <v>253.48</v>
      </c>
      <c r="F745" s="1">
        <f ca="1">IFERROR(__xludf.DUMMYFUNCTION("""COMPUTED_VALUE"""),51356360)</f>
        <v>51356360</v>
      </c>
    </row>
    <row r="746" spans="1:6" ht="12.6">
      <c r="A746" s="2">
        <f ca="1">IFERROR(__xludf.DUMMYFUNCTION("""COMPUTED_VALUE"""),45644.6666666666)</f>
        <v>45644.666666666599</v>
      </c>
      <c r="B746" s="1">
        <f ca="1">IFERROR(__xludf.DUMMYFUNCTION("""COMPUTED_VALUE"""),252.16)</f>
        <v>252.16</v>
      </c>
      <c r="C746" s="1">
        <f ca="1">IFERROR(__xludf.DUMMYFUNCTION("""COMPUTED_VALUE"""),254.28)</f>
        <v>254.28</v>
      </c>
      <c r="D746" s="1">
        <f ca="1">IFERROR(__xludf.DUMMYFUNCTION("""COMPUTED_VALUE"""),247.74)</f>
        <v>247.74</v>
      </c>
      <c r="E746" s="1">
        <f ca="1">IFERROR(__xludf.DUMMYFUNCTION("""COMPUTED_VALUE"""),248.05)</f>
        <v>248.05</v>
      </c>
      <c r="F746" s="1">
        <f ca="1">IFERROR(__xludf.DUMMYFUNCTION("""COMPUTED_VALUE"""),56774101)</f>
        <v>56774101</v>
      </c>
    </row>
    <row r="747" spans="1:6" ht="12.6">
      <c r="A747" s="2">
        <f ca="1">IFERROR(__xludf.DUMMYFUNCTION("""COMPUTED_VALUE"""),45645.6666666666)</f>
        <v>45645.666666666599</v>
      </c>
      <c r="B747" s="1">
        <f ca="1">IFERROR(__xludf.DUMMYFUNCTION("""COMPUTED_VALUE"""),247.5)</f>
        <v>247.5</v>
      </c>
      <c r="C747" s="1">
        <f ca="1">IFERROR(__xludf.DUMMYFUNCTION("""COMPUTED_VALUE"""),252)</f>
        <v>252</v>
      </c>
      <c r="D747" s="1">
        <f ca="1">IFERROR(__xludf.DUMMYFUNCTION("""COMPUTED_VALUE"""),247.09)</f>
        <v>247.09</v>
      </c>
      <c r="E747" s="1">
        <f ca="1">IFERROR(__xludf.DUMMYFUNCTION("""COMPUTED_VALUE"""),249.79)</f>
        <v>249.79</v>
      </c>
      <c r="F747" s="1">
        <f ca="1">IFERROR(__xludf.DUMMYFUNCTION("""COMPUTED_VALUE"""),60882264)</f>
        <v>60882264</v>
      </c>
    </row>
    <row r="748" spans="1:6" ht="12.6">
      <c r="A748" s="2">
        <f ca="1">IFERROR(__xludf.DUMMYFUNCTION("""COMPUTED_VALUE"""),45646.6666666666)</f>
        <v>45646.666666666599</v>
      </c>
      <c r="B748" s="1">
        <f ca="1">IFERROR(__xludf.DUMMYFUNCTION("""COMPUTED_VALUE"""),248.04)</f>
        <v>248.04</v>
      </c>
      <c r="C748" s="1">
        <f ca="1">IFERROR(__xludf.DUMMYFUNCTION("""COMPUTED_VALUE"""),255)</f>
        <v>255</v>
      </c>
      <c r="D748" s="1">
        <f ca="1">IFERROR(__xludf.DUMMYFUNCTION("""COMPUTED_VALUE"""),245.69)</f>
        <v>245.69</v>
      </c>
      <c r="E748" s="1">
        <f ca="1">IFERROR(__xludf.DUMMYFUNCTION("""COMPUTED_VALUE"""),254.49)</f>
        <v>254.49</v>
      </c>
      <c r="F748" s="1">
        <f ca="1">IFERROR(__xludf.DUMMYFUNCTION("""COMPUTED_VALUE"""),147495267)</f>
        <v>147495267</v>
      </c>
    </row>
    <row r="749" spans="1:6" ht="12.6">
      <c r="A749" s="2">
        <f ca="1">IFERROR(__xludf.DUMMYFUNCTION("""COMPUTED_VALUE"""),45649.6666666666)</f>
        <v>45649.666666666599</v>
      </c>
      <c r="B749" s="1">
        <f ca="1">IFERROR(__xludf.DUMMYFUNCTION("""COMPUTED_VALUE"""),254.77)</f>
        <v>254.77</v>
      </c>
      <c r="C749" s="1">
        <f ca="1">IFERROR(__xludf.DUMMYFUNCTION("""COMPUTED_VALUE"""),255.65)</f>
        <v>255.65</v>
      </c>
      <c r="D749" s="1">
        <f ca="1">IFERROR(__xludf.DUMMYFUNCTION("""COMPUTED_VALUE"""),253.45)</f>
        <v>253.45</v>
      </c>
      <c r="E749" s="1">
        <f ca="1">IFERROR(__xludf.DUMMYFUNCTION("""COMPUTED_VALUE"""),255.27)</f>
        <v>255.27</v>
      </c>
      <c r="F749" s="1">
        <f ca="1">IFERROR(__xludf.DUMMYFUNCTION("""COMPUTED_VALUE"""),40858774)</f>
        <v>40858774</v>
      </c>
    </row>
    <row r="750" spans="1:6" ht="12.6">
      <c r="A750" s="2">
        <f ca="1">IFERROR(__xludf.DUMMYFUNCTION("""COMPUTED_VALUE"""),45650.5451388888)</f>
        <v>45650.545138888803</v>
      </c>
      <c r="B750" s="1">
        <f ca="1">IFERROR(__xludf.DUMMYFUNCTION("""COMPUTED_VALUE"""),255.49)</f>
        <v>255.49</v>
      </c>
      <c r="C750" s="1">
        <f ca="1">IFERROR(__xludf.DUMMYFUNCTION("""COMPUTED_VALUE"""),258.21)</f>
        <v>258.20999999999998</v>
      </c>
      <c r="D750" s="1">
        <f ca="1">IFERROR(__xludf.DUMMYFUNCTION("""COMPUTED_VALUE"""),255.29)</f>
        <v>255.29</v>
      </c>
      <c r="E750" s="1">
        <f ca="1">IFERROR(__xludf.DUMMYFUNCTION("""COMPUTED_VALUE"""),258.2)</f>
        <v>258.2</v>
      </c>
      <c r="F750" s="1">
        <f ca="1">IFERROR(__xludf.DUMMYFUNCTION("""COMPUTED_VALUE"""),23234705)</f>
        <v>23234705</v>
      </c>
    </row>
    <row r="751" spans="1:6" ht="12.6">
      <c r="A751" s="2">
        <f ca="1">IFERROR(__xludf.DUMMYFUNCTION("""COMPUTED_VALUE"""),45652.6666666666)</f>
        <v>45652.666666666599</v>
      </c>
      <c r="B751" s="1">
        <f ca="1">IFERROR(__xludf.DUMMYFUNCTION("""COMPUTED_VALUE"""),258.19)</f>
        <v>258.19</v>
      </c>
      <c r="C751" s="1">
        <f ca="1">IFERROR(__xludf.DUMMYFUNCTION("""COMPUTED_VALUE"""),260.1)</f>
        <v>260.10000000000002</v>
      </c>
      <c r="D751" s="1">
        <f ca="1">IFERROR(__xludf.DUMMYFUNCTION("""COMPUTED_VALUE"""),257.63)</f>
        <v>257.63</v>
      </c>
      <c r="E751" s="1">
        <f ca="1">IFERROR(__xludf.DUMMYFUNCTION("""COMPUTED_VALUE"""),259.02)</f>
        <v>259.02</v>
      </c>
      <c r="F751" s="1">
        <f ca="1">IFERROR(__xludf.DUMMYFUNCTION("""COMPUTED_VALUE"""),27262983)</f>
        <v>27262983</v>
      </c>
    </row>
    <row r="752" spans="1:6" ht="12.6">
      <c r="A752" s="2">
        <f ca="1">IFERROR(__xludf.DUMMYFUNCTION("""COMPUTED_VALUE"""),45653.6666666666)</f>
        <v>45653.666666666599</v>
      </c>
      <c r="B752" s="1">
        <f ca="1">IFERROR(__xludf.DUMMYFUNCTION("""COMPUTED_VALUE"""),257.83)</f>
        <v>257.83</v>
      </c>
      <c r="C752" s="1">
        <f ca="1">IFERROR(__xludf.DUMMYFUNCTION("""COMPUTED_VALUE"""),258.7)</f>
        <v>258.7</v>
      </c>
      <c r="D752" s="1">
        <f ca="1">IFERROR(__xludf.DUMMYFUNCTION("""COMPUTED_VALUE"""),253.06)</f>
        <v>253.06</v>
      </c>
      <c r="E752" s="1">
        <f ca="1">IFERROR(__xludf.DUMMYFUNCTION("""COMPUTED_VALUE"""),255.59)</f>
        <v>255.59</v>
      </c>
      <c r="F752" s="1">
        <f ca="1">IFERROR(__xludf.DUMMYFUNCTION("""COMPUTED_VALUE"""),42355321)</f>
        <v>42355321</v>
      </c>
    </row>
    <row r="753" spans="1:6" ht="12.6">
      <c r="A753" s="2">
        <f ca="1">IFERROR(__xludf.DUMMYFUNCTION("""COMPUTED_VALUE"""),45656.6666666666)</f>
        <v>45656.666666666599</v>
      </c>
      <c r="B753" s="1">
        <f ca="1">IFERROR(__xludf.DUMMYFUNCTION("""COMPUTED_VALUE"""),252.23)</f>
        <v>252.23</v>
      </c>
      <c r="C753" s="1">
        <f ca="1">IFERROR(__xludf.DUMMYFUNCTION("""COMPUTED_VALUE"""),253.5)</f>
        <v>253.5</v>
      </c>
      <c r="D753" s="1">
        <f ca="1">IFERROR(__xludf.DUMMYFUNCTION("""COMPUTED_VALUE"""),250.75)</f>
        <v>250.75</v>
      </c>
      <c r="E753" s="1">
        <f ca="1">IFERROR(__xludf.DUMMYFUNCTION("""COMPUTED_VALUE"""),252.2)</f>
        <v>252.2</v>
      </c>
      <c r="F753" s="1">
        <f ca="1">IFERROR(__xludf.DUMMYFUNCTION("""COMPUTED_VALUE"""),35557542)</f>
        <v>35557542</v>
      </c>
    </row>
    <row r="754" spans="1:6" ht="12.6">
      <c r="A754" s="2">
        <f ca="1">IFERROR(__xludf.DUMMYFUNCTION("""COMPUTED_VALUE"""),45657.6666666666)</f>
        <v>45657.666666666599</v>
      </c>
      <c r="B754" s="1">
        <f ca="1">IFERROR(__xludf.DUMMYFUNCTION("""COMPUTED_VALUE"""),252.44)</f>
        <v>252.44</v>
      </c>
      <c r="C754" s="1">
        <f ca="1">IFERROR(__xludf.DUMMYFUNCTION("""COMPUTED_VALUE"""),253.28)</f>
        <v>253.28</v>
      </c>
      <c r="D754" s="1">
        <f ca="1">IFERROR(__xludf.DUMMYFUNCTION("""COMPUTED_VALUE"""),249.43)</f>
        <v>249.43</v>
      </c>
      <c r="E754" s="1">
        <f ca="1">IFERROR(__xludf.DUMMYFUNCTION("""COMPUTED_VALUE"""),250.42)</f>
        <v>250.42</v>
      </c>
      <c r="F754" s="1">
        <f ca="1">IFERROR(__xludf.DUMMYFUNCTION("""COMPUTED_VALUE"""),39480718)</f>
        <v>39480718</v>
      </c>
    </row>
    <row r="755" spans="1:6" ht="12.6">
      <c r="A755" s="2">
        <f ca="1">IFERROR(__xludf.DUMMYFUNCTION("""COMPUTED_VALUE"""),45659.6666666666)</f>
        <v>45659.666666666599</v>
      </c>
      <c r="B755" s="1">
        <f ca="1">IFERROR(__xludf.DUMMYFUNCTION("""COMPUTED_VALUE"""),248.93)</f>
        <v>248.93</v>
      </c>
      <c r="C755" s="1">
        <f ca="1">IFERROR(__xludf.DUMMYFUNCTION("""COMPUTED_VALUE"""),249.1)</f>
        <v>249.1</v>
      </c>
      <c r="D755" s="1">
        <f ca="1">IFERROR(__xludf.DUMMYFUNCTION("""COMPUTED_VALUE"""),241.82)</f>
        <v>241.82</v>
      </c>
      <c r="E755" s="1">
        <f ca="1">IFERROR(__xludf.DUMMYFUNCTION("""COMPUTED_VALUE"""),243.85)</f>
        <v>243.85</v>
      </c>
      <c r="F755" s="1">
        <f ca="1">IFERROR(__xludf.DUMMYFUNCTION("""COMPUTED_VALUE"""),55740731)</f>
        <v>55740731</v>
      </c>
    </row>
    <row r="756" spans="1:6" ht="12.6">
      <c r="A756" s="2">
        <f ca="1">IFERROR(__xludf.DUMMYFUNCTION("""COMPUTED_VALUE"""),45660.6666666666)</f>
        <v>45660.666666666599</v>
      </c>
      <c r="B756" s="1">
        <f ca="1">IFERROR(__xludf.DUMMYFUNCTION("""COMPUTED_VALUE"""),243.36)</f>
        <v>243.36</v>
      </c>
      <c r="C756" s="1">
        <f ca="1">IFERROR(__xludf.DUMMYFUNCTION("""COMPUTED_VALUE"""),244.18)</f>
        <v>244.18</v>
      </c>
      <c r="D756" s="1">
        <f ca="1">IFERROR(__xludf.DUMMYFUNCTION("""COMPUTED_VALUE"""),241.89)</f>
        <v>241.89</v>
      </c>
      <c r="E756" s="1">
        <f ca="1">IFERROR(__xludf.DUMMYFUNCTION("""COMPUTED_VALUE"""),243.36)</f>
        <v>243.36</v>
      </c>
      <c r="F756" s="1">
        <f ca="1">IFERROR(__xludf.DUMMYFUNCTION("""COMPUTED_VALUE"""),40244114)</f>
        <v>40244114</v>
      </c>
    </row>
    <row r="757" spans="1:6" ht="12.6">
      <c r="A757" s="2">
        <f ca="1">IFERROR(__xludf.DUMMYFUNCTION("""COMPUTED_VALUE"""),45663.6666666666)</f>
        <v>45663.666666666599</v>
      </c>
      <c r="B757" s="1">
        <f ca="1">IFERROR(__xludf.DUMMYFUNCTION("""COMPUTED_VALUE"""),244.31)</f>
        <v>244.31</v>
      </c>
      <c r="C757" s="1">
        <f ca="1">IFERROR(__xludf.DUMMYFUNCTION("""COMPUTED_VALUE"""),247.33)</f>
        <v>247.33</v>
      </c>
      <c r="D757" s="1">
        <f ca="1">IFERROR(__xludf.DUMMYFUNCTION("""COMPUTED_VALUE"""),243.2)</f>
        <v>243.2</v>
      </c>
      <c r="E757" s="1">
        <f ca="1">IFERROR(__xludf.DUMMYFUNCTION("""COMPUTED_VALUE"""),245)</f>
        <v>245</v>
      </c>
      <c r="F757" s="1">
        <f ca="1">IFERROR(__xludf.DUMMYFUNCTION("""COMPUTED_VALUE"""),45045571)</f>
        <v>45045571</v>
      </c>
    </row>
    <row r="758" spans="1:6" ht="12.6">
      <c r="A758" s="2">
        <f ca="1">IFERROR(__xludf.DUMMYFUNCTION("""COMPUTED_VALUE"""),45664.6666666666)</f>
        <v>45664.666666666599</v>
      </c>
      <c r="B758" s="1">
        <f ca="1">IFERROR(__xludf.DUMMYFUNCTION("""COMPUTED_VALUE"""),242.98)</f>
        <v>242.98</v>
      </c>
      <c r="C758" s="1">
        <f ca="1">IFERROR(__xludf.DUMMYFUNCTION("""COMPUTED_VALUE"""),245.55)</f>
        <v>245.55</v>
      </c>
      <c r="D758" s="1">
        <f ca="1">IFERROR(__xludf.DUMMYFUNCTION("""COMPUTED_VALUE"""),241.35)</f>
        <v>241.35</v>
      </c>
      <c r="E758" s="1">
        <f ca="1">IFERROR(__xludf.DUMMYFUNCTION("""COMPUTED_VALUE"""),242.21)</f>
        <v>242.21</v>
      </c>
      <c r="F758" s="1">
        <f ca="1">IFERROR(__xludf.DUMMYFUNCTION("""COMPUTED_VALUE"""),40855960)</f>
        <v>40855960</v>
      </c>
    </row>
    <row r="759" spans="1:6" ht="12.6">
      <c r="A759" s="2">
        <f ca="1">IFERROR(__xludf.DUMMYFUNCTION("""COMPUTED_VALUE"""),45665.6666666666)</f>
        <v>45665.666666666599</v>
      </c>
      <c r="B759" s="1">
        <f ca="1">IFERROR(__xludf.DUMMYFUNCTION("""COMPUTED_VALUE"""),241.92)</f>
        <v>241.92</v>
      </c>
      <c r="C759" s="1">
        <f ca="1">IFERROR(__xludf.DUMMYFUNCTION("""COMPUTED_VALUE"""),243.71)</f>
        <v>243.71</v>
      </c>
      <c r="D759" s="1">
        <f ca="1">IFERROR(__xludf.DUMMYFUNCTION("""COMPUTED_VALUE"""),240.05)</f>
        <v>240.05</v>
      </c>
      <c r="E759" s="1">
        <f ca="1">IFERROR(__xludf.DUMMYFUNCTION("""COMPUTED_VALUE"""),242.7)</f>
        <v>242.7</v>
      </c>
      <c r="F759" s="1">
        <f ca="1">IFERROR(__xludf.DUMMYFUNCTION("""COMPUTED_VALUE"""),37628940)</f>
        <v>37628940</v>
      </c>
    </row>
    <row r="760" spans="1:6" ht="12.6">
      <c r="A760" s="2">
        <f ca="1">IFERROR(__xludf.DUMMYFUNCTION("""COMPUTED_VALUE"""),45667.6666666666)</f>
        <v>45667.666666666599</v>
      </c>
      <c r="B760" s="1">
        <f ca="1">IFERROR(__xludf.DUMMYFUNCTION("""COMPUTED_VALUE"""),240.01)</f>
        <v>240.01</v>
      </c>
      <c r="C760" s="1">
        <f ca="1">IFERROR(__xludf.DUMMYFUNCTION("""COMPUTED_VALUE"""),240.16)</f>
        <v>240.16</v>
      </c>
      <c r="D760" s="1">
        <f ca="1">IFERROR(__xludf.DUMMYFUNCTION("""COMPUTED_VALUE"""),233)</f>
        <v>233</v>
      </c>
      <c r="E760" s="1">
        <f ca="1">IFERROR(__xludf.DUMMYFUNCTION("""COMPUTED_VALUE"""),236.85)</f>
        <v>236.85</v>
      </c>
      <c r="F760" s="1">
        <f ca="1">IFERROR(__xludf.DUMMYFUNCTION("""COMPUTED_VALUE"""),61710856)</f>
        <v>61710856</v>
      </c>
    </row>
    <row r="761" spans="1:6" ht="12.6">
      <c r="A761" s="2">
        <f ca="1">IFERROR(__xludf.DUMMYFUNCTION("""COMPUTED_VALUE"""),45670.6666666666)</f>
        <v>45670.666666666599</v>
      </c>
      <c r="B761" s="1">
        <f ca="1">IFERROR(__xludf.DUMMYFUNCTION("""COMPUTED_VALUE"""),233.53)</f>
        <v>233.53</v>
      </c>
      <c r="C761" s="1">
        <f ca="1">IFERROR(__xludf.DUMMYFUNCTION("""COMPUTED_VALUE"""),234.67)</f>
        <v>234.67</v>
      </c>
      <c r="D761" s="1">
        <f ca="1">IFERROR(__xludf.DUMMYFUNCTION("""COMPUTED_VALUE"""),229.72)</f>
        <v>229.72</v>
      </c>
      <c r="E761" s="1">
        <f ca="1">IFERROR(__xludf.DUMMYFUNCTION("""COMPUTED_VALUE"""),234.4)</f>
        <v>234.4</v>
      </c>
      <c r="F761" s="1">
        <f ca="1">IFERROR(__xludf.DUMMYFUNCTION("""COMPUTED_VALUE"""),49630725)</f>
        <v>49630725</v>
      </c>
    </row>
    <row r="762" spans="1:6" ht="12.6">
      <c r="A762" s="2">
        <f ca="1">IFERROR(__xludf.DUMMYFUNCTION("""COMPUTED_VALUE"""),45671.6666666666)</f>
        <v>45671.666666666599</v>
      </c>
      <c r="B762" s="1">
        <f ca="1">IFERROR(__xludf.DUMMYFUNCTION("""COMPUTED_VALUE"""),234.75)</f>
        <v>234.75</v>
      </c>
      <c r="C762" s="1">
        <f ca="1">IFERROR(__xludf.DUMMYFUNCTION("""COMPUTED_VALUE"""),236.12)</f>
        <v>236.12</v>
      </c>
      <c r="D762" s="1">
        <f ca="1">IFERROR(__xludf.DUMMYFUNCTION("""COMPUTED_VALUE"""),232.47)</f>
        <v>232.47</v>
      </c>
      <c r="E762" s="1">
        <f ca="1">IFERROR(__xludf.DUMMYFUNCTION("""COMPUTED_VALUE"""),233.28)</f>
        <v>233.28</v>
      </c>
      <c r="F762" s="1">
        <f ca="1">IFERROR(__xludf.DUMMYFUNCTION("""COMPUTED_VALUE"""),39435294)</f>
        <v>39435294</v>
      </c>
    </row>
    <row r="763" spans="1:6" ht="12.6">
      <c r="A763" s="2">
        <f ca="1">IFERROR(__xludf.DUMMYFUNCTION("""COMPUTED_VALUE"""),45672.6666666666)</f>
        <v>45672.666666666599</v>
      </c>
      <c r="B763" s="1">
        <f ca="1">IFERROR(__xludf.DUMMYFUNCTION("""COMPUTED_VALUE"""),234.64)</f>
        <v>234.64</v>
      </c>
      <c r="C763" s="1">
        <f ca="1">IFERROR(__xludf.DUMMYFUNCTION("""COMPUTED_VALUE"""),238.96)</f>
        <v>238.96</v>
      </c>
      <c r="D763" s="1">
        <f ca="1">IFERROR(__xludf.DUMMYFUNCTION("""COMPUTED_VALUE"""),234.43)</f>
        <v>234.43</v>
      </c>
      <c r="E763" s="1">
        <f ca="1">IFERROR(__xludf.DUMMYFUNCTION("""COMPUTED_VALUE"""),237.87)</f>
        <v>237.87</v>
      </c>
      <c r="F763" s="1">
        <f ca="1">IFERROR(__xludf.DUMMYFUNCTION("""COMPUTED_VALUE"""),39831969)</f>
        <v>39831969</v>
      </c>
    </row>
    <row r="764" spans="1:6" ht="12.6">
      <c r="A764" s="2">
        <f ca="1">IFERROR(__xludf.DUMMYFUNCTION("""COMPUTED_VALUE"""),45673.6666666666)</f>
        <v>45673.666666666599</v>
      </c>
      <c r="B764" s="1">
        <f ca="1">IFERROR(__xludf.DUMMYFUNCTION("""COMPUTED_VALUE"""),237.35)</f>
        <v>237.35</v>
      </c>
      <c r="C764" s="1">
        <f ca="1">IFERROR(__xludf.DUMMYFUNCTION("""COMPUTED_VALUE"""),238.01)</f>
        <v>238.01</v>
      </c>
      <c r="D764" s="1">
        <f ca="1">IFERROR(__xludf.DUMMYFUNCTION("""COMPUTED_VALUE"""),228.03)</f>
        <v>228.03</v>
      </c>
      <c r="E764" s="1">
        <f ca="1">IFERROR(__xludf.DUMMYFUNCTION("""COMPUTED_VALUE"""),228.26)</f>
        <v>228.26</v>
      </c>
      <c r="F764" s="1">
        <f ca="1">IFERROR(__xludf.DUMMYFUNCTION("""COMPUTED_VALUE"""),71759052)</f>
        <v>71759052</v>
      </c>
    </row>
    <row r="765" spans="1:6" ht="12.6">
      <c r="A765" s="2">
        <f ca="1">IFERROR(__xludf.DUMMYFUNCTION("""COMPUTED_VALUE"""),45674.6666666666)</f>
        <v>45674.666666666599</v>
      </c>
      <c r="B765" s="1">
        <f ca="1">IFERROR(__xludf.DUMMYFUNCTION("""COMPUTED_VALUE"""),232.12)</f>
        <v>232.12</v>
      </c>
      <c r="C765" s="1">
        <f ca="1">IFERROR(__xludf.DUMMYFUNCTION("""COMPUTED_VALUE"""),232.29)</f>
        <v>232.29</v>
      </c>
      <c r="D765" s="1">
        <f ca="1">IFERROR(__xludf.DUMMYFUNCTION("""COMPUTED_VALUE"""),228.48)</f>
        <v>228.48</v>
      </c>
      <c r="E765" s="1">
        <f ca="1">IFERROR(__xludf.DUMMYFUNCTION("""COMPUTED_VALUE"""),229.98)</f>
        <v>229.98</v>
      </c>
      <c r="F765" s="1">
        <f ca="1">IFERROR(__xludf.DUMMYFUNCTION("""COMPUTED_VALUE"""),68488301)</f>
        <v>68488301</v>
      </c>
    </row>
    <row r="766" spans="1:6" ht="12.6">
      <c r="A766" s="2">
        <f ca="1">IFERROR(__xludf.DUMMYFUNCTION("""COMPUTED_VALUE"""),45678.6666666666)</f>
        <v>45678.666666666599</v>
      </c>
      <c r="B766" s="1">
        <f ca="1">IFERROR(__xludf.DUMMYFUNCTION("""COMPUTED_VALUE"""),224)</f>
        <v>224</v>
      </c>
      <c r="C766" s="1">
        <f ca="1">IFERROR(__xludf.DUMMYFUNCTION("""COMPUTED_VALUE"""),224.42)</f>
        <v>224.42</v>
      </c>
      <c r="D766" s="1">
        <f ca="1">IFERROR(__xludf.DUMMYFUNCTION("""COMPUTED_VALUE"""),219.38)</f>
        <v>219.38</v>
      </c>
      <c r="E766" s="1">
        <f ca="1">IFERROR(__xludf.DUMMYFUNCTION("""COMPUTED_VALUE"""),222.64)</f>
        <v>222.64</v>
      </c>
      <c r="F766" s="1">
        <f ca="1">IFERROR(__xludf.DUMMYFUNCTION("""COMPUTED_VALUE"""),98070429)</f>
        <v>98070429</v>
      </c>
    </row>
    <row r="767" spans="1:6" ht="12.6">
      <c r="A767" s="2">
        <f ca="1">IFERROR(__xludf.DUMMYFUNCTION("""COMPUTED_VALUE"""),45679.6666666666)</f>
        <v>45679.666666666599</v>
      </c>
      <c r="B767" s="1">
        <f ca="1">IFERROR(__xludf.DUMMYFUNCTION("""COMPUTED_VALUE"""),219.79)</f>
        <v>219.79</v>
      </c>
      <c r="C767" s="1">
        <f ca="1">IFERROR(__xludf.DUMMYFUNCTION("""COMPUTED_VALUE"""),224.12)</f>
        <v>224.12</v>
      </c>
      <c r="D767" s="1">
        <f ca="1">IFERROR(__xludf.DUMMYFUNCTION("""COMPUTED_VALUE"""),219.79)</f>
        <v>219.79</v>
      </c>
      <c r="E767" s="1">
        <f ca="1">IFERROR(__xludf.DUMMYFUNCTION("""COMPUTED_VALUE"""),223.83)</f>
        <v>223.83</v>
      </c>
      <c r="F767" s="1">
        <f ca="1">IFERROR(__xludf.DUMMYFUNCTION("""COMPUTED_VALUE"""),64126500)</f>
        <v>64126500</v>
      </c>
    </row>
    <row r="768" spans="1:6" ht="12.6">
      <c r="A768" s="2">
        <f ca="1">IFERROR(__xludf.DUMMYFUNCTION("""COMPUTED_VALUE"""),45680.6666666666)</f>
        <v>45680.666666666599</v>
      </c>
      <c r="B768" s="1">
        <f ca="1">IFERROR(__xludf.DUMMYFUNCTION("""COMPUTED_VALUE"""),224.74)</f>
        <v>224.74</v>
      </c>
      <c r="C768" s="1">
        <f ca="1">IFERROR(__xludf.DUMMYFUNCTION("""COMPUTED_VALUE"""),227.03)</f>
        <v>227.03</v>
      </c>
      <c r="D768" s="1">
        <f ca="1">IFERROR(__xludf.DUMMYFUNCTION("""COMPUTED_VALUE"""),222.3)</f>
        <v>222.3</v>
      </c>
      <c r="E768" s="1">
        <f ca="1">IFERROR(__xludf.DUMMYFUNCTION("""COMPUTED_VALUE"""),223.66)</f>
        <v>223.66</v>
      </c>
      <c r="F768" s="1">
        <f ca="1">IFERROR(__xludf.DUMMYFUNCTION("""COMPUTED_VALUE"""),60234760)</f>
        <v>60234760</v>
      </c>
    </row>
    <row r="769" spans="1:6" ht="12.6">
      <c r="A769" s="2">
        <f ca="1">IFERROR(__xludf.DUMMYFUNCTION("""COMPUTED_VALUE"""),45681.6666666666)</f>
        <v>45681.666666666599</v>
      </c>
      <c r="B769" s="1">
        <f ca="1">IFERROR(__xludf.DUMMYFUNCTION("""COMPUTED_VALUE"""),224.78)</f>
        <v>224.78</v>
      </c>
      <c r="C769" s="1">
        <f ca="1">IFERROR(__xludf.DUMMYFUNCTION("""COMPUTED_VALUE"""),225.63)</f>
        <v>225.63</v>
      </c>
      <c r="D769" s="1">
        <f ca="1">IFERROR(__xludf.DUMMYFUNCTION("""COMPUTED_VALUE"""),221.41)</f>
        <v>221.41</v>
      </c>
      <c r="E769" s="1">
        <f ca="1">IFERROR(__xludf.DUMMYFUNCTION("""COMPUTED_VALUE"""),222.78)</f>
        <v>222.78</v>
      </c>
      <c r="F769" s="1">
        <f ca="1">IFERROR(__xludf.DUMMYFUNCTION("""COMPUTED_VALUE"""),54697907)</f>
        <v>54697907</v>
      </c>
    </row>
    <row r="770" spans="1:6" ht="12.6">
      <c r="A770" s="2">
        <f ca="1">IFERROR(__xludf.DUMMYFUNCTION("""COMPUTED_VALUE"""),45684.6666666666)</f>
        <v>45684.666666666599</v>
      </c>
      <c r="B770" s="1">
        <f ca="1">IFERROR(__xludf.DUMMYFUNCTION("""COMPUTED_VALUE"""),224.02)</f>
        <v>224.02</v>
      </c>
      <c r="C770" s="1">
        <f ca="1">IFERROR(__xludf.DUMMYFUNCTION("""COMPUTED_VALUE"""),232.15)</f>
        <v>232.15</v>
      </c>
      <c r="D770" s="1">
        <f ca="1">IFERROR(__xludf.DUMMYFUNCTION("""COMPUTED_VALUE"""),223.98)</f>
        <v>223.98</v>
      </c>
      <c r="E770" s="1">
        <f ca="1">IFERROR(__xludf.DUMMYFUNCTION("""COMPUTED_VALUE"""),229.86)</f>
        <v>229.86</v>
      </c>
      <c r="F770" s="1">
        <f ca="1">IFERROR(__xludf.DUMMYFUNCTION("""COMPUTED_VALUE"""),94863418)</f>
        <v>94863418</v>
      </c>
    </row>
    <row r="771" spans="1:6" ht="12.6">
      <c r="A771" s="2">
        <f ca="1">IFERROR(__xludf.DUMMYFUNCTION("""COMPUTED_VALUE"""),45685.6666666666)</f>
        <v>45685.666666666599</v>
      </c>
      <c r="B771" s="1">
        <f ca="1">IFERROR(__xludf.DUMMYFUNCTION("""COMPUTED_VALUE"""),230.85)</f>
        <v>230.85</v>
      </c>
      <c r="C771" s="1">
        <f ca="1">IFERROR(__xludf.DUMMYFUNCTION("""COMPUTED_VALUE"""),240.19)</f>
        <v>240.19</v>
      </c>
      <c r="D771" s="1">
        <f ca="1">IFERROR(__xludf.DUMMYFUNCTION("""COMPUTED_VALUE"""),230.81)</f>
        <v>230.81</v>
      </c>
      <c r="E771" s="1">
        <f ca="1">IFERROR(__xludf.DUMMYFUNCTION("""COMPUTED_VALUE"""),238.26)</f>
        <v>238.26</v>
      </c>
      <c r="F771" s="1">
        <f ca="1">IFERROR(__xludf.DUMMYFUNCTION("""COMPUTED_VALUE"""),75707569)</f>
        <v>75707569</v>
      </c>
    </row>
    <row r="772" spans="1:6" ht="12.6">
      <c r="A772" s="2">
        <f ca="1">IFERROR(__xludf.DUMMYFUNCTION("""COMPUTED_VALUE"""),45686.6666666666)</f>
        <v>45686.666666666599</v>
      </c>
      <c r="B772" s="1">
        <f ca="1">IFERROR(__xludf.DUMMYFUNCTION("""COMPUTED_VALUE"""),234.12)</f>
        <v>234.12</v>
      </c>
      <c r="C772" s="1">
        <f ca="1">IFERROR(__xludf.DUMMYFUNCTION("""COMPUTED_VALUE"""),239.86)</f>
        <v>239.86</v>
      </c>
      <c r="D772" s="1">
        <f ca="1">IFERROR(__xludf.DUMMYFUNCTION("""COMPUTED_VALUE"""),234.01)</f>
        <v>234.01</v>
      </c>
      <c r="E772" s="1">
        <f ca="1">IFERROR(__xludf.DUMMYFUNCTION("""COMPUTED_VALUE"""),239.36)</f>
        <v>239.36</v>
      </c>
      <c r="F772" s="1">
        <f ca="1">IFERROR(__xludf.DUMMYFUNCTION("""COMPUTED_VALUE"""),45486100)</f>
        <v>45486100</v>
      </c>
    </row>
    <row r="773" spans="1:6" ht="12.6">
      <c r="A773" s="2">
        <f ca="1">IFERROR(__xludf.DUMMYFUNCTION("""COMPUTED_VALUE"""),45687.6666666666)</f>
        <v>45687.666666666599</v>
      </c>
      <c r="B773" s="1">
        <f ca="1">IFERROR(__xludf.DUMMYFUNCTION("""COMPUTED_VALUE"""),238.67)</f>
        <v>238.67</v>
      </c>
      <c r="C773" s="1">
        <f ca="1">IFERROR(__xludf.DUMMYFUNCTION("""COMPUTED_VALUE"""),240.79)</f>
        <v>240.79</v>
      </c>
      <c r="D773" s="1">
        <f ca="1">IFERROR(__xludf.DUMMYFUNCTION("""COMPUTED_VALUE"""),237.21)</f>
        <v>237.21</v>
      </c>
      <c r="E773" s="1">
        <f ca="1">IFERROR(__xludf.DUMMYFUNCTION("""COMPUTED_VALUE"""),237.59)</f>
        <v>237.59</v>
      </c>
      <c r="F773" s="1">
        <f ca="1">IFERROR(__xludf.DUMMYFUNCTION("""COMPUTED_VALUE"""),55658279)</f>
        <v>55658279</v>
      </c>
    </row>
    <row r="774" spans="1:6" ht="12.6">
      <c r="A774" s="2">
        <f ca="1">IFERROR(__xludf.DUMMYFUNCTION("""COMPUTED_VALUE"""),45688.6666666666)</f>
        <v>45688.666666666599</v>
      </c>
      <c r="B774" s="1">
        <f ca="1">IFERROR(__xludf.DUMMYFUNCTION("""COMPUTED_VALUE"""),247.19)</f>
        <v>247.19</v>
      </c>
      <c r="C774" s="1">
        <f ca="1">IFERROR(__xludf.DUMMYFUNCTION("""COMPUTED_VALUE"""),247.19)</f>
        <v>247.19</v>
      </c>
      <c r="D774" s="1">
        <f ca="1">IFERROR(__xludf.DUMMYFUNCTION("""COMPUTED_VALUE"""),233.44)</f>
        <v>233.44</v>
      </c>
      <c r="E774" s="1">
        <f ca="1">IFERROR(__xludf.DUMMYFUNCTION("""COMPUTED_VALUE"""),236)</f>
        <v>236</v>
      </c>
      <c r="F774" s="1">
        <f ca="1">IFERROR(__xludf.DUMMYFUNCTION("""COMPUTED_VALUE"""),101075128)</f>
        <v>101075128</v>
      </c>
    </row>
    <row r="775" spans="1:6" ht="12.6">
      <c r="A775" s="2">
        <f ca="1">IFERROR(__xludf.DUMMYFUNCTION("""COMPUTED_VALUE"""),45691.6666666666)</f>
        <v>45691.666666666599</v>
      </c>
      <c r="B775" s="1">
        <f ca="1">IFERROR(__xludf.DUMMYFUNCTION("""COMPUTED_VALUE"""),229.99)</f>
        <v>229.99</v>
      </c>
      <c r="C775" s="1">
        <f ca="1">IFERROR(__xludf.DUMMYFUNCTION("""COMPUTED_VALUE"""),231.83)</f>
        <v>231.83</v>
      </c>
      <c r="D775" s="1">
        <f ca="1">IFERROR(__xludf.DUMMYFUNCTION("""COMPUTED_VALUE"""),225.7)</f>
        <v>225.7</v>
      </c>
      <c r="E775" s="1">
        <f ca="1">IFERROR(__xludf.DUMMYFUNCTION("""COMPUTED_VALUE"""),228.01)</f>
        <v>228.01</v>
      </c>
      <c r="F775" s="1">
        <f ca="1">IFERROR(__xludf.DUMMYFUNCTION("""COMPUTED_VALUE"""),73063301)</f>
        <v>73063301</v>
      </c>
    </row>
    <row r="776" spans="1:6" ht="12.6">
      <c r="A776" s="2">
        <f ca="1">IFERROR(__xludf.DUMMYFUNCTION("""COMPUTED_VALUE"""),45692.6666666666)</f>
        <v>45692.666666666599</v>
      </c>
      <c r="B776" s="1">
        <f ca="1">IFERROR(__xludf.DUMMYFUNCTION("""COMPUTED_VALUE"""),227.25)</f>
        <v>227.25</v>
      </c>
      <c r="C776" s="1">
        <f ca="1">IFERROR(__xludf.DUMMYFUNCTION("""COMPUTED_VALUE"""),233.13)</f>
        <v>233.13</v>
      </c>
      <c r="D776" s="1">
        <f ca="1">IFERROR(__xludf.DUMMYFUNCTION("""COMPUTED_VALUE"""),226.65)</f>
        <v>226.65</v>
      </c>
      <c r="E776" s="1">
        <f ca="1">IFERROR(__xludf.DUMMYFUNCTION("""COMPUTED_VALUE"""),232.8)</f>
        <v>232.8</v>
      </c>
      <c r="F776" s="1">
        <f ca="1">IFERROR(__xludf.DUMMYFUNCTION("""COMPUTED_VALUE"""),45067301)</f>
        <v>45067301</v>
      </c>
    </row>
    <row r="777" spans="1:6" ht="12.6">
      <c r="A777" s="2">
        <f ca="1">IFERROR(__xludf.DUMMYFUNCTION("""COMPUTED_VALUE"""),45693.6666666666)</f>
        <v>45693.666666666599</v>
      </c>
      <c r="B777" s="1">
        <f ca="1">IFERROR(__xludf.DUMMYFUNCTION("""COMPUTED_VALUE"""),228.53)</f>
        <v>228.53</v>
      </c>
      <c r="C777" s="1">
        <f ca="1">IFERROR(__xludf.DUMMYFUNCTION("""COMPUTED_VALUE"""),232.67)</f>
        <v>232.67</v>
      </c>
      <c r="D777" s="1">
        <f ca="1">IFERROR(__xludf.DUMMYFUNCTION("""COMPUTED_VALUE"""),228.27)</f>
        <v>228.27</v>
      </c>
      <c r="E777" s="1">
        <f ca="1">IFERROR(__xludf.DUMMYFUNCTION("""COMPUTED_VALUE"""),232.47)</f>
        <v>232.47</v>
      </c>
      <c r="F777" s="1">
        <f ca="1">IFERROR(__xludf.DUMMYFUNCTION("""COMPUTED_VALUE"""),39664989)</f>
        <v>39664989</v>
      </c>
    </row>
    <row r="778" spans="1:6" ht="12.6">
      <c r="A778" s="2">
        <f ca="1">IFERROR(__xludf.DUMMYFUNCTION("""COMPUTED_VALUE"""),45694.6666666666)</f>
        <v>45694.666666666599</v>
      </c>
      <c r="B778" s="1">
        <f ca="1">IFERROR(__xludf.DUMMYFUNCTION("""COMPUTED_VALUE"""),231.29)</f>
        <v>231.29</v>
      </c>
      <c r="C778" s="1">
        <f ca="1">IFERROR(__xludf.DUMMYFUNCTION("""COMPUTED_VALUE"""),233.8)</f>
        <v>233.8</v>
      </c>
      <c r="D778" s="1">
        <f ca="1">IFERROR(__xludf.DUMMYFUNCTION("""COMPUTED_VALUE"""),230.43)</f>
        <v>230.43</v>
      </c>
      <c r="E778" s="1">
        <f ca="1">IFERROR(__xludf.DUMMYFUNCTION("""COMPUTED_VALUE"""),233.22)</f>
        <v>233.22</v>
      </c>
      <c r="F778" s="1">
        <f ca="1">IFERROR(__xludf.DUMMYFUNCTION("""COMPUTED_VALUE"""),29925349)</f>
        <v>29925349</v>
      </c>
    </row>
    <row r="779" spans="1:6" ht="12.6">
      <c r="A779" s="2">
        <f ca="1">IFERROR(__xludf.DUMMYFUNCTION("""COMPUTED_VALUE"""),45695.6666666666)</f>
        <v>45695.666666666599</v>
      </c>
      <c r="B779" s="1">
        <f ca="1">IFERROR(__xludf.DUMMYFUNCTION("""COMPUTED_VALUE"""),232.6)</f>
        <v>232.6</v>
      </c>
      <c r="C779" s="1">
        <f ca="1">IFERROR(__xludf.DUMMYFUNCTION("""COMPUTED_VALUE"""),234)</f>
        <v>234</v>
      </c>
      <c r="D779" s="1">
        <f ca="1">IFERROR(__xludf.DUMMYFUNCTION("""COMPUTED_VALUE"""),227.26)</f>
        <v>227.26</v>
      </c>
      <c r="E779" s="1">
        <f ca="1">IFERROR(__xludf.DUMMYFUNCTION("""COMPUTED_VALUE"""),227.63)</f>
        <v>227.63</v>
      </c>
      <c r="F779" s="1">
        <f ca="1">IFERROR(__xludf.DUMMYFUNCTION("""COMPUTED_VALUE"""),39707224)</f>
        <v>39707224</v>
      </c>
    </row>
    <row r="780" spans="1:6" ht="12.6">
      <c r="A780" s="2">
        <f ca="1">IFERROR(__xludf.DUMMYFUNCTION("""COMPUTED_VALUE"""),45698.6666666666)</f>
        <v>45698.666666666599</v>
      </c>
      <c r="B780" s="1">
        <f ca="1">IFERROR(__xludf.DUMMYFUNCTION("""COMPUTED_VALUE"""),229.57)</f>
        <v>229.57</v>
      </c>
      <c r="C780" s="1">
        <f ca="1">IFERROR(__xludf.DUMMYFUNCTION("""COMPUTED_VALUE"""),230.59)</f>
        <v>230.59</v>
      </c>
      <c r="D780" s="1">
        <f ca="1">IFERROR(__xludf.DUMMYFUNCTION("""COMPUTED_VALUE"""),227.2)</f>
        <v>227.2</v>
      </c>
      <c r="E780" s="1">
        <f ca="1">IFERROR(__xludf.DUMMYFUNCTION("""COMPUTED_VALUE"""),227.65)</f>
        <v>227.65</v>
      </c>
      <c r="F780" s="1">
        <f ca="1">IFERROR(__xludf.DUMMYFUNCTION("""COMPUTED_VALUE"""),33115645)</f>
        <v>33115645</v>
      </c>
    </row>
    <row r="781" spans="1:6" ht="12.6">
      <c r="A781" s="2">
        <f ca="1">IFERROR(__xludf.DUMMYFUNCTION("""COMPUTED_VALUE"""),45699.6666666666)</f>
        <v>45699.666666666599</v>
      </c>
      <c r="B781" s="1">
        <f ca="1">IFERROR(__xludf.DUMMYFUNCTION("""COMPUTED_VALUE"""),228.2)</f>
        <v>228.2</v>
      </c>
      <c r="C781" s="1">
        <f ca="1">IFERROR(__xludf.DUMMYFUNCTION("""COMPUTED_VALUE"""),235.23)</f>
        <v>235.23</v>
      </c>
      <c r="D781" s="1">
        <f ca="1">IFERROR(__xludf.DUMMYFUNCTION("""COMPUTED_VALUE"""),228.13)</f>
        <v>228.13</v>
      </c>
      <c r="E781" s="1">
        <f ca="1">IFERROR(__xludf.DUMMYFUNCTION("""COMPUTED_VALUE"""),232.62)</f>
        <v>232.62</v>
      </c>
      <c r="F781" s="1">
        <f ca="1">IFERROR(__xludf.DUMMYFUNCTION("""COMPUTED_VALUE"""),53718362)</f>
        <v>53718362</v>
      </c>
    </row>
    <row r="782" spans="1:6" ht="12.6">
      <c r="A782" s="2">
        <f ca="1">IFERROR(__xludf.DUMMYFUNCTION("""COMPUTED_VALUE"""),45700.6666666666)</f>
        <v>45700.666666666599</v>
      </c>
      <c r="B782" s="1">
        <f ca="1">IFERROR(__xludf.DUMMYFUNCTION("""COMPUTED_VALUE"""),231.2)</f>
        <v>231.2</v>
      </c>
      <c r="C782" s="1">
        <f ca="1">IFERROR(__xludf.DUMMYFUNCTION("""COMPUTED_VALUE"""),236.96)</f>
        <v>236.96</v>
      </c>
      <c r="D782" s="1">
        <f ca="1">IFERROR(__xludf.DUMMYFUNCTION("""COMPUTED_VALUE"""),230.68)</f>
        <v>230.68</v>
      </c>
      <c r="E782" s="1">
        <f ca="1">IFERROR(__xludf.DUMMYFUNCTION("""COMPUTED_VALUE"""),236.87)</f>
        <v>236.87</v>
      </c>
      <c r="F782" s="1">
        <f ca="1">IFERROR(__xludf.DUMMYFUNCTION("""COMPUTED_VALUE"""),45243292)</f>
        <v>45243292</v>
      </c>
    </row>
    <row r="783" spans="1:6" ht="12.6">
      <c r="A783" s="2">
        <f ca="1">IFERROR(__xludf.DUMMYFUNCTION("""COMPUTED_VALUE"""),45701.6666666666)</f>
        <v>45701.666666666599</v>
      </c>
      <c r="B783" s="1">
        <f ca="1">IFERROR(__xludf.DUMMYFUNCTION("""COMPUTED_VALUE"""),236.91)</f>
        <v>236.91</v>
      </c>
      <c r="C783" s="1">
        <f ca="1">IFERROR(__xludf.DUMMYFUNCTION("""COMPUTED_VALUE"""),242.34)</f>
        <v>242.34</v>
      </c>
      <c r="D783" s="1">
        <f ca="1">IFERROR(__xludf.DUMMYFUNCTION("""COMPUTED_VALUE"""),235.57)</f>
        <v>235.57</v>
      </c>
      <c r="E783" s="1">
        <f ca="1">IFERROR(__xludf.DUMMYFUNCTION("""COMPUTED_VALUE"""),241.53)</f>
        <v>241.53</v>
      </c>
      <c r="F783" s="1">
        <f ca="1">IFERROR(__xludf.DUMMYFUNCTION("""COMPUTED_VALUE"""),53614054)</f>
        <v>53614054</v>
      </c>
    </row>
    <row r="784" spans="1:6" ht="12.6">
      <c r="A784" s="2">
        <f ca="1">IFERROR(__xludf.DUMMYFUNCTION("""COMPUTED_VALUE"""),45702.6666666666)</f>
        <v>45702.666666666599</v>
      </c>
      <c r="B784" s="1">
        <f ca="1">IFERROR(__xludf.DUMMYFUNCTION("""COMPUTED_VALUE"""),241.25)</f>
        <v>241.25</v>
      </c>
      <c r="C784" s="1">
        <f ca="1">IFERROR(__xludf.DUMMYFUNCTION("""COMPUTED_VALUE"""),245.55)</f>
        <v>245.55</v>
      </c>
      <c r="D784" s="1">
        <f ca="1">IFERROR(__xludf.DUMMYFUNCTION("""COMPUTED_VALUE"""),240.99)</f>
        <v>240.99</v>
      </c>
      <c r="E784" s="1">
        <f ca="1">IFERROR(__xludf.DUMMYFUNCTION("""COMPUTED_VALUE"""),244.6)</f>
        <v>244.6</v>
      </c>
      <c r="F784" s="1">
        <f ca="1">IFERROR(__xludf.DUMMYFUNCTION("""COMPUTED_VALUE"""),40896227)</f>
        <v>40896227</v>
      </c>
    </row>
    <row r="785" spans="1:6" ht="12.6">
      <c r="A785" s="2">
        <f ca="1">IFERROR(__xludf.DUMMYFUNCTION("""COMPUTED_VALUE"""),45706.6666666666)</f>
        <v>45706.666666666599</v>
      </c>
      <c r="B785" s="1">
        <f ca="1">IFERROR(__xludf.DUMMYFUNCTION("""COMPUTED_VALUE"""),244.15)</f>
        <v>244.15</v>
      </c>
      <c r="C785" s="1">
        <f ca="1">IFERROR(__xludf.DUMMYFUNCTION("""COMPUTED_VALUE"""),245.18)</f>
        <v>245.18</v>
      </c>
      <c r="D785" s="1">
        <f ca="1">IFERROR(__xludf.DUMMYFUNCTION("""COMPUTED_VALUE"""),241.84)</f>
        <v>241.84</v>
      </c>
      <c r="E785" s="1">
        <f ca="1">IFERROR(__xludf.DUMMYFUNCTION("""COMPUTED_VALUE"""),244.47)</f>
        <v>244.47</v>
      </c>
      <c r="F785" s="1">
        <f ca="1">IFERROR(__xludf.DUMMYFUNCTION("""COMPUTED_VALUE"""),48822491)</f>
        <v>48822491</v>
      </c>
    </row>
    <row r="786" spans="1:6" ht="12.6">
      <c r="A786" s="2">
        <f ca="1">IFERROR(__xludf.DUMMYFUNCTION("""COMPUTED_VALUE"""),45707.6666666666)</f>
        <v>45707.666666666599</v>
      </c>
      <c r="B786" s="1">
        <f ca="1">IFERROR(__xludf.DUMMYFUNCTION("""COMPUTED_VALUE"""),244.66)</f>
        <v>244.66</v>
      </c>
      <c r="C786" s="1">
        <f ca="1">IFERROR(__xludf.DUMMYFUNCTION("""COMPUTED_VALUE"""),246.01)</f>
        <v>246.01</v>
      </c>
      <c r="D786" s="1">
        <f ca="1">IFERROR(__xludf.DUMMYFUNCTION("""COMPUTED_VALUE"""),243.16)</f>
        <v>243.16</v>
      </c>
      <c r="E786" s="1">
        <f ca="1">IFERROR(__xludf.DUMMYFUNCTION("""COMPUTED_VALUE"""),244.87)</f>
        <v>244.87</v>
      </c>
      <c r="F786" s="1">
        <f ca="1">IFERROR(__xludf.DUMMYFUNCTION("""COMPUTED_VALUE"""),32204215)</f>
        <v>32204215</v>
      </c>
    </row>
    <row r="787" spans="1:6" ht="12.6">
      <c r="A787" s="2">
        <f ca="1">IFERROR(__xludf.DUMMYFUNCTION("""COMPUTED_VALUE"""),45708.6666666666)</f>
        <v>45708.666666666599</v>
      </c>
      <c r="B787" s="1">
        <f ca="1">IFERROR(__xludf.DUMMYFUNCTION("""COMPUTED_VALUE"""),244.94)</f>
        <v>244.94</v>
      </c>
      <c r="C787" s="1">
        <f ca="1">IFERROR(__xludf.DUMMYFUNCTION("""COMPUTED_VALUE"""),246.78)</f>
        <v>246.78</v>
      </c>
      <c r="D787" s="1">
        <f ca="1">IFERROR(__xludf.DUMMYFUNCTION("""COMPUTED_VALUE"""),244.29)</f>
        <v>244.29</v>
      </c>
      <c r="E787" s="1">
        <f ca="1">IFERROR(__xludf.DUMMYFUNCTION("""COMPUTED_VALUE"""),245.83)</f>
        <v>245.83</v>
      </c>
      <c r="F787" s="1">
        <f ca="1">IFERROR(__xludf.DUMMYFUNCTION("""COMPUTED_VALUE"""),32316907)</f>
        <v>32316907</v>
      </c>
    </row>
    <row r="788" spans="1:6" ht="12.6">
      <c r="A788" s="2">
        <f ca="1">IFERROR(__xludf.DUMMYFUNCTION("""COMPUTED_VALUE"""),45709.6666666666)</f>
        <v>45709.666666666599</v>
      </c>
      <c r="B788" s="1">
        <f ca="1">IFERROR(__xludf.DUMMYFUNCTION("""COMPUTED_VALUE"""),245.95)</f>
        <v>245.95</v>
      </c>
      <c r="C788" s="1">
        <f ca="1">IFERROR(__xludf.DUMMYFUNCTION("""COMPUTED_VALUE"""),248.69)</f>
        <v>248.69</v>
      </c>
      <c r="D788" s="1">
        <f ca="1">IFERROR(__xludf.DUMMYFUNCTION("""COMPUTED_VALUE"""),245.22)</f>
        <v>245.22</v>
      </c>
      <c r="E788" s="1">
        <f ca="1">IFERROR(__xludf.DUMMYFUNCTION("""COMPUTED_VALUE"""),245.55)</f>
        <v>245.55</v>
      </c>
      <c r="F788" s="1">
        <f ca="1">IFERROR(__xludf.DUMMYFUNCTION("""COMPUTED_VALUE"""),53197431)</f>
        <v>53197431</v>
      </c>
    </row>
    <row r="789" spans="1:6" ht="12.6">
      <c r="A789" s="2">
        <f ca="1">IFERROR(__xludf.DUMMYFUNCTION("""COMPUTED_VALUE"""),45712.6666666666)</f>
        <v>45712.666666666599</v>
      </c>
      <c r="B789" s="1">
        <f ca="1">IFERROR(__xludf.DUMMYFUNCTION("""COMPUTED_VALUE"""),244.93)</f>
        <v>244.93</v>
      </c>
      <c r="C789" s="1">
        <f ca="1">IFERROR(__xludf.DUMMYFUNCTION("""COMPUTED_VALUE"""),248.86)</f>
        <v>248.86</v>
      </c>
      <c r="D789" s="1">
        <f ca="1">IFERROR(__xludf.DUMMYFUNCTION("""COMPUTED_VALUE"""),244.42)</f>
        <v>244.42</v>
      </c>
      <c r="E789" s="1">
        <f ca="1">IFERROR(__xludf.DUMMYFUNCTION("""COMPUTED_VALUE"""),247.1)</f>
        <v>247.1</v>
      </c>
      <c r="F789" s="1">
        <f ca="1">IFERROR(__xludf.DUMMYFUNCTION("""COMPUTED_VALUE"""),51326396)</f>
        <v>51326396</v>
      </c>
    </row>
    <row r="790" spans="1:6" ht="12.6">
      <c r="A790" s="2">
        <f ca="1">IFERROR(__xludf.DUMMYFUNCTION("""COMPUTED_VALUE"""),45713.6666666666)</f>
        <v>45713.666666666599</v>
      </c>
      <c r="B790" s="1">
        <f ca="1">IFERROR(__xludf.DUMMYFUNCTION("""COMPUTED_VALUE"""),248)</f>
        <v>248</v>
      </c>
      <c r="C790" s="1">
        <f ca="1">IFERROR(__xludf.DUMMYFUNCTION("""COMPUTED_VALUE"""),250)</f>
        <v>250</v>
      </c>
      <c r="D790" s="1">
        <f ca="1">IFERROR(__xludf.DUMMYFUNCTION("""COMPUTED_VALUE"""),244.91)</f>
        <v>244.91</v>
      </c>
      <c r="E790" s="1">
        <f ca="1">IFERROR(__xludf.DUMMYFUNCTION("""COMPUTED_VALUE"""),247.04)</f>
        <v>247.04</v>
      </c>
      <c r="F790" s="1">
        <f ca="1">IFERROR(__xludf.DUMMYFUNCTION("""COMPUTED_VALUE"""),48013272)</f>
        <v>48013272</v>
      </c>
    </row>
    <row r="791" spans="1:6" ht="12.6">
      <c r="A791" s="2">
        <f ca="1">IFERROR(__xludf.DUMMYFUNCTION("""COMPUTED_VALUE"""),45714.6666666666)</f>
        <v>45714.666666666599</v>
      </c>
      <c r="B791" s="1">
        <f ca="1">IFERROR(__xludf.DUMMYFUNCTION("""COMPUTED_VALUE"""),244.33)</f>
        <v>244.33</v>
      </c>
      <c r="C791" s="1">
        <f ca="1">IFERROR(__xludf.DUMMYFUNCTION("""COMPUTED_VALUE"""),244.98)</f>
        <v>244.98</v>
      </c>
      <c r="D791" s="1">
        <f ca="1">IFERROR(__xludf.DUMMYFUNCTION("""COMPUTED_VALUE"""),239.13)</f>
        <v>239.13</v>
      </c>
      <c r="E791" s="1">
        <f ca="1">IFERROR(__xludf.DUMMYFUNCTION("""COMPUTED_VALUE"""),240.36)</f>
        <v>240.36</v>
      </c>
      <c r="F791" s="1">
        <f ca="1">IFERROR(__xludf.DUMMYFUNCTION("""COMPUTED_VALUE"""),44433564)</f>
        <v>44433564</v>
      </c>
    </row>
    <row r="792" spans="1:6" ht="12.6">
      <c r="A792" s="2">
        <f ca="1">IFERROR(__xludf.DUMMYFUNCTION("""COMPUTED_VALUE"""),45715.6666666666)</f>
        <v>45715.666666666599</v>
      </c>
      <c r="B792" s="1">
        <f ca="1">IFERROR(__xludf.DUMMYFUNCTION("""COMPUTED_VALUE"""),239.41)</f>
        <v>239.41</v>
      </c>
      <c r="C792" s="1">
        <f ca="1">IFERROR(__xludf.DUMMYFUNCTION("""COMPUTED_VALUE"""),242.46)</f>
        <v>242.46</v>
      </c>
      <c r="D792" s="1">
        <f ca="1">IFERROR(__xludf.DUMMYFUNCTION("""COMPUTED_VALUE"""),237.06)</f>
        <v>237.06</v>
      </c>
      <c r="E792" s="1">
        <f ca="1">IFERROR(__xludf.DUMMYFUNCTION("""COMPUTED_VALUE"""),237.3)</f>
        <v>237.3</v>
      </c>
      <c r="F792" s="1">
        <f ca="1">IFERROR(__xludf.DUMMYFUNCTION("""COMPUTED_VALUE"""),41153639)</f>
        <v>41153639</v>
      </c>
    </row>
    <row r="793" spans="1:6" ht="12.6">
      <c r="A793" s="2">
        <f ca="1">IFERROR(__xludf.DUMMYFUNCTION("""COMPUTED_VALUE"""),45716.6666666666)</f>
        <v>45716.666666666599</v>
      </c>
      <c r="B793" s="1">
        <f ca="1">IFERROR(__xludf.DUMMYFUNCTION("""COMPUTED_VALUE"""),236.95)</f>
        <v>236.95</v>
      </c>
      <c r="C793" s="1">
        <f ca="1">IFERROR(__xludf.DUMMYFUNCTION("""COMPUTED_VALUE"""),242.09)</f>
        <v>242.09</v>
      </c>
      <c r="D793" s="1">
        <f ca="1">IFERROR(__xludf.DUMMYFUNCTION("""COMPUTED_VALUE"""),230.2)</f>
        <v>230.2</v>
      </c>
      <c r="E793" s="1">
        <f ca="1">IFERROR(__xludf.DUMMYFUNCTION("""COMPUTED_VALUE"""),241.84)</f>
        <v>241.84</v>
      </c>
      <c r="F793" s="1">
        <f ca="1">IFERROR(__xludf.DUMMYFUNCTION("""COMPUTED_VALUE"""),56833360)</f>
        <v>56833360</v>
      </c>
    </row>
    <row r="794" spans="1:6" ht="12.6">
      <c r="A794" s="2">
        <f ca="1">IFERROR(__xludf.DUMMYFUNCTION("""COMPUTED_VALUE"""),45719.6666666666)</f>
        <v>45719.666666666599</v>
      </c>
      <c r="B794" s="1">
        <f ca="1">IFERROR(__xludf.DUMMYFUNCTION("""COMPUTED_VALUE"""),241.79)</f>
        <v>241.79</v>
      </c>
      <c r="C794" s="1">
        <f ca="1">IFERROR(__xludf.DUMMYFUNCTION("""COMPUTED_VALUE"""),244.03)</f>
        <v>244.03</v>
      </c>
      <c r="D794" s="1">
        <f ca="1">IFERROR(__xludf.DUMMYFUNCTION("""COMPUTED_VALUE"""),236.11)</f>
        <v>236.11</v>
      </c>
      <c r="E794" s="1">
        <f ca="1">IFERROR(__xludf.DUMMYFUNCTION("""COMPUTED_VALUE"""),238.03)</f>
        <v>238.03</v>
      </c>
      <c r="F794" s="1">
        <f ca="1">IFERROR(__xludf.DUMMYFUNCTION("""COMPUTED_VALUE"""),47183985)</f>
        <v>47183985</v>
      </c>
    </row>
    <row r="795" spans="1:6" ht="12.6">
      <c r="A795" s="2">
        <f ca="1">IFERROR(__xludf.DUMMYFUNCTION("""COMPUTED_VALUE"""),45720.6666666666)</f>
        <v>45720.666666666599</v>
      </c>
      <c r="B795" s="1">
        <f ca="1">IFERROR(__xludf.DUMMYFUNCTION("""COMPUTED_VALUE"""),237.71)</f>
        <v>237.71</v>
      </c>
      <c r="C795" s="1">
        <f ca="1">IFERROR(__xludf.DUMMYFUNCTION("""COMPUTED_VALUE"""),240.07)</f>
        <v>240.07</v>
      </c>
      <c r="D795" s="1">
        <f ca="1">IFERROR(__xludf.DUMMYFUNCTION("""COMPUTED_VALUE"""),234.68)</f>
        <v>234.68</v>
      </c>
      <c r="E795" s="1">
        <f ca="1">IFERROR(__xludf.DUMMYFUNCTION("""COMPUTED_VALUE"""),235.93)</f>
        <v>235.93</v>
      </c>
      <c r="F795" s="1">
        <f ca="1">IFERROR(__xludf.DUMMYFUNCTION("""COMPUTED_VALUE"""),53798062)</f>
        <v>53798062</v>
      </c>
    </row>
    <row r="796" spans="1:6" ht="12.6">
      <c r="A796" s="2">
        <f ca="1">IFERROR(__xludf.DUMMYFUNCTION("""COMPUTED_VALUE"""),45721.6666666666)</f>
        <v>45721.666666666599</v>
      </c>
      <c r="B796" s="1">
        <f ca="1">IFERROR(__xludf.DUMMYFUNCTION("""COMPUTED_VALUE"""),235.42)</f>
        <v>235.42</v>
      </c>
      <c r="C796" s="1">
        <f ca="1">IFERROR(__xludf.DUMMYFUNCTION("""COMPUTED_VALUE"""),236.55)</f>
        <v>236.55</v>
      </c>
      <c r="D796" s="1">
        <f ca="1">IFERROR(__xludf.DUMMYFUNCTION("""COMPUTED_VALUE"""),229.23)</f>
        <v>229.23</v>
      </c>
      <c r="E796" s="1">
        <f ca="1">IFERROR(__xludf.DUMMYFUNCTION("""COMPUTED_VALUE"""),235.74)</f>
        <v>235.74</v>
      </c>
      <c r="F796" s="1">
        <f ca="1">IFERROR(__xludf.DUMMYFUNCTION("""COMPUTED_VALUE"""),47227643)</f>
        <v>47227643</v>
      </c>
    </row>
    <row r="797" spans="1:6" ht="12.6">
      <c r="A797" s="2">
        <f ca="1">IFERROR(__xludf.DUMMYFUNCTION("""COMPUTED_VALUE"""),45722.6666666666)</f>
        <v>45722.666666666599</v>
      </c>
      <c r="B797" s="1">
        <f ca="1">IFERROR(__xludf.DUMMYFUNCTION("""COMPUTED_VALUE"""),234.44)</f>
        <v>234.44</v>
      </c>
      <c r="C797" s="1">
        <f ca="1">IFERROR(__xludf.DUMMYFUNCTION("""COMPUTED_VALUE"""),237.86)</f>
        <v>237.86</v>
      </c>
      <c r="D797" s="1">
        <f ca="1">IFERROR(__xludf.DUMMYFUNCTION("""COMPUTED_VALUE"""),233.16)</f>
        <v>233.16</v>
      </c>
      <c r="E797" s="1">
        <f ca="1">IFERROR(__xludf.DUMMYFUNCTION("""COMPUTED_VALUE"""),235.33)</f>
        <v>235.33</v>
      </c>
      <c r="F797" s="1">
        <f ca="1">IFERROR(__xludf.DUMMYFUNCTION("""COMPUTED_VALUE"""),45170419)</f>
        <v>45170419</v>
      </c>
    </row>
    <row r="798" spans="1:6" ht="12.6">
      <c r="A798" s="2">
        <f ca="1">IFERROR(__xludf.DUMMYFUNCTION("""COMPUTED_VALUE"""),45723.6666666666)</f>
        <v>45723.666666666599</v>
      </c>
      <c r="B798" s="1">
        <f ca="1">IFERROR(__xludf.DUMMYFUNCTION("""COMPUTED_VALUE"""),235.11)</f>
        <v>235.11</v>
      </c>
      <c r="C798" s="1">
        <f ca="1">IFERROR(__xludf.DUMMYFUNCTION("""COMPUTED_VALUE"""),241.37)</f>
        <v>241.37</v>
      </c>
      <c r="D798" s="1">
        <f ca="1">IFERROR(__xludf.DUMMYFUNCTION("""COMPUTED_VALUE"""),234.76)</f>
        <v>234.76</v>
      </c>
      <c r="E798" s="1">
        <f ca="1">IFERROR(__xludf.DUMMYFUNCTION("""COMPUTED_VALUE"""),239.07)</f>
        <v>239.07</v>
      </c>
      <c r="F798" s="1">
        <f ca="1">IFERROR(__xludf.DUMMYFUNCTION("""COMPUTED_VALUE"""),46273565)</f>
        <v>46273565</v>
      </c>
    </row>
    <row r="799" spans="1:6" ht="12.6">
      <c r="A799" s="2">
        <f ca="1">IFERROR(__xludf.DUMMYFUNCTION("""COMPUTED_VALUE"""),45726.6666666666)</f>
        <v>45726.666666666599</v>
      </c>
      <c r="B799" s="1">
        <f ca="1">IFERROR(__xludf.DUMMYFUNCTION("""COMPUTED_VALUE"""),235.54)</f>
        <v>235.54</v>
      </c>
      <c r="C799" s="1">
        <f ca="1">IFERROR(__xludf.DUMMYFUNCTION("""COMPUTED_VALUE"""),236.16)</f>
        <v>236.16</v>
      </c>
      <c r="D799" s="1">
        <f ca="1">IFERROR(__xludf.DUMMYFUNCTION("""COMPUTED_VALUE"""),224.22)</f>
        <v>224.22</v>
      </c>
      <c r="E799" s="1">
        <f ca="1">IFERROR(__xludf.DUMMYFUNCTION("""COMPUTED_VALUE"""),227.48)</f>
        <v>227.48</v>
      </c>
      <c r="F799" s="1">
        <f ca="1">IFERROR(__xludf.DUMMYFUNCTION("""COMPUTED_VALUE"""),72071197)</f>
        <v>72071197</v>
      </c>
    </row>
    <row r="800" spans="1:6" ht="12.6">
      <c r="A800" s="2">
        <f ca="1">IFERROR(__xludf.DUMMYFUNCTION("""COMPUTED_VALUE"""),45727.6666666666)</f>
        <v>45727.666666666599</v>
      </c>
      <c r="B800" s="1">
        <f ca="1">IFERROR(__xludf.DUMMYFUNCTION("""COMPUTED_VALUE"""),223.81)</f>
        <v>223.81</v>
      </c>
      <c r="C800" s="1">
        <f ca="1">IFERROR(__xludf.DUMMYFUNCTION("""COMPUTED_VALUE"""),225.84)</f>
        <v>225.84</v>
      </c>
      <c r="D800" s="1">
        <f ca="1">IFERROR(__xludf.DUMMYFUNCTION("""COMPUTED_VALUE"""),217.45)</f>
        <v>217.45</v>
      </c>
      <c r="E800" s="1">
        <f ca="1">IFERROR(__xludf.DUMMYFUNCTION("""COMPUTED_VALUE"""),220.84)</f>
        <v>220.84</v>
      </c>
      <c r="F800" s="1">
        <f ca="1">IFERROR(__xludf.DUMMYFUNCTION("""COMPUTED_VALUE"""),76137410)</f>
        <v>76137410</v>
      </c>
    </row>
    <row r="801" spans="1:6" ht="12.6">
      <c r="A801" s="2">
        <f ca="1">IFERROR(__xludf.DUMMYFUNCTION("""COMPUTED_VALUE"""),45728.6666666666)</f>
        <v>45728.666666666599</v>
      </c>
      <c r="B801" s="1">
        <f ca="1">IFERROR(__xludf.DUMMYFUNCTION("""COMPUTED_VALUE"""),220.14)</f>
        <v>220.14</v>
      </c>
      <c r="C801" s="1">
        <f ca="1">IFERROR(__xludf.DUMMYFUNCTION("""COMPUTED_VALUE"""),221.75)</f>
        <v>221.75</v>
      </c>
      <c r="D801" s="1">
        <f ca="1">IFERROR(__xludf.DUMMYFUNCTION("""COMPUTED_VALUE"""),214.91)</f>
        <v>214.91</v>
      </c>
      <c r="E801" s="1">
        <f ca="1">IFERROR(__xludf.DUMMYFUNCTION("""COMPUTED_VALUE"""),216.98)</f>
        <v>216.98</v>
      </c>
      <c r="F801" s="1">
        <f ca="1">IFERROR(__xludf.DUMMYFUNCTION("""COMPUTED_VALUE"""),62547467)</f>
        <v>62547467</v>
      </c>
    </row>
    <row r="802" spans="1:6" ht="12.6">
      <c r="A802" s="2">
        <f ca="1">IFERROR(__xludf.DUMMYFUNCTION("""COMPUTED_VALUE"""),45729.6666666666)</f>
        <v>45729.666666666599</v>
      </c>
      <c r="B802" s="1">
        <f ca="1">IFERROR(__xludf.DUMMYFUNCTION("""COMPUTED_VALUE"""),215.95)</f>
        <v>215.95</v>
      </c>
      <c r="C802" s="1">
        <f ca="1">IFERROR(__xludf.DUMMYFUNCTION("""COMPUTED_VALUE"""),216.84)</f>
        <v>216.84</v>
      </c>
      <c r="D802" s="1">
        <f ca="1">IFERROR(__xludf.DUMMYFUNCTION("""COMPUTED_VALUE"""),208.42)</f>
        <v>208.42</v>
      </c>
      <c r="E802" s="1">
        <f ca="1">IFERROR(__xludf.DUMMYFUNCTION("""COMPUTED_VALUE"""),209.68)</f>
        <v>209.68</v>
      </c>
      <c r="F802" s="1">
        <f ca="1">IFERROR(__xludf.DUMMYFUNCTION("""COMPUTED_VALUE"""),61368330)</f>
        <v>61368330</v>
      </c>
    </row>
    <row r="803" spans="1:6" ht="12.6">
      <c r="A803" s="2">
        <f ca="1">IFERROR(__xludf.DUMMYFUNCTION("""COMPUTED_VALUE"""),45730.6666666666)</f>
        <v>45730.666666666599</v>
      </c>
      <c r="B803" s="1">
        <f ca="1">IFERROR(__xludf.DUMMYFUNCTION("""COMPUTED_VALUE"""),211.25)</f>
        <v>211.25</v>
      </c>
      <c r="C803" s="1">
        <f ca="1">IFERROR(__xludf.DUMMYFUNCTION("""COMPUTED_VALUE"""),213.95)</f>
        <v>213.95</v>
      </c>
      <c r="D803" s="1">
        <f ca="1">IFERROR(__xludf.DUMMYFUNCTION("""COMPUTED_VALUE"""),209.58)</f>
        <v>209.58</v>
      </c>
      <c r="E803" s="1">
        <f ca="1">IFERROR(__xludf.DUMMYFUNCTION("""COMPUTED_VALUE"""),213.49)</f>
        <v>213.49</v>
      </c>
      <c r="F803" s="1">
        <f ca="1">IFERROR(__xludf.DUMMYFUNCTION("""COMPUTED_VALUE"""),60107582)</f>
        <v>60107582</v>
      </c>
    </row>
    <row r="804" spans="1:6" ht="12.6">
      <c r="A804" s="2">
        <f ca="1">IFERROR(__xludf.DUMMYFUNCTION("""COMPUTED_VALUE"""),45733.6666666666)</f>
        <v>45733.666666666599</v>
      </c>
      <c r="B804" s="1">
        <f ca="1">IFERROR(__xludf.DUMMYFUNCTION("""COMPUTED_VALUE"""),213.31)</f>
        <v>213.31</v>
      </c>
      <c r="C804" s="1">
        <f ca="1">IFERROR(__xludf.DUMMYFUNCTION("""COMPUTED_VALUE"""),215.22)</f>
        <v>215.22</v>
      </c>
      <c r="D804" s="1">
        <f ca="1">IFERROR(__xludf.DUMMYFUNCTION("""COMPUTED_VALUE"""),209.97)</f>
        <v>209.97</v>
      </c>
      <c r="E804" s="1">
        <f ca="1">IFERROR(__xludf.DUMMYFUNCTION("""COMPUTED_VALUE"""),214)</f>
        <v>214</v>
      </c>
      <c r="F804" s="1">
        <f ca="1">IFERROR(__xludf.DUMMYFUNCTION("""COMPUTED_VALUE"""),48073426)</f>
        <v>48073426</v>
      </c>
    </row>
    <row r="805" spans="1:6" ht="12.6">
      <c r="A805" s="2">
        <f ca="1">IFERROR(__xludf.DUMMYFUNCTION("""COMPUTED_VALUE"""),45734.6666666666)</f>
        <v>45734.666666666599</v>
      </c>
      <c r="B805" s="1">
        <f ca="1">IFERROR(__xludf.DUMMYFUNCTION("""COMPUTED_VALUE"""),214.16)</f>
        <v>214.16</v>
      </c>
      <c r="C805" s="1">
        <f ca="1">IFERROR(__xludf.DUMMYFUNCTION("""COMPUTED_VALUE"""),215.15)</f>
        <v>215.15</v>
      </c>
      <c r="D805" s="1">
        <f ca="1">IFERROR(__xludf.DUMMYFUNCTION("""COMPUTED_VALUE"""),211.49)</f>
        <v>211.49</v>
      </c>
      <c r="E805" s="1">
        <f ca="1">IFERROR(__xludf.DUMMYFUNCTION("""COMPUTED_VALUE"""),212.69)</f>
        <v>212.69</v>
      </c>
      <c r="F805" s="1">
        <f ca="1">IFERROR(__xludf.DUMMYFUNCTION("""COMPUTED_VALUE"""),42432426)</f>
        <v>42432426</v>
      </c>
    </row>
    <row r="806" spans="1:6" ht="12.6">
      <c r="A806" s="2">
        <f ca="1">IFERROR(__xludf.DUMMYFUNCTION("""COMPUTED_VALUE"""),45735.6666666666)</f>
        <v>45735.666666666599</v>
      </c>
      <c r="B806" s="1">
        <f ca="1">IFERROR(__xludf.DUMMYFUNCTION("""COMPUTED_VALUE"""),214.22)</f>
        <v>214.22</v>
      </c>
      <c r="C806" s="1">
        <f ca="1">IFERROR(__xludf.DUMMYFUNCTION("""COMPUTED_VALUE"""),218.76)</f>
        <v>218.76</v>
      </c>
      <c r="D806" s="1">
        <f ca="1">IFERROR(__xludf.DUMMYFUNCTION("""COMPUTED_VALUE"""),213.75)</f>
        <v>213.75</v>
      </c>
      <c r="E806" s="1">
        <f ca="1">IFERROR(__xludf.DUMMYFUNCTION("""COMPUTED_VALUE"""),215.24)</f>
        <v>215.24</v>
      </c>
      <c r="F806" s="1">
        <f ca="1">IFERROR(__xludf.DUMMYFUNCTION("""COMPUTED_VALUE"""),54385391)</f>
        <v>54385391</v>
      </c>
    </row>
    <row r="807" spans="1:6" ht="12.6">
      <c r="A807" s="2">
        <f ca="1">IFERROR(__xludf.DUMMYFUNCTION("""COMPUTED_VALUE"""),45736.6666666666)</f>
        <v>45736.666666666599</v>
      </c>
      <c r="B807" s="1">
        <f ca="1">IFERROR(__xludf.DUMMYFUNCTION("""COMPUTED_VALUE"""),213.99)</f>
        <v>213.99</v>
      </c>
      <c r="C807" s="1">
        <f ca="1">IFERROR(__xludf.DUMMYFUNCTION("""COMPUTED_VALUE"""),217.49)</f>
        <v>217.49</v>
      </c>
      <c r="D807" s="1">
        <f ca="1">IFERROR(__xludf.DUMMYFUNCTION("""COMPUTED_VALUE"""),212.22)</f>
        <v>212.22</v>
      </c>
      <c r="E807" s="1">
        <f ca="1">IFERROR(__xludf.DUMMYFUNCTION("""COMPUTED_VALUE"""),214.1)</f>
        <v>214.1</v>
      </c>
      <c r="F807" s="1">
        <f ca="1">IFERROR(__xludf.DUMMYFUNCTION("""COMPUTED_VALUE"""),48862947)</f>
        <v>48862947</v>
      </c>
    </row>
    <row r="808" spans="1:6" ht="12.6">
      <c r="A808" s="2">
        <f ca="1">IFERROR(__xludf.DUMMYFUNCTION("""COMPUTED_VALUE"""),45737.6666666666)</f>
        <v>45737.666666666599</v>
      </c>
      <c r="B808" s="1">
        <f ca="1">IFERROR(__xludf.DUMMYFUNCTION("""COMPUTED_VALUE"""),211.56)</f>
        <v>211.56</v>
      </c>
      <c r="C808" s="1">
        <f ca="1">IFERROR(__xludf.DUMMYFUNCTION("""COMPUTED_VALUE"""),218.84)</f>
        <v>218.84</v>
      </c>
      <c r="D808" s="1">
        <f ca="1">IFERROR(__xludf.DUMMYFUNCTION("""COMPUTED_VALUE"""),211.28)</f>
        <v>211.28</v>
      </c>
      <c r="E808" s="1">
        <f ca="1">IFERROR(__xludf.DUMMYFUNCTION("""COMPUTED_VALUE"""),218.27)</f>
        <v>218.27</v>
      </c>
      <c r="F808" s="1">
        <f ca="1">IFERROR(__xludf.DUMMYFUNCTION("""COMPUTED_VALUE"""),94127768)</f>
        <v>94127768</v>
      </c>
    </row>
    <row r="809" spans="1:6" ht="12.6">
      <c r="A809" s="2">
        <f ca="1">IFERROR(__xludf.DUMMYFUNCTION("""COMPUTED_VALUE"""),45740.6666666666)</f>
        <v>45740.666666666599</v>
      </c>
      <c r="B809" s="1">
        <f ca="1">IFERROR(__xludf.DUMMYFUNCTION("""COMPUTED_VALUE"""),221)</f>
        <v>221</v>
      </c>
      <c r="C809" s="1">
        <f ca="1">IFERROR(__xludf.DUMMYFUNCTION("""COMPUTED_VALUE"""),221.48)</f>
        <v>221.48</v>
      </c>
      <c r="D809" s="1">
        <f ca="1">IFERROR(__xludf.DUMMYFUNCTION("""COMPUTED_VALUE"""),218.58)</f>
        <v>218.58</v>
      </c>
      <c r="E809" s="1">
        <f ca="1">IFERROR(__xludf.DUMMYFUNCTION("""COMPUTED_VALUE"""),220.73)</f>
        <v>220.73</v>
      </c>
      <c r="F809" s="1">
        <f ca="1">IFERROR(__xludf.DUMMYFUNCTION("""COMPUTED_VALUE"""),44299483)</f>
        <v>44299483</v>
      </c>
    </row>
    <row r="810" spans="1:6" ht="12.6">
      <c r="A810" s="2">
        <f ca="1">IFERROR(__xludf.DUMMYFUNCTION("""COMPUTED_VALUE"""),45741.6666666666)</f>
        <v>45741.666666666599</v>
      </c>
      <c r="B810" s="1">
        <f ca="1">IFERROR(__xludf.DUMMYFUNCTION("""COMPUTED_VALUE"""),220.77)</f>
        <v>220.77</v>
      </c>
      <c r="C810" s="1">
        <f ca="1">IFERROR(__xludf.DUMMYFUNCTION("""COMPUTED_VALUE"""),224.1)</f>
        <v>224.1</v>
      </c>
      <c r="D810" s="1">
        <f ca="1">IFERROR(__xludf.DUMMYFUNCTION("""COMPUTED_VALUE"""),220.08)</f>
        <v>220.08</v>
      </c>
      <c r="E810" s="1">
        <f ca="1">IFERROR(__xludf.DUMMYFUNCTION("""COMPUTED_VALUE"""),223.75)</f>
        <v>223.75</v>
      </c>
      <c r="F810" s="1">
        <f ca="1">IFERROR(__xludf.DUMMYFUNCTION("""COMPUTED_VALUE"""),34493583)</f>
        <v>34493583</v>
      </c>
    </row>
    <row r="811" spans="1:6" ht="12.6">
      <c r="A811" s="2">
        <f ca="1">IFERROR(__xludf.DUMMYFUNCTION("""COMPUTED_VALUE"""),45742.6666666666)</f>
        <v>45742.666666666599</v>
      </c>
      <c r="B811" s="1">
        <f ca="1">IFERROR(__xludf.DUMMYFUNCTION("""COMPUTED_VALUE"""),223.51)</f>
        <v>223.51</v>
      </c>
      <c r="C811" s="1">
        <f ca="1">IFERROR(__xludf.DUMMYFUNCTION("""COMPUTED_VALUE"""),225.02)</f>
        <v>225.02</v>
      </c>
      <c r="D811" s="1">
        <f ca="1">IFERROR(__xludf.DUMMYFUNCTION("""COMPUTED_VALUE"""),220.47)</f>
        <v>220.47</v>
      </c>
      <c r="E811" s="1">
        <f ca="1">IFERROR(__xludf.DUMMYFUNCTION("""COMPUTED_VALUE"""),221.53)</f>
        <v>221.53</v>
      </c>
      <c r="F811" s="1">
        <f ca="1">IFERROR(__xludf.DUMMYFUNCTION("""COMPUTED_VALUE"""),34532656)</f>
        <v>34532656</v>
      </c>
    </row>
    <row r="812" spans="1:6" ht="12.6">
      <c r="A812" s="2">
        <f ca="1">IFERROR(__xludf.DUMMYFUNCTION("""COMPUTED_VALUE"""),45743.6666666666)</f>
        <v>45743.666666666599</v>
      </c>
      <c r="B812" s="1">
        <f ca="1">IFERROR(__xludf.DUMMYFUNCTION("""COMPUTED_VALUE"""),221.39)</f>
        <v>221.39</v>
      </c>
      <c r="C812" s="1">
        <f ca="1">IFERROR(__xludf.DUMMYFUNCTION("""COMPUTED_VALUE"""),224.99)</f>
        <v>224.99</v>
      </c>
      <c r="D812" s="1">
        <f ca="1">IFERROR(__xludf.DUMMYFUNCTION("""COMPUTED_VALUE"""),220.56)</f>
        <v>220.56</v>
      </c>
      <c r="E812" s="1">
        <f ca="1">IFERROR(__xludf.DUMMYFUNCTION("""COMPUTED_VALUE"""),223.85)</f>
        <v>223.85</v>
      </c>
      <c r="F812" s="1">
        <f ca="1">IFERROR(__xludf.DUMMYFUNCTION("""COMPUTED_VALUE"""),37094774)</f>
        <v>37094774</v>
      </c>
    </row>
    <row r="813" spans="1:6" ht="12.6">
      <c r="A813" s="2">
        <f ca="1">IFERROR(__xludf.DUMMYFUNCTION("""COMPUTED_VALUE"""),45744.6666666666)</f>
        <v>45744.666666666599</v>
      </c>
      <c r="B813" s="1">
        <f ca="1">IFERROR(__xludf.DUMMYFUNCTION("""COMPUTED_VALUE"""),221.67)</f>
        <v>221.67</v>
      </c>
      <c r="C813" s="1">
        <f ca="1">IFERROR(__xludf.DUMMYFUNCTION("""COMPUTED_VALUE"""),223.81)</f>
        <v>223.81</v>
      </c>
      <c r="D813" s="1">
        <f ca="1">IFERROR(__xludf.DUMMYFUNCTION("""COMPUTED_VALUE"""),217.68)</f>
        <v>217.68</v>
      </c>
      <c r="E813" s="1">
        <f ca="1">IFERROR(__xludf.DUMMYFUNCTION("""COMPUTED_VALUE"""),217.9)</f>
        <v>217.9</v>
      </c>
      <c r="F813" s="1">
        <f ca="1">IFERROR(__xludf.DUMMYFUNCTION("""COMPUTED_VALUE"""),39818617)</f>
        <v>39818617</v>
      </c>
    </row>
    <row r="814" spans="1:6" ht="12.6">
      <c r="A814" s="2">
        <f ca="1">IFERROR(__xludf.DUMMYFUNCTION("""COMPUTED_VALUE"""),45747.6666666666)</f>
        <v>45747.666666666599</v>
      </c>
      <c r="B814" s="1">
        <f ca="1">IFERROR(__xludf.DUMMYFUNCTION("""COMPUTED_VALUE"""),217.01)</f>
        <v>217.01</v>
      </c>
      <c r="C814" s="1">
        <f ca="1">IFERROR(__xludf.DUMMYFUNCTION("""COMPUTED_VALUE"""),225.62)</f>
        <v>225.62</v>
      </c>
      <c r="D814" s="1">
        <f ca="1">IFERROR(__xludf.DUMMYFUNCTION("""COMPUTED_VALUE"""),216.23)</f>
        <v>216.23</v>
      </c>
      <c r="E814" s="1">
        <f ca="1">IFERROR(__xludf.DUMMYFUNCTION("""COMPUTED_VALUE"""),222.13)</f>
        <v>222.13</v>
      </c>
      <c r="F814" s="1">
        <f ca="1">IFERROR(__xludf.DUMMYFUNCTION("""COMPUTED_VALUE"""),65299321)</f>
        <v>65299321</v>
      </c>
    </row>
    <row r="815" spans="1:6" ht="12.6">
      <c r="A815" s="2">
        <f ca="1">IFERROR(__xludf.DUMMYFUNCTION("""COMPUTED_VALUE"""),45748.6666666666)</f>
        <v>45748.666666666599</v>
      </c>
      <c r="B815" s="1">
        <f ca="1">IFERROR(__xludf.DUMMYFUNCTION("""COMPUTED_VALUE"""),219.81)</f>
        <v>219.81</v>
      </c>
      <c r="C815" s="1">
        <f ca="1">IFERROR(__xludf.DUMMYFUNCTION("""COMPUTED_VALUE"""),223.68)</f>
        <v>223.68</v>
      </c>
      <c r="D815" s="1">
        <f ca="1">IFERROR(__xludf.DUMMYFUNCTION("""COMPUTED_VALUE"""),218.9)</f>
        <v>218.9</v>
      </c>
      <c r="E815" s="1">
        <f ca="1">IFERROR(__xludf.DUMMYFUNCTION("""COMPUTED_VALUE"""),223.19)</f>
        <v>223.19</v>
      </c>
      <c r="F815" s="1">
        <f ca="1">IFERROR(__xludf.DUMMYFUNCTION("""COMPUTED_VALUE"""),36412740)</f>
        <v>36412740</v>
      </c>
    </row>
    <row r="816" spans="1:6" ht="12.6">
      <c r="A816" s="2">
        <f ca="1">IFERROR(__xludf.DUMMYFUNCTION("""COMPUTED_VALUE"""),45749.6666666666)</f>
        <v>45749.666666666599</v>
      </c>
      <c r="B816" s="1">
        <f ca="1">IFERROR(__xludf.DUMMYFUNCTION("""COMPUTED_VALUE"""),221.32)</f>
        <v>221.32</v>
      </c>
      <c r="C816" s="1">
        <f ca="1">IFERROR(__xludf.DUMMYFUNCTION("""COMPUTED_VALUE"""),225.19)</f>
        <v>225.19</v>
      </c>
      <c r="D816" s="1">
        <f ca="1">IFERROR(__xludf.DUMMYFUNCTION("""COMPUTED_VALUE"""),221.02)</f>
        <v>221.02</v>
      </c>
      <c r="E816" s="1">
        <f ca="1">IFERROR(__xludf.DUMMYFUNCTION("""COMPUTED_VALUE"""),223.89)</f>
        <v>223.89</v>
      </c>
      <c r="F816" s="1">
        <f ca="1">IFERROR(__xludf.DUMMYFUNCTION("""COMPUTED_VALUE"""),35905904)</f>
        <v>35905904</v>
      </c>
    </row>
    <row r="817" spans="1:6" ht="12.6">
      <c r="A817" s="2">
        <f ca="1">IFERROR(__xludf.DUMMYFUNCTION("""COMPUTED_VALUE"""),45750.6666666666)</f>
        <v>45750.666666666599</v>
      </c>
      <c r="B817" s="1">
        <f ca="1">IFERROR(__xludf.DUMMYFUNCTION("""COMPUTED_VALUE"""),205.54)</f>
        <v>205.54</v>
      </c>
      <c r="C817" s="1">
        <f ca="1">IFERROR(__xludf.DUMMYFUNCTION("""COMPUTED_VALUE"""),207.49)</f>
        <v>207.49</v>
      </c>
      <c r="D817" s="1">
        <f ca="1">IFERROR(__xludf.DUMMYFUNCTION("""COMPUTED_VALUE"""),201.25)</f>
        <v>201.25</v>
      </c>
      <c r="E817" s="1">
        <f ca="1">IFERROR(__xludf.DUMMYFUNCTION("""COMPUTED_VALUE"""),203.19)</f>
        <v>203.19</v>
      </c>
      <c r="F817" s="1">
        <f ca="1">IFERROR(__xludf.DUMMYFUNCTION("""COMPUTED_VALUE"""),103419006)</f>
        <v>103419006</v>
      </c>
    </row>
    <row r="818" spans="1:6" ht="12.6">
      <c r="A818" s="2">
        <f ca="1">IFERROR(__xludf.DUMMYFUNCTION("""COMPUTED_VALUE"""),45751.6666666666)</f>
        <v>45751.666666666599</v>
      </c>
      <c r="B818" s="1">
        <f ca="1">IFERROR(__xludf.DUMMYFUNCTION("""COMPUTED_VALUE"""),193.89)</f>
        <v>193.89</v>
      </c>
      <c r="C818" s="1">
        <f ca="1">IFERROR(__xludf.DUMMYFUNCTION("""COMPUTED_VALUE"""),199.88)</f>
        <v>199.88</v>
      </c>
      <c r="D818" s="1">
        <f ca="1">IFERROR(__xludf.DUMMYFUNCTION("""COMPUTED_VALUE"""),187.34)</f>
        <v>187.34</v>
      </c>
      <c r="E818" s="1">
        <f ca="1">IFERROR(__xludf.DUMMYFUNCTION("""COMPUTED_VALUE"""),188.38)</f>
        <v>188.38</v>
      </c>
      <c r="F818" s="1">
        <f ca="1">IFERROR(__xludf.DUMMYFUNCTION("""COMPUTED_VALUE"""),125910913)</f>
        <v>125910913</v>
      </c>
    </row>
    <row r="819" spans="1:6" ht="12.6">
      <c r="A819" s="2">
        <f ca="1">IFERROR(__xludf.DUMMYFUNCTION("""COMPUTED_VALUE"""),45754.6666666666)</f>
        <v>45754.666666666599</v>
      </c>
      <c r="B819" s="1">
        <f ca="1">IFERROR(__xludf.DUMMYFUNCTION("""COMPUTED_VALUE"""),177.2)</f>
        <v>177.2</v>
      </c>
      <c r="C819" s="1">
        <f ca="1">IFERROR(__xludf.DUMMYFUNCTION("""COMPUTED_VALUE"""),194.15)</f>
        <v>194.15</v>
      </c>
      <c r="D819" s="1">
        <f ca="1">IFERROR(__xludf.DUMMYFUNCTION("""COMPUTED_VALUE"""),174.62)</f>
        <v>174.62</v>
      </c>
      <c r="E819" s="1">
        <f ca="1">IFERROR(__xludf.DUMMYFUNCTION("""COMPUTED_VALUE"""),181.46)</f>
        <v>181.46</v>
      </c>
      <c r="F819" s="1">
        <f ca="1">IFERROR(__xludf.DUMMYFUNCTION("""COMPUTED_VALUE"""),160466286)</f>
        <v>160466286</v>
      </c>
    </row>
    <row r="820" spans="1:6" ht="12.6">
      <c r="A820" s="2">
        <f ca="1">IFERROR(__xludf.DUMMYFUNCTION("""COMPUTED_VALUE"""),45755.6666666666)</f>
        <v>45755.666666666599</v>
      </c>
      <c r="B820" s="1">
        <f ca="1">IFERROR(__xludf.DUMMYFUNCTION("""COMPUTED_VALUE"""),186.7)</f>
        <v>186.7</v>
      </c>
      <c r="C820" s="1">
        <f ca="1">IFERROR(__xludf.DUMMYFUNCTION("""COMPUTED_VALUE"""),190.34)</f>
        <v>190.34</v>
      </c>
      <c r="D820" s="1">
        <f ca="1">IFERROR(__xludf.DUMMYFUNCTION("""COMPUTED_VALUE"""),169.21)</f>
        <v>169.21</v>
      </c>
      <c r="E820" s="1">
        <f ca="1">IFERROR(__xludf.DUMMYFUNCTION("""COMPUTED_VALUE"""),172.42)</f>
        <v>172.42</v>
      </c>
      <c r="F820" s="1">
        <f ca="1">IFERROR(__xludf.DUMMYFUNCTION("""COMPUTED_VALUE"""),120859491)</f>
        <v>120859491</v>
      </c>
    </row>
    <row r="821" spans="1:6" ht="12.6">
      <c r="A821" s="2">
        <f ca="1">IFERROR(__xludf.DUMMYFUNCTION("""COMPUTED_VALUE"""),45756.6666666666)</f>
        <v>45756.666666666599</v>
      </c>
      <c r="B821" s="1">
        <f ca="1">IFERROR(__xludf.DUMMYFUNCTION("""COMPUTED_VALUE"""),171.95)</f>
        <v>171.95</v>
      </c>
      <c r="C821" s="1">
        <f ca="1">IFERROR(__xludf.DUMMYFUNCTION("""COMPUTED_VALUE"""),200.61)</f>
        <v>200.61</v>
      </c>
      <c r="D821" s="1">
        <f ca="1">IFERROR(__xludf.DUMMYFUNCTION("""COMPUTED_VALUE"""),171.89)</f>
        <v>171.89</v>
      </c>
      <c r="E821" s="1">
        <f ca="1">IFERROR(__xludf.DUMMYFUNCTION("""COMPUTED_VALUE"""),198.85)</f>
        <v>198.85</v>
      </c>
      <c r="F821" s="1">
        <f ca="1">IFERROR(__xludf.DUMMYFUNCTION("""COMPUTED_VALUE"""),184395885)</f>
        <v>184395885</v>
      </c>
    </row>
    <row r="822" spans="1:6" ht="12.6">
      <c r="A822" s="2">
        <f ca="1">IFERROR(__xludf.DUMMYFUNCTION("""COMPUTED_VALUE"""),45757.6666666666)</f>
        <v>45757.666666666599</v>
      </c>
      <c r="B822" s="1">
        <f ca="1">IFERROR(__xludf.DUMMYFUNCTION("""COMPUTED_VALUE"""),189.07)</f>
        <v>189.07</v>
      </c>
      <c r="C822" s="1">
        <f ca="1">IFERROR(__xludf.DUMMYFUNCTION("""COMPUTED_VALUE"""),194.78)</f>
        <v>194.78</v>
      </c>
      <c r="D822" s="1">
        <f ca="1">IFERROR(__xludf.DUMMYFUNCTION("""COMPUTED_VALUE"""),183)</f>
        <v>183</v>
      </c>
      <c r="E822" s="1">
        <f ca="1">IFERROR(__xludf.DUMMYFUNCTION("""COMPUTED_VALUE"""),190.42)</f>
        <v>190.42</v>
      </c>
      <c r="F822" s="1">
        <f ca="1">IFERROR(__xludf.DUMMYFUNCTION("""COMPUTED_VALUE"""),121879981)</f>
        <v>121879981</v>
      </c>
    </row>
    <row r="823" spans="1:6" ht="12.6">
      <c r="A823" s="2">
        <f ca="1">IFERROR(__xludf.DUMMYFUNCTION("""COMPUTED_VALUE"""),45758.6666666666)</f>
        <v>45758.666666666599</v>
      </c>
      <c r="B823" s="1">
        <f ca="1">IFERROR(__xludf.DUMMYFUNCTION("""COMPUTED_VALUE"""),186.1)</f>
        <v>186.1</v>
      </c>
      <c r="C823" s="1">
        <f ca="1">IFERROR(__xludf.DUMMYFUNCTION("""COMPUTED_VALUE"""),199.54)</f>
        <v>199.54</v>
      </c>
      <c r="D823" s="1">
        <f ca="1">IFERROR(__xludf.DUMMYFUNCTION("""COMPUTED_VALUE"""),186.06)</f>
        <v>186.06</v>
      </c>
      <c r="E823" s="1">
        <f ca="1">IFERROR(__xludf.DUMMYFUNCTION("""COMPUTED_VALUE"""),198.15)</f>
        <v>198.15</v>
      </c>
      <c r="F823" s="1">
        <f ca="1">IFERROR(__xludf.DUMMYFUNCTION("""COMPUTED_VALUE"""),87435915)</f>
        <v>87435915</v>
      </c>
    </row>
    <row r="824" spans="1:6" ht="12.6">
      <c r="A824" s="2">
        <f ca="1">IFERROR(__xludf.DUMMYFUNCTION("""COMPUTED_VALUE"""),45761.6666666666)</f>
        <v>45761.666666666599</v>
      </c>
      <c r="B824" s="1">
        <f ca="1">IFERROR(__xludf.DUMMYFUNCTION("""COMPUTED_VALUE"""),211.44)</f>
        <v>211.44</v>
      </c>
      <c r="C824" s="1">
        <f ca="1">IFERROR(__xludf.DUMMYFUNCTION("""COMPUTED_VALUE"""),212.94)</f>
        <v>212.94</v>
      </c>
      <c r="D824" s="1">
        <f ca="1">IFERROR(__xludf.DUMMYFUNCTION("""COMPUTED_VALUE"""),201.16)</f>
        <v>201.16</v>
      </c>
      <c r="E824" s="1">
        <f ca="1">IFERROR(__xludf.DUMMYFUNCTION("""COMPUTED_VALUE"""),202.52)</f>
        <v>202.52</v>
      </c>
      <c r="F824" s="1">
        <f ca="1">IFERROR(__xludf.DUMMYFUNCTION("""COMPUTED_VALUE"""),101352911)</f>
        <v>101352911</v>
      </c>
    </row>
    <row r="825" spans="1:6" ht="12.6">
      <c r="A825" s="2">
        <f ca="1">IFERROR(__xludf.DUMMYFUNCTION("""COMPUTED_VALUE"""),45762.6666666666)</f>
        <v>45762.666666666599</v>
      </c>
      <c r="B825" s="1">
        <f ca="1">IFERROR(__xludf.DUMMYFUNCTION("""COMPUTED_VALUE"""),201.86)</f>
        <v>201.86</v>
      </c>
      <c r="C825" s="1">
        <f ca="1">IFERROR(__xludf.DUMMYFUNCTION("""COMPUTED_VALUE"""),203.51)</f>
        <v>203.51</v>
      </c>
      <c r="D825" s="1">
        <f ca="1">IFERROR(__xludf.DUMMYFUNCTION("""COMPUTED_VALUE"""),199.8)</f>
        <v>199.8</v>
      </c>
      <c r="E825" s="1">
        <f ca="1">IFERROR(__xludf.DUMMYFUNCTION("""COMPUTED_VALUE"""),202.14)</f>
        <v>202.14</v>
      </c>
      <c r="F825" s="1">
        <f ca="1">IFERROR(__xludf.DUMMYFUNCTION("""COMPUTED_VALUE"""),51343872)</f>
        <v>51343872</v>
      </c>
    </row>
    <row r="826" spans="1:6" ht="12.6">
      <c r="A826" s="2">
        <f ca="1">IFERROR(__xludf.DUMMYFUNCTION("""COMPUTED_VALUE"""),45763.6666666666)</f>
        <v>45763.666666666599</v>
      </c>
      <c r="B826" s="1">
        <f ca="1">IFERROR(__xludf.DUMMYFUNCTION("""COMPUTED_VALUE"""),198.36)</f>
        <v>198.36</v>
      </c>
      <c r="C826" s="1">
        <f ca="1">IFERROR(__xludf.DUMMYFUNCTION("""COMPUTED_VALUE"""),200.7)</f>
        <v>200.7</v>
      </c>
      <c r="D826" s="1">
        <f ca="1">IFERROR(__xludf.DUMMYFUNCTION("""COMPUTED_VALUE"""),192.37)</f>
        <v>192.37</v>
      </c>
      <c r="E826" s="1">
        <f ca="1">IFERROR(__xludf.DUMMYFUNCTION("""COMPUTED_VALUE"""),194.27)</f>
        <v>194.27</v>
      </c>
      <c r="F826" s="1">
        <f ca="1">IFERROR(__xludf.DUMMYFUNCTION("""COMPUTED_VALUE"""),59732423)</f>
        <v>59732423</v>
      </c>
    </row>
    <row r="827" spans="1:6" ht="12.6">
      <c r="A827" s="2">
        <f ca="1">IFERROR(__xludf.DUMMYFUNCTION("""COMPUTED_VALUE"""),45764.6666666666)</f>
        <v>45764.666666666599</v>
      </c>
      <c r="B827" s="1">
        <f ca="1">IFERROR(__xludf.DUMMYFUNCTION("""COMPUTED_VALUE"""),197.2)</f>
        <v>197.2</v>
      </c>
      <c r="C827" s="1">
        <f ca="1">IFERROR(__xludf.DUMMYFUNCTION("""COMPUTED_VALUE"""),198.83)</f>
        <v>198.83</v>
      </c>
      <c r="D827" s="1">
        <f ca="1">IFERROR(__xludf.DUMMYFUNCTION("""COMPUTED_VALUE"""),194.42)</f>
        <v>194.42</v>
      </c>
      <c r="E827" s="1">
        <f ca="1">IFERROR(__xludf.DUMMYFUNCTION("""COMPUTED_VALUE"""),196.98)</f>
        <v>196.98</v>
      </c>
      <c r="F827" s="1">
        <f ca="1">IFERROR(__xludf.DUMMYFUNCTION("""COMPUTED_VALUE"""),52164675)</f>
        <v>52164675</v>
      </c>
    </row>
    <row r="828" spans="1:6" ht="12.6">
      <c r="A828" s="2">
        <f ca="1">IFERROR(__xludf.DUMMYFUNCTION("""COMPUTED_VALUE"""),45768.6666666666)</f>
        <v>45768.666666666599</v>
      </c>
      <c r="B828" s="1">
        <f ca="1">IFERROR(__xludf.DUMMYFUNCTION("""COMPUTED_VALUE"""),193.27)</f>
        <v>193.27</v>
      </c>
      <c r="C828" s="1">
        <f ca="1">IFERROR(__xludf.DUMMYFUNCTION("""COMPUTED_VALUE"""),193.8)</f>
        <v>193.8</v>
      </c>
      <c r="D828" s="1">
        <f ca="1">IFERROR(__xludf.DUMMYFUNCTION("""COMPUTED_VALUE"""),189.81)</f>
        <v>189.81</v>
      </c>
      <c r="E828" s="1">
        <f ca="1">IFERROR(__xludf.DUMMYFUNCTION("""COMPUTED_VALUE"""),193.16)</f>
        <v>193.16</v>
      </c>
      <c r="F828" s="1">
        <f ca="1">IFERROR(__xludf.DUMMYFUNCTION("""COMPUTED_VALUE"""),46742537)</f>
        <v>46742537</v>
      </c>
    </row>
    <row r="829" spans="1:6" ht="12.6">
      <c r="A829" s="2">
        <f ca="1">IFERROR(__xludf.DUMMYFUNCTION("""COMPUTED_VALUE"""),45769.6666666666)</f>
        <v>45769.666666666599</v>
      </c>
      <c r="B829" s="1">
        <f ca="1">IFERROR(__xludf.DUMMYFUNCTION("""COMPUTED_VALUE"""),196.12)</f>
        <v>196.12</v>
      </c>
      <c r="C829" s="1">
        <f ca="1">IFERROR(__xludf.DUMMYFUNCTION("""COMPUTED_VALUE"""),201.59)</f>
        <v>201.59</v>
      </c>
      <c r="D829" s="1">
        <f ca="1">IFERROR(__xludf.DUMMYFUNCTION("""COMPUTED_VALUE"""),195.97)</f>
        <v>195.97</v>
      </c>
      <c r="E829" s="1">
        <f ca="1">IFERROR(__xludf.DUMMYFUNCTION("""COMPUTED_VALUE"""),199.74)</f>
        <v>199.74</v>
      </c>
      <c r="F829" s="1">
        <f ca="1">IFERROR(__xludf.DUMMYFUNCTION("""COMPUTED_VALUE"""),52976371)</f>
        <v>52976371</v>
      </c>
    </row>
    <row r="830" spans="1:6" ht="12.6">
      <c r="A830" s="2">
        <f ca="1">IFERROR(__xludf.DUMMYFUNCTION("""COMPUTED_VALUE"""),45770.6666666666)</f>
        <v>45770.666666666599</v>
      </c>
      <c r="B830" s="1">
        <f ca="1">IFERROR(__xludf.DUMMYFUNCTION("""COMPUTED_VALUE"""),206)</f>
        <v>206</v>
      </c>
      <c r="C830" s="1">
        <f ca="1">IFERROR(__xludf.DUMMYFUNCTION("""COMPUTED_VALUE"""),208)</f>
        <v>208</v>
      </c>
      <c r="D830" s="1">
        <f ca="1">IFERROR(__xludf.DUMMYFUNCTION("""COMPUTED_VALUE"""),202.8)</f>
        <v>202.8</v>
      </c>
      <c r="E830" s="1">
        <f ca="1">IFERROR(__xludf.DUMMYFUNCTION("""COMPUTED_VALUE"""),204.6)</f>
        <v>204.6</v>
      </c>
      <c r="F830" s="1">
        <f ca="1">IFERROR(__xludf.DUMMYFUNCTION("""COMPUTED_VALUE"""),52929165)</f>
        <v>52929165</v>
      </c>
    </row>
    <row r="831" spans="1:6" ht="12.6">
      <c r="A831" s="2">
        <f ca="1">IFERROR(__xludf.DUMMYFUNCTION("""COMPUTED_VALUE"""),45771.6666666666)</f>
        <v>45771.666666666599</v>
      </c>
      <c r="B831" s="1">
        <f ca="1">IFERROR(__xludf.DUMMYFUNCTION("""COMPUTED_VALUE"""),204.89)</f>
        <v>204.89</v>
      </c>
      <c r="C831" s="1">
        <f ca="1">IFERROR(__xludf.DUMMYFUNCTION("""COMPUTED_VALUE"""),208.83)</f>
        <v>208.83</v>
      </c>
      <c r="D831" s="1">
        <f ca="1">IFERROR(__xludf.DUMMYFUNCTION("""COMPUTED_VALUE"""),202.94)</f>
        <v>202.94</v>
      </c>
      <c r="E831" s="1">
        <f ca="1">IFERROR(__xludf.DUMMYFUNCTION("""COMPUTED_VALUE"""),208.37)</f>
        <v>208.37</v>
      </c>
      <c r="F831" s="1">
        <f ca="1">IFERROR(__xludf.DUMMYFUNCTION("""COMPUTED_VALUE"""),47310989)</f>
        <v>47310989</v>
      </c>
    </row>
    <row r="832" spans="1:6" ht="12.6">
      <c r="A832" s="2">
        <f ca="1">IFERROR(__xludf.DUMMYFUNCTION("""COMPUTED_VALUE"""),45772.6666666666)</f>
        <v>45772.666666666599</v>
      </c>
      <c r="B832" s="1">
        <f ca="1">IFERROR(__xludf.DUMMYFUNCTION("""COMPUTED_VALUE"""),206.37)</f>
        <v>206.37</v>
      </c>
      <c r="C832" s="1">
        <f ca="1">IFERROR(__xludf.DUMMYFUNCTION("""COMPUTED_VALUE"""),209.75)</f>
        <v>209.75</v>
      </c>
      <c r="D832" s="1">
        <f ca="1">IFERROR(__xludf.DUMMYFUNCTION("""COMPUTED_VALUE"""),206.2)</f>
        <v>206.2</v>
      </c>
      <c r="E832" s="1">
        <f ca="1">IFERROR(__xludf.DUMMYFUNCTION("""COMPUTED_VALUE"""),209.28)</f>
        <v>209.28</v>
      </c>
      <c r="F832" s="1">
        <f ca="1">IFERROR(__xludf.DUMMYFUNCTION("""COMPUTED_VALUE"""),38222258)</f>
        <v>38222258</v>
      </c>
    </row>
    <row r="833" spans="1:6" ht="12.6">
      <c r="A833" s="2">
        <f ca="1">IFERROR(__xludf.DUMMYFUNCTION("""COMPUTED_VALUE"""),45775.6666666666)</f>
        <v>45775.666666666599</v>
      </c>
      <c r="B833" s="1">
        <f ca="1">IFERROR(__xludf.DUMMYFUNCTION("""COMPUTED_VALUE"""),210)</f>
        <v>210</v>
      </c>
      <c r="C833" s="1">
        <f ca="1">IFERROR(__xludf.DUMMYFUNCTION("""COMPUTED_VALUE"""),211.5)</f>
        <v>211.5</v>
      </c>
      <c r="D833" s="1">
        <f ca="1">IFERROR(__xludf.DUMMYFUNCTION("""COMPUTED_VALUE"""),207.46)</f>
        <v>207.46</v>
      </c>
      <c r="E833" s="1">
        <f ca="1">IFERROR(__xludf.DUMMYFUNCTION("""COMPUTED_VALUE"""),210.14)</f>
        <v>210.14</v>
      </c>
      <c r="F833" s="1">
        <f ca="1">IFERROR(__xludf.DUMMYFUNCTION("""COMPUTED_VALUE"""),38743074)</f>
        <v>38743074</v>
      </c>
    </row>
    <row r="834" spans="1:6" ht="12.6">
      <c r="A834" s="2">
        <f ca="1">IFERROR(__xludf.DUMMYFUNCTION("""COMPUTED_VALUE"""),45776.6666666666)</f>
        <v>45776.666666666599</v>
      </c>
      <c r="B834" s="1">
        <f ca="1">IFERROR(__xludf.DUMMYFUNCTION("""COMPUTED_VALUE"""),208.69)</f>
        <v>208.69</v>
      </c>
      <c r="C834" s="1">
        <f ca="1">IFERROR(__xludf.DUMMYFUNCTION("""COMPUTED_VALUE"""),212.24)</f>
        <v>212.24</v>
      </c>
      <c r="D834" s="1">
        <f ca="1">IFERROR(__xludf.DUMMYFUNCTION("""COMPUTED_VALUE"""),208.37)</f>
        <v>208.37</v>
      </c>
      <c r="E834" s="1">
        <f ca="1">IFERROR(__xludf.DUMMYFUNCTION("""COMPUTED_VALUE"""),211.21)</f>
        <v>211.21</v>
      </c>
      <c r="F834" s="1">
        <f ca="1">IFERROR(__xludf.DUMMYFUNCTION("""COMPUTED_VALUE"""),36827633)</f>
        <v>36827633</v>
      </c>
    </row>
    <row r="835" spans="1:6" ht="12.6">
      <c r="A835" s="2">
        <f ca="1">IFERROR(__xludf.DUMMYFUNCTION("""COMPUTED_VALUE"""),45777.6666666666)</f>
        <v>45777.666666666599</v>
      </c>
      <c r="B835" s="1">
        <f ca="1">IFERROR(__xludf.DUMMYFUNCTION("""COMPUTED_VALUE"""),209.3)</f>
        <v>209.3</v>
      </c>
      <c r="C835" s="1">
        <f ca="1">IFERROR(__xludf.DUMMYFUNCTION("""COMPUTED_VALUE"""),213.58)</f>
        <v>213.58</v>
      </c>
      <c r="D835" s="1">
        <f ca="1">IFERROR(__xludf.DUMMYFUNCTION("""COMPUTED_VALUE"""),206.67)</f>
        <v>206.67</v>
      </c>
      <c r="E835" s="1">
        <f ca="1">IFERROR(__xludf.DUMMYFUNCTION("""COMPUTED_VALUE"""),212.5)</f>
        <v>212.5</v>
      </c>
      <c r="F835" s="1">
        <f ca="1">IFERROR(__xludf.DUMMYFUNCTION("""COMPUTED_VALUE"""),52286454)</f>
        <v>52286454</v>
      </c>
    </row>
    <row r="836" spans="1:6" ht="12.6">
      <c r="A836" s="2">
        <f ca="1">IFERROR(__xludf.DUMMYFUNCTION("""COMPUTED_VALUE"""),45778.6666666666)</f>
        <v>45778.666666666599</v>
      </c>
      <c r="B836" s="1">
        <f ca="1">IFERROR(__xludf.DUMMYFUNCTION("""COMPUTED_VALUE"""),209.08)</f>
        <v>209.08</v>
      </c>
      <c r="C836" s="1">
        <f ca="1">IFERROR(__xludf.DUMMYFUNCTION("""COMPUTED_VALUE"""),214.56)</f>
        <v>214.56</v>
      </c>
      <c r="D836" s="1">
        <f ca="1">IFERROR(__xludf.DUMMYFUNCTION("""COMPUTED_VALUE"""),208.9)</f>
        <v>208.9</v>
      </c>
      <c r="E836" s="1">
        <f ca="1">IFERROR(__xludf.DUMMYFUNCTION("""COMPUTED_VALUE"""),213.32)</f>
        <v>213.32</v>
      </c>
      <c r="F836" s="1">
        <f ca="1">IFERROR(__xludf.DUMMYFUNCTION("""COMPUTED_VALUE"""),57365675)</f>
        <v>57365675</v>
      </c>
    </row>
    <row r="837" spans="1:6" ht="12.6">
      <c r="A837" s="2">
        <f ca="1">IFERROR(__xludf.DUMMYFUNCTION("""COMPUTED_VALUE"""),45779.6666666666)</f>
        <v>45779.666666666599</v>
      </c>
      <c r="B837" s="1">
        <f ca="1">IFERROR(__xludf.DUMMYFUNCTION("""COMPUTED_VALUE"""),206.09)</f>
        <v>206.09</v>
      </c>
      <c r="C837" s="1">
        <f ca="1">IFERROR(__xludf.DUMMYFUNCTION("""COMPUTED_VALUE"""),206.99)</f>
        <v>206.99</v>
      </c>
      <c r="D837" s="1">
        <f ca="1">IFERROR(__xludf.DUMMYFUNCTION("""COMPUTED_VALUE"""),202.16)</f>
        <v>202.16</v>
      </c>
      <c r="E837" s="1">
        <f ca="1">IFERROR(__xludf.DUMMYFUNCTION("""COMPUTED_VALUE"""),205.35)</f>
        <v>205.35</v>
      </c>
      <c r="F837" s="1">
        <f ca="1">IFERROR(__xludf.DUMMYFUNCTION("""COMPUTED_VALUE"""),101010621)</f>
        <v>101010621</v>
      </c>
    </row>
    <row r="838" spans="1:6" ht="12.6">
      <c r="A838" s="2">
        <f ca="1">IFERROR(__xludf.DUMMYFUNCTION("""COMPUTED_VALUE"""),45782.6666666666)</f>
        <v>45782.666666666599</v>
      </c>
      <c r="B838" s="1">
        <f ca="1">IFERROR(__xludf.DUMMYFUNCTION("""COMPUTED_VALUE"""),203.1)</f>
        <v>203.1</v>
      </c>
      <c r="C838" s="1">
        <f ca="1">IFERROR(__xludf.DUMMYFUNCTION("""COMPUTED_VALUE"""),204.1)</f>
        <v>204.1</v>
      </c>
      <c r="D838" s="1">
        <f ca="1">IFERROR(__xludf.DUMMYFUNCTION("""COMPUTED_VALUE"""),198.21)</f>
        <v>198.21</v>
      </c>
      <c r="E838" s="1">
        <f ca="1">IFERROR(__xludf.DUMMYFUNCTION("""COMPUTED_VALUE"""),198.89)</f>
        <v>198.89</v>
      </c>
      <c r="F838" s="1">
        <f ca="1">IFERROR(__xludf.DUMMYFUNCTION("""COMPUTED_VALUE"""),69018452)</f>
        <v>69018452</v>
      </c>
    </row>
    <row r="839" spans="1:6" ht="12.6">
      <c r="A839" s="2">
        <f ca="1">IFERROR(__xludf.DUMMYFUNCTION("""COMPUTED_VALUE"""),45783.6666666666)</f>
        <v>45783.666666666599</v>
      </c>
      <c r="B839" s="1">
        <f ca="1">IFERROR(__xludf.DUMMYFUNCTION("""COMPUTED_VALUE"""),198.21)</f>
        <v>198.21</v>
      </c>
      <c r="C839" s="1">
        <f ca="1">IFERROR(__xludf.DUMMYFUNCTION("""COMPUTED_VALUE"""),200.65)</f>
        <v>200.65</v>
      </c>
      <c r="D839" s="1">
        <f ca="1">IFERROR(__xludf.DUMMYFUNCTION("""COMPUTED_VALUE"""),197.02)</f>
        <v>197.02</v>
      </c>
      <c r="E839" s="1">
        <f ca="1">IFERROR(__xludf.DUMMYFUNCTION("""COMPUTED_VALUE"""),198.51)</f>
        <v>198.51</v>
      </c>
      <c r="F839" s="1">
        <f ca="1">IFERROR(__xludf.DUMMYFUNCTION("""COMPUTED_VALUE"""),51216482)</f>
        <v>51216482</v>
      </c>
    </row>
    <row r="840" spans="1:6" ht="12.6">
      <c r="A840" s="2">
        <f ca="1">IFERROR(__xludf.DUMMYFUNCTION("""COMPUTED_VALUE"""),45784.6666666666)</f>
        <v>45784.666666666599</v>
      </c>
      <c r="B840" s="1">
        <f ca="1">IFERROR(__xludf.DUMMYFUNCTION("""COMPUTED_VALUE"""),199.17)</f>
        <v>199.17</v>
      </c>
      <c r="C840" s="1">
        <f ca="1">IFERROR(__xludf.DUMMYFUNCTION("""COMPUTED_VALUE"""),199.44)</f>
        <v>199.44</v>
      </c>
      <c r="D840" s="1">
        <f ca="1">IFERROR(__xludf.DUMMYFUNCTION("""COMPUTED_VALUE"""),193.25)</f>
        <v>193.25</v>
      </c>
      <c r="E840" s="1">
        <f ca="1">IFERROR(__xludf.DUMMYFUNCTION("""COMPUTED_VALUE"""),196.25)</f>
        <v>196.25</v>
      </c>
      <c r="F840" s="1">
        <f ca="1">IFERROR(__xludf.DUMMYFUNCTION("""COMPUTED_VALUE"""),68616943)</f>
        <v>68616943</v>
      </c>
    </row>
    <row r="841" spans="1:6" ht="12.6">
      <c r="A841" s="2">
        <f ca="1">IFERROR(__xludf.DUMMYFUNCTION("""COMPUTED_VALUE"""),45785.6666666666)</f>
        <v>45785.666666666599</v>
      </c>
      <c r="B841" s="1">
        <f ca="1">IFERROR(__xludf.DUMMYFUNCTION("""COMPUTED_VALUE"""),197.72)</f>
        <v>197.72</v>
      </c>
      <c r="C841" s="1">
        <f ca="1">IFERROR(__xludf.DUMMYFUNCTION("""COMPUTED_VALUE"""),200.05)</f>
        <v>200.05</v>
      </c>
      <c r="D841" s="1">
        <f ca="1">IFERROR(__xludf.DUMMYFUNCTION("""COMPUTED_VALUE"""),194.68)</f>
        <v>194.68</v>
      </c>
      <c r="E841" s="1">
        <f ca="1">IFERROR(__xludf.DUMMYFUNCTION("""COMPUTED_VALUE"""),197.49)</f>
        <v>197.49</v>
      </c>
      <c r="F841" s="1">
        <f ca="1">IFERROR(__xludf.DUMMYFUNCTION("""COMPUTED_VALUE"""),50478872)</f>
        <v>50478872</v>
      </c>
    </row>
    <row r="842" spans="1:6" ht="12.6">
      <c r="A842" s="2">
        <f ca="1">IFERROR(__xludf.DUMMYFUNCTION("""COMPUTED_VALUE"""),45786.6666666666)</f>
        <v>45786.666666666599</v>
      </c>
      <c r="B842" s="1">
        <f ca="1">IFERROR(__xludf.DUMMYFUNCTION("""COMPUTED_VALUE"""),199)</f>
        <v>199</v>
      </c>
      <c r="C842" s="1">
        <f ca="1">IFERROR(__xludf.DUMMYFUNCTION("""COMPUTED_VALUE"""),200.54)</f>
        <v>200.54</v>
      </c>
      <c r="D842" s="1">
        <f ca="1">IFERROR(__xludf.DUMMYFUNCTION("""COMPUTED_VALUE"""),197.54)</f>
        <v>197.54</v>
      </c>
      <c r="E842" s="1">
        <f ca="1">IFERROR(__xludf.DUMMYFUNCTION("""COMPUTED_VALUE"""),198.53)</f>
        <v>198.53</v>
      </c>
      <c r="F842" s="1">
        <f ca="1">IFERROR(__xludf.DUMMYFUNCTION("""COMPUTED_VALUE"""),36453923)</f>
        <v>36453923</v>
      </c>
    </row>
    <row r="843" spans="1:6" ht="12.6">
      <c r="A843" s="2">
        <f ca="1">IFERROR(__xludf.DUMMYFUNCTION("""COMPUTED_VALUE"""),45789.6666666666)</f>
        <v>45789.666666666599</v>
      </c>
      <c r="B843" s="1">
        <f ca="1">IFERROR(__xludf.DUMMYFUNCTION("""COMPUTED_VALUE"""),210.97)</f>
        <v>210.97</v>
      </c>
      <c r="C843" s="1">
        <f ca="1">IFERROR(__xludf.DUMMYFUNCTION("""COMPUTED_VALUE"""),211.27)</f>
        <v>211.27</v>
      </c>
      <c r="D843" s="1">
        <f ca="1">IFERROR(__xludf.DUMMYFUNCTION("""COMPUTED_VALUE"""),206.75)</f>
        <v>206.75</v>
      </c>
      <c r="E843" s="1">
        <f ca="1">IFERROR(__xludf.DUMMYFUNCTION("""COMPUTED_VALUE"""),210.79)</f>
        <v>210.79</v>
      </c>
      <c r="F843" s="1">
        <f ca="1">IFERROR(__xludf.DUMMYFUNCTION("""COMPUTED_VALUE"""),63775814)</f>
        <v>63775814</v>
      </c>
    </row>
    <row r="844" spans="1:6" ht="12.6">
      <c r="A844" s="2">
        <f ca="1">IFERROR(__xludf.DUMMYFUNCTION("""COMPUTED_VALUE"""),45790.6666666666)</f>
        <v>45790.666666666599</v>
      </c>
      <c r="B844" s="1">
        <f ca="1">IFERROR(__xludf.DUMMYFUNCTION("""COMPUTED_VALUE"""),210.43)</f>
        <v>210.43</v>
      </c>
      <c r="C844" s="1">
        <f ca="1">IFERROR(__xludf.DUMMYFUNCTION("""COMPUTED_VALUE"""),213.4)</f>
        <v>213.4</v>
      </c>
      <c r="D844" s="1">
        <f ca="1">IFERROR(__xludf.DUMMYFUNCTION("""COMPUTED_VALUE"""),209)</f>
        <v>209</v>
      </c>
      <c r="E844" s="1">
        <f ca="1">IFERROR(__xludf.DUMMYFUNCTION("""COMPUTED_VALUE"""),212.93)</f>
        <v>212.93</v>
      </c>
      <c r="F844" s="1">
        <f ca="1">IFERROR(__xludf.DUMMYFUNCTION("""COMPUTED_VALUE"""),51909332)</f>
        <v>51909332</v>
      </c>
    </row>
    <row r="845" spans="1:6" ht="12.6">
      <c r="A845" s="2">
        <f ca="1">IFERROR(__xludf.DUMMYFUNCTION("""COMPUTED_VALUE"""),45791.6666666666)</f>
        <v>45791.666666666599</v>
      </c>
      <c r="B845" s="1">
        <f ca="1">IFERROR(__xludf.DUMMYFUNCTION("""COMPUTED_VALUE"""),212.43)</f>
        <v>212.43</v>
      </c>
      <c r="C845" s="1">
        <f ca="1">IFERROR(__xludf.DUMMYFUNCTION("""COMPUTED_VALUE"""),213.94)</f>
        <v>213.94</v>
      </c>
      <c r="D845" s="1">
        <f ca="1">IFERROR(__xludf.DUMMYFUNCTION("""COMPUTED_VALUE"""),210.58)</f>
        <v>210.58</v>
      </c>
      <c r="E845" s="1">
        <f ca="1">IFERROR(__xludf.DUMMYFUNCTION("""COMPUTED_VALUE"""),212.33)</f>
        <v>212.33</v>
      </c>
      <c r="F845" s="1">
        <f ca="1">IFERROR(__xludf.DUMMYFUNCTION("""COMPUTED_VALUE"""),49325825)</f>
        <v>49325825</v>
      </c>
    </row>
    <row r="846" spans="1:6" ht="12.6">
      <c r="A846" s="2">
        <f ca="1">IFERROR(__xludf.DUMMYFUNCTION("""COMPUTED_VALUE"""),45792.6666666666)</f>
        <v>45792.666666666599</v>
      </c>
      <c r="B846" s="1">
        <f ca="1">IFERROR(__xludf.DUMMYFUNCTION("""COMPUTED_VALUE"""),210.95)</f>
        <v>210.95</v>
      </c>
      <c r="C846" s="1">
        <f ca="1">IFERROR(__xludf.DUMMYFUNCTION("""COMPUTED_VALUE"""),212.96)</f>
        <v>212.96</v>
      </c>
      <c r="D846" s="1">
        <f ca="1">IFERROR(__xludf.DUMMYFUNCTION("""COMPUTED_VALUE"""),209.54)</f>
        <v>209.54</v>
      </c>
      <c r="E846" s="1">
        <f ca="1">IFERROR(__xludf.DUMMYFUNCTION("""COMPUTED_VALUE"""),211.45)</f>
        <v>211.45</v>
      </c>
      <c r="F846" s="1">
        <f ca="1">IFERROR(__xludf.DUMMYFUNCTION("""COMPUTED_VALUE"""),45029473)</f>
        <v>45029473</v>
      </c>
    </row>
    <row r="847" spans="1:6" ht="12.6">
      <c r="A847" s="2">
        <f ca="1">IFERROR(__xludf.DUMMYFUNCTION("""COMPUTED_VALUE"""),45793.6666666666)</f>
        <v>45793.666666666599</v>
      </c>
      <c r="B847" s="1">
        <f ca="1">IFERROR(__xludf.DUMMYFUNCTION("""COMPUTED_VALUE"""),212.36)</f>
        <v>212.36</v>
      </c>
      <c r="C847" s="1">
        <f ca="1">IFERROR(__xludf.DUMMYFUNCTION("""COMPUTED_VALUE"""),212.57)</f>
        <v>212.57</v>
      </c>
      <c r="D847" s="1">
        <f ca="1">IFERROR(__xludf.DUMMYFUNCTION("""COMPUTED_VALUE"""),209.77)</f>
        <v>209.77</v>
      </c>
      <c r="E847" s="1">
        <f ca="1">IFERROR(__xludf.DUMMYFUNCTION("""COMPUTED_VALUE"""),211.26)</f>
        <v>211.26</v>
      </c>
      <c r="F847" s="1">
        <f ca="1">IFERROR(__xludf.DUMMYFUNCTION("""COMPUTED_VALUE"""),54737850)</f>
        <v>54737850</v>
      </c>
    </row>
    <row r="848" spans="1:6" ht="12.6">
      <c r="A848" s="2">
        <f ca="1">IFERROR(__xludf.DUMMYFUNCTION("""COMPUTED_VALUE"""),45796.6666666666)</f>
        <v>45796.666666666599</v>
      </c>
      <c r="B848" s="1">
        <f ca="1">IFERROR(__xludf.DUMMYFUNCTION("""COMPUTED_VALUE"""),207.91)</f>
        <v>207.91</v>
      </c>
      <c r="C848" s="1">
        <f ca="1">IFERROR(__xludf.DUMMYFUNCTION("""COMPUTED_VALUE"""),209.48)</f>
        <v>209.48</v>
      </c>
      <c r="D848" s="1">
        <f ca="1">IFERROR(__xludf.DUMMYFUNCTION("""COMPUTED_VALUE"""),204.26)</f>
        <v>204.26</v>
      </c>
      <c r="E848" s="1">
        <f ca="1">IFERROR(__xludf.DUMMYFUNCTION("""COMPUTED_VALUE"""),208.78)</f>
        <v>208.78</v>
      </c>
      <c r="F848" s="1">
        <f ca="1">IFERROR(__xludf.DUMMYFUNCTION("""COMPUTED_VALUE"""),46140527)</f>
        <v>46140527</v>
      </c>
    </row>
    <row r="849" spans="1:6" ht="12.6">
      <c r="A849" s="2">
        <f ca="1">IFERROR(__xludf.DUMMYFUNCTION("""COMPUTED_VALUE"""),45797.6666666666)</f>
        <v>45797.666666666599</v>
      </c>
      <c r="B849" s="1">
        <f ca="1">IFERROR(__xludf.DUMMYFUNCTION("""COMPUTED_VALUE"""),207.67)</f>
        <v>207.67</v>
      </c>
      <c r="C849" s="1">
        <f ca="1">IFERROR(__xludf.DUMMYFUNCTION("""COMPUTED_VALUE"""),208.47)</f>
        <v>208.47</v>
      </c>
      <c r="D849" s="1">
        <f ca="1">IFERROR(__xludf.DUMMYFUNCTION("""COMPUTED_VALUE"""),205.03)</f>
        <v>205.03</v>
      </c>
      <c r="E849" s="1">
        <f ca="1">IFERROR(__xludf.DUMMYFUNCTION("""COMPUTED_VALUE"""),206.86)</f>
        <v>206.86</v>
      </c>
      <c r="F849" s="1">
        <f ca="1">IFERROR(__xludf.DUMMYFUNCTION("""COMPUTED_VALUE"""),42496635)</f>
        <v>42496635</v>
      </c>
    </row>
    <row r="850" spans="1:6" ht="12.6">
      <c r="A850" s="2">
        <f ca="1">IFERROR(__xludf.DUMMYFUNCTION("""COMPUTED_VALUE"""),45798.6666666666)</f>
        <v>45798.666666666599</v>
      </c>
      <c r="B850" s="1">
        <f ca="1">IFERROR(__xludf.DUMMYFUNCTION("""COMPUTED_VALUE"""),205.17)</f>
        <v>205.17</v>
      </c>
      <c r="C850" s="1">
        <f ca="1">IFERROR(__xludf.DUMMYFUNCTION("""COMPUTED_VALUE"""),207.04)</f>
        <v>207.04</v>
      </c>
      <c r="D850" s="1">
        <f ca="1">IFERROR(__xludf.DUMMYFUNCTION("""COMPUTED_VALUE"""),200.71)</f>
        <v>200.71</v>
      </c>
      <c r="E850" s="1">
        <f ca="1">IFERROR(__xludf.DUMMYFUNCTION("""COMPUTED_VALUE"""),202.09)</f>
        <v>202.09</v>
      </c>
      <c r="F850" s="1">
        <f ca="1">IFERROR(__xludf.DUMMYFUNCTION("""COMPUTED_VALUE"""),59211774)</f>
        <v>59211774</v>
      </c>
    </row>
    <row r="851" spans="1:6" ht="12.6">
      <c r="A851" s="2">
        <f ca="1">IFERROR(__xludf.DUMMYFUNCTION("""COMPUTED_VALUE"""),45799.6666666666)</f>
        <v>45799.666666666599</v>
      </c>
      <c r="B851" s="1">
        <f ca="1">IFERROR(__xludf.DUMMYFUNCTION("""COMPUTED_VALUE"""),205.17)</f>
        <v>205.17</v>
      </c>
      <c r="C851" s="1">
        <f ca="1">IFERROR(__xludf.DUMMYFUNCTION("""COMPUTED_VALUE"""),207.04)</f>
        <v>207.04</v>
      </c>
      <c r="D851" s="1">
        <f ca="1">IFERROR(__xludf.DUMMYFUNCTION("""COMPUTED_VALUE"""),200.71)</f>
        <v>200.71</v>
      </c>
      <c r="E851" s="1">
        <f ca="1">IFERROR(__xludf.DUMMYFUNCTION("""COMPUTED_VALUE"""),202.09)</f>
        <v>202.09</v>
      </c>
      <c r="F851" s="1">
        <f ca="1">IFERROR(__xludf.DUMMYFUNCTION("""COMPUTED_VALUE"""),1536434)</f>
        <v>1536434</v>
      </c>
    </row>
    <row r="852" spans="1:6" ht="12.6">
      <c r="A852" s="2">
        <f ca="1">IFERROR(__xludf.DUMMYFUNCTION("""COMPUTED_VALUE"""),45800.6666666666)</f>
        <v>45800.666666666599</v>
      </c>
      <c r="B852" s="1">
        <f ca="1">IFERROR(__xludf.DUMMYFUNCTION("""COMPUTED_VALUE"""),193.67)</f>
        <v>193.67</v>
      </c>
      <c r="C852" s="1">
        <f ca="1">IFERROR(__xludf.DUMMYFUNCTION("""COMPUTED_VALUE"""),197.7)</f>
        <v>197.7</v>
      </c>
      <c r="D852" s="1">
        <f ca="1">IFERROR(__xludf.DUMMYFUNCTION("""COMPUTED_VALUE"""),193.46)</f>
        <v>193.46</v>
      </c>
      <c r="E852" s="1">
        <f ca="1">IFERROR(__xludf.DUMMYFUNCTION("""COMPUTED_VALUE"""),195.27)</f>
        <v>195.27</v>
      </c>
      <c r="F852" s="1">
        <f ca="1">IFERROR(__xludf.DUMMYFUNCTION("""COMPUTED_VALUE"""),78432918)</f>
        <v>78432918</v>
      </c>
    </row>
    <row r="853" spans="1:6" ht="12.6">
      <c r="A853" s="2">
        <f ca="1">IFERROR(__xludf.DUMMYFUNCTION("""COMPUTED_VALUE"""),45804.6666666666)</f>
        <v>45804.666666666599</v>
      </c>
      <c r="B853" s="1">
        <f ca="1">IFERROR(__xludf.DUMMYFUNCTION("""COMPUTED_VALUE"""),198.3)</f>
        <v>198.3</v>
      </c>
      <c r="C853" s="1">
        <f ca="1">IFERROR(__xludf.DUMMYFUNCTION("""COMPUTED_VALUE"""),200.74)</f>
        <v>200.74</v>
      </c>
      <c r="D853" s="1">
        <f ca="1">IFERROR(__xludf.DUMMYFUNCTION("""COMPUTED_VALUE"""),197.43)</f>
        <v>197.43</v>
      </c>
      <c r="E853" s="1">
        <f ca="1">IFERROR(__xludf.DUMMYFUNCTION("""COMPUTED_VALUE"""),200.21)</f>
        <v>200.21</v>
      </c>
      <c r="F853" s="1">
        <f ca="1">IFERROR(__xludf.DUMMYFUNCTION("""COMPUTED_VALUE"""),56288475)</f>
        <v>56288475</v>
      </c>
    </row>
    <row r="854" spans="1:6" ht="12.6">
      <c r="A854" s="2">
        <f ca="1">IFERROR(__xludf.DUMMYFUNCTION("""COMPUTED_VALUE"""),45805.6666666666)</f>
        <v>45805.666666666599</v>
      </c>
      <c r="B854" s="1">
        <f ca="1">IFERROR(__xludf.DUMMYFUNCTION("""COMPUTED_VALUE"""),200.59)</f>
        <v>200.59</v>
      </c>
      <c r="C854" s="1">
        <f ca="1">IFERROR(__xludf.DUMMYFUNCTION("""COMPUTED_VALUE"""),202.73)</f>
        <v>202.73</v>
      </c>
      <c r="D854" s="1">
        <f ca="1">IFERROR(__xludf.DUMMYFUNCTION("""COMPUTED_VALUE"""),199.9)</f>
        <v>199.9</v>
      </c>
      <c r="E854" s="1">
        <f ca="1">IFERROR(__xludf.DUMMYFUNCTION("""COMPUTED_VALUE"""),200.42)</f>
        <v>200.42</v>
      </c>
      <c r="F854" s="1">
        <f ca="1">IFERROR(__xludf.DUMMYFUNCTION("""COMPUTED_VALUE"""),45339678)</f>
        <v>45339678</v>
      </c>
    </row>
    <row r="855" spans="1:6" ht="12.6">
      <c r="A855" s="2">
        <f ca="1">IFERROR(__xludf.DUMMYFUNCTION("""COMPUTED_VALUE"""),45806.6666666666)</f>
        <v>45806.666666666599</v>
      </c>
      <c r="B855" s="1">
        <f ca="1">IFERROR(__xludf.DUMMYFUNCTION("""COMPUTED_VALUE"""),203.58)</f>
        <v>203.58</v>
      </c>
      <c r="C855" s="1">
        <f ca="1">IFERROR(__xludf.DUMMYFUNCTION("""COMPUTED_VALUE"""),203.81)</f>
        <v>203.81</v>
      </c>
      <c r="D855" s="1">
        <f ca="1">IFERROR(__xludf.DUMMYFUNCTION("""COMPUTED_VALUE"""),198.51)</f>
        <v>198.51</v>
      </c>
      <c r="E855" s="1">
        <f ca="1">IFERROR(__xludf.DUMMYFUNCTION("""COMPUTED_VALUE"""),199.95)</f>
        <v>199.95</v>
      </c>
      <c r="F855" s="1">
        <f ca="1">IFERROR(__xludf.DUMMYFUNCTION("""COMPUTED_VALUE"""),51477938)</f>
        <v>51477938</v>
      </c>
    </row>
    <row r="856" spans="1:6" ht="12.6">
      <c r="A856" s="2">
        <f ca="1">IFERROR(__xludf.DUMMYFUNCTION("""COMPUTED_VALUE"""),45807.6666666666)</f>
        <v>45807.666666666599</v>
      </c>
      <c r="B856" s="1">
        <f ca="1">IFERROR(__xludf.DUMMYFUNCTION("""COMPUTED_VALUE"""),199.37)</f>
        <v>199.37</v>
      </c>
      <c r="C856" s="1">
        <f ca="1">IFERROR(__xludf.DUMMYFUNCTION("""COMPUTED_VALUE"""),201.96)</f>
        <v>201.96</v>
      </c>
      <c r="D856" s="1">
        <f ca="1">IFERROR(__xludf.DUMMYFUNCTION("""COMPUTED_VALUE"""),196.78)</f>
        <v>196.78</v>
      </c>
      <c r="E856" s="1">
        <f ca="1">IFERROR(__xludf.DUMMYFUNCTION("""COMPUTED_VALUE"""),200.85)</f>
        <v>200.85</v>
      </c>
      <c r="F856" s="1">
        <f ca="1">IFERROR(__xludf.DUMMYFUNCTION("""COMPUTED_VALUE"""),70819942)</f>
        <v>70819942</v>
      </c>
    </row>
    <row r="857" spans="1:6" ht="12.6">
      <c r="A857" s="2">
        <f ca="1">IFERROR(__xludf.DUMMYFUNCTION("""COMPUTED_VALUE"""),45810.6666666666)</f>
        <v>45810.666666666599</v>
      </c>
      <c r="B857" s="1">
        <f ca="1">IFERROR(__xludf.DUMMYFUNCTION("""COMPUTED_VALUE"""),200.28)</f>
        <v>200.28</v>
      </c>
      <c r="C857" s="1">
        <f ca="1">IFERROR(__xludf.DUMMYFUNCTION("""COMPUTED_VALUE"""),202.13)</f>
        <v>202.13</v>
      </c>
      <c r="D857" s="1">
        <f ca="1">IFERROR(__xludf.DUMMYFUNCTION("""COMPUTED_VALUE"""),200.12)</f>
        <v>200.12</v>
      </c>
      <c r="E857" s="1">
        <f ca="1">IFERROR(__xludf.DUMMYFUNCTION("""COMPUTED_VALUE"""),201.7)</f>
        <v>201.7</v>
      </c>
      <c r="F857" s="1">
        <f ca="1">IFERROR(__xludf.DUMMYFUNCTION("""COMPUTED_VALUE"""),35423294)</f>
        <v>35423294</v>
      </c>
    </row>
    <row r="858" spans="1:6" ht="12.6">
      <c r="A858" s="2">
        <f ca="1">IFERROR(__xludf.DUMMYFUNCTION("""COMPUTED_VALUE"""),45811.6666666666)</f>
        <v>45811.666666666599</v>
      </c>
      <c r="B858" s="1">
        <f ca="1">IFERROR(__xludf.DUMMYFUNCTION("""COMPUTED_VALUE"""),201.35)</f>
        <v>201.35</v>
      </c>
      <c r="C858" s="1">
        <f ca="1">IFERROR(__xludf.DUMMYFUNCTION("""COMPUTED_VALUE"""),203.77)</f>
        <v>203.77</v>
      </c>
      <c r="D858" s="1">
        <f ca="1">IFERROR(__xludf.DUMMYFUNCTION("""COMPUTED_VALUE"""),200.96)</f>
        <v>200.96</v>
      </c>
      <c r="E858" s="1">
        <f ca="1">IFERROR(__xludf.DUMMYFUNCTION("""COMPUTED_VALUE"""),203.27)</f>
        <v>203.27</v>
      </c>
      <c r="F858" s="1">
        <f ca="1">IFERROR(__xludf.DUMMYFUNCTION("""COMPUTED_VALUE"""),46381567)</f>
        <v>46381567</v>
      </c>
    </row>
    <row r="859" spans="1:6" ht="12.6">
      <c r="A859" s="2">
        <f ca="1">IFERROR(__xludf.DUMMYFUNCTION("""COMPUTED_VALUE"""),45812.6666666666)</f>
        <v>45812.666666666599</v>
      </c>
      <c r="B859" s="1">
        <f ca="1">IFERROR(__xludf.DUMMYFUNCTION("""COMPUTED_VALUE"""),202.91)</f>
        <v>202.91</v>
      </c>
      <c r="C859" s="1">
        <f ca="1">IFERROR(__xludf.DUMMYFUNCTION("""COMPUTED_VALUE"""),206.24)</f>
        <v>206.24</v>
      </c>
      <c r="D859" s="1">
        <f ca="1">IFERROR(__xludf.DUMMYFUNCTION("""COMPUTED_VALUE"""),202.1)</f>
        <v>202.1</v>
      </c>
      <c r="E859" s="1">
        <f ca="1">IFERROR(__xludf.DUMMYFUNCTION("""COMPUTED_VALUE"""),202.82)</f>
        <v>202.82</v>
      </c>
      <c r="F859" s="1">
        <f ca="1">IFERROR(__xludf.DUMMYFUNCTION("""COMPUTED_VALUE"""),43603985)</f>
        <v>43603985</v>
      </c>
    </row>
    <row r="860" spans="1:6" ht="12.6">
      <c r="A860" s="2">
        <f ca="1">IFERROR(__xludf.DUMMYFUNCTION("""COMPUTED_VALUE"""),45813.6666666666)</f>
        <v>45813.666666666599</v>
      </c>
      <c r="B860" s="1">
        <f ca="1">IFERROR(__xludf.DUMMYFUNCTION("""COMPUTED_VALUE"""),203.5)</f>
        <v>203.5</v>
      </c>
      <c r="C860" s="1">
        <f ca="1">IFERROR(__xludf.DUMMYFUNCTION("""COMPUTED_VALUE"""),204.75)</f>
        <v>204.75</v>
      </c>
      <c r="D860" s="1">
        <f ca="1">IFERROR(__xludf.DUMMYFUNCTION("""COMPUTED_VALUE"""),200.15)</f>
        <v>200.15</v>
      </c>
      <c r="E860" s="1">
        <f ca="1">IFERROR(__xludf.DUMMYFUNCTION("""COMPUTED_VALUE"""),200.63)</f>
        <v>200.63</v>
      </c>
      <c r="F860" s="1">
        <f ca="1">IFERROR(__xludf.DUMMYFUNCTION("""COMPUTED_VALUE"""),55221235)</f>
        <v>55221235</v>
      </c>
    </row>
    <row r="861" spans="1:6" ht="12.6">
      <c r="A861" s="2">
        <f ca="1">IFERROR(__xludf.DUMMYFUNCTION("""COMPUTED_VALUE"""),45814.6666666666)</f>
        <v>45814.666666666599</v>
      </c>
      <c r="B861" s="1">
        <f ca="1">IFERROR(__xludf.DUMMYFUNCTION("""COMPUTED_VALUE"""),203)</f>
        <v>203</v>
      </c>
      <c r="C861" s="1">
        <f ca="1">IFERROR(__xludf.DUMMYFUNCTION("""COMPUTED_VALUE"""),205.7)</f>
        <v>205.7</v>
      </c>
      <c r="D861" s="1">
        <f ca="1">IFERROR(__xludf.DUMMYFUNCTION("""COMPUTED_VALUE"""),202.05)</f>
        <v>202.05</v>
      </c>
      <c r="E861" s="1">
        <f ca="1">IFERROR(__xludf.DUMMYFUNCTION("""COMPUTED_VALUE"""),203.92)</f>
        <v>203.92</v>
      </c>
      <c r="F861" s="1">
        <f ca="1">IFERROR(__xludf.DUMMYFUNCTION("""COMPUTED_VALUE"""),46607693)</f>
        <v>46607693</v>
      </c>
    </row>
    <row r="862" spans="1:6" ht="12.6">
      <c r="A862" s="2">
        <f ca="1">IFERROR(__xludf.DUMMYFUNCTION("""COMPUTED_VALUE"""),45817.6666666666)</f>
        <v>45817.666666666599</v>
      </c>
      <c r="B862" s="1">
        <f ca="1">IFERROR(__xludf.DUMMYFUNCTION("""COMPUTED_VALUE"""),204.39)</f>
        <v>204.39</v>
      </c>
      <c r="C862" s="1">
        <f ca="1">IFERROR(__xludf.DUMMYFUNCTION("""COMPUTED_VALUE"""),206)</f>
        <v>206</v>
      </c>
      <c r="D862" s="1">
        <f ca="1">IFERROR(__xludf.DUMMYFUNCTION("""COMPUTED_VALUE"""),200.02)</f>
        <v>200.02</v>
      </c>
      <c r="E862" s="1">
        <f ca="1">IFERROR(__xludf.DUMMYFUNCTION("""COMPUTED_VALUE"""),201.45)</f>
        <v>201.45</v>
      </c>
      <c r="F862" s="1">
        <f ca="1">IFERROR(__xludf.DUMMYFUNCTION("""COMPUTED_VALUE"""),72862557)</f>
        <v>72862557</v>
      </c>
    </row>
    <row r="863" spans="1:6" ht="12.6">
      <c r="A863" s="2">
        <f ca="1">IFERROR(__xludf.DUMMYFUNCTION("""COMPUTED_VALUE"""),45818.6666666666)</f>
        <v>45818.666666666599</v>
      </c>
      <c r="B863" s="1">
        <f ca="1">IFERROR(__xludf.DUMMYFUNCTION("""COMPUTED_VALUE"""),200.6)</f>
        <v>200.6</v>
      </c>
      <c r="C863" s="1">
        <f ca="1">IFERROR(__xludf.DUMMYFUNCTION("""COMPUTED_VALUE"""),204.35)</f>
        <v>204.35</v>
      </c>
      <c r="D863" s="1">
        <f ca="1">IFERROR(__xludf.DUMMYFUNCTION("""COMPUTED_VALUE"""),200.57)</f>
        <v>200.57</v>
      </c>
      <c r="E863" s="1">
        <f ca="1">IFERROR(__xludf.DUMMYFUNCTION("""COMPUTED_VALUE"""),202.67)</f>
        <v>202.67</v>
      </c>
      <c r="F863" s="1">
        <f ca="1">IFERROR(__xludf.DUMMYFUNCTION("""COMPUTED_VALUE"""),54672608)</f>
        <v>54672608</v>
      </c>
    </row>
    <row r="864" spans="1:6" ht="12.6">
      <c r="A864" s="2">
        <f ca="1">IFERROR(__xludf.DUMMYFUNCTION("""COMPUTED_VALUE"""),45819.6666666666)</f>
        <v>45819.666666666599</v>
      </c>
      <c r="B864" s="1">
        <f ca="1">IFERROR(__xludf.DUMMYFUNCTION("""COMPUTED_VALUE"""),203.5)</f>
        <v>203.5</v>
      </c>
      <c r="C864" s="1">
        <f ca="1">IFERROR(__xludf.DUMMYFUNCTION("""COMPUTED_VALUE"""),204.5)</f>
        <v>204.5</v>
      </c>
      <c r="D864" s="1">
        <f ca="1">IFERROR(__xludf.DUMMYFUNCTION("""COMPUTED_VALUE"""),198.41)</f>
        <v>198.41</v>
      </c>
      <c r="E864" s="1">
        <f ca="1">IFERROR(__xludf.DUMMYFUNCTION("""COMPUTED_VALUE"""),198.78)</f>
        <v>198.78</v>
      </c>
      <c r="F864" s="1">
        <f ca="1">IFERROR(__xludf.DUMMYFUNCTION("""COMPUTED_VALUE"""),60989857)</f>
        <v>60989857</v>
      </c>
    </row>
    <row r="865" spans="1:6" ht="12.6">
      <c r="A865" s="2">
        <f ca="1">IFERROR(__xludf.DUMMYFUNCTION("""COMPUTED_VALUE"""),45820.6666666666)</f>
        <v>45820.666666666599</v>
      </c>
      <c r="B865" s="1">
        <f ca="1">IFERROR(__xludf.DUMMYFUNCTION("""COMPUTED_VALUE"""),199.08)</f>
        <v>199.08</v>
      </c>
      <c r="C865" s="1">
        <f ca="1">IFERROR(__xludf.DUMMYFUNCTION("""COMPUTED_VALUE"""),199.68)</f>
        <v>199.68</v>
      </c>
      <c r="D865" s="1">
        <f ca="1">IFERROR(__xludf.DUMMYFUNCTION("""COMPUTED_VALUE"""),197.36)</f>
        <v>197.36</v>
      </c>
      <c r="E865" s="1">
        <f ca="1">IFERROR(__xludf.DUMMYFUNCTION("""COMPUTED_VALUE"""),199.2)</f>
        <v>199.2</v>
      </c>
      <c r="F865" s="1">
        <f ca="1">IFERROR(__xludf.DUMMYFUNCTION("""COMPUTED_VALUE"""),43904635)</f>
        <v>43904635</v>
      </c>
    </row>
    <row r="866" spans="1:6" ht="12.6">
      <c r="A866" s="2">
        <f ca="1">IFERROR(__xludf.DUMMYFUNCTION("""COMPUTED_VALUE"""),45821.6666666666)</f>
        <v>45821.666666666599</v>
      </c>
      <c r="B866" s="1">
        <f ca="1">IFERROR(__xludf.DUMMYFUNCTION("""COMPUTED_VALUE"""),199.73)</f>
        <v>199.73</v>
      </c>
      <c r="C866" s="1">
        <f ca="1">IFERROR(__xludf.DUMMYFUNCTION("""COMPUTED_VALUE"""),200.37)</f>
        <v>200.37</v>
      </c>
      <c r="D866" s="1">
        <f ca="1">IFERROR(__xludf.DUMMYFUNCTION("""COMPUTED_VALUE"""),195.7)</f>
        <v>195.7</v>
      </c>
      <c r="E866" s="1">
        <f ca="1">IFERROR(__xludf.DUMMYFUNCTION("""COMPUTED_VALUE"""),196.45)</f>
        <v>196.45</v>
      </c>
      <c r="F866" s="1">
        <f ca="1">IFERROR(__xludf.DUMMYFUNCTION("""COMPUTED_VALUE"""),51447349)</f>
        <v>51447349</v>
      </c>
    </row>
    <row r="867" spans="1:6" ht="12.6">
      <c r="A867" s="2">
        <f ca="1">IFERROR(__xludf.DUMMYFUNCTION("""COMPUTED_VALUE"""),45824.6666666666)</f>
        <v>45824.666666666599</v>
      </c>
      <c r="B867" s="1">
        <f ca="1">IFERROR(__xludf.DUMMYFUNCTION("""COMPUTED_VALUE"""),197.3)</f>
        <v>197.3</v>
      </c>
      <c r="C867" s="1">
        <f ca="1">IFERROR(__xludf.DUMMYFUNCTION("""COMPUTED_VALUE"""),198.69)</f>
        <v>198.69</v>
      </c>
      <c r="D867" s="1">
        <f ca="1">IFERROR(__xludf.DUMMYFUNCTION("""COMPUTED_VALUE"""),196.56)</f>
        <v>196.56</v>
      </c>
      <c r="E867" s="1">
        <f ca="1">IFERROR(__xludf.DUMMYFUNCTION("""COMPUTED_VALUE"""),198.42)</f>
        <v>198.42</v>
      </c>
      <c r="F867" s="1">
        <f ca="1">IFERROR(__xludf.DUMMYFUNCTION("""COMPUTED_VALUE"""),43020691)</f>
        <v>43020691</v>
      </c>
    </row>
    <row r="868" spans="1:6" ht="12.6">
      <c r="A868" s="2">
        <f ca="1">IFERROR(__xludf.DUMMYFUNCTION("""COMPUTED_VALUE"""),45825.6666666666)</f>
        <v>45825.666666666599</v>
      </c>
      <c r="B868" s="1">
        <f ca="1">IFERROR(__xludf.DUMMYFUNCTION("""COMPUTED_VALUE"""),197.2)</f>
        <v>197.2</v>
      </c>
      <c r="C868" s="1">
        <f ca="1">IFERROR(__xludf.DUMMYFUNCTION("""COMPUTED_VALUE"""),198.39)</f>
        <v>198.39</v>
      </c>
      <c r="D868" s="1">
        <f ca="1">IFERROR(__xludf.DUMMYFUNCTION("""COMPUTED_VALUE"""),195.21)</f>
        <v>195.21</v>
      </c>
      <c r="E868" s="1">
        <f ca="1">IFERROR(__xludf.DUMMYFUNCTION("""COMPUTED_VALUE"""),195.64)</f>
        <v>195.64</v>
      </c>
      <c r="F868" s="1">
        <f ca="1">IFERROR(__xludf.DUMMYFUNCTION("""COMPUTED_VALUE"""),38856152)</f>
        <v>38856152</v>
      </c>
    </row>
    <row r="869" spans="1:6" ht="12.6">
      <c r="A869" s="2">
        <f ca="1">IFERROR(__xludf.DUMMYFUNCTION("""COMPUTED_VALUE"""),45826.6666666666)</f>
        <v>45826.666666666599</v>
      </c>
      <c r="B869" s="1">
        <f ca="1">IFERROR(__xludf.DUMMYFUNCTION("""COMPUTED_VALUE"""),195.94)</f>
        <v>195.94</v>
      </c>
      <c r="C869" s="1">
        <f ca="1">IFERROR(__xludf.DUMMYFUNCTION("""COMPUTED_VALUE"""),197.57)</f>
        <v>197.57</v>
      </c>
      <c r="D869" s="1">
        <f ca="1">IFERROR(__xludf.DUMMYFUNCTION("""COMPUTED_VALUE"""),195.07)</f>
        <v>195.07</v>
      </c>
      <c r="E869" s="1">
        <f ca="1">IFERROR(__xludf.DUMMYFUNCTION("""COMPUTED_VALUE"""),196.58)</f>
        <v>196.58</v>
      </c>
      <c r="F869" s="1">
        <f ca="1">IFERROR(__xludf.DUMMYFUNCTION("""COMPUTED_VALUE"""),45394689)</f>
        <v>45394689</v>
      </c>
    </row>
    <row r="870" spans="1:6" ht="12.6">
      <c r="A870" s="2">
        <f ca="1">IFERROR(__xludf.DUMMYFUNCTION("""COMPUTED_VALUE"""),45828.6666666666)</f>
        <v>45828.666666666599</v>
      </c>
      <c r="B870" s="1">
        <f ca="1">IFERROR(__xludf.DUMMYFUNCTION("""COMPUTED_VALUE"""),198.24)</f>
        <v>198.24</v>
      </c>
      <c r="C870" s="1">
        <f ca="1">IFERROR(__xludf.DUMMYFUNCTION("""COMPUTED_VALUE"""),201.7)</f>
        <v>201.7</v>
      </c>
      <c r="D870" s="1">
        <f ca="1">IFERROR(__xludf.DUMMYFUNCTION("""COMPUTED_VALUE"""),196.86)</f>
        <v>196.86</v>
      </c>
      <c r="E870" s="1">
        <f ca="1">IFERROR(__xludf.DUMMYFUNCTION("""COMPUTED_VALUE"""),201)</f>
        <v>201</v>
      </c>
      <c r="F870" s="1">
        <f ca="1">IFERROR(__xludf.DUMMYFUNCTION("""COMPUTED_VALUE"""),96813542)</f>
        <v>96813542</v>
      </c>
    </row>
    <row r="871" spans="1:6" ht="12.6">
      <c r="A871" s="2">
        <f ca="1">IFERROR(__xludf.DUMMYFUNCTION("""COMPUTED_VALUE"""),45831.6666666666)</f>
        <v>45831.666666666599</v>
      </c>
      <c r="B871" s="1">
        <f ca="1">IFERROR(__xludf.DUMMYFUNCTION("""COMPUTED_VALUE"""),201.63)</f>
        <v>201.63</v>
      </c>
      <c r="C871" s="1">
        <f ca="1">IFERROR(__xludf.DUMMYFUNCTION("""COMPUTED_VALUE"""),202.3)</f>
        <v>202.3</v>
      </c>
      <c r="D871" s="1">
        <f ca="1">IFERROR(__xludf.DUMMYFUNCTION("""COMPUTED_VALUE"""),198.96)</f>
        <v>198.96</v>
      </c>
      <c r="E871" s="1">
        <f ca="1">IFERROR(__xludf.DUMMYFUNCTION("""COMPUTED_VALUE"""),201.5)</f>
        <v>201.5</v>
      </c>
      <c r="F871" s="1">
        <f ca="1">IFERROR(__xludf.DUMMYFUNCTION("""COMPUTED_VALUE"""),55814272)</f>
        <v>55814272</v>
      </c>
    </row>
    <row r="872" spans="1:6" ht="12.6">
      <c r="A872" s="2">
        <f ca="1">IFERROR(__xludf.DUMMYFUNCTION("""COMPUTED_VALUE"""),45832.6666666666)</f>
        <v>45832.666666666599</v>
      </c>
      <c r="B872" s="1">
        <f ca="1">IFERROR(__xludf.DUMMYFUNCTION("""COMPUTED_VALUE"""),202.59)</f>
        <v>202.59</v>
      </c>
      <c r="C872" s="1">
        <f ca="1">IFERROR(__xludf.DUMMYFUNCTION("""COMPUTED_VALUE"""),203.44)</f>
        <v>203.44</v>
      </c>
      <c r="D872" s="1">
        <f ca="1">IFERROR(__xludf.DUMMYFUNCTION("""COMPUTED_VALUE"""),200.2)</f>
        <v>200.2</v>
      </c>
      <c r="E872" s="1">
        <f ca="1">IFERROR(__xludf.DUMMYFUNCTION("""COMPUTED_VALUE"""),200.3)</f>
        <v>200.3</v>
      </c>
      <c r="F872" s="1">
        <f ca="1">IFERROR(__xludf.DUMMYFUNCTION("""COMPUTED_VALUE"""),54064033)</f>
        <v>54064033</v>
      </c>
    </row>
    <row r="873" spans="1:6" ht="12.6">
      <c r="A873" s="2">
        <f ca="1">IFERROR(__xludf.DUMMYFUNCTION("""COMPUTED_VALUE"""),45833.6666666666)</f>
        <v>45833.666666666599</v>
      </c>
      <c r="B873" s="1">
        <f ca="1">IFERROR(__xludf.DUMMYFUNCTION("""COMPUTED_VALUE"""),201.45)</f>
        <v>201.45</v>
      </c>
      <c r="C873" s="1">
        <f ca="1">IFERROR(__xludf.DUMMYFUNCTION("""COMPUTED_VALUE"""),203.67)</f>
        <v>203.67</v>
      </c>
      <c r="D873" s="1">
        <f ca="1">IFERROR(__xludf.DUMMYFUNCTION("""COMPUTED_VALUE"""),200.62)</f>
        <v>200.62</v>
      </c>
      <c r="E873" s="1">
        <f ca="1">IFERROR(__xludf.DUMMYFUNCTION("""COMPUTED_VALUE"""),201.56)</f>
        <v>201.56</v>
      </c>
      <c r="F873" s="1">
        <f ca="1">IFERROR(__xludf.DUMMYFUNCTION("""COMPUTED_VALUE"""),39525730)</f>
        <v>39525730</v>
      </c>
    </row>
    <row r="874" spans="1:6" ht="12.6">
      <c r="A874" s="2">
        <f ca="1">IFERROR(__xludf.DUMMYFUNCTION("""COMPUTED_VALUE"""),45834.6666666666)</f>
        <v>45834.666666666599</v>
      </c>
      <c r="B874" s="1">
        <f ca="1">IFERROR(__xludf.DUMMYFUNCTION("""COMPUTED_VALUE"""),201.43)</f>
        <v>201.43</v>
      </c>
      <c r="C874" s="1">
        <f ca="1">IFERROR(__xludf.DUMMYFUNCTION("""COMPUTED_VALUE"""),202.64)</f>
        <v>202.64</v>
      </c>
      <c r="D874" s="1">
        <f ca="1">IFERROR(__xludf.DUMMYFUNCTION("""COMPUTED_VALUE"""),199.46)</f>
        <v>199.46</v>
      </c>
      <c r="E874" s="1">
        <f ca="1">IFERROR(__xludf.DUMMYFUNCTION("""COMPUTED_VALUE"""),201)</f>
        <v>201</v>
      </c>
      <c r="F874" s="1">
        <f ca="1">IFERROR(__xludf.DUMMYFUNCTION("""COMPUTED_VALUE"""),50799121)</f>
        <v>50799121</v>
      </c>
    </row>
    <row r="875" spans="1:6" ht="12.6">
      <c r="A875" s="2">
        <f ca="1">IFERROR(__xludf.DUMMYFUNCTION("""COMPUTED_VALUE"""),45835.6666666666)</f>
        <v>45835.666666666599</v>
      </c>
      <c r="B875" s="1">
        <f ca="1">IFERROR(__xludf.DUMMYFUNCTION("""COMPUTED_VALUE"""),201.43)</f>
        <v>201.43</v>
      </c>
      <c r="C875" s="1">
        <f ca="1">IFERROR(__xludf.DUMMYFUNCTION("""COMPUTED_VALUE"""),202.64)</f>
        <v>202.64</v>
      </c>
      <c r="D875" s="1">
        <f ca="1">IFERROR(__xludf.DUMMYFUNCTION("""COMPUTED_VALUE"""),199.46)</f>
        <v>199.46</v>
      </c>
      <c r="E875" s="1">
        <f ca="1">IFERROR(__xludf.DUMMYFUNCTION("""COMPUTED_VALUE"""),201)</f>
        <v>201</v>
      </c>
      <c r="F875" s="1">
        <f ca="1">IFERROR(__xludf.DUMMYFUNCTION("""COMPUTED_VALUE"""),815962)</f>
        <v>815962</v>
      </c>
    </row>
    <row r="876" spans="1:6" ht="12.6">
      <c r="A876" s="2">
        <f ca="1">IFERROR(__xludf.DUMMYFUNCTION("""COMPUTED_VALUE"""),45838.6666666666)</f>
        <v>45838.666666666599</v>
      </c>
      <c r="B876" s="1">
        <f ca="1">IFERROR(__xludf.DUMMYFUNCTION("""COMPUTED_VALUE"""),202.01)</f>
        <v>202.01</v>
      </c>
      <c r="C876" s="1">
        <f ca="1">IFERROR(__xludf.DUMMYFUNCTION("""COMPUTED_VALUE"""),207.39)</f>
        <v>207.39</v>
      </c>
      <c r="D876" s="1">
        <f ca="1">IFERROR(__xludf.DUMMYFUNCTION("""COMPUTED_VALUE"""),199.26)</f>
        <v>199.26</v>
      </c>
      <c r="E876" s="1">
        <f ca="1">IFERROR(__xludf.DUMMYFUNCTION("""COMPUTED_VALUE"""),205.17)</f>
        <v>205.17</v>
      </c>
      <c r="F876" s="1">
        <f ca="1">IFERROR(__xludf.DUMMYFUNCTION("""COMPUTED_VALUE"""),91912816)</f>
        <v>91912816</v>
      </c>
    </row>
    <row r="877" spans="1:6" ht="12.6">
      <c r="A877" s="2">
        <f ca="1">IFERROR(__xludf.DUMMYFUNCTION("""COMPUTED_VALUE"""),45839.6666666666)</f>
        <v>45839.666666666599</v>
      </c>
      <c r="B877" s="1">
        <f ca="1">IFERROR(__xludf.DUMMYFUNCTION("""COMPUTED_VALUE"""),206.67)</f>
        <v>206.67</v>
      </c>
      <c r="C877" s="1">
        <f ca="1">IFERROR(__xludf.DUMMYFUNCTION("""COMPUTED_VALUE"""),210.19)</f>
        <v>210.19</v>
      </c>
      <c r="D877" s="1">
        <f ca="1">IFERROR(__xludf.DUMMYFUNCTION("""COMPUTED_VALUE"""),206.14)</f>
        <v>206.14</v>
      </c>
      <c r="E877" s="1">
        <f ca="1">IFERROR(__xludf.DUMMYFUNCTION("""COMPUTED_VALUE"""),207.82)</f>
        <v>207.82</v>
      </c>
      <c r="F877" s="1">
        <f ca="1">IFERROR(__xludf.DUMMYFUNCTION("""COMPUTED_VALUE"""),78788867)</f>
        <v>78788867</v>
      </c>
    </row>
    <row r="878" spans="1:6" ht="12.6">
      <c r="A878" s="2">
        <f ca="1">IFERROR(__xludf.DUMMYFUNCTION("""COMPUTED_VALUE"""),45840.6666666666)</f>
        <v>45840.666666666599</v>
      </c>
      <c r="B878" s="1">
        <f ca="1">IFERROR(__xludf.DUMMYFUNCTION("""COMPUTED_VALUE"""),208.91)</f>
        <v>208.91</v>
      </c>
      <c r="C878" s="1">
        <f ca="1">IFERROR(__xludf.DUMMYFUNCTION("""COMPUTED_VALUE"""),213.34)</f>
        <v>213.34</v>
      </c>
      <c r="D878" s="1">
        <f ca="1">IFERROR(__xludf.DUMMYFUNCTION("""COMPUTED_VALUE"""),208.14)</f>
        <v>208.14</v>
      </c>
      <c r="E878" s="1">
        <f ca="1">IFERROR(__xludf.DUMMYFUNCTION("""COMPUTED_VALUE"""),212.44)</f>
        <v>212.44</v>
      </c>
      <c r="F878" s="1">
        <f ca="1">IFERROR(__xludf.DUMMYFUNCTION("""COMPUTED_VALUE"""),67941811)</f>
        <v>67941811</v>
      </c>
    </row>
    <row r="879" spans="1:6" ht="12.6">
      <c r="A879" s="2">
        <f ca="1">IFERROR(__xludf.DUMMYFUNCTION("""COMPUTED_VALUE"""),45841.5451388888)</f>
        <v>45841.545138888803</v>
      </c>
      <c r="B879" s="1">
        <f ca="1">IFERROR(__xludf.DUMMYFUNCTION("""COMPUTED_VALUE"""),212.15)</f>
        <v>212.15</v>
      </c>
      <c r="C879" s="1">
        <f ca="1">IFERROR(__xludf.DUMMYFUNCTION("""COMPUTED_VALUE"""),214.65)</f>
        <v>214.65</v>
      </c>
      <c r="D879" s="1">
        <f ca="1">IFERROR(__xludf.DUMMYFUNCTION("""COMPUTED_VALUE"""),211.81)</f>
        <v>211.81</v>
      </c>
      <c r="E879" s="1">
        <f ca="1">IFERROR(__xludf.DUMMYFUNCTION("""COMPUTED_VALUE"""),213.55)</f>
        <v>213.55</v>
      </c>
      <c r="F879" s="1">
        <f ca="1">IFERROR(__xludf.DUMMYFUNCTION("""COMPUTED_VALUE"""),34955836)</f>
        <v>34955836</v>
      </c>
    </row>
    <row r="880" spans="1:6" ht="12.6">
      <c r="A880" s="2">
        <f ca="1">IFERROR(__xludf.DUMMYFUNCTION("""COMPUTED_VALUE"""),45845.6666666666)</f>
        <v>45845.666666666599</v>
      </c>
      <c r="B880" s="1">
        <f ca="1">IFERROR(__xludf.DUMMYFUNCTION("""COMPUTED_VALUE"""),212.68)</f>
        <v>212.68</v>
      </c>
      <c r="C880" s="1">
        <f ca="1">IFERROR(__xludf.DUMMYFUNCTION("""COMPUTED_VALUE"""),216.23)</f>
        <v>216.23</v>
      </c>
      <c r="D880" s="1">
        <f ca="1">IFERROR(__xludf.DUMMYFUNCTION("""COMPUTED_VALUE"""),208.8)</f>
        <v>208.8</v>
      </c>
      <c r="E880" s="1">
        <f ca="1">IFERROR(__xludf.DUMMYFUNCTION("""COMPUTED_VALUE"""),209.95)</f>
        <v>209.95</v>
      </c>
      <c r="F880" s="1">
        <f ca="1">IFERROR(__xludf.DUMMYFUNCTION("""COMPUTED_VALUE"""),50228984)</f>
        <v>50228984</v>
      </c>
    </row>
    <row r="881" spans="1:6" ht="12.6">
      <c r="A881" s="2">
        <f ca="1">IFERROR(__xludf.DUMMYFUNCTION("""COMPUTED_VALUE"""),45846.6666666666)</f>
        <v>45846.666666666599</v>
      </c>
      <c r="B881" s="1">
        <f ca="1">IFERROR(__xludf.DUMMYFUNCTION("""COMPUTED_VALUE"""),210.1)</f>
        <v>210.1</v>
      </c>
      <c r="C881" s="1">
        <f ca="1">IFERROR(__xludf.DUMMYFUNCTION("""COMPUTED_VALUE"""),211.43)</f>
        <v>211.43</v>
      </c>
      <c r="D881" s="1">
        <f ca="1">IFERROR(__xludf.DUMMYFUNCTION("""COMPUTED_VALUE"""),208.45)</f>
        <v>208.45</v>
      </c>
      <c r="E881" s="1">
        <f ca="1">IFERROR(__xludf.DUMMYFUNCTION("""COMPUTED_VALUE"""),210.01)</f>
        <v>210.01</v>
      </c>
      <c r="F881" s="1">
        <f ca="1">IFERROR(__xludf.DUMMYFUNCTION("""COMPUTED_VALUE"""),42848928)</f>
        <v>42848928</v>
      </c>
    </row>
    <row r="882" spans="1:6" ht="12.6">
      <c r="A882" s="2">
        <f ca="1">IFERROR(__xludf.DUMMYFUNCTION("""COMPUTED_VALUE"""),45847.6666666666)</f>
        <v>45847.666666666599</v>
      </c>
      <c r="B882" s="1">
        <f ca="1">IFERROR(__xludf.DUMMYFUNCTION("""COMPUTED_VALUE"""),209.53)</f>
        <v>209.53</v>
      </c>
      <c r="C882" s="1">
        <f ca="1">IFERROR(__xludf.DUMMYFUNCTION("""COMPUTED_VALUE"""),211.33)</f>
        <v>211.33</v>
      </c>
      <c r="D882" s="1">
        <f ca="1">IFERROR(__xludf.DUMMYFUNCTION("""COMPUTED_VALUE"""),207.22)</f>
        <v>207.22</v>
      </c>
      <c r="E882" s="1">
        <f ca="1">IFERROR(__xludf.DUMMYFUNCTION("""COMPUTED_VALUE"""),211.14)</f>
        <v>211.14</v>
      </c>
      <c r="F882" s="1">
        <f ca="1">IFERROR(__xludf.DUMMYFUNCTION("""COMPUTED_VALUE"""),48749367)</f>
        <v>48749367</v>
      </c>
    </row>
    <row r="883" spans="1:6" ht="12.6">
      <c r="A883" s="2">
        <f ca="1">IFERROR(__xludf.DUMMYFUNCTION("""COMPUTED_VALUE"""),45848.6666666666)</f>
        <v>45848.666666666599</v>
      </c>
      <c r="B883" s="1">
        <f ca="1">IFERROR(__xludf.DUMMYFUNCTION("""COMPUTED_VALUE"""),209.53)</f>
        <v>209.53</v>
      </c>
      <c r="C883" s="1">
        <f ca="1">IFERROR(__xludf.DUMMYFUNCTION("""COMPUTED_VALUE"""),211.33)</f>
        <v>211.33</v>
      </c>
      <c r="D883" s="1">
        <f ca="1">IFERROR(__xludf.DUMMYFUNCTION("""COMPUTED_VALUE"""),207.22)</f>
        <v>207.22</v>
      </c>
      <c r="E883" s="1">
        <f ca="1">IFERROR(__xludf.DUMMYFUNCTION("""COMPUTED_VALUE"""),211.14)</f>
        <v>211.14</v>
      </c>
      <c r="F883" s="1">
        <f ca="1">IFERROR(__xludf.DUMMYFUNCTION("""COMPUTED_VALUE"""),506804)</f>
        <v>506804</v>
      </c>
    </row>
    <row r="884" spans="1:6" ht="12.6">
      <c r="A884" s="2">
        <f ca="1">IFERROR(__xludf.DUMMYFUNCTION("""COMPUTED_VALUE"""),45849.6666666666)</f>
        <v>45849.666666666599</v>
      </c>
      <c r="B884" s="1">
        <f ca="1">IFERROR(__xludf.DUMMYFUNCTION("""COMPUTED_VALUE"""),210.57)</f>
        <v>210.57</v>
      </c>
      <c r="C884" s="1">
        <f ca="1">IFERROR(__xludf.DUMMYFUNCTION("""COMPUTED_VALUE"""),212.13)</f>
        <v>212.13</v>
      </c>
      <c r="D884" s="1">
        <f ca="1">IFERROR(__xludf.DUMMYFUNCTION("""COMPUTED_VALUE"""),209.86)</f>
        <v>209.86</v>
      </c>
      <c r="E884" s="1">
        <f ca="1">IFERROR(__xludf.DUMMYFUNCTION("""COMPUTED_VALUE"""),211.16)</f>
        <v>211.16</v>
      </c>
      <c r="F884" s="1">
        <f ca="1">IFERROR(__xludf.DUMMYFUNCTION("""COMPUTED_VALUE"""),39765812)</f>
        <v>39765812</v>
      </c>
    </row>
    <row r="885" spans="1:6" ht="12.6">
      <c r="A885" s="2">
        <f ca="1">IFERROR(__xludf.DUMMYFUNCTION("""COMPUTED_VALUE"""),45852.6666666666)</f>
        <v>45852.666666666599</v>
      </c>
      <c r="B885" s="1">
        <f ca="1">IFERROR(__xludf.DUMMYFUNCTION("""COMPUTED_VALUE"""),209.93)</f>
        <v>209.93</v>
      </c>
      <c r="C885" s="1">
        <f ca="1">IFERROR(__xludf.DUMMYFUNCTION("""COMPUTED_VALUE"""),210.91)</f>
        <v>210.91</v>
      </c>
      <c r="D885" s="1">
        <f ca="1">IFERROR(__xludf.DUMMYFUNCTION("""COMPUTED_VALUE"""),207.54)</f>
        <v>207.54</v>
      </c>
      <c r="E885" s="1">
        <f ca="1">IFERROR(__xludf.DUMMYFUNCTION("""COMPUTED_VALUE"""),208.62)</f>
        <v>208.62</v>
      </c>
      <c r="F885" s="1">
        <f ca="1">IFERROR(__xludf.DUMMYFUNCTION("""COMPUTED_VALUE"""),38840111)</f>
        <v>38840111</v>
      </c>
    </row>
    <row r="886" spans="1:6" ht="12.6">
      <c r="A886" s="2">
        <f ca="1">IFERROR(__xludf.DUMMYFUNCTION("""COMPUTED_VALUE"""),45853.6666666666)</f>
        <v>45853.666666666599</v>
      </c>
      <c r="B886" s="1">
        <f ca="1">IFERROR(__xludf.DUMMYFUNCTION("""COMPUTED_VALUE"""),209.22)</f>
        <v>209.22</v>
      </c>
      <c r="C886" s="1">
        <f ca="1">IFERROR(__xludf.DUMMYFUNCTION("""COMPUTED_VALUE"""),211.89)</f>
        <v>211.89</v>
      </c>
      <c r="D886" s="1">
        <f ca="1">IFERROR(__xludf.DUMMYFUNCTION("""COMPUTED_VALUE"""),208.92)</f>
        <v>208.92</v>
      </c>
      <c r="E886" s="1">
        <f ca="1">IFERROR(__xludf.DUMMYFUNCTION("""COMPUTED_VALUE"""),209.11)</f>
        <v>209.11</v>
      </c>
      <c r="F886" s="1">
        <f ca="1">IFERROR(__xludf.DUMMYFUNCTION("""COMPUTED_VALUE"""),42296339)</f>
        <v>42296339</v>
      </c>
    </row>
    <row r="887" spans="1:6" ht="12.6">
      <c r="A887" s="2">
        <f ca="1">IFERROR(__xludf.DUMMYFUNCTION("""COMPUTED_VALUE"""),45854.6666666666)</f>
        <v>45854.666666666599</v>
      </c>
      <c r="B887" s="1">
        <f ca="1">IFERROR(__xludf.DUMMYFUNCTION("""COMPUTED_VALUE"""),210.3)</f>
        <v>210.3</v>
      </c>
      <c r="C887" s="1">
        <f ca="1">IFERROR(__xludf.DUMMYFUNCTION("""COMPUTED_VALUE"""),212.4)</f>
        <v>212.4</v>
      </c>
      <c r="D887" s="1">
        <f ca="1">IFERROR(__xludf.DUMMYFUNCTION("""COMPUTED_VALUE"""),208.64)</f>
        <v>208.64</v>
      </c>
      <c r="E887" s="1">
        <f ca="1">IFERROR(__xludf.DUMMYFUNCTION("""COMPUTED_VALUE"""),210.16)</f>
        <v>210.16</v>
      </c>
      <c r="F887" s="1">
        <f ca="1">IFERROR(__xludf.DUMMYFUNCTION("""COMPUTED_VALUE"""),47490532)</f>
        <v>47490532</v>
      </c>
    </row>
    <row r="888" spans="1:6" ht="12.6">
      <c r="A888" s="2">
        <f ca="1">IFERROR(__xludf.DUMMYFUNCTION("""COMPUTED_VALUE"""),45855.6666666666)</f>
        <v>45855.666666666599</v>
      </c>
      <c r="B888" s="1">
        <f ca="1">IFERROR(__xludf.DUMMYFUNCTION("""COMPUTED_VALUE"""),210.57)</f>
        <v>210.57</v>
      </c>
      <c r="C888" s="1">
        <f ca="1">IFERROR(__xludf.DUMMYFUNCTION("""COMPUTED_VALUE"""),211.8)</f>
        <v>211.8</v>
      </c>
      <c r="D888" s="1">
        <f ca="1">IFERROR(__xludf.DUMMYFUNCTION("""COMPUTED_VALUE"""),209.59)</f>
        <v>209.59</v>
      </c>
      <c r="E888" s="1">
        <f ca="1">IFERROR(__xludf.DUMMYFUNCTION("""COMPUTED_VALUE"""),210.02)</f>
        <v>210.02</v>
      </c>
      <c r="F888" s="1">
        <f ca="1">IFERROR(__xludf.DUMMYFUNCTION("""COMPUTED_VALUE"""),48068141)</f>
        <v>48068141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888"/>
  <sheetViews>
    <sheetView workbookViewId="0"/>
  </sheetViews>
  <sheetFormatPr defaultColWidth="12.5703125" defaultRowHeight="15.75" customHeight="1"/>
  <sheetData>
    <row r="1" spans="1:6" ht="15.75" customHeight="1">
      <c r="A1" s="1" t="str">
        <f ca="1">IFERROR(__xludf.DUMMYFUNCTION("GOOGLEFINANCE(""AMZN"",""all"",DATE(2022,1,1),today())"),"Date")</f>
        <v>Date</v>
      </c>
      <c r="B1" s="1" t="str">
        <f ca="1">IFERROR(__xludf.DUMMYFUNCTION("""COMPUTED_VALUE"""),"Open")</f>
        <v>Open</v>
      </c>
      <c r="C1" s="1" t="str">
        <f ca="1">IFERROR(__xludf.DUMMYFUNCTION("""COMPUTED_VALUE"""),"High")</f>
        <v>High</v>
      </c>
      <c r="D1" s="1" t="str">
        <f ca="1">IFERROR(__xludf.DUMMYFUNCTION("""COMPUTED_VALUE"""),"Low")</f>
        <v>Low</v>
      </c>
      <c r="E1" s="1" t="str">
        <f ca="1">IFERROR(__xludf.DUMMYFUNCTION("""COMPUTED_VALUE"""),"Close")</f>
        <v>Close</v>
      </c>
      <c r="F1" s="1" t="str">
        <f ca="1">IFERROR(__xludf.DUMMYFUNCTION("""COMPUTED_VALUE"""),"Volume")</f>
        <v>Volume</v>
      </c>
    </row>
    <row r="2" spans="1:6" ht="15.75" customHeight="1">
      <c r="A2" s="2">
        <f ca="1">IFERROR(__xludf.DUMMYFUNCTION("""COMPUTED_VALUE"""),44564.6666666666)</f>
        <v>44564.666666666599</v>
      </c>
      <c r="B2" s="1">
        <f ca="1">IFERROR(__xludf.DUMMYFUNCTION("""COMPUTED_VALUE"""),167.55)</f>
        <v>167.55</v>
      </c>
      <c r="C2" s="1">
        <f ca="1">IFERROR(__xludf.DUMMYFUNCTION("""COMPUTED_VALUE"""),170.7)</f>
        <v>170.7</v>
      </c>
      <c r="D2" s="1">
        <f ca="1">IFERROR(__xludf.DUMMYFUNCTION("""COMPUTED_VALUE"""),166.16)</f>
        <v>166.16</v>
      </c>
      <c r="E2" s="1">
        <f ca="1">IFERROR(__xludf.DUMMYFUNCTION("""COMPUTED_VALUE"""),170.4)</f>
        <v>170.4</v>
      </c>
      <c r="F2" s="1">
        <f ca="1">IFERROR(__xludf.DUMMYFUNCTION("""COMPUTED_VALUE"""),3193457)</f>
        <v>3193457</v>
      </c>
    </row>
    <row r="3" spans="1:6" ht="15.75" customHeight="1">
      <c r="A3" s="2">
        <f ca="1">IFERROR(__xludf.DUMMYFUNCTION("""COMPUTED_VALUE"""),44565.6666666666)</f>
        <v>44565.666666666599</v>
      </c>
      <c r="B3" s="1">
        <f ca="1">IFERROR(__xludf.DUMMYFUNCTION("""COMPUTED_VALUE"""),170.44)</f>
        <v>170.44</v>
      </c>
      <c r="C3" s="1">
        <f ca="1">IFERROR(__xludf.DUMMYFUNCTION("""COMPUTED_VALUE"""),171.4)</f>
        <v>171.4</v>
      </c>
      <c r="D3" s="1">
        <f ca="1">IFERROR(__xludf.DUMMYFUNCTION("""COMPUTED_VALUE"""),166.35)</f>
        <v>166.35</v>
      </c>
      <c r="E3" s="1">
        <f ca="1">IFERROR(__xludf.DUMMYFUNCTION("""COMPUTED_VALUE"""),167.52)</f>
        <v>167.52</v>
      </c>
      <c r="F3" s="1">
        <f ca="1">IFERROR(__xludf.DUMMYFUNCTION("""COMPUTED_VALUE"""),3536258)</f>
        <v>3536258</v>
      </c>
    </row>
    <row r="4" spans="1:6" ht="15.75" customHeight="1">
      <c r="A4" s="2">
        <f ca="1">IFERROR(__xludf.DUMMYFUNCTION("""COMPUTED_VALUE"""),44566.6666666666)</f>
        <v>44566.666666666599</v>
      </c>
      <c r="B4" s="1">
        <f ca="1">IFERROR(__xludf.DUMMYFUNCTION("""COMPUTED_VALUE"""),166.88)</f>
        <v>166.88</v>
      </c>
      <c r="C4" s="1">
        <f ca="1">IFERROR(__xludf.DUMMYFUNCTION("""COMPUTED_VALUE"""),167.13)</f>
        <v>167.13</v>
      </c>
      <c r="D4" s="1">
        <f ca="1">IFERROR(__xludf.DUMMYFUNCTION("""COMPUTED_VALUE"""),164.36)</f>
        <v>164.36</v>
      </c>
      <c r="E4" s="1">
        <f ca="1">IFERROR(__xludf.DUMMYFUNCTION("""COMPUTED_VALUE"""),164.36)</f>
        <v>164.36</v>
      </c>
      <c r="F4" s="1">
        <f ca="1">IFERROR(__xludf.DUMMYFUNCTION("""COMPUTED_VALUE"""),3215136)</f>
        <v>3215136</v>
      </c>
    </row>
    <row r="5" spans="1:6" ht="15.75" customHeight="1">
      <c r="A5" s="2">
        <f ca="1">IFERROR(__xludf.DUMMYFUNCTION("""COMPUTED_VALUE"""),44567.6666666666)</f>
        <v>44567.666666666599</v>
      </c>
      <c r="B5" s="1">
        <f ca="1">IFERROR(__xludf.DUMMYFUNCTION("""COMPUTED_VALUE"""),163.45)</f>
        <v>163.44999999999999</v>
      </c>
      <c r="C5" s="1">
        <f ca="1">IFERROR(__xludf.DUMMYFUNCTION("""COMPUTED_VALUE"""),164.8)</f>
        <v>164.8</v>
      </c>
      <c r="D5" s="1">
        <f ca="1">IFERROR(__xludf.DUMMYFUNCTION("""COMPUTED_VALUE"""),161.94)</f>
        <v>161.94</v>
      </c>
      <c r="E5" s="1">
        <f ca="1">IFERROR(__xludf.DUMMYFUNCTION("""COMPUTED_VALUE"""),163.25)</f>
        <v>163.25</v>
      </c>
      <c r="F5" s="1">
        <f ca="1">IFERROR(__xludf.DUMMYFUNCTION("""COMPUTED_VALUE"""),2597889)</f>
        <v>2597889</v>
      </c>
    </row>
    <row r="6" spans="1:6" ht="15.75" customHeight="1">
      <c r="A6" s="2">
        <f ca="1">IFERROR(__xludf.DUMMYFUNCTION("""COMPUTED_VALUE"""),44568.6666666666)</f>
        <v>44568.666666666599</v>
      </c>
      <c r="B6" s="1">
        <f ca="1">IFERROR(__xludf.DUMMYFUNCTION("""COMPUTED_VALUE"""),163.84)</f>
        <v>163.84</v>
      </c>
      <c r="C6" s="1">
        <f ca="1">IFERROR(__xludf.DUMMYFUNCTION("""COMPUTED_VALUE"""),165.24)</f>
        <v>165.24</v>
      </c>
      <c r="D6" s="1">
        <f ca="1">IFERROR(__xludf.DUMMYFUNCTION("""COMPUTED_VALUE"""),162.03)</f>
        <v>162.03</v>
      </c>
      <c r="E6" s="1">
        <f ca="1">IFERROR(__xludf.DUMMYFUNCTION("""COMPUTED_VALUE"""),162.55)</f>
        <v>162.55000000000001</v>
      </c>
      <c r="F6" s="1">
        <f ca="1">IFERROR(__xludf.DUMMYFUNCTION("""COMPUTED_VALUE"""),2330295)</f>
        <v>2330295</v>
      </c>
    </row>
    <row r="7" spans="1:6" ht="15.75" customHeight="1">
      <c r="A7" s="2">
        <f ca="1">IFERROR(__xludf.DUMMYFUNCTION("""COMPUTED_VALUE"""),44571.6666666666)</f>
        <v>44571.666666666599</v>
      </c>
      <c r="B7" s="1">
        <f ca="1">IFERROR(__xludf.DUMMYFUNCTION("""COMPUTED_VALUE"""),160.59)</f>
        <v>160.59</v>
      </c>
      <c r="C7" s="1">
        <f ca="1">IFERROR(__xludf.DUMMYFUNCTION("""COMPUTED_VALUE"""),161.66)</f>
        <v>161.66</v>
      </c>
      <c r="D7" s="1">
        <f ca="1">IFERROR(__xludf.DUMMYFUNCTION("""COMPUTED_VALUE"""),156.3)</f>
        <v>156.30000000000001</v>
      </c>
      <c r="E7" s="1">
        <f ca="1">IFERROR(__xludf.DUMMYFUNCTION("""COMPUTED_VALUE"""),161.49)</f>
        <v>161.49</v>
      </c>
      <c r="F7" s="1">
        <f ca="1">IFERROR(__xludf.DUMMYFUNCTION("""COMPUTED_VALUE"""),4389915)</f>
        <v>4389915</v>
      </c>
    </row>
    <row r="8" spans="1:6" ht="15.75" customHeight="1">
      <c r="A8" s="2">
        <f ca="1">IFERROR(__xludf.DUMMYFUNCTION("""COMPUTED_VALUE"""),44572.6666666666)</f>
        <v>44572.666666666599</v>
      </c>
      <c r="B8" s="1">
        <f ca="1">IFERROR(__xludf.DUMMYFUNCTION("""COMPUTED_VALUE"""),161.5)</f>
        <v>161.5</v>
      </c>
      <c r="C8" s="1">
        <f ca="1">IFERROR(__xludf.DUMMYFUNCTION("""COMPUTED_VALUE"""),166.35)</f>
        <v>166.35</v>
      </c>
      <c r="D8" s="1">
        <f ca="1">IFERROR(__xludf.DUMMYFUNCTION("""COMPUTED_VALUE"""),160.7)</f>
        <v>160.69999999999999</v>
      </c>
      <c r="E8" s="1">
        <f ca="1">IFERROR(__xludf.DUMMYFUNCTION("""COMPUTED_VALUE"""),165.36)</f>
        <v>165.36</v>
      </c>
      <c r="F8" s="1">
        <f ca="1">IFERROR(__xludf.DUMMYFUNCTION("""COMPUTED_VALUE"""),3140279)</f>
        <v>3140279</v>
      </c>
    </row>
    <row r="9" spans="1:6" ht="15.75" customHeight="1">
      <c r="A9" s="2">
        <f ca="1">IFERROR(__xludf.DUMMYFUNCTION("""COMPUTED_VALUE"""),44573.6666666666)</f>
        <v>44573.666666666599</v>
      </c>
      <c r="B9" s="1">
        <f ca="1">IFERROR(__xludf.DUMMYFUNCTION("""COMPUTED_VALUE"""),166.58)</f>
        <v>166.58</v>
      </c>
      <c r="C9" s="1">
        <f ca="1">IFERROR(__xludf.DUMMYFUNCTION("""COMPUTED_VALUE"""),166.88)</f>
        <v>166.88</v>
      </c>
      <c r="D9" s="1">
        <f ca="1">IFERROR(__xludf.DUMMYFUNCTION("""COMPUTED_VALUE"""),164.42)</f>
        <v>164.42</v>
      </c>
      <c r="E9" s="1">
        <f ca="1">IFERROR(__xludf.DUMMYFUNCTION("""COMPUTED_VALUE"""),165.21)</f>
        <v>165.21</v>
      </c>
      <c r="F9" s="1">
        <f ca="1">IFERROR(__xludf.DUMMYFUNCTION("""COMPUTED_VALUE"""),2501456)</f>
        <v>2501456</v>
      </c>
    </row>
    <row r="10" spans="1:6" ht="15.75" customHeight="1">
      <c r="A10" s="2">
        <f ca="1">IFERROR(__xludf.DUMMYFUNCTION("""COMPUTED_VALUE"""),44574.6666666666)</f>
        <v>44574.666666666599</v>
      </c>
      <c r="B10" s="1">
        <f ca="1">IFERROR(__xludf.DUMMYFUNCTION("""COMPUTED_VALUE"""),165.25)</f>
        <v>165.25</v>
      </c>
      <c r="C10" s="1">
        <f ca="1">IFERROR(__xludf.DUMMYFUNCTION("""COMPUTED_VALUE"""),166.22)</f>
        <v>166.22</v>
      </c>
      <c r="D10" s="1">
        <f ca="1">IFERROR(__xludf.DUMMYFUNCTION("""COMPUTED_VALUE"""),161.09)</f>
        <v>161.09</v>
      </c>
      <c r="E10" s="1">
        <f ca="1">IFERROR(__xludf.DUMMYFUNCTION("""COMPUTED_VALUE"""),161.21)</f>
        <v>161.21</v>
      </c>
      <c r="F10" s="1">
        <f ca="1">IFERROR(__xludf.DUMMYFUNCTION("""COMPUTED_VALUE"""),2609415)</f>
        <v>2609415</v>
      </c>
    </row>
    <row r="11" spans="1:6" ht="15.75" customHeight="1">
      <c r="A11" s="2">
        <f ca="1">IFERROR(__xludf.DUMMYFUNCTION("""COMPUTED_VALUE"""),44575.6666666666)</f>
        <v>44575.666666666599</v>
      </c>
      <c r="B11" s="1">
        <f ca="1">IFERROR(__xludf.DUMMYFUNCTION("""COMPUTED_VALUE"""),160.15)</f>
        <v>160.15</v>
      </c>
      <c r="C11" s="1">
        <f ca="1">IFERROR(__xludf.DUMMYFUNCTION("""COMPUTED_VALUE"""),162.25)</f>
        <v>162.25</v>
      </c>
      <c r="D11" s="1">
        <f ca="1">IFERROR(__xludf.DUMMYFUNCTION("""COMPUTED_VALUE"""),159.8)</f>
        <v>159.80000000000001</v>
      </c>
      <c r="E11" s="1">
        <f ca="1">IFERROR(__xludf.DUMMYFUNCTION("""COMPUTED_VALUE"""),162.14)</f>
        <v>162.13999999999999</v>
      </c>
      <c r="F11" s="1">
        <f ca="1">IFERROR(__xludf.DUMMYFUNCTION("""COMPUTED_VALUE"""),2298743)</f>
        <v>2298743</v>
      </c>
    </row>
    <row r="12" spans="1:6" ht="15.75" customHeight="1">
      <c r="A12" s="2">
        <f ca="1">IFERROR(__xludf.DUMMYFUNCTION("""COMPUTED_VALUE"""),44579.6666666666)</f>
        <v>44579.666666666599</v>
      </c>
      <c r="B12" s="1">
        <f ca="1">IFERROR(__xludf.DUMMYFUNCTION("""COMPUTED_VALUE"""),159.1)</f>
        <v>159.1</v>
      </c>
      <c r="C12" s="1">
        <f ca="1">IFERROR(__xludf.DUMMYFUNCTION("""COMPUTED_VALUE"""),159.73)</f>
        <v>159.72999999999999</v>
      </c>
      <c r="D12" s="1">
        <f ca="1">IFERROR(__xludf.DUMMYFUNCTION("""COMPUTED_VALUE"""),157.66)</f>
        <v>157.66</v>
      </c>
      <c r="E12" s="1">
        <f ca="1">IFERROR(__xludf.DUMMYFUNCTION("""COMPUTED_VALUE"""),158.92)</f>
        <v>158.91999999999999</v>
      </c>
      <c r="F12" s="1">
        <f ca="1">IFERROR(__xludf.DUMMYFUNCTION("""COMPUTED_VALUE"""),3372072)</f>
        <v>3372072</v>
      </c>
    </row>
    <row r="13" spans="1:6" ht="15.75" customHeight="1">
      <c r="A13" s="2">
        <f ca="1">IFERROR(__xludf.DUMMYFUNCTION("""COMPUTED_VALUE"""),44580.6666666666)</f>
        <v>44580.666666666599</v>
      </c>
      <c r="B13" s="1">
        <f ca="1">IFERROR(__xludf.DUMMYFUNCTION("""COMPUTED_VALUE"""),158.76)</f>
        <v>158.76</v>
      </c>
      <c r="C13" s="1">
        <f ca="1">IFERROR(__xludf.DUMMYFUNCTION("""COMPUTED_VALUE"""),159.25)</f>
        <v>159.25</v>
      </c>
      <c r="D13" s="1">
        <f ca="1">IFERROR(__xludf.DUMMYFUNCTION("""COMPUTED_VALUE"""),156.25)</f>
        <v>156.25</v>
      </c>
      <c r="E13" s="1">
        <f ca="1">IFERROR(__xludf.DUMMYFUNCTION("""COMPUTED_VALUE"""),156.3)</f>
        <v>156.30000000000001</v>
      </c>
      <c r="F13" s="1">
        <f ca="1">IFERROR(__xludf.DUMMYFUNCTION("""COMPUTED_VALUE"""),2662096)</f>
        <v>2662096</v>
      </c>
    </row>
    <row r="14" spans="1:6" ht="15.75" customHeight="1">
      <c r="A14" s="2">
        <f ca="1">IFERROR(__xludf.DUMMYFUNCTION("""COMPUTED_VALUE"""),44581.6666666666)</f>
        <v>44581.666666666599</v>
      </c>
      <c r="B14" s="1">
        <f ca="1">IFERROR(__xludf.DUMMYFUNCTION("""COMPUTED_VALUE"""),156.77)</f>
        <v>156.77000000000001</v>
      </c>
      <c r="C14" s="1">
        <f ca="1">IFERROR(__xludf.DUMMYFUNCTION("""COMPUTED_VALUE"""),158)</f>
        <v>158</v>
      </c>
      <c r="D14" s="1">
        <f ca="1">IFERROR(__xludf.DUMMYFUNCTION("""COMPUTED_VALUE"""),151.35)</f>
        <v>151.35</v>
      </c>
      <c r="E14" s="1">
        <f ca="1">IFERROR(__xludf.DUMMYFUNCTION("""COMPUTED_VALUE"""),151.67)</f>
        <v>151.66999999999999</v>
      </c>
      <c r="F14" s="1">
        <f ca="1">IFERROR(__xludf.DUMMYFUNCTION("""COMPUTED_VALUE"""),3598666)</f>
        <v>3598666</v>
      </c>
    </row>
    <row r="15" spans="1:6" ht="15.75" customHeight="1">
      <c r="A15" s="2">
        <f ca="1">IFERROR(__xludf.DUMMYFUNCTION("""COMPUTED_VALUE"""),44582.6666666666)</f>
        <v>44582.666666666599</v>
      </c>
      <c r="B15" s="1">
        <f ca="1">IFERROR(__xludf.DUMMYFUNCTION("""COMPUTED_VALUE"""),149.95)</f>
        <v>149.94999999999999</v>
      </c>
      <c r="C15" s="1">
        <f ca="1">IFERROR(__xludf.DUMMYFUNCTION("""COMPUTED_VALUE"""),150.9)</f>
        <v>150.9</v>
      </c>
      <c r="D15" s="1">
        <f ca="1">IFERROR(__xludf.DUMMYFUNCTION("""COMPUTED_VALUE"""),142.07)</f>
        <v>142.07</v>
      </c>
      <c r="E15" s="1">
        <f ca="1">IFERROR(__xludf.DUMMYFUNCTION("""COMPUTED_VALUE"""),142.64)</f>
        <v>142.63999999999999</v>
      </c>
      <c r="F15" s="1">
        <f ca="1">IFERROR(__xludf.DUMMYFUNCTION("""COMPUTED_VALUE"""),8198572)</f>
        <v>8198572</v>
      </c>
    </row>
    <row r="16" spans="1:6" ht="15.75" customHeight="1">
      <c r="A16" s="2">
        <f ca="1">IFERROR(__xludf.DUMMYFUNCTION("""COMPUTED_VALUE"""),44585.6666666666)</f>
        <v>44585.666666666599</v>
      </c>
      <c r="B16" s="1">
        <f ca="1">IFERROR(__xludf.DUMMYFUNCTION("""COMPUTED_VALUE"""),139)</f>
        <v>139</v>
      </c>
      <c r="C16" s="1">
        <f ca="1">IFERROR(__xludf.DUMMYFUNCTION("""COMPUTED_VALUE"""),144.95)</f>
        <v>144.94999999999999</v>
      </c>
      <c r="D16" s="1">
        <f ca="1">IFERROR(__xludf.DUMMYFUNCTION("""COMPUTED_VALUE"""),135.35)</f>
        <v>135.35</v>
      </c>
      <c r="E16" s="1">
        <f ca="1">IFERROR(__xludf.DUMMYFUNCTION("""COMPUTED_VALUE"""),144.54)</f>
        <v>144.54</v>
      </c>
      <c r="F16" s="1">
        <f ca="1">IFERROR(__xludf.DUMMYFUNCTION("""COMPUTED_VALUE"""),7802237)</f>
        <v>7802237</v>
      </c>
    </row>
    <row r="17" spans="1:6" ht="15.75" customHeight="1">
      <c r="A17" s="2">
        <f ca="1">IFERROR(__xludf.DUMMYFUNCTION("""COMPUTED_VALUE"""),44586.6666666666)</f>
        <v>44586.666666666599</v>
      </c>
      <c r="B17" s="1">
        <f ca="1">IFERROR(__xludf.DUMMYFUNCTION("""COMPUTED_VALUE"""),142.24)</f>
        <v>142.24</v>
      </c>
      <c r="C17" s="1">
        <f ca="1">IFERROR(__xludf.DUMMYFUNCTION("""COMPUTED_VALUE"""),143.6)</f>
        <v>143.6</v>
      </c>
      <c r="D17" s="1">
        <f ca="1">IFERROR(__xludf.DUMMYFUNCTION("""COMPUTED_VALUE"""),138.15)</f>
        <v>138.15</v>
      </c>
      <c r="E17" s="1">
        <f ca="1">IFERROR(__xludf.DUMMYFUNCTION("""COMPUTED_VALUE"""),139.99)</f>
        <v>139.99</v>
      </c>
      <c r="F17" s="1">
        <f ca="1">IFERROR(__xludf.DUMMYFUNCTION("""COMPUTED_VALUE"""),4541233)</f>
        <v>4541233</v>
      </c>
    </row>
    <row r="18" spans="1:6" ht="15.75" customHeight="1">
      <c r="A18" s="2">
        <f ca="1">IFERROR(__xludf.DUMMYFUNCTION("""COMPUTED_VALUE"""),44587.6666666666)</f>
        <v>44587.666666666599</v>
      </c>
      <c r="B18" s="1">
        <f ca="1">IFERROR(__xludf.DUMMYFUNCTION("""COMPUTED_VALUE"""),144.75)</f>
        <v>144.75</v>
      </c>
      <c r="C18" s="1">
        <f ca="1">IFERROR(__xludf.DUMMYFUNCTION("""COMPUTED_VALUE"""),145.18)</f>
        <v>145.18</v>
      </c>
      <c r="D18" s="1">
        <f ca="1">IFERROR(__xludf.DUMMYFUNCTION("""COMPUTED_VALUE"""),137.32)</f>
        <v>137.32</v>
      </c>
      <c r="E18" s="1">
        <f ca="1">IFERROR(__xludf.DUMMYFUNCTION("""COMPUTED_VALUE"""),138.87)</f>
        <v>138.87</v>
      </c>
      <c r="F18" s="1">
        <f ca="1">IFERROR(__xludf.DUMMYFUNCTION("""COMPUTED_VALUE"""),4780085)</f>
        <v>4780085</v>
      </c>
    </row>
    <row r="19" spans="1:6" ht="15.75" customHeight="1">
      <c r="A19" s="2">
        <f ca="1">IFERROR(__xludf.DUMMYFUNCTION("""COMPUTED_VALUE"""),44588.6666666666)</f>
        <v>44588.666666666599</v>
      </c>
      <c r="B19" s="1">
        <f ca="1">IFERROR(__xludf.DUMMYFUNCTION("""COMPUTED_VALUE"""),140.8)</f>
        <v>140.80000000000001</v>
      </c>
      <c r="C19" s="1">
        <f ca="1">IFERROR(__xludf.DUMMYFUNCTION("""COMPUTED_VALUE"""),144.24)</f>
        <v>144.24</v>
      </c>
      <c r="D19" s="1">
        <f ca="1">IFERROR(__xludf.DUMMYFUNCTION("""COMPUTED_VALUE"""),139.35)</f>
        <v>139.35</v>
      </c>
      <c r="E19" s="1">
        <f ca="1">IFERROR(__xludf.DUMMYFUNCTION("""COMPUTED_VALUE"""),139.64)</f>
        <v>139.63999999999999</v>
      </c>
      <c r="F19" s="1">
        <f ca="1">IFERROR(__xludf.DUMMYFUNCTION("""COMPUTED_VALUE"""),3875790)</f>
        <v>3875790</v>
      </c>
    </row>
    <row r="20" spans="1:6" ht="15.75" customHeight="1">
      <c r="A20" s="2">
        <f ca="1">IFERROR(__xludf.DUMMYFUNCTION("""COMPUTED_VALUE"""),44589.6666666666)</f>
        <v>44589.666666666599</v>
      </c>
      <c r="B20" s="1">
        <f ca="1">IFERROR(__xludf.DUMMYFUNCTION("""COMPUTED_VALUE"""),140.86)</f>
        <v>140.86000000000001</v>
      </c>
      <c r="C20" s="1">
        <f ca="1">IFERROR(__xludf.DUMMYFUNCTION("""COMPUTED_VALUE"""),144)</f>
        <v>144</v>
      </c>
      <c r="D20" s="1">
        <f ca="1">IFERROR(__xludf.DUMMYFUNCTION("""COMPUTED_VALUE"""),137.93)</f>
        <v>137.93</v>
      </c>
      <c r="E20" s="1">
        <f ca="1">IFERROR(__xludf.DUMMYFUNCTION("""COMPUTED_VALUE"""),143.98)</f>
        <v>143.97999999999999</v>
      </c>
      <c r="F20" s="1">
        <f ca="1">IFERROR(__xludf.DUMMYFUNCTION("""COMPUTED_VALUE"""),3719599)</f>
        <v>3719599</v>
      </c>
    </row>
    <row r="21" spans="1:6" ht="15.75" customHeight="1">
      <c r="A21" s="2">
        <f ca="1">IFERROR(__xludf.DUMMYFUNCTION("""COMPUTED_VALUE"""),44592.6666666666)</f>
        <v>44592.666666666599</v>
      </c>
      <c r="B21" s="1">
        <f ca="1">IFERROR(__xludf.DUMMYFUNCTION("""COMPUTED_VALUE"""),144.75)</f>
        <v>144.75</v>
      </c>
      <c r="C21" s="1">
        <f ca="1">IFERROR(__xludf.DUMMYFUNCTION("""COMPUTED_VALUE"""),150.36)</f>
        <v>150.36000000000001</v>
      </c>
      <c r="D21" s="1">
        <f ca="1">IFERROR(__xludf.DUMMYFUNCTION("""COMPUTED_VALUE"""),144.3)</f>
        <v>144.30000000000001</v>
      </c>
      <c r="E21" s="1">
        <f ca="1">IFERROR(__xludf.DUMMYFUNCTION("""COMPUTED_VALUE"""),149.57)</f>
        <v>149.57</v>
      </c>
      <c r="F21" s="1">
        <f ca="1">IFERROR(__xludf.DUMMYFUNCTION("""COMPUTED_VALUE"""),3915372)</f>
        <v>3915372</v>
      </c>
    </row>
    <row r="22" spans="1:6" ht="15.75" customHeight="1">
      <c r="A22" s="2">
        <f ca="1">IFERROR(__xludf.DUMMYFUNCTION("""COMPUTED_VALUE"""),44593.6666666666)</f>
        <v>44593.666666666599</v>
      </c>
      <c r="B22" s="1">
        <f ca="1">IFERROR(__xludf.DUMMYFUNCTION("""COMPUTED_VALUE"""),150)</f>
        <v>150</v>
      </c>
      <c r="C22" s="1">
        <f ca="1">IFERROR(__xludf.DUMMYFUNCTION("""COMPUTED_VALUE"""),151.71)</f>
        <v>151.71</v>
      </c>
      <c r="D22" s="1">
        <f ca="1">IFERROR(__xludf.DUMMYFUNCTION("""COMPUTED_VALUE"""),147.63)</f>
        <v>147.63</v>
      </c>
      <c r="E22" s="1">
        <f ca="1">IFERROR(__xludf.DUMMYFUNCTION("""COMPUTED_VALUE"""),151.19)</f>
        <v>151.19</v>
      </c>
      <c r="F22" s="1">
        <f ca="1">IFERROR(__xludf.DUMMYFUNCTION("""COMPUTED_VALUE"""),2960992)</f>
        <v>2960992</v>
      </c>
    </row>
    <row r="23" spans="1:6" ht="15.75" customHeight="1">
      <c r="A23" s="2">
        <f ca="1">IFERROR(__xludf.DUMMYFUNCTION("""COMPUTED_VALUE"""),44594.6666666666)</f>
        <v>44594.666666666599</v>
      </c>
      <c r="B23" s="1">
        <f ca="1">IFERROR(__xludf.DUMMYFUNCTION("""COMPUTED_VALUE"""),155.05)</f>
        <v>155.05000000000001</v>
      </c>
      <c r="C23" s="1">
        <f ca="1">IFERROR(__xludf.DUMMYFUNCTION("""COMPUTED_VALUE"""),155.07)</f>
        <v>155.07</v>
      </c>
      <c r="D23" s="1">
        <f ca="1">IFERROR(__xludf.DUMMYFUNCTION("""COMPUTED_VALUE"""),148.86)</f>
        <v>148.86000000000001</v>
      </c>
      <c r="E23" s="1">
        <f ca="1">IFERROR(__xludf.DUMMYFUNCTION("""COMPUTED_VALUE"""),150.61)</f>
        <v>150.61000000000001</v>
      </c>
      <c r="F23" s="1">
        <f ca="1">IFERROR(__xludf.DUMMYFUNCTION("""COMPUTED_VALUE"""),4366488)</f>
        <v>4366488</v>
      </c>
    </row>
    <row r="24" spans="1:6" ht="15.75" customHeight="1">
      <c r="A24" s="2">
        <f ca="1">IFERROR(__xludf.DUMMYFUNCTION("""COMPUTED_VALUE"""),44595.6666666666)</f>
        <v>44595.666666666599</v>
      </c>
      <c r="B24" s="1">
        <f ca="1">IFERROR(__xludf.DUMMYFUNCTION("""COMPUTED_VALUE"""),141.74)</f>
        <v>141.74</v>
      </c>
      <c r="C24" s="1">
        <f ca="1">IFERROR(__xludf.DUMMYFUNCTION("""COMPUTED_VALUE"""),144.25)</f>
        <v>144.25</v>
      </c>
      <c r="D24" s="1">
        <f ca="1">IFERROR(__xludf.DUMMYFUNCTION("""COMPUTED_VALUE"""),138.33)</f>
        <v>138.33000000000001</v>
      </c>
      <c r="E24" s="1">
        <f ca="1">IFERROR(__xludf.DUMMYFUNCTION("""COMPUTED_VALUE"""),138.85)</f>
        <v>138.85</v>
      </c>
      <c r="F24" s="1">
        <f ca="1">IFERROR(__xludf.DUMMYFUNCTION("""COMPUTED_VALUE"""),11276568)</f>
        <v>11276568</v>
      </c>
    </row>
    <row r="25" spans="1:6" ht="15.75" customHeight="1">
      <c r="A25" s="2">
        <f ca="1">IFERROR(__xludf.DUMMYFUNCTION("""COMPUTED_VALUE"""),44596.6666666666)</f>
        <v>44596.666666666599</v>
      </c>
      <c r="B25" s="1">
        <f ca="1">IFERROR(__xludf.DUMMYFUNCTION("""COMPUTED_VALUE"""),155.61)</f>
        <v>155.61000000000001</v>
      </c>
      <c r="C25" s="1">
        <f ca="1">IFERROR(__xludf.DUMMYFUNCTION("""COMPUTED_VALUE"""),161.2)</f>
        <v>161.19999999999999</v>
      </c>
      <c r="D25" s="1">
        <f ca="1">IFERROR(__xludf.DUMMYFUNCTION("""COMPUTED_VALUE"""),150.61)</f>
        <v>150.61000000000001</v>
      </c>
      <c r="E25" s="1">
        <f ca="1">IFERROR(__xludf.DUMMYFUNCTION("""COMPUTED_VALUE"""),157.64)</f>
        <v>157.63999999999999</v>
      </c>
      <c r="F25" s="1">
        <f ca="1">IFERROR(__xludf.DUMMYFUNCTION("""COMPUTED_VALUE"""),12672793)</f>
        <v>12672793</v>
      </c>
    </row>
    <row r="26" spans="1:6" ht="15.75" customHeight="1">
      <c r="A26" s="2">
        <f ca="1">IFERROR(__xludf.DUMMYFUNCTION("""COMPUTED_VALUE"""),44599.6666666666)</f>
        <v>44599.666666666599</v>
      </c>
      <c r="B26" s="1">
        <f ca="1">IFERROR(__xludf.DUMMYFUNCTION("""COMPUTED_VALUE"""),158.52)</f>
        <v>158.52000000000001</v>
      </c>
      <c r="C26" s="1">
        <f ca="1">IFERROR(__xludf.DUMMYFUNCTION("""COMPUTED_VALUE"""),162.69)</f>
        <v>162.69</v>
      </c>
      <c r="D26" s="1">
        <f ca="1">IFERROR(__xludf.DUMMYFUNCTION("""COMPUTED_VALUE"""),157.25)</f>
        <v>157.25</v>
      </c>
      <c r="E26" s="1">
        <f ca="1">IFERROR(__xludf.DUMMYFUNCTION("""COMPUTED_VALUE"""),157.94)</f>
        <v>157.94</v>
      </c>
      <c r="F26" s="1">
        <f ca="1">IFERROR(__xludf.DUMMYFUNCTION("""COMPUTED_VALUE"""),5131219)</f>
        <v>5131219</v>
      </c>
    </row>
    <row r="27" spans="1:6" ht="15.75" customHeight="1">
      <c r="A27" s="2">
        <f ca="1">IFERROR(__xludf.DUMMYFUNCTION("""COMPUTED_VALUE"""),44600.6666666666)</f>
        <v>44600.666666666599</v>
      </c>
      <c r="B27" s="1">
        <f ca="1">IFERROR(__xludf.DUMMYFUNCTION("""COMPUTED_VALUE"""),156.75)</f>
        <v>156.75</v>
      </c>
      <c r="C27" s="1">
        <f ca="1">IFERROR(__xludf.DUMMYFUNCTION("""COMPUTED_VALUE"""),161.79)</f>
        <v>161.79</v>
      </c>
      <c r="D27" s="1">
        <f ca="1">IFERROR(__xludf.DUMMYFUNCTION("""COMPUTED_VALUE"""),155.55)</f>
        <v>155.55000000000001</v>
      </c>
      <c r="E27" s="1">
        <f ca="1">IFERROR(__xludf.DUMMYFUNCTION("""COMPUTED_VALUE"""),161.41)</f>
        <v>161.41</v>
      </c>
      <c r="F27" s="1">
        <f ca="1">IFERROR(__xludf.DUMMYFUNCTION("""COMPUTED_VALUE"""),3802018)</f>
        <v>3802018</v>
      </c>
    </row>
    <row r="28" spans="1:6" ht="15.75" customHeight="1">
      <c r="A28" s="2">
        <f ca="1">IFERROR(__xludf.DUMMYFUNCTION("""COMPUTED_VALUE"""),44601.6666666666)</f>
        <v>44601.666666666599</v>
      </c>
      <c r="B28" s="1">
        <f ca="1">IFERROR(__xludf.DUMMYFUNCTION("""COMPUTED_VALUE"""),162.87)</f>
        <v>162.87</v>
      </c>
      <c r="C28" s="1">
        <f ca="1">IFERROR(__xludf.DUMMYFUNCTION("""COMPUTED_VALUE"""),163.83)</f>
        <v>163.83000000000001</v>
      </c>
      <c r="D28" s="1">
        <f ca="1">IFERROR(__xludf.DUMMYFUNCTION("""COMPUTED_VALUE"""),160.25)</f>
        <v>160.25</v>
      </c>
      <c r="E28" s="1">
        <f ca="1">IFERROR(__xludf.DUMMYFUNCTION("""COMPUTED_VALUE"""),161.19)</f>
        <v>161.19</v>
      </c>
      <c r="F28" s="1">
        <f ca="1">IFERROR(__xludf.DUMMYFUNCTION("""COMPUTED_VALUE"""),3439280)</f>
        <v>3439280</v>
      </c>
    </row>
    <row r="29" spans="1:6" ht="15.75" customHeight="1">
      <c r="A29" s="2">
        <f ca="1">IFERROR(__xludf.DUMMYFUNCTION("""COMPUTED_VALUE"""),44602.6666666666)</f>
        <v>44602.666666666599</v>
      </c>
      <c r="B29" s="1">
        <f ca="1">IFERROR(__xludf.DUMMYFUNCTION("""COMPUTED_VALUE"""),158.35)</f>
        <v>158.35</v>
      </c>
      <c r="C29" s="1">
        <f ca="1">IFERROR(__xludf.DUMMYFUNCTION("""COMPUTED_VALUE"""),160.72)</f>
        <v>160.72</v>
      </c>
      <c r="D29" s="1">
        <f ca="1">IFERROR(__xludf.DUMMYFUNCTION("""COMPUTED_VALUE"""),157.75)</f>
        <v>157.75</v>
      </c>
      <c r="E29" s="1">
        <f ca="1">IFERROR(__xludf.DUMMYFUNCTION("""COMPUTED_VALUE"""),159)</f>
        <v>159</v>
      </c>
      <c r="F29" s="1">
        <f ca="1">IFERROR(__xludf.DUMMYFUNCTION("""COMPUTED_VALUE"""),3413406)</f>
        <v>3413406</v>
      </c>
    </row>
    <row r="30" spans="1:6" ht="15.75" customHeight="1">
      <c r="A30" s="2">
        <f ca="1">IFERROR(__xludf.DUMMYFUNCTION("""COMPUTED_VALUE"""),44603.6666666666)</f>
        <v>44603.666666666599</v>
      </c>
      <c r="B30" s="1">
        <f ca="1">IFERROR(__xludf.DUMMYFUNCTION("""COMPUTED_VALUE"""),158.13)</f>
        <v>158.13</v>
      </c>
      <c r="C30" s="1">
        <f ca="1">IFERROR(__xludf.DUMMYFUNCTION("""COMPUTED_VALUE"""),159)</f>
        <v>159</v>
      </c>
      <c r="D30" s="1">
        <f ca="1">IFERROR(__xludf.DUMMYFUNCTION("""COMPUTED_VALUE"""),152.73)</f>
        <v>152.72999999999999</v>
      </c>
      <c r="E30" s="1">
        <f ca="1">IFERROR(__xludf.DUMMYFUNCTION("""COMPUTED_VALUE"""),153.29)</f>
        <v>153.29</v>
      </c>
      <c r="F30" s="1">
        <f ca="1">IFERROR(__xludf.DUMMYFUNCTION("""COMPUTED_VALUE"""),3855022)</f>
        <v>3855022</v>
      </c>
    </row>
    <row r="31" spans="1:6" ht="15.75" customHeight="1">
      <c r="A31" s="2">
        <f ca="1">IFERROR(__xludf.DUMMYFUNCTION("""COMPUTED_VALUE"""),44606.6666666666)</f>
        <v>44606.666666666599</v>
      </c>
      <c r="B31" s="1">
        <f ca="1">IFERROR(__xludf.DUMMYFUNCTION("""COMPUTED_VALUE"""),151.75)</f>
        <v>151.75</v>
      </c>
      <c r="C31" s="1">
        <f ca="1">IFERROR(__xludf.DUMMYFUNCTION("""COMPUTED_VALUE"""),158.45)</f>
        <v>158.44999999999999</v>
      </c>
      <c r="D31" s="1">
        <f ca="1">IFERROR(__xludf.DUMMYFUNCTION("""COMPUTED_VALUE"""),151.65)</f>
        <v>151.65</v>
      </c>
      <c r="E31" s="1">
        <f ca="1">IFERROR(__xludf.DUMMYFUNCTION("""COMPUTED_VALUE"""),155.17)</f>
        <v>155.16999999999999</v>
      </c>
      <c r="F31" s="1">
        <f ca="1">IFERROR(__xludf.DUMMYFUNCTION("""COMPUTED_VALUE"""),4161535)</f>
        <v>4161535</v>
      </c>
    </row>
    <row r="32" spans="1:6" ht="15.75" customHeight="1">
      <c r="A32" s="2">
        <f ca="1">IFERROR(__xludf.DUMMYFUNCTION("""COMPUTED_VALUE"""),44607.6666666666)</f>
        <v>44607.666666666599</v>
      </c>
      <c r="B32" s="1">
        <f ca="1">IFERROR(__xludf.DUMMYFUNCTION("""COMPUTED_VALUE"""),157.61)</f>
        <v>157.61000000000001</v>
      </c>
      <c r="C32" s="1">
        <f ca="1">IFERROR(__xludf.DUMMYFUNCTION("""COMPUTED_VALUE"""),158.01)</f>
        <v>158.01</v>
      </c>
      <c r="D32" s="1">
        <f ca="1">IFERROR(__xludf.DUMMYFUNCTION("""COMPUTED_VALUE"""),154.64)</f>
        <v>154.63999999999999</v>
      </c>
      <c r="E32" s="1">
        <f ca="1">IFERROR(__xludf.DUMMYFUNCTION("""COMPUTED_VALUE"""),156.51)</f>
        <v>156.51</v>
      </c>
      <c r="F32" s="1">
        <f ca="1">IFERROR(__xludf.DUMMYFUNCTION("""COMPUTED_VALUE"""),2848533)</f>
        <v>2848533</v>
      </c>
    </row>
    <row r="33" spans="1:6" ht="15.75" customHeight="1">
      <c r="A33" s="2">
        <f ca="1">IFERROR(__xludf.DUMMYFUNCTION("""COMPUTED_VALUE"""),44608.6666666666)</f>
        <v>44608.666666666599</v>
      </c>
      <c r="B33" s="1">
        <f ca="1">IFERROR(__xludf.DUMMYFUNCTION("""COMPUTED_VALUE"""),155.79)</f>
        <v>155.79</v>
      </c>
      <c r="C33" s="1">
        <f ca="1">IFERROR(__xludf.DUMMYFUNCTION("""COMPUTED_VALUE"""),158.83)</f>
        <v>158.83000000000001</v>
      </c>
      <c r="D33" s="1">
        <f ca="1">IFERROR(__xludf.DUMMYFUNCTION("""COMPUTED_VALUE"""),154.73)</f>
        <v>154.72999999999999</v>
      </c>
      <c r="E33" s="1">
        <f ca="1">IFERROR(__xludf.DUMMYFUNCTION("""COMPUTED_VALUE"""),158.1)</f>
        <v>158.1</v>
      </c>
      <c r="F33" s="1">
        <f ca="1">IFERROR(__xludf.DUMMYFUNCTION("""COMPUTED_VALUE"""),2635214)</f>
        <v>2635214</v>
      </c>
    </row>
    <row r="34" spans="1:6" ht="15.75" customHeight="1">
      <c r="A34" s="2">
        <f ca="1">IFERROR(__xludf.DUMMYFUNCTION("""COMPUTED_VALUE"""),44609.6666666666)</f>
        <v>44609.666666666599</v>
      </c>
      <c r="B34" s="1">
        <f ca="1">IFERROR(__xludf.DUMMYFUNCTION("""COMPUTED_VALUE"""),158.15)</f>
        <v>158.15</v>
      </c>
      <c r="C34" s="1">
        <f ca="1">IFERROR(__xludf.DUMMYFUNCTION("""COMPUTED_VALUE"""),160.35)</f>
        <v>160.35</v>
      </c>
      <c r="D34" s="1">
        <f ca="1">IFERROR(__xludf.DUMMYFUNCTION("""COMPUTED_VALUE"""),154.5)</f>
        <v>154.5</v>
      </c>
      <c r="E34" s="1">
        <f ca="1">IFERROR(__xludf.DUMMYFUNCTION("""COMPUTED_VALUE"""),154.65)</f>
        <v>154.65</v>
      </c>
      <c r="F34" s="1">
        <f ca="1">IFERROR(__xludf.DUMMYFUNCTION("""COMPUTED_VALUE"""),3201625)</f>
        <v>3201625</v>
      </c>
    </row>
    <row r="35" spans="1:6" ht="15.75" customHeight="1">
      <c r="A35" s="2">
        <f ca="1">IFERROR(__xludf.DUMMYFUNCTION("""COMPUTED_VALUE"""),44610.6666666666)</f>
        <v>44610.666666666599</v>
      </c>
      <c r="B35" s="1">
        <f ca="1">IFERROR(__xludf.DUMMYFUNCTION("""COMPUTED_VALUE"""),155.5)</f>
        <v>155.5</v>
      </c>
      <c r="C35" s="1">
        <f ca="1">IFERROR(__xludf.DUMMYFUNCTION("""COMPUTED_VALUE"""),155.5)</f>
        <v>155.5</v>
      </c>
      <c r="D35" s="1">
        <f ca="1">IFERROR(__xludf.DUMMYFUNCTION("""COMPUTED_VALUE"""),150.89)</f>
        <v>150.88999999999999</v>
      </c>
      <c r="E35" s="1">
        <f ca="1">IFERROR(__xludf.DUMMYFUNCTION("""COMPUTED_VALUE"""),152.6)</f>
        <v>152.6</v>
      </c>
      <c r="F35" s="1">
        <f ca="1">IFERROR(__xludf.DUMMYFUNCTION("""COMPUTED_VALUE"""),3180205)</f>
        <v>3180205</v>
      </c>
    </row>
    <row r="36" spans="1:6" ht="15.75" customHeight="1">
      <c r="A36" s="2">
        <f ca="1">IFERROR(__xludf.DUMMYFUNCTION("""COMPUTED_VALUE"""),44614.6666666666)</f>
        <v>44614.666666666599</v>
      </c>
      <c r="B36" s="1">
        <f ca="1">IFERROR(__xludf.DUMMYFUNCTION("""COMPUTED_VALUE"""),150.48)</f>
        <v>150.47999999999999</v>
      </c>
      <c r="C36" s="1">
        <f ca="1">IFERROR(__xludf.DUMMYFUNCTION("""COMPUTED_VALUE"""),152.98)</f>
        <v>152.97999999999999</v>
      </c>
      <c r="D36" s="1">
        <f ca="1">IFERROR(__xludf.DUMMYFUNCTION("""COMPUTED_VALUE"""),148.49)</f>
        <v>148.49</v>
      </c>
      <c r="E36" s="1">
        <f ca="1">IFERROR(__xludf.DUMMYFUNCTION("""COMPUTED_VALUE"""),150.2)</f>
        <v>150.19999999999999</v>
      </c>
      <c r="F36" s="1">
        <f ca="1">IFERROR(__xludf.DUMMYFUNCTION("""COMPUTED_VALUE"""),3306412)</f>
        <v>3306412</v>
      </c>
    </row>
    <row r="37" spans="1:6" ht="12.6">
      <c r="A37" s="2">
        <f ca="1">IFERROR(__xludf.DUMMYFUNCTION("""COMPUTED_VALUE"""),44615.6666666666)</f>
        <v>44615.666666666599</v>
      </c>
      <c r="B37" s="1">
        <f ca="1">IFERROR(__xludf.DUMMYFUNCTION("""COMPUTED_VALUE"""),151.65)</f>
        <v>151.65</v>
      </c>
      <c r="C37" s="1">
        <f ca="1">IFERROR(__xludf.DUMMYFUNCTION("""COMPUTED_VALUE"""),151.76)</f>
        <v>151.76</v>
      </c>
      <c r="D37" s="1">
        <f ca="1">IFERROR(__xludf.DUMMYFUNCTION("""COMPUTED_VALUE"""),144.65)</f>
        <v>144.65</v>
      </c>
      <c r="E37" s="1">
        <f ca="1">IFERROR(__xludf.DUMMYFUNCTION("""COMPUTED_VALUE"""),144.83)</f>
        <v>144.83000000000001</v>
      </c>
      <c r="F37" s="1">
        <f ca="1">IFERROR(__xludf.DUMMYFUNCTION("""COMPUTED_VALUE"""),3212178)</f>
        <v>3212178</v>
      </c>
    </row>
    <row r="38" spans="1:6" ht="12.6">
      <c r="A38" s="2">
        <f ca="1">IFERROR(__xludf.DUMMYFUNCTION("""COMPUTED_VALUE"""),44616.6666666666)</f>
        <v>44616.666666666599</v>
      </c>
      <c r="B38" s="1">
        <f ca="1">IFERROR(__xludf.DUMMYFUNCTION("""COMPUTED_VALUE"""),139.84)</f>
        <v>139.84</v>
      </c>
      <c r="C38" s="1">
        <f ca="1">IFERROR(__xludf.DUMMYFUNCTION("""COMPUTED_VALUE"""),151.75)</f>
        <v>151.75</v>
      </c>
      <c r="D38" s="1">
        <f ca="1">IFERROR(__xludf.DUMMYFUNCTION("""COMPUTED_VALUE"""),139.5)</f>
        <v>139.5</v>
      </c>
      <c r="E38" s="1">
        <f ca="1">IFERROR(__xludf.DUMMYFUNCTION("""COMPUTED_VALUE"""),151.36)</f>
        <v>151.36000000000001</v>
      </c>
      <c r="F38" s="1">
        <f ca="1">IFERROR(__xludf.DUMMYFUNCTION("""COMPUTED_VALUE"""),5039288)</f>
        <v>5039288</v>
      </c>
    </row>
    <row r="39" spans="1:6" ht="12.6">
      <c r="A39" s="2">
        <f ca="1">IFERROR(__xludf.DUMMYFUNCTION("""COMPUTED_VALUE"""),44617.6666666666)</f>
        <v>44617.666666666599</v>
      </c>
      <c r="B39" s="1">
        <f ca="1">IFERROR(__xludf.DUMMYFUNCTION("""COMPUTED_VALUE"""),150.55)</f>
        <v>150.55000000000001</v>
      </c>
      <c r="C39" s="1">
        <f ca="1">IFERROR(__xludf.DUMMYFUNCTION("""COMPUTED_VALUE"""),153.99)</f>
        <v>153.99</v>
      </c>
      <c r="D39" s="1">
        <f ca="1">IFERROR(__xludf.DUMMYFUNCTION("""COMPUTED_VALUE"""),149.21)</f>
        <v>149.21</v>
      </c>
      <c r="E39" s="1">
        <f ca="1">IFERROR(__xludf.DUMMYFUNCTION("""COMPUTED_VALUE"""),153.79)</f>
        <v>153.79</v>
      </c>
      <c r="F39" s="1">
        <f ca="1">IFERROR(__xludf.DUMMYFUNCTION("""COMPUTED_VALUE"""),3119768)</f>
        <v>3119768</v>
      </c>
    </row>
    <row r="40" spans="1:6" ht="12.6">
      <c r="A40" s="2">
        <f ca="1">IFERROR(__xludf.DUMMYFUNCTION("""COMPUTED_VALUE"""),44620.6666666666)</f>
        <v>44620.666666666599</v>
      </c>
      <c r="B40" s="1">
        <f ca="1">IFERROR(__xludf.DUMMYFUNCTION("""COMPUTED_VALUE"""),152.43)</f>
        <v>152.43</v>
      </c>
      <c r="C40" s="1">
        <f ca="1">IFERROR(__xludf.DUMMYFUNCTION("""COMPUTED_VALUE"""),154.45)</f>
        <v>154.44999999999999</v>
      </c>
      <c r="D40" s="1">
        <f ca="1">IFERROR(__xludf.DUMMYFUNCTION("""COMPUTED_VALUE"""),150.85)</f>
        <v>150.85</v>
      </c>
      <c r="E40" s="1">
        <f ca="1">IFERROR(__xludf.DUMMYFUNCTION("""COMPUTED_VALUE"""),153.56)</f>
        <v>153.56</v>
      </c>
      <c r="F40" s="1">
        <f ca="1">IFERROR(__xludf.DUMMYFUNCTION("""COMPUTED_VALUE"""),2884171)</f>
        <v>2884171</v>
      </c>
    </row>
    <row r="41" spans="1:6" ht="12.6">
      <c r="A41" s="2">
        <f ca="1">IFERROR(__xludf.DUMMYFUNCTION("""COMPUTED_VALUE"""),44621.6666666666)</f>
        <v>44621.666666666599</v>
      </c>
      <c r="B41" s="1">
        <f ca="1">IFERROR(__xludf.DUMMYFUNCTION("""COMPUTED_VALUE"""),152.73)</f>
        <v>152.72999999999999</v>
      </c>
      <c r="C41" s="1">
        <f ca="1">IFERROR(__xludf.DUMMYFUNCTION("""COMPUTED_VALUE"""),154.1)</f>
        <v>154.1</v>
      </c>
      <c r="D41" s="1">
        <f ca="1">IFERROR(__xludf.DUMMYFUNCTION("""COMPUTED_VALUE"""),149.98)</f>
        <v>149.97999999999999</v>
      </c>
      <c r="E41" s="1">
        <f ca="1">IFERROR(__xludf.DUMMYFUNCTION("""COMPUTED_VALUE"""),151.14)</f>
        <v>151.13999999999999</v>
      </c>
      <c r="F41" s="1">
        <f ca="1">IFERROR(__xludf.DUMMYFUNCTION("""COMPUTED_VALUE"""),2243679)</f>
        <v>2243679</v>
      </c>
    </row>
    <row r="42" spans="1:6" ht="12.6">
      <c r="A42" s="2">
        <f ca="1">IFERROR(__xludf.DUMMYFUNCTION("""COMPUTED_VALUE"""),44622.6666666666)</f>
        <v>44622.666666666599</v>
      </c>
      <c r="B42" s="1">
        <f ca="1">IFERROR(__xludf.DUMMYFUNCTION("""COMPUTED_VALUE"""),150.85)</f>
        <v>150.85</v>
      </c>
      <c r="C42" s="1">
        <f ca="1">IFERROR(__xludf.DUMMYFUNCTION("""COMPUTED_VALUE"""),153)</f>
        <v>153</v>
      </c>
      <c r="D42" s="1">
        <f ca="1">IFERROR(__xludf.DUMMYFUNCTION("""COMPUTED_VALUE"""),148.75)</f>
        <v>148.75</v>
      </c>
      <c r="E42" s="1">
        <f ca="1">IFERROR(__xludf.DUMMYFUNCTION("""COMPUTED_VALUE"""),152.05)</f>
        <v>152.05000000000001</v>
      </c>
      <c r="F42" s="1">
        <f ca="1">IFERROR(__xludf.DUMMYFUNCTION("""COMPUTED_VALUE"""),2366736)</f>
        <v>2366736</v>
      </c>
    </row>
    <row r="43" spans="1:6" ht="12.6">
      <c r="A43" s="2">
        <f ca="1">IFERROR(__xludf.DUMMYFUNCTION("""COMPUTED_VALUE"""),44623.6666666666)</f>
        <v>44623.666666666599</v>
      </c>
      <c r="B43" s="1">
        <f ca="1">IFERROR(__xludf.DUMMYFUNCTION("""COMPUTED_VALUE"""),153.53)</f>
        <v>153.53</v>
      </c>
      <c r="C43" s="1">
        <f ca="1">IFERROR(__xludf.DUMMYFUNCTION("""COMPUTED_VALUE"""),153.93)</f>
        <v>153.93</v>
      </c>
      <c r="D43" s="1">
        <f ca="1">IFERROR(__xludf.DUMMYFUNCTION("""COMPUTED_VALUE"""),146.86)</f>
        <v>146.86000000000001</v>
      </c>
      <c r="E43" s="1">
        <f ca="1">IFERROR(__xludf.DUMMYFUNCTION("""COMPUTED_VALUE"""),147.9)</f>
        <v>147.9</v>
      </c>
      <c r="F43" s="1">
        <f ca="1">IFERROR(__xludf.DUMMYFUNCTION("""COMPUTED_VALUE"""),3259860)</f>
        <v>3259860</v>
      </c>
    </row>
    <row r="44" spans="1:6" ht="12.6">
      <c r="A44" s="2">
        <f ca="1">IFERROR(__xludf.DUMMYFUNCTION("""COMPUTED_VALUE"""),44624.6666666666)</f>
        <v>44624.666666666599</v>
      </c>
      <c r="B44" s="1">
        <f ca="1">IFERROR(__xludf.DUMMYFUNCTION("""COMPUTED_VALUE"""),147.16)</f>
        <v>147.16</v>
      </c>
      <c r="C44" s="1">
        <f ca="1">IFERROR(__xludf.DUMMYFUNCTION("""COMPUTED_VALUE"""),147.85)</f>
        <v>147.85</v>
      </c>
      <c r="D44" s="1">
        <f ca="1">IFERROR(__xludf.DUMMYFUNCTION("""COMPUTED_VALUE"""),143.81)</f>
        <v>143.81</v>
      </c>
      <c r="E44" s="1">
        <f ca="1">IFERROR(__xludf.DUMMYFUNCTION("""COMPUTED_VALUE"""),145.64)</f>
        <v>145.63999999999999</v>
      </c>
      <c r="F44" s="1">
        <f ca="1">IFERROR(__xludf.DUMMYFUNCTION("""COMPUTED_VALUE"""),3049156)</f>
        <v>3049156</v>
      </c>
    </row>
    <row r="45" spans="1:6" ht="12.6">
      <c r="A45" s="2">
        <f ca="1">IFERROR(__xludf.DUMMYFUNCTION("""COMPUTED_VALUE"""),44627.6666666666)</f>
        <v>44627.666666666599</v>
      </c>
      <c r="B45" s="1">
        <f ca="1">IFERROR(__xludf.DUMMYFUNCTION("""COMPUTED_VALUE"""),145.44)</f>
        <v>145.44</v>
      </c>
      <c r="C45" s="1">
        <f ca="1">IFERROR(__xludf.DUMMYFUNCTION("""COMPUTED_VALUE"""),146.09)</f>
        <v>146.09</v>
      </c>
      <c r="D45" s="1">
        <f ca="1">IFERROR(__xludf.DUMMYFUNCTION("""COMPUTED_VALUE"""),137.42)</f>
        <v>137.41999999999999</v>
      </c>
      <c r="E45" s="1">
        <f ca="1">IFERROR(__xludf.DUMMYFUNCTION("""COMPUTED_VALUE"""),137.45)</f>
        <v>137.44999999999999</v>
      </c>
      <c r="F45" s="1">
        <f ca="1">IFERROR(__xludf.DUMMYFUNCTION("""COMPUTED_VALUE"""),4346693)</f>
        <v>4346693</v>
      </c>
    </row>
    <row r="46" spans="1:6" ht="12.6">
      <c r="A46" s="2">
        <f ca="1">IFERROR(__xludf.DUMMYFUNCTION("""COMPUTED_VALUE"""),44628.6666666666)</f>
        <v>44628.666666666599</v>
      </c>
      <c r="B46" s="1">
        <f ca="1">IFERROR(__xludf.DUMMYFUNCTION("""COMPUTED_VALUE"""),136.68)</f>
        <v>136.68</v>
      </c>
      <c r="C46" s="1">
        <f ca="1">IFERROR(__xludf.DUMMYFUNCTION("""COMPUTED_VALUE"""),140.7)</f>
        <v>140.69999999999999</v>
      </c>
      <c r="D46" s="1">
        <f ca="1">IFERROR(__xludf.DUMMYFUNCTION("""COMPUTED_VALUE"""),133.57)</f>
        <v>133.57</v>
      </c>
      <c r="E46" s="1">
        <f ca="1">IFERROR(__xludf.DUMMYFUNCTION("""COMPUTED_VALUE"""),136.01)</f>
        <v>136.01</v>
      </c>
      <c r="F46" s="1">
        <f ca="1">IFERROR(__xludf.DUMMYFUNCTION("""COMPUTED_VALUE"""),4583129)</f>
        <v>4583129</v>
      </c>
    </row>
    <row r="47" spans="1:6" ht="12.6">
      <c r="A47" s="2">
        <f ca="1">IFERROR(__xludf.DUMMYFUNCTION("""COMPUTED_VALUE"""),44629.6666666666)</f>
        <v>44629.666666666599</v>
      </c>
      <c r="B47" s="1">
        <f ca="1">IFERROR(__xludf.DUMMYFUNCTION("""COMPUTED_VALUE"""),139.5)</f>
        <v>139.5</v>
      </c>
      <c r="C47" s="1">
        <f ca="1">IFERROR(__xludf.DUMMYFUNCTION("""COMPUTED_VALUE"""),140.25)</f>
        <v>140.25</v>
      </c>
      <c r="D47" s="1">
        <f ca="1">IFERROR(__xludf.DUMMYFUNCTION("""COMPUTED_VALUE"""),136.83)</f>
        <v>136.83000000000001</v>
      </c>
      <c r="E47" s="1">
        <f ca="1">IFERROR(__xludf.DUMMYFUNCTION("""COMPUTED_VALUE"""),139.28)</f>
        <v>139.28</v>
      </c>
      <c r="F47" s="1">
        <f ca="1">IFERROR(__xludf.DUMMYFUNCTION("""COMPUTED_VALUE"""),4132833)</f>
        <v>4132833</v>
      </c>
    </row>
    <row r="48" spans="1:6" ht="12.6">
      <c r="A48" s="2">
        <f ca="1">IFERROR(__xludf.DUMMYFUNCTION("""COMPUTED_VALUE"""),44630.6666666666)</f>
        <v>44630.666666666599</v>
      </c>
      <c r="B48" s="1">
        <f ca="1">IFERROR(__xludf.DUMMYFUNCTION("""COMPUTED_VALUE"""),145.69)</f>
        <v>145.69</v>
      </c>
      <c r="C48" s="1">
        <f ca="1">IFERROR(__xludf.DUMMYFUNCTION("""COMPUTED_VALUE"""),148.67)</f>
        <v>148.66999999999999</v>
      </c>
      <c r="D48" s="1">
        <f ca="1">IFERROR(__xludf.DUMMYFUNCTION("""COMPUTED_VALUE"""),143.98)</f>
        <v>143.97999999999999</v>
      </c>
      <c r="E48" s="1">
        <f ca="1">IFERROR(__xludf.DUMMYFUNCTION("""COMPUTED_VALUE"""),146.82)</f>
        <v>146.82</v>
      </c>
      <c r="F48" s="1">
        <f ca="1">IFERROR(__xludf.DUMMYFUNCTION("""COMPUTED_VALUE"""),6753145)</f>
        <v>6753145</v>
      </c>
    </row>
    <row r="49" spans="1:6" ht="12.6">
      <c r="A49" s="2">
        <f ca="1">IFERROR(__xludf.DUMMYFUNCTION("""COMPUTED_VALUE"""),44631.6666666666)</f>
        <v>44631.666666666599</v>
      </c>
      <c r="B49" s="1">
        <f ca="1">IFERROR(__xludf.DUMMYFUNCTION("""COMPUTED_VALUE"""),149.57)</f>
        <v>149.57</v>
      </c>
      <c r="C49" s="1">
        <f ca="1">IFERROR(__xludf.DUMMYFUNCTION("""COMPUTED_VALUE"""),149.68)</f>
        <v>149.68</v>
      </c>
      <c r="D49" s="1">
        <f ca="1">IFERROR(__xludf.DUMMYFUNCTION("""COMPUTED_VALUE"""),145.37)</f>
        <v>145.37</v>
      </c>
      <c r="E49" s="1">
        <f ca="1">IFERROR(__xludf.DUMMYFUNCTION("""COMPUTED_VALUE"""),145.52)</f>
        <v>145.52000000000001</v>
      </c>
      <c r="F49" s="1">
        <f ca="1">IFERROR(__xludf.DUMMYFUNCTION("""COMPUTED_VALUE"""),3445028)</f>
        <v>3445028</v>
      </c>
    </row>
    <row r="50" spans="1:6" ht="12.6">
      <c r="A50" s="2">
        <f ca="1">IFERROR(__xludf.DUMMYFUNCTION("""COMPUTED_VALUE"""),44634.6666666666)</f>
        <v>44634.666666666599</v>
      </c>
      <c r="B50" s="1">
        <f ca="1">IFERROR(__xludf.DUMMYFUNCTION("""COMPUTED_VALUE"""),145.98)</f>
        <v>145.97999999999999</v>
      </c>
      <c r="C50" s="1">
        <f ca="1">IFERROR(__xludf.DUMMYFUNCTION("""COMPUTED_VALUE"""),147.45)</f>
        <v>147.44999999999999</v>
      </c>
      <c r="D50" s="1">
        <f ca="1">IFERROR(__xludf.DUMMYFUNCTION("""COMPUTED_VALUE"""),140.88)</f>
        <v>140.88</v>
      </c>
      <c r="E50" s="1">
        <f ca="1">IFERROR(__xludf.DUMMYFUNCTION("""COMPUTED_VALUE"""),141.85)</f>
        <v>141.85</v>
      </c>
      <c r="F50" s="1">
        <f ca="1">IFERROR(__xludf.DUMMYFUNCTION("""COMPUTED_VALUE"""),3704305)</f>
        <v>3704305</v>
      </c>
    </row>
    <row r="51" spans="1:6" ht="12.6">
      <c r="A51" s="2">
        <f ca="1">IFERROR(__xludf.DUMMYFUNCTION("""COMPUTED_VALUE"""),44635.6666666666)</f>
        <v>44635.666666666599</v>
      </c>
      <c r="B51" s="1">
        <f ca="1">IFERROR(__xludf.DUMMYFUNCTION("""COMPUTED_VALUE"""),142.85)</f>
        <v>142.85</v>
      </c>
      <c r="C51" s="1">
        <f ca="1">IFERROR(__xludf.DUMMYFUNCTION("""COMPUTED_VALUE"""),147.99)</f>
        <v>147.99</v>
      </c>
      <c r="D51" s="1">
        <f ca="1">IFERROR(__xludf.DUMMYFUNCTION("""COMPUTED_VALUE"""),142)</f>
        <v>142</v>
      </c>
      <c r="E51" s="1">
        <f ca="1">IFERROR(__xludf.DUMMYFUNCTION("""COMPUTED_VALUE"""),147.37)</f>
        <v>147.37</v>
      </c>
      <c r="F51" s="1">
        <f ca="1">IFERROR(__xludf.DUMMYFUNCTION("""COMPUTED_VALUE"""),3779230)</f>
        <v>3779230</v>
      </c>
    </row>
    <row r="52" spans="1:6" ht="12.6">
      <c r="A52" s="2">
        <f ca="1">IFERROR(__xludf.DUMMYFUNCTION("""COMPUTED_VALUE"""),44636.6666666666)</f>
        <v>44636.666666666599</v>
      </c>
      <c r="B52" s="1">
        <f ca="1">IFERROR(__xludf.DUMMYFUNCTION("""COMPUTED_VALUE"""),148.5)</f>
        <v>148.5</v>
      </c>
      <c r="C52" s="1">
        <f ca="1">IFERROR(__xludf.DUMMYFUNCTION("""COMPUTED_VALUE"""),153.15)</f>
        <v>153.15</v>
      </c>
      <c r="D52" s="1">
        <f ca="1">IFERROR(__xludf.DUMMYFUNCTION("""COMPUTED_VALUE"""),147.35)</f>
        <v>147.35</v>
      </c>
      <c r="E52" s="1">
        <f ca="1">IFERROR(__xludf.DUMMYFUNCTION("""COMPUTED_VALUE"""),153.1)</f>
        <v>153.1</v>
      </c>
      <c r="F52" s="1">
        <f ca="1">IFERROR(__xludf.DUMMYFUNCTION("""COMPUTED_VALUE"""),4247884)</f>
        <v>4247884</v>
      </c>
    </row>
    <row r="53" spans="1:6" ht="12.6">
      <c r="A53" s="2">
        <f ca="1">IFERROR(__xludf.DUMMYFUNCTION("""COMPUTED_VALUE"""),44637.6666666666)</f>
        <v>44637.666666666599</v>
      </c>
      <c r="B53" s="1">
        <f ca="1">IFERROR(__xludf.DUMMYFUNCTION("""COMPUTED_VALUE"""),152.64)</f>
        <v>152.63999999999999</v>
      </c>
      <c r="C53" s="1">
        <f ca="1">IFERROR(__xludf.DUMMYFUNCTION("""COMPUTED_VALUE"""),157.5)</f>
        <v>157.5</v>
      </c>
      <c r="D53" s="1">
        <f ca="1">IFERROR(__xludf.DUMMYFUNCTION("""COMPUTED_VALUE"""),152.14)</f>
        <v>152.13999999999999</v>
      </c>
      <c r="E53" s="1">
        <f ca="1">IFERROR(__xludf.DUMMYFUNCTION("""COMPUTED_VALUE"""),157.24)</f>
        <v>157.24</v>
      </c>
      <c r="F53" s="1">
        <f ca="1">IFERROR(__xludf.DUMMYFUNCTION("""COMPUTED_VALUE"""),3646742)</f>
        <v>3646742</v>
      </c>
    </row>
    <row r="54" spans="1:6" ht="12.6">
      <c r="A54" s="2">
        <f ca="1">IFERROR(__xludf.DUMMYFUNCTION("""COMPUTED_VALUE"""),44638.6666666666)</f>
        <v>44638.666666666599</v>
      </c>
      <c r="B54" s="1">
        <f ca="1">IFERROR(__xludf.DUMMYFUNCTION("""COMPUTED_VALUE"""),156.81)</f>
        <v>156.81</v>
      </c>
      <c r="C54" s="1">
        <f ca="1">IFERROR(__xludf.DUMMYFUNCTION("""COMPUTED_VALUE"""),161.59)</f>
        <v>161.59</v>
      </c>
      <c r="D54" s="1">
        <f ca="1">IFERROR(__xludf.DUMMYFUNCTION("""COMPUTED_VALUE"""),156.01)</f>
        <v>156.01</v>
      </c>
      <c r="E54" s="1">
        <f ca="1">IFERROR(__xludf.DUMMYFUNCTION("""COMPUTED_VALUE"""),161.25)</f>
        <v>161.25</v>
      </c>
      <c r="F54" s="1">
        <f ca="1">IFERROR(__xludf.DUMMYFUNCTION("""COMPUTED_VALUE"""),5148138)</f>
        <v>5148138</v>
      </c>
    </row>
    <row r="55" spans="1:6" ht="12.6">
      <c r="A55" s="2">
        <f ca="1">IFERROR(__xludf.DUMMYFUNCTION("""COMPUTED_VALUE"""),44641.6666666666)</f>
        <v>44641.666666666599</v>
      </c>
      <c r="B55" s="1">
        <f ca="1">IFERROR(__xludf.DUMMYFUNCTION("""COMPUTED_VALUE"""),161.12)</f>
        <v>161.12</v>
      </c>
      <c r="C55" s="1">
        <f ca="1">IFERROR(__xludf.DUMMYFUNCTION("""COMPUTED_VALUE"""),163.08)</f>
        <v>163.08000000000001</v>
      </c>
      <c r="D55" s="1">
        <f ca="1">IFERROR(__xludf.DUMMYFUNCTION("""COMPUTED_VALUE"""),159.55)</f>
        <v>159.55000000000001</v>
      </c>
      <c r="E55" s="1">
        <f ca="1">IFERROR(__xludf.DUMMYFUNCTION("""COMPUTED_VALUE"""),161.49)</f>
        <v>161.49</v>
      </c>
      <c r="F55" s="1">
        <f ca="1">IFERROR(__xludf.DUMMYFUNCTION("""COMPUTED_VALUE"""),3326876)</f>
        <v>3326876</v>
      </c>
    </row>
    <row r="56" spans="1:6" ht="12.6">
      <c r="A56" s="2">
        <f ca="1">IFERROR(__xludf.DUMMYFUNCTION("""COMPUTED_VALUE"""),44642.6666666666)</f>
        <v>44642.666666666599</v>
      </c>
      <c r="B56" s="1">
        <f ca="1">IFERROR(__xludf.DUMMYFUNCTION("""COMPUTED_VALUE"""),161.81)</f>
        <v>161.81</v>
      </c>
      <c r="C56" s="1">
        <f ca="1">IFERROR(__xludf.DUMMYFUNCTION("""COMPUTED_VALUE"""),166.17)</f>
        <v>166.17</v>
      </c>
      <c r="D56" s="1">
        <f ca="1">IFERROR(__xludf.DUMMYFUNCTION("""COMPUTED_VALUE"""),161.7)</f>
        <v>161.69999999999999</v>
      </c>
      <c r="E56" s="1">
        <f ca="1">IFERROR(__xludf.DUMMYFUNCTION("""COMPUTED_VALUE"""),164.89)</f>
        <v>164.89</v>
      </c>
      <c r="F56" s="1">
        <f ca="1">IFERROR(__xludf.DUMMYFUNCTION("""COMPUTED_VALUE"""),3204306)</f>
        <v>3204306</v>
      </c>
    </row>
    <row r="57" spans="1:6" ht="12.6">
      <c r="A57" s="2">
        <f ca="1">IFERROR(__xludf.DUMMYFUNCTION("""COMPUTED_VALUE"""),44643.6666666666)</f>
        <v>44643.666666666599</v>
      </c>
      <c r="B57" s="1">
        <f ca="1">IFERROR(__xludf.DUMMYFUNCTION("""COMPUTED_VALUE"""),163.71)</f>
        <v>163.71</v>
      </c>
      <c r="C57" s="1">
        <f ca="1">IFERROR(__xludf.DUMMYFUNCTION("""COMPUTED_VALUE"""),166.37)</f>
        <v>166.37</v>
      </c>
      <c r="D57" s="1">
        <f ca="1">IFERROR(__xludf.DUMMYFUNCTION("""COMPUTED_VALUE"""),162.69)</f>
        <v>162.69</v>
      </c>
      <c r="E57" s="1">
        <f ca="1">IFERROR(__xludf.DUMMYFUNCTION("""COMPUTED_VALUE"""),163.41)</f>
        <v>163.41</v>
      </c>
      <c r="F57" s="1">
        <f ca="1">IFERROR(__xludf.DUMMYFUNCTION("""COMPUTED_VALUE"""),2790593)</f>
        <v>2790593</v>
      </c>
    </row>
    <row r="58" spans="1:6" ht="12.6">
      <c r="A58" s="2">
        <f ca="1">IFERROR(__xludf.DUMMYFUNCTION("""COMPUTED_VALUE"""),44644.6666666666)</f>
        <v>44644.666666666599</v>
      </c>
      <c r="B58" s="1">
        <f ca="1">IFERROR(__xludf.DUMMYFUNCTION("""COMPUTED_VALUE"""),163.75)</f>
        <v>163.75</v>
      </c>
      <c r="C58" s="1">
        <f ca="1">IFERROR(__xludf.DUMMYFUNCTION("""COMPUTED_VALUE"""),164.12)</f>
        <v>164.12</v>
      </c>
      <c r="D58" s="1">
        <f ca="1">IFERROR(__xludf.DUMMYFUNCTION("""COMPUTED_VALUE"""),160.05)</f>
        <v>160.05000000000001</v>
      </c>
      <c r="E58" s="1">
        <f ca="1">IFERROR(__xludf.DUMMYFUNCTION("""COMPUTED_VALUE"""),163.65)</f>
        <v>163.65</v>
      </c>
      <c r="F58" s="1">
        <f ca="1">IFERROR(__xludf.DUMMYFUNCTION("""COMPUTED_VALUE"""),2839903)</f>
        <v>2839903</v>
      </c>
    </row>
    <row r="59" spans="1:6" ht="12.6">
      <c r="A59" s="2">
        <f ca="1">IFERROR(__xludf.DUMMYFUNCTION("""COMPUTED_VALUE"""),44645.6666666666)</f>
        <v>44645.666666666599</v>
      </c>
      <c r="B59" s="1">
        <f ca="1">IFERROR(__xludf.DUMMYFUNCTION("""COMPUTED_VALUE"""),164)</f>
        <v>164</v>
      </c>
      <c r="C59" s="1">
        <f ca="1">IFERROR(__xludf.DUMMYFUNCTION("""COMPUTED_VALUE"""),165.37)</f>
        <v>165.37</v>
      </c>
      <c r="D59" s="1">
        <f ca="1">IFERROR(__xludf.DUMMYFUNCTION("""COMPUTED_VALUE"""),162.25)</f>
        <v>162.25</v>
      </c>
      <c r="E59" s="1">
        <f ca="1">IFERROR(__xludf.DUMMYFUNCTION("""COMPUTED_VALUE"""),164.77)</f>
        <v>164.77</v>
      </c>
      <c r="F59" s="1">
        <f ca="1">IFERROR(__xludf.DUMMYFUNCTION("""COMPUTED_VALUE"""),2454275)</f>
        <v>2454275</v>
      </c>
    </row>
    <row r="60" spans="1:6" ht="12.6">
      <c r="A60" s="2">
        <f ca="1">IFERROR(__xludf.DUMMYFUNCTION("""COMPUTED_VALUE"""),44648.6666666666)</f>
        <v>44648.666666666599</v>
      </c>
      <c r="B60" s="1">
        <f ca="1">IFERROR(__xludf.DUMMYFUNCTION("""COMPUTED_VALUE"""),164.98)</f>
        <v>164.98</v>
      </c>
      <c r="C60" s="1">
        <f ca="1">IFERROR(__xludf.DUMMYFUNCTION("""COMPUTED_VALUE"""),169.04)</f>
        <v>169.04</v>
      </c>
      <c r="D60" s="1">
        <f ca="1">IFERROR(__xludf.DUMMYFUNCTION("""COMPUTED_VALUE"""),164.9)</f>
        <v>164.9</v>
      </c>
      <c r="E60" s="1">
        <f ca="1">IFERROR(__xludf.DUMMYFUNCTION("""COMPUTED_VALUE"""),168.99)</f>
        <v>168.99</v>
      </c>
      <c r="F60" s="1">
        <f ca="1">IFERROR(__xludf.DUMMYFUNCTION("""COMPUTED_VALUE"""),2992691)</f>
        <v>2992691</v>
      </c>
    </row>
    <row r="61" spans="1:6" ht="12.6">
      <c r="A61" s="2">
        <f ca="1">IFERROR(__xludf.DUMMYFUNCTION("""COMPUTED_VALUE"""),44649.6666666666)</f>
        <v>44649.666666666599</v>
      </c>
      <c r="B61" s="1">
        <f ca="1">IFERROR(__xludf.DUMMYFUNCTION("""COMPUTED_VALUE"""),170.38)</f>
        <v>170.38</v>
      </c>
      <c r="C61" s="1">
        <f ca="1">IFERROR(__xludf.DUMMYFUNCTION("""COMPUTED_VALUE"""),170.83)</f>
        <v>170.83</v>
      </c>
      <c r="D61" s="1">
        <f ca="1">IFERROR(__xludf.DUMMYFUNCTION("""COMPUTED_VALUE"""),167.87)</f>
        <v>167.87</v>
      </c>
      <c r="E61" s="1">
        <f ca="1">IFERROR(__xludf.DUMMYFUNCTION("""COMPUTED_VALUE"""),169.32)</f>
        <v>169.32</v>
      </c>
      <c r="F61" s="1">
        <f ca="1">IFERROR(__xludf.DUMMYFUNCTION("""COMPUTED_VALUE"""),3307680)</f>
        <v>3307680</v>
      </c>
    </row>
    <row r="62" spans="1:6" ht="12.6">
      <c r="A62" s="2">
        <f ca="1">IFERROR(__xludf.DUMMYFUNCTION("""COMPUTED_VALUE"""),44650.6666666666)</f>
        <v>44650.666666666599</v>
      </c>
      <c r="B62" s="1">
        <f ca="1">IFERROR(__xludf.DUMMYFUNCTION("""COMPUTED_VALUE"""),168.51)</f>
        <v>168.51</v>
      </c>
      <c r="C62" s="1">
        <f ca="1">IFERROR(__xludf.DUMMYFUNCTION("""COMPUTED_VALUE"""),168.95)</f>
        <v>168.95</v>
      </c>
      <c r="D62" s="1">
        <f ca="1">IFERROR(__xludf.DUMMYFUNCTION("""COMPUTED_VALUE"""),165.5)</f>
        <v>165.5</v>
      </c>
      <c r="E62" s="1">
        <f ca="1">IFERROR(__xludf.DUMMYFUNCTION("""COMPUTED_VALUE"""),166.3)</f>
        <v>166.3</v>
      </c>
      <c r="F62" s="1">
        <f ca="1">IFERROR(__xludf.DUMMYFUNCTION("""COMPUTED_VALUE"""),2808363)</f>
        <v>2808363</v>
      </c>
    </row>
    <row r="63" spans="1:6" ht="12.6">
      <c r="A63" s="2">
        <f ca="1">IFERROR(__xludf.DUMMYFUNCTION("""COMPUTED_VALUE"""),44651.6666666666)</f>
        <v>44651.666666666599</v>
      </c>
      <c r="B63" s="1">
        <f ca="1">IFERROR(__xludf.DUMMYFUNCTION("""COMPUTED_VALUE"""),166.44)</f>
        <v>166.44</v>
      </c>
      <c r="C63" s="1">
        <f ca="1">IFERROR(__xludf.DUMMYFUNCTION("""COMPUTED_VALUE"""),166.5)</f>
        <v>166.5</v>
      </c>
      <c r="D63" s="1">
        <f ca="1">IFERROR(__xludf.DUMMYFUNCTION("""COMPUTED_VALUE"""),162.95)</f>
        <v>162.94999999999999</v>
      </c>
      <c r="E63" s="1">
        <f ca="1">IFERROR(__xludf.DUMMYFUNCTION("""COMPUTED_VALUE"""),163)</f>
        <v>163</v>
      </c>
      <c r="F63" s="1">
        <f ca="1">IFERROR(__xludf.DUMMYFUNCTION("""COMPUTED_VALUE"""),2998289)</f>
        <v>2998289</v>
      </c>
    </row>
    <row r="64" spans="1:6" ht="12.6">
      <c r="A64" s="2">
        <f ca="1">IFERROR(__xludf.DUMMYFUNCTION("""COMPUTED_VALUE"""),44652.6666666666)</f>
        <v>44652.666666666599</v>
      </c>
      <c r="B64" s="1">
        <f ca="1">IFERROR(__xludf.DUMMYFUNCTION("""COMPUTED_VALUE"""),164.15)</f>
        <v>164.15</v>
      </c>
      <c r="C64" s="1">
        <f ca="1">IFERROR(__xludf.DUMMYFUNCTION("""COMPUTED_VALUE"""),165.83)</f>
        <v>165.83</v>
      </c>
      <c r="D64" s="1">
        <f ca="1">IFERROR(__xludf.DUMMYFUNCTION("""COMPUTED_VALUE"""),162.32)</f>
        <v>162.32</v>
      </c>
      <c r="E64" s="1">
        <f ca="1">IFERROR(__xludf.DUMMYFUNCTION("""COMPUTED_VALUE"""),163.56)</f>
        <v>163.56</v>
      </c>
      <c r="F64" s="1">
        <f ca="1">IFERROR(__xludf.DUMMYFUNCTION("""COMPUTED_VALUE"""),2854475)</f>
        <v>2854475</v>
      </c>
    </row>
    <row r="65" spans="1:6" ht="12.6">
      <c r="A65" s="2">
        <f ca="1">IFERROR(__xludf.DUMMYFUNCTION("""COMPUTED_VALUE"""),44655.6666666666)</f>
        <v>44655.666666666599</v>
      </c>
      <c r="B65" s="1">
        <f ca="1">IFERROR(__xludf.DUMMYFUNCTION("""COMPUTED_VALUE"""),164.13)</f>
        <v>164.13</v>
      </c>
      <c r="C65" s="1">
        <f ca="1">IFERROR(__xludf.DUMMYFUNCTION("""COMPUTED_VALUE"""),168.39)</f>
        <v>168.39</v>
      </c>
      <c r="D65" s="1">
        <f ca="1">IFERROR(__xludf.DUMMYFUNCTION("""COMPUTED_VALUE"""),163.21)</f>
        <v>163.21</v>
      </c>
      <c r="E65" s="1">
        <f ca="1">IFERROR(__xludf.DUMMYFUNCTION("""COMPUTED_VALUE"""),168.35)</f>
        <v>168.35</v>
      </c>
      <c r="F65" s="1">
        <f ca="1">IFERROR(__xludf.DUMMYFUNCTION("""COMPUTED_VALUE"""),2500398)</f>
        <v>2500398</v>
      </c>
    </row>
    <row r="66" spans="1:6" ht="12.6">
      <c r="A66" s="2">
        <f ca="1">IFERROR(__xludf.DUMMYFUNCTION("""COMPUTED_VALUE"""),44656.6666666666)</f>
        <v>44656.666666666599</v>
      </c>
      <c r="B66" s="1">
        <f ca="1">IFERROR(__xludf.DUMMYFUNCTION("""COMPUTED_VALUE"""),167.74)</f>
        <v>167.74</v>
      </c>
      <c r="C66" s="1">
        <f ca="1">IFERROR(__xludf.DUMMYFUNCTION("""COMPUTED_VALUE"""),168.11)</f>
        <v>168.11</v>
      </c>
      <c r="D66" s="1">
        <f ca="1">IFERROR(__xludf.DUMMYFUNCTION("""COMPUTED_VALUE"""),163.27)</f>
        <v>163.27000000000001</v>
      </c>
      <c r="E66" s="1">
        <f ca="1">IFERROR(__xludf.DUMMYFUNCTION("""COMPUTED_VALUE"""),164.06)</f>
        <v>164.06</v>
      </c>
      <c r="F66" s="1">
        <f ca="1">IFERROR(__xludf.DUMMYFUNCTION("""COMPUTED_VALUE"""),2686428)</f>
        <v>2686428</v>
      </c>
    </row>
    <row r="67" spans="1:6" ht="12.6">
      <c r="A67" s="2">
        <f ca="1">IFERROR(__xludf.DUMMYFUNCTION("""COMPUTED_VALUE"""),44657.6666666666)</f>
        <v>44657.666666666599</v>
      </c>
      <c r="B67" s="1">
        <f ca="1">IFERROR(__xludf.DUMMYFUNCTION("""COMPUTED_VALUE"""),161.65)</f>
        <v>161.65</v>
      </c>
      <c r="C67" s="1">
        <f ca="1">IFERROR(__xludf.DUMMYFUNCTION("""COMPUTED_VALUE"""),162.2)</f>
        <v>162.19999999999999</v>
      </c>
      <c r="D67" s="1">
        <f ca="1">IFERROR(__xludf.DUMMYFUNCTION("""COMPUTED_VALUE"""),157.25)</f>
        <v>157.25</v>
      </c>
      <c r="E67" s="1">
        <f ca="1">IFERROR(__xludf.DUMMYFUNCTION("""COMPUTED_VALUE"""),158.76)</f>
        <v>158.76</v>
      </c>
      <c r="F67" s="1">
        <f ca="1">IFERROR(__xludf.DUMMYFUNCTION("""COMPUTED_VALUE"""),3952788)</f>
        <v>3952788</v>
      </c>
    </row>
    <row r="68" spans="1:6" ht="12.6">
      <c r="A68" s="2">
        <f ca="1">IFERROR(__xludf.DUMMYFUNCTION("""COMPUTED_VALUE"""),44658.6666666666)</f>
        <v>44658.666666666599</v>
      </c>
      <c r="B68" s="1">
        <f ca="1">IFERROR(__xludf.DUMMYFUNCTION("""COMPUTED_VALUE"""),158.4)</f>
        <v>158.4</v>
      </c>
      <c r="C68" s="1">
        <f ca="1">IFERROR(__xludf.DUMMYFUNCTION("""COMPUTED_VALUE"""),160.08)</f>
        <v>160.08000000000001</v>
      </c>
      <c r="D68" s="1">
        <f ca="1">IFERROR(__xludf.DUMMYFUNCTION("""COMPUTED_VALUE"""),154.51)</f>
        <v>154.51</v>
      </c>
      <c r="E68" s="1">
        <f ca="1">IFERROR(__xludf.DUMMYFUNCTION("""COMPUTED_VALUE"""),157.78)</f>
        <v>157.78</v>
      </c>
      <c r="F68" s="1">
        <f ca="1">IFERROR(__xludf.DUMMYFUNCTION("""COMPUTED_VALUE"""),3406839)</f>
        <v>3406839</v>
      </c>
    </row>
    <row r="69" spans="1:6" ht="12.6">
      <c r="A69" s="2">
        <f ca="1">IFERROR(__xludf.DUMMYFUNCTION("""COMPUTED_VALUE"""),44659.6666666666)</f>
        <v>44659.666666666599</v>
      </c>
      <c r="B69" s="1">
        <f ca="1">IFERROR(__xludf.DUMMYFUNCTION("""COMPUTED_VALUE"""),156.75)</f>
        <v>156.75</v>
      </c>
      <c r="C69" s="1">
        <f ca="1">IFERROR(__xludf.DUMMYFUNCTION("""COMPUTED_VALUE"""),157.37)</f>
        <v>157.37</v>
      </c>
      <c r="D69" s="1">
        <f ca="1">IFERROR(__xludf.DUMMYFUNCTION("""COMPUTED_VALUE"""),154.23)</f>
        <v>154.22999999999999</v>
      </c>
      <c r="E69" s="1">
        <f ca="1">IFERROR(__xludf.DUMMYFUNCTION("""COMPUTED_VALUE"""),154.46)</f>
        <v>154.46</v>
      </c>
      <c r="F69" s="1">
        <f ca="1">IFERROR(__xludf.DUMMYFUNCTION("""COMPUTED_VALUE"""),2300083)</f>
        <v>2300083</v>
      </c>
    </row>
    <row r="70" spans="1:6" ht="12.6">
      <c r="A70" s="2">
        <f ca="1">IFERROR(__xludf.DUMMYFUNCTION("""COMPUTED_VALUE"""),44662.6666666666)</f>
        <v>44662.666666666599</v>
      </c>
      <c r="B70" s="1">
        <f ca="1">IFERROR(__xludf.DUMMYFUNCTION("""COMPUTED_VALUE"""),152.71)</f>
        <v>152.71</v>
      </c>
      <c r="C70" s="1">
        <f ca="1">IFERROR(__xludf.DUMMYFUNCTION("""COMPUTED_VALUE"""),154.14)</f>
        <v>154.13999999999999</v>
      </c>
      <c r="D70" s="1">
        <f ca="1">IFERROR(__xludf.DUMMYFUNCTION("""COMPUTED_VALUE"""),150.53)</f>
        <v>150.53</v>
      </c>
      <c r="E70" s="1">
        <f ca="1">IFERROR(__xludf.DUMMYFUNCTION("""COMPUTED_VALUE"""),151.12)</f>
        <v>151.12</v>
      </c>
      <c r="F70" s="1">
        <f ca="1">IFERROR(__xludf.DUMMYFUNCTION("""COMPUTED_VALUE"""),2605617)</f>
        <v>2605617</v>
      </c>
    </row>
    <row r="71" spans="1:6" ht="12.6">
      <c r="A71" s="2">
        <f ca="1">IFERROR(__xludf.DUMMYFUNCTION("""COMPUTED_VALUE"""),44663.6666666666)</f>
        <v>44663.666666666599</v>
      </c>
      <c r="B71" s="1">
        <f ca="1">IFERROR(__xludf.DUMMYFUNCTION("""COMPUTED_VALUE"""),153.69)</f>
        <v>153.69</v>
      </c>
      <c r="C71" s="1">
        <f ca="1">IFERROR(__xludf.DUMMYFUNCTION("""COMPUTED_VALUE"""),155.1)</f>
        <v>155.1</v>
      </c>
      <c r="D71" s="1">
        <f ca="1">IFERROR(__xludf.DUMMYFUNCTION("""COMPUTED_VALUE"""),150.38)</f>
        <v>150.38</v>
      </c>
      <c r="E71" s="1">
        <f ca="1">IFERROR(__xludf.DUMMYFUNCTION("""COMPUTED_VALUE"""),150.79)</f>
        <v>150.79</v>
      </c>
      <c r="F71" s="1">
        <f ca="1">IFERROR(__xludf.DUMMYFUNCTION("""COMPUTED_VALUE"""),2758872)</f>
        <v>2758872</v>
      </c>
    </row>
    <row r="72" spans="1:6" ht="12.6">
      <c r="A72" s="2">
        <f ca="1">IFERROR(__xludf.DUMMYFUNCTION("""COMPUTED_VALUE"""),44664.6666666666)</f>
        <v>44664.666666666599</v>
      </c>
      <c r="B72" s="1">
        <f ca="1">IFERROR(__xludf.DUMMYFUNCTION("""COMPUTED_VALUE"""),150.02)</f>
        <v>150.02000000000001</v>
      </c>
      <c r="C72" s="1">
        <f ca="1">IFERROR(__xludf.DUMMYFUNCTION("""COMPUTED_VALUE"""),156.03)</f>
        <v>156.03</v>
      </c>
      <c r="D72" s="1">
        <f ca="1">IFERROR(__xludf.DUMMYFUNCTION("""COMPUTED_VALUE"""),149.6)</f>
        <v>149.6</v>
      </c>
      <c r="E72" s="1">
        <f ca="1">IFERROR(__xludf.DUMMYFUNCTION("""COMPUTED_VALUE"""),155.54)</f>
        <v>155.54</v>
      </c>
      <c r="F72" s="1">
        <f ca="1">IFERROR(__xludf.DUMMYFUNCTION("""COMPUTED_VALUE"""),2669544)</f>
        <v>2669544</v>
      </c>
    </row>
    <row r="73" spans="1:6" ht="12.6">
      <c r="A73" s="2">
        <f ca="1">IFERROR(__xludf.DUMMYFUNCTION("""COMPUTED_VALUE"""),44665.6666666666)</f>
        <v>44665.666666666599</v>
      </c>
      <c r="B73" s="1">
        <f ca="1">IFERROR(__xludf.DUMMYFUNCTION("""COMPUTED_VALUE"""),155.39)</f>
        <v>155.38999999999999</v>
      </c>
      <c r="C73" s="1">
        <f ca="1">IFERROR(__xludf.DUMMYFUNCTION("""COMPUTED_VALUE"""),155.9)</f>
        <v>155.9</v>
      </c>
      <c r="D73" s="1">
        <f ca="1">IFERROR(__xludf.DUMMYFUNCTION("""COMPUTED_VALUE"""),151.47)</f>
        <v>151.47</v>
      </c>
      <c r="E73" s="1">
        <f ca="1">IFERROR(__xludf.DUMMYFUNCTION("""COMPUTED_VALUE"""),151.71)</f>
        <v>151.71</v>
      </c>
      <c r="F73" s="1">
        <f ca="1">IFERROR(__xludf.DUMMYFUNCTION("""COMPUTED_VALUE"""),2579907)</f>
        <v>2579907</v>
      </c>
    </row>
    <row r="74" spans="1:6" ht="12.6">
      <c r="A74" s="2">
        <f ca="1">IFERROR(__xludf.DUMMYFUNCTION("""COMPUTED_VALUE"""),44669.6666666666)</f>
        <v>44669.666666666599</v>
      </c>
      <c r="B74" s="1">
        <f ca="1">IFERROR(__xludf.DUMMYFUNCTION("""COMPUTED_VALUE"""),151.52)</f>
        <v>151.52000000000001</v>
      </c>
      <c r="C74" s="1">
        <f ca="1">IFERROR(__xludf.DUMMYFUNCTION("""COMPUTED_VALUE"""),154.04)</f>
        <v>154.04</v>
      </c>
      <c r="D74" s="1">
        <f ca="1">IFERROR(__xludf.DUMMYFUNCTION("""COMPUTED_VALUE"""),150.25)</f>
        <v>150.25</v>
      </c>
      <c r="E74" s="1">
        <f ca="1">IFERROR(__xludf.DUMMYFUNCTION("""COMPUTED_VALUE"""),152.79)</f>
        <v>152.79</v>
      </c>
      <c r="F74" s="1">
        <f ca="1">IFERROR(__xludf.DUMMYFUNCTION("""COMPUTED_VALUE"""),2325676)</f>
        <v>2325676</v>
      </c>
    </row>
    <row r="75" spans="1:6" ht="12.6">
      <c r="A75" s="2">
        <f ca="1">IFERROR(__xludf.DUMMYFUNCTION("""COMPUTED_VALUE"""),44670.6666666666)</f>
        <v>44670.666666666599</v>
      </c>
      <c r="B75" s="1">
        <f ca="1">IFERROR(__xludf.DUMMYFUNCTION("""COMPUTED_VALUE"""),152.03)</f>
        <v>152.03</v>
      </c>
      <c r="C75" s="1">
        <f ca="1">IFERROR(__xludf.DUMMYFUNCTION("""COMPUTED_VALUE"""),158.65)</f>
        <v>158.65</v>
      </c>
      <c r="D75" s="1">
        <f ca="1">IFERROR(__xludf.DUMMYFUNCTION("""COMPUTED_VALUE"""),151.55)</f>
        <v>151.55000000000001</v>
      </c>
      <c r="E75" s="1">
        <f ca="1">IFERROR(__xludf.DUMMYFUNCTION("""COMPUTED_VALUE"""),158.12)</f>
        <v>158.12</v>
      </c>
      <c r="F75" s="1">
        <f ca="1">IFERROR(__xludf.DUMMYFUNCTION("""COMPUTED_VALUE"""),2746321)</f>
        <v>2746321</v>
      </c>
    </row>
    <row r="76" spans="1:6" ht="12.6">
      <c r="A76" s="2">
        <f ca="1">IFERROR(__xludf.DUMMYFUNCTION("""COMPUTED_VALUE"""),44671.6666666666)</f>
        <v>44671.666666666599</v>
      </c>
      <c r="B76" s="1">
        <f ca="1">IFERROR(__xludf.DUMMYFUNCTION("""COMPUTED_VALUE"""),157.6)</f>
        <v>157.6</v>
      </c>
      <c r="C76" s="1">
        <f ca="1">IFERROR(__xludf.DUMMYFUNCTION("""COMPUTED_VALUE"""),157.6)</f>
        <v>157.6</v>
      </c>
      <c r="D76" s="1">
        <f ca="1">IFERROR(__xludf.DUMMYFUNCTION("""COMPUTED_VALUE"""),153.6)</f>
        <v>153.6</v>
      </c>
      <c r="E76" s="1">
        <f ca="1">IFERROR(__xludf.DUMMYFUNCTION("""COMPUTED_VALUE"""),154)</f>
        <v>154</v>
      </c>
      <c r="F76" s="1">
        <f ca="1">IFERROR(__xludf.DUMMYFUNCTION("""COMPUTED_VALUE"""),2981501)</f>
        <v>2981501</v>
      </c>
    </row>
    <row r="77" spans="1:6" ht="12.6">
      <c r="A77" s="2">
        <f ca="1">IFERROR(__xludf.DUMMYFUNCTION("""COMPUTED_VALUE"""),44672.6666666666)</f>
        <v>44672.666666666599</v>
      </c>
      <c r="B77" s="1">
        <f ca="1">IFERROR(__xludf.DUMMYFUNCTION("""COMPUTED_VALUE"""),154.71)</f>
        <v>154.71</v>
      </c>
      <c r="C77" s="1">
        <f ca="1">IFERROR(__xludf.DUMMYFUNCTION("""COMPUTED_VALUE"""),156.74)</f>
        <v>156.74</v>
      </c>
      <c r="D77" s="1">
        <f ca="1">IFERROR(__xludf.DUMMYFUNCTION("""COMPUTED_VALUE"""),147.59)</f>
        <v>147.59</v>
      </c>
      <c r="E77" s="1">
        <f ca="1">IFERROR(__xludf.DUMMYFUNCTION("""COMPUTED_VALUE"""),148.3)</f>
        <v>148.30000000000001</v>
      </c>
      <c r="F77" s="1">
        <f ca="1">IFERROR(__xludf.DUMMYFUNCTION("""COMPUTED_VALUE"""),3198466)</f>
        <v>3198466</v>
      </c>
    </row>
    <row r="78" spans="1:6" ht="12.6">
      <c r="A78" s="2">
        <f ca="1">IFERROR(__xludf.DUMMYFUNCTION("""COMPUTED_VALUE"""),44673.6666666666)</f>
        <v>44673.666666666599</v>
      </c>
      <c r="B78" s="1">
        <f ca="1">IFERROR(__xludf.DUMMYFUNCTION("""COMPUTED_VALUE"""),148.25)</f>
        <v>148.25</v>
      </c>
      <c r="C78" s="1">
        <f ca="1">IFERROR(__xludf.DUMMYFUNCTION("""COMPUTED_VALUE"""),149.62)</f>
        <v>149.62</v>
      </c>
      <c r="D78" s="1">
        <f ca="1">IFERROR(__xludf.DUMMYFUNCTION("""COMPUTED_VALUE"""),143.7)</f>
        <v>143.69999999999999</v>
      </c>
      <c r="E78" s="1">
        <f ca="1">IFERROR(__xludf.DUMMYFUNCTION("""COMPUTED_VALUE"""),144.35)</f>
        <v>144.35</v>
      </c>
      <c r="F78" s="1">
        <f ca="1">IFERROR(__xludf.DUMMYFUNCTION("""COMPUTED_VALUE"""),3653929)</f>
        <v>3653929</v>
      </c>
    </row>
    <row r="79" spans="1:6" ht="12.6">
      <c r="A79" s="2">
        <f ca="1">IFERROR(__xludf.DUMMYFUNCTION("""COMPUTED_VALUE"""),44676.6666666666)</f>
        <v>44676.666666666599</v>
      </c>
      <c r="B79" s="1">
        <f ca="1">IFERROR(__xludf.DUMMYFUNCTION("""COMPUTED_VALUE"""),144.02)</f>
        <v>144.02000000000001</v>
      </c>
      <c r="C79" s="1">
        <f ca="1">IFERROR(__xludf.DUMMYFUNCTION("""COMPUTED_VALUE"""),146.22)</f>
        <v>146.22</v>
      </c>
      <c r="D79" s="1">
        <f ca="1">IFERROR(__xludf.DUMMYFUNCTION("""COMPUTED_VALUE"""),142.31)</f>
        <v>142.31</v>
      </c>
      <c r="E79" s="1">
        <f ca="1">IFERROR(__xludf.DUMMYFUNCTION("""COMPUTED_VALUE"""),146.07)</f>
        <v>146.07</v>
      </c>
      <c r="F79" s="1">
        <f ca="1">IFERROR(__xludf.DUMMYFUNCTION("""COMPUTED_VALUE"""),3093749)</f>
        <v>3093749</v>
      </c>
    </row>
    <row r="80" spans="1:6" ht="12.6">
      <c r="A80" s="2">
        <f ca="1">IFERROR(__xludf.DUMMYFUNCTION("""COMPUTED_VALUE"""),44677.6666666666)</f>
        <v>44677.666666666599</v>
      </c>
      <c r="B80" s="1">
        <f ca="1">IFERROR(__xludf.DUMMYFUNCTION("""COMPUTED_VALUE"""),144.8)</f>
        <v>144.80000000000001</v>
      </c>
      <c r="C80" s="1">
        <f ca="1">IFERROR(__xludf.DUMMYFUNCTION("""COMPUTED_VALUE"""),144.86)</f>
        <v>144.86000000000001</v>
      </c>
      <c r="D80" s="1">
        <f ca="1">IFERROR(__xludf.DUMMYFUNCTION("""COMPUTED_VALUE"""),138.93)</f>
        <v>138.93</v>
      </c>
      <c r="E80" s="1">
        <f ca="1">IFERROR(__xludf.DUMMYFUNCTION("""COMPUTED_VALUE"""),139.39)</f>
        <v>139.38999999999999</v>
      </c>
      <c r="F80" s="1">
        <f ca="1">IFERROR(__xludf.DUMMYFUNCTION("""COMPUTED_VALUE"""),3876458)</f>
        <v>3876458</v>
      </c>
    </row>
    <row r="81" spans="1:6" ht="12.6">
      <c r="A81" s="2">
        <f ca="1">IFERROR(__xludf.DUMMYFUNCTION("""COMPUTED_VALUE"""),44678.6666666666)</f>
        <v>44678.666666666599</v>
      </c>
      <c r="B81" s="1">
        <f ca="1">IFERROR(__xludf.DUMMYFUNCTION("""COMPUTED_VALUE"""),140.19)</f>
        <v>140.19</v>
      </c>
      <c r="C81" s="1">
        <f ca="1">IFERROR(__xludf.DUMMYFUNCTION("""COMPUTED_VALUE"""),141.95)</f>
        <v>141.94999999999999</v>
      </c>
      <c r="D81" s="1">
        <f ca="1">IFERROR(__xludf.DUMMYFUNCTION("""COMPUTED_VALUE"""),135.78)</f>
        <v>135.78</v>
      </c>
      <c r="E81" s="1">
        <f ca="1">IFERROR(__xludf.DUMMYFUNCTION("""COMPUTED_VALUE"""),138.17)</f>
        <v>138.16999999999999</v>
      </c>
      <c r="F81" s="1">
        <f ca="1">IFERROR(__xludf.DUMMYFUNCTION("""COMPUTED_VALUE"""),3566815)</f>
        <v>3566815</v>
      </c>
    </row>
    <row r="82" spans="1:6" ht="12.6">
      <c r="A82" s="2">
        <f ca="1">IFERROR(__xludf.DUMMYFUNCTION("""COMPUTED_VALUE"""),44679.6666666666)</f>
        <v>44679.666666666599</v>
      </c>
      <c r="B82" s="1">
        <f ca="1">IFERROR(__xludf.DUMMYFUNCTION("""COMPUTED_VALUE"""),142.18)</f>
        <v>142.18</v>
      </c>
      <c r="C82" s="1">
        <f ca="1">IFERROR(__xludf.DUMMYFUNCTION("""COMPUTED_VALUE"""),145.94)</f>
        <v>145.94</v>
      </c>
      <c r="D82" s="1">
        <f ca="1">IFERROR(__xludf.DUMMYFUNCTION("""COMPUTED_VALUE"""),140.3)</f>
        <v>140.30000000000001</v>
      </c>
      <c r="E82" s="1">
        <f ca="1">IFERROR(__xludf.DUMMYFUNCTION("""COMPUTED_VALUE"""),144.6)</f>
        <v>144.6</v>
      </c>
      <c r="F82" s="1">
        <f ca="1">IFERROR(__xludf.DUMMYFUNCTION("""COMPUTED_VALUE"""),5865847)</f>
        <v>5865847</v>
      </c>
    </row>
    <row r="83" spans="1:6" ht="12.6">
      <c r="A83" s="2">
        <f ca="1">IFERROR(__xludf.DUMMYFUNCTION("""COMPUTED_VALUE"""),44680.6666666666)</f>
        <v>44680.666666666599</v>
      </c>
      <c r="B83" s="1">
        <f ca="1">IFERROR(__xludf.DUMMYFUNCTION("""COMPUTED_VALUE"""),129.85)</f>
        <v>129.85</v>
      </c>
      <c r="C83" s="1">
        <f ca="1">IFERROR(__xludf.DUMMYFUNCTION("""COMPUTED_VALUE"""),130.76)</f>
        <v>130.76</v>
      </c>
      <c r="D83" s="1">
        <f ca="1">IFERROR(__xludf.DUMMYFUNCTION("""COMPUTED_VALUE"""),121.63)</f>
        <v>121.63</v>
      </c>
      <c r="E83" s="1">
        <f ca="1">IFERROR(__xludf.DUMMYFUNCTION("""COMPUTED_VALUE"""),124.28)</f>
        <v>124.28</v>
      </c>
      <c r="F83" s="1">
        <f ca="1">IFERROR(__xludf.DUMMYFUNCTION("""COMPUTED_VALUE"""),13633086)</f>
        <v>13633086</v>
      </c>
    </row>
    <row r="84" spans="1:6" ht="12.6">
      <c r="A84" s="2">
        <f ca="1">IFERROR(__xludf.DUMMYFUNCTION("""COMPUTED_VALUE"""),44683.6666666666)</f>
        <v>44683.666666666599</v>
      </c>
      <c r="B84" s="1">
        <f ca="1">IFERROR(__xludf.DUMMYFUNCTION("""COMPUTED_VALUE"""),122.4)</f>
        <v>122.4</v>
      </c>
      <c r="C84" s="1">
        <f ca="1">IFERROR(__xludf.DUMMYFUNCTION("""COMPUTED_VALUE"""),124.67)</f>
        <v>124.67</v>
      </c>
      <c r="D84" s="1">
        <f ca="1">IFERROR(__xludf.DUMMYFUNCTION("""COMPUTED_VALUE"""),118.38)</f>
        <v>118.38</v>
      </c>
      <c r="E84" s="1">
        <f ca="1">IFERROR(__xludf.DUMMYFUNCTION("""COMPUTED_VALUE"""),124.5)</f>
        <v>124.5</v>
      </c>
      <c r="F84" s="1">
        <f ca="1">IFERROR(__xludf.DUMMYFUNCTION("""COMPUTED_VALUE"""),7439449)</f>
        <v>7439449</v>
      </c>
    </row>
    <row r="85" spans="1:6" ht="12.6">
      <c r="A85" s="2">
        <f ca="1">IFERROR(__xludf.DUMMYFUNCTION("""COMPUTED_VALUE"""),44684.6666666666)</f>
        <v>44684.666666666599</v>
      </c>
      <c r="B85" s="1">
        <f ca="1">IFERROR(__xludf.DUMMYFUNCTION("""COMPUTED_VALUE"""),124.05)</f>
        <v>124.05</v>
      </c>
      <c r="C85" s="1">
        <f ca="1">IFERROR(__xludf.DUMMYFUNCTION("""COMPUTED_VALUE"""),126.22)</f>
        <v>126.22</v>
      </c>
      <c r="D85" s="1">
        <f ca="1">IFERROR(__xludf.DUMMYFUNCTION("""COMPUTED_VALUE"""),122.83)</f>
        <v>122.83</v>
      </c>
      <c r="E85" s="1">
        <f ca="1">IFERROR(__xludf.DUMMYFUNCTION("""COMPUTED_VALUE"""),124.25)</f>
        <v>124.25</v>
      </c>
      <c r="F85" s="1">
        <f ca="1">IFERROR(__xludf.DUMMYFUNCTION("""COMPUTED_VALUE"""),3956668)</f>
        <v>3956668</v>
      </c>
    </row>
    <row r="86" spans="1:6" ht="12.6">
      <c r="A86" s="2">
        <f ca="1">IFERROR(__xludf.DUMMYFUNCTION("""COMPUTED_VALUE"""),44685.6666666666)</f>
        <v>44685.666666666599</v>
      </c>
      <c r="B86" s="1">
        <f ca="1">IFERROR(__xludf.DUMMYFUNCTION("""COMPUTED_VALUE"""),123.6)</f>
        <v>123.6</v>
      </c>
      <c r="C86" s="1">
        <f ca="1">IFERROR(__xludf.DUMMYFUNCTION("""COMPUTED_VALUE"""),126)</f>
        <v>126</v>
      </c>
      <c r="D86" s="1">
        <f ca="1">IFERROR(__xludf.DUMMYFUNCTION("""COMPUTED_VALUE"""),119.18)</f>
        <v>119.18</v>
      </c>
      <c r="E86" s="1">
        <f ca="1">IFERROR(__xludf.DUMMYFUNCTION("""COMPUTED_VALUE"""),125.93)</f>
        <v>125.93</v>
      </c>
      <c r="F86" s="1">
        <f ca="1">IFERROR(__xludf.DUMMYFUNCTION("""COMPUTED_VALUE"""),5537268)</f>
        <v>5537268</v>
      </c>
    </row>
    <row r="87" spans="1:6" ht="12.6">
      <c r="A87" s="2">
        <f ca="1">IFERROR(__xludf.DUMMYFUNCTION("""COMPUTED_VALUE"""),44686.6666666666)</f>
        <v>44686.666666666599</v>
      </c>
      <c r="B87" s="1">
        <f ca="1">IFERROR(__xludf.DUMMYFUNCTION("""COMPUTED_VALUE"""),123)</f>
        <v>123</v>
      </c>
      <c r="C87" s="1">
        <f ca="1">IFERROR(__xludf.DUMMYFUNCTION("""COMPUTED_VALUE"""),123.5)</f>
        <v>123.5</v>
      </c>
      <c r="D87" s="1">
        <f ca="1">IFERROR(__xludf.DUMMYFUNCTION("""COMPUTED_VALUE"""),115.07)</f>
        <v>115.07</v>
      </c>
      <c r="E87" s="1">
        <f ca="1">IFERROR(__xludf.DUMMYFUNCTION("""COMPUTED_VALUE"""),116.41)</f>
        <v>116.41</v>
      </c>
      <c r="F87" s="1">
        <f ca="1">IFERROR(__xludf.DUMMYFUNCTION("""COMPUTED_VALUE"""),7219561)</f>
        <v>7219561</v>
      </c>
    </row>
    <row r="88" spans="1:6" ht="12.6">
      <c r="A88" s="2">
        <f ca="1">IFERROR(__xludf.DUMMYFUNCTION("""COMPUTED_VALUE"""),44687.6666666666)</f>
        <v>44687.666666666599</v>
      </c>
      <c r="B88" s="1">
        <f ca="1">IFERROR(__xludf.DUMMYFUNCTION("""COMPUTED_VALUE"""),114.85)</f>
        <v>114.85</v>
      </c>
      <c r="C88" s="1">
        <f ca="1">IFERROR(__xludf.DUMMYFUNCTION("""COMPUTED_VALUE"""),119.05)</f>
        <v>119.05</v>
      </c>
      <c r="D88" s="1">
        <f ca="1">IFERROR(__xludf.DUMMYFUNCTION("""COMPUTED_VALUE"""),113.08)</f>
        <v>113.08</v>
      </c>
      <c r="E88" s="1">
        <f ca="1">IFERROR(__xludf.DUMMYFUNCTION("""COMPUTED_VALUE"""),114.77)</f>
        <v>114.77</v>
      </c>
      <c r="F88" s="1">
        <f ca="1">IFERROR(__xludf.DUMMYFUNCTION("""COMPUTED_VALUE"""),6212995)</f>
        <v>6212995</v>
      </c>
    </row>
    <row r="89" spans="1:6" ht="12.6">
      <c r="A89" s="2">
        <f ca="1">IFERROR(__xludf.DUMMYFUNCTION("""COMPUTED_VALUE"""),44690.6666666666)</f>
        <v>44690.666666666599</v>
      </c>
      <c r="B89" s="1">
        <f ca="1">IFERROR(__xludf.DUMMYFUNCTION("""COMPUTED_VALUE"""),111.31)</f>
        <v>111.31</v>
      </c>
      <c r="C89" s="1">
        <f ca="1">IFERROR(__xludf.DUMMYFUNCTION("""COMPUTED_VALUE"""),114)</f>
        <v>114</v>
      </c>
      <c r="D89" s="1">
        <f ca="1">IFERROR(__xludf.DUMMYFUNCTION("""COMPUTED_VALUE"""),107.96)</f>
        <v>107.96</v>
      </c>
      <c r="E89" s="1">
        <f ca="1">IFERROR(__xludf.DUMMYFUNCTION("""COMPUTED_VALUE"""),108.79)</f>
        <v>108.79</v>
      </c>
      <c r="F89" s="1">
        <f ca="1">IFERROR(__xludf.DUMMYFUNCTION("""COMPUTED_VALUE"""),6406219)</f>
        <v>6406219</v>
      </c>
    </row>
    <row r="90" spans="1:6" ht="12.6">
      <c r="A90" s="2">
        <f ca="1">IFERROR(__xludf.DUMMYFUNCTION("""COMPUTED_VALUE"""),44691.6666666666)</f>
        <v>44691.666666666599</v>
      </c>
      <c r="B90" s="1">
        <f ca="1">IFERROR(__xludf.DUMMYFUNCTION("""COMPUTED_VALUE"""),111.25)</f>
        <v>111.25</v>
      </c>
      <c r="C90" s="1">
        <f ca="1">IFERROR(__xludf.DUMMYFUNCTION("""COMPUTED_VALUE"""),112.64)</f>
        <v>112.64</v>
      </c>
      <c r="D90" s="1">
        <f ca="1">IFERROR(__xludf.DUMMYFUNCTION("""COMPUTED_VALUE"""),107.17)</f>
        <v>107.17</v>
      </c>
      <c r="E90" s="1">
        <f ca="1">IFERROR(__xludf.DUMMYFUNCTION("""COMPUTED_VALUE"""),108.86)</f>
        <v>108.86</v>
      </c>
      <c r="F90" s="1">
        <f ca="1">IFERROR(__xludf.DUMMYFUNCTION("""COMPUTED_VALUE"""),5271691)</f>
        <v>5271691</v>
      </c>
    </row>
    <row r="91" spans="1:6" ht="12.6">
      <c r="A91" s="2">
        <f ca="1">IFERROR(__xludf.DUMMYFUNCTION("""COMPUTED_VALUE"""),44692.6666666666)</f>
        <v>44692.666666666599</v>
      </c>
      <c r="B91" s="1">
        <f ca="1">IFERROR(__xludf.DUMMYFUNCTION("""COMPUTED_VALUE"""),108.1)</f>
        <v>108.1</v>
      </c>
      <c r="C91" s="1">
        <f ca="1">IFERROR(__xludf.DUMMYFUNCTION("""COMPUTED_VALUE"""),110.16)</f>
        <v>110.16</v>
      </c>
      <c r="D91" s="1">
        <f ca="1">IFERROR(__xludf.DUMMYFUNCTION("""COMPUTED_VALUE"""),104.43)</f>
        <v>104.43</v>
      </c>
      <c r="E91" s="1">
        <f ca="1">IFERROR(__xludf.DUMMYFUNCTION("""COMPUTED_VALUE"""),105.37)</f>
        <v>105.37</v>
      </c>
      <c r="F91" s="1">
        <f ca="1">IFERROR(__xludf.DUMMYFUNCTION("""COMPUTED_VALUE"""),5485182)</f>
        <v>5485182</v>
      </c>
    </row>
    <row r="92" spans="1:6" ht="12.6">
      <c r="A92" s="2">
        <f ca="1">IFERROR(__xludf.DUMMYFUNCTION("""COMPUTED_VALUE"""),44693.6666666666)</f>
        <v>44693.666666666599</v>
      </c>
      <c r="B92" s="1">
        <f ca="1">IFERROR(__xludf.DUMMYFUNCTION("""COMPUTED_VALUE"""),102.75)</f>
        <v>102.75</v>
      </c>
      <c r="C92" s="1">
        <f ca="1">IFERROR(__xludf.DUMMYFUNCTION("""COMPUTED_VALUE"""),110.78)</f>
        <v>110.78</v>
      </c>
      <c r="D92" s="1">
        <f ca="1">IFERROR(__xludf.DUMMYFUNCTION("""COMPUTED_VALUE"""),102.41)</f>
        <v>102.41</v>
      </c>
      <c r="E92" s="1">
        <f ca="1">IFERROR(__xludf.DUMMYFUNCTION("""COMPUTED_VALUE"""),106.93)</f>
        <v>106.93</v>
      </c>
      <c r="F92" s="1">
        <f ca="1">IFERROR(__xludf.DUMMYFUNCTION("""COMPUTED_VALUE"""),6601257)</f>
        <v>6601257</v>
      </c>
    </row>
    <row r="93" spans="1:6" ht="12.6">
      <c r="A93" s="2">
        <f ca="1">IFERROR(__xludf.DUMMYFUNCTION("""COMPUTED_VALUE"""),44694.6666666666)</f>
        <v>44694.666666666599</v>
      </c>
      <c r="B93" s="1">
        <f ca="1">IFERROR(__xludf.DUMMYFUNCTION("""COMPUTED_VALUE"""),109.07)</f>
        <v>109.07</v>
      </c>
      <c r="C93" s="1">
        <f ca="1">IFERROR(__xludf.DUMMYFUNCTION("""COMPUTED_VALUE"""),113.18)</f>
        <v>113.18</v>
      </c>
      <c r="D93" s="1">
        <f ca="1">IFERROR(__xludf.DUMMYFUNCTION("""COMPUTED_VALUE"""),107.8)</f>
        <v>107.8</v>
      </c>
      <c r="E93" s="1">
        <f ca="1">IFERROR(__xludf.DUMMYFUNCTION("""COMPUTED_VALUE"""),113.06)</f>
        <v>113.06</v>
      </c>
      <c r="F93" s="1">
        <f ca="1">IFERROR(__xludf.DUMMYFUNCTION("""COMPUTED_VALUE"""),4684228)</f>
        <v>4684228</v>
      </c>
    </row>
    <row r="94" spans="1:6" ht="12.6">
      <c r="A94" s="2">
        <f ca="1">IFERROR(__xludf.DUMMYFUNCTION("""COMPUTED_VALUE"""),44697.6666666666)</f>
        <v>44697.666666666599</v>
      </c>
      <c r="B94" s="1">
        <f ca="1">IFERROR(__xludf.DUMMYFUNCTION("""COMPUTED_VALUE"""),113.1)</f>
        <v>113.1</v>
      </c>
      <c r="C94" s="1">
        <f ca="1">IFERROR(__xludf.DUMMYFUNCTION("""COMPUTED_VALUE"""),113.99)</f>
        <v>113.99</v>
      </c>
      <c r="D94" s="1">
        <f ca="1">IFERROR(__xludf.DUMMYFUNCTION("""COMPUTED_VALUE"""),110.35)</f>
        <v>110.35</v>
      </c>
      <c r="E94" s="1">
        <f ca="1">IFERROR(__xludf.DUMMYFUNCTION("""COMPUTED_VALUE"""),110.81)</f>
        <v>110.81</v>
      </c>
      <c r="F94" s="1">
        <f ca="1">IFERROR(__xludf.DUMMYFUNCTION("""COMPUTED_VALUE"""),3728287)</f>
        <v>3728287</v>
      </c>
    </row>
    <row r="95" spans="1:6" ht="12.6">
      <c r="A95" s="2">
        <f ca="1">IFERROR(__xludf.DUMMYFUNCTION("""COMPUTED_VALUE"""),44698.6666666666)</f>
        <v>44698.666666666599</v>
      </c>
      <c r="B95" s="1">
        <f ca="1">IFERROR(__xludf.DUMMYFUNCTION("""COMPUTED_VALUE"""),113.28)</f>
        <v>113.28</v>
      </c>
      <c r="C95" s="1">
        <f ca="1">IFERROR(__xludf.DUMMYFUNCTION("""COMPUTED_VALUE"""),115.8)</f>
        <v>115.8</v>
      </c>
      <c r="D95" s="1">
        <f ca="1">IFERROR(__xludf.DUMMYFUNCTION("""COMPUTED_VALUE"""),111.28)</f>
        <v>111.28</v>
      </c>
      <c r="E95" s="1">
        <f ca="1">IFERROR(__xludf.DUMMYFUNCTION("""COMPUTED_VALUE"""),115.37)</f>
        <v>115.37</v>
      </c>
      <c r="F95" s="1">
        <f ca="1">IFERROR(__xludf.DUMMYFUNCTION("""COMPUTED_VALUE"""),3822387)</f>
        <v>3822387</v>
      </c>
    </row>
    <row r="96" spans="1:6" ht="12.6">
      <c r="A96" s="2">
        <f ca="1">IFERROR(__xludf.DUMMYFUNCTION("""COMPUTED_VALUE"""),44699.6666666666)</f>
        <v>44699.666666666599</v>
      </c>
      <c r="B96" s="1">
        <f ca="1">IFERROR(__xludf.DUMMYFUNCTION("""COMPUTED_VALUE"""),111.44)</f>
        <v>111.44</v>
      </c>
      <c r="C96" s="1">
        <f ca="1">IFERROR(__xludf.DUMMYFUNCTION("""COMPUTED_VALUE"""),112.85)</f>
        <v>112.85</v>
      </c>
      <c r="D96" s="1">
        <f ca="1">IFERROR(__xludf.DUMMYFUNCTION("""COMPUTED_VALUE"""),106.25)</f>
        <v>106.25</v>
      </c>
      <c r="E96" s="1">
        <f ca="1">IFERROR(__xludf.DUMMYFUNCTION("""COMPUTED_VALUE"""),107.11)</f>
        <v>107.11</v>
      </c>
      <c r="F96" s="1">
        <f ca="1">IFERROR(__xludf.DUMMYFUNCTION("""COMPUTED_VALUE"""),5418959)</f>
        <v>5418959</v>
      </c>
    </row>
    <row r="97" spans="1:6" ht="12.6">
      <c r="A97" s="2">
        <f ca="1">IFERROR(__xludf.DUMMYFUNCTION("""COMPUTED_VALUE"""),44700.6666666666)</f>
        <v>44700.666666666599</v>
      </c>
      <c r="B97" s="1">
        <f ca="1">IFERROR(__xludf.DUMMYFUNCTION("""COMPUTED_VALUE"""),106.28)</f>
        <v>106.28</v>
      </c>
      <c r="C97" s="1">
        <f ca="1">IFERROR(__xludf.DUMMYFUNCTION("""COMPUTED_VALUE"""),110.03)</f>
        <v>110.03</v>
      </c>
      <c r="D97" s="1">
        <f ca="1">IFERROR(__xludf.DUMMYFUNCTION("""COMPUTED_VALUE"""),106.19)</f>
        <v>106.19</v>
      </c>
      <c r="E97" s="1">
        <f ca="1">IFERROR(__xludf.DUMMYFUNCTION("""COMPUTED_VALUE"""),107.32)</f>
        <v>107.32</v>
      </c>
      <c r="F97" s="1">
        <f ca="1">IFERROR(__xludf.DUMMYFUNCTION("""COMPUTED_VALUE"""),4407127)</f>
        <v>4407127</v>
      </c>
    </row>
    <row r="98" spans="1:6" ht="12.6">
      <c r="A98" s="2">
        <f ca="1">IFERROR(__xludf.DUMMYFUNCTION("""COMPUTED_VALUE"""),44701.6666666666)</f>
        <v>44701.666666666599</v>
      </c>
      <c r="B98" s="1">
        <f ca="1">IFERROR(__xludf.DUMMYFUNCTION("""COMPUTED_VALUE"""),109.57)</f>
        <v>109.57</v>
      </c>
      <c r="C98" s="1">
        <f ca="1">IFERROR(__xludf.DUMMYFUNCTION("""COMPUTED_VALUE"""),109.9)</f>
        <v>109.9</v>
      </c>
      <c r="D98" s="1">
        <f ca="1">IFERROR(__xludf.DUMMYFUNCTION("""COMPUTED_VALUE"""),105.01)</f>
        <v>105.01</v>
      </c>
      <c r="E98" s="1">
        <f ca="1">IFERROR(__xludf.DUMMYFUNCTION("""COMPUTED_VALUE"""),107.59)</f>
        <v>107.59</v>
      </c>
      <c r="F98" s="1">
        <f ca="1">IFERROR(__xludf.DUMMYFUNCTION("""COMPUTED_VALUE"""),4975032)</f>
        <v>4975032</v>
      </c>
    </row>
    <row r="99" spans="1:6" ht="12.6">
      <c r="A99" s="2">
        <f ca="1">IFERROR(__xludf.DUMMYFUNCTION("""COMPUTED_VALUE"""),44704.6666666666)</f>
        <v>44704.666666666599</v>
      </c>
      <c r="B99" s="1">
        <f ca="1">IFERROR(__xludf.DUMMYFUNCTION("""COMPUTED_VALUE"""),108.46)</f>
        <v>108.46</v>
      </c>
      <c r="C99" s="1">
        <f ca="1">IFERROR(__xludf.DUMMYFUNCTION("""COMPUTED_VALUE"""),108.82)</f>
        <v>108.82</v>
      </c>
      <c r="D99" s="1">
        <f ca="1">IFERROR(__xludf.DUMMYFUNCTION("""COMPUTED_VALUE"""),103.95)</f>
        <v>103.95</v>
      </c>
      <c r="E99" s="1">
        <f ca="1">IFERROR(__xludf.DUMMYFUNCTION("""COMPUTED_VALUE"""),107.56)</f>
        <v>107.56</v>
      </c>
      <c r="F99" s="1">
        <f ca="1">IFERROR(__xludf.DUMMYFUNCTION("""COMPUTED_VALUE"""),5389868)</f>
        <v>5389868</v>
      </c>
    </row>
    <row r="100" spans="1:6" ht="12.6">
      <c r="A100" s="2">
        <f ca="1">IFERROR(__xludf.DUMMYFUNCTION("""COMPUTED_VALUE"""),44705.6666666666)</f>
        <v>44705.666666666599</v>
      </c>
      <c r="B100" s="1">
        <f ca="1">IFERROR(__xludf.DUMMYFUNCTION("""COMPUTED_VALUE"""),104.03)</f>
        <v>104.03</v>
      </c>
      <c r="C100" s="1">
        <f ca="1">IFERROR(__xludf.DUMMYFUNCTION("""COMPUTED_VALUE"""),105.4)</f>
        <v>105.4</v>
      </c>
      <c r="D100" s="1">
        <f ca="1">IFERROR(__xludf.DUMMYFUNCTION("""COMPUTED_VALUE"""),101.26)</f>
        <v>101.26</v>
      </c>
      <c r="E100" s="1">
        <f ca="1">IFERROR(__xludf.DUMMYFUNCTION("""COMPUTED_VALUE"""),104.1)</f>
        <v>104.1</v>
      </c>
      <c r="F100" s="1">
        <f ca="1">IFERROR(__xludf.DUMMYFUNCTION("""COMPUTED_VALUE"""),5146734)</f>
        <v>5146734</v>
      </c>
    </row>
    <row r="101" spans="1:6" ht="12.6">
      <c r="A101" s="2">
        <f ca="1">IFERROR(__xludf.DUMMYFUNCTION("""COMPUTED_VALUE"""),44706.6666666666)</f>
        <v>44706.666666666599</v>
      </c>
      <c r="B101" s="1">
        <f ca="1">IFERROR(__xludf.DUMMYFUNCTION("""COMPUTED_VALUE"""),103.66)</f>
        <v>103.66</v>
      </c>
      <c r="C101" s="1">
        <f ca="1">IFERROR(__xludf.DUMMYFUNCTION("""COMPUTED_VALUE"""),108.17)</f>
        <v>108.17</v>
      </c>
      <c r="D101" s="1">
        <f ca="1">IFERROR(__xludf.DUMMYFUNCTION("""COMPUTED_VALUE"""),103.65)</f>
        <v>103.65</v>
      </c>
      <c r="E101" s="1">
        <f ca="1">IFERROR(__xludf.DUMMYFUNCTION("""COMPUTED_VALUE"""),106.78)</f>
        <v>106.78</v>
      </c>
      <c r="F101" s="1">
        <f ca="1">IFERROR(__xludf.DUMMYFUNCTION("""COMPUTED_VALUE"""),4656005)</f>
        <v>4656005</v>
      </c>
    </row>
    <row r="102" spans="1:6" ht="12.6">
      <c r="A102" s="2">
        <f ca="1">IFERROR(__xludf.DUMMYFUNCTION("""COMPUTED_VALUE"""),44707.6666666666)</f>
        <v>44707.666666666599</v>
      </c>
      <c r="B102" s="1">
        <f ca="1">IFERROR(__xludf.DUMMYFUNCTION("""COMPUTED_VALUE"""),107.97)</f>
        <v>107.97</v>
      </c>
      <c r="C102" s="1">
        <f ca="1">IFERROR(__xludf.DUMMYFUNCTION("""COMPUTED_VALUE"""),112.67)</f>
        <v>112.67</v>
      </c>
      <c r="D102" s="1">
        <f ca="1">IFERROR(__xludf.DUMMYFUNCTION("""COMPUTED_VALUE"""),107.45)</f>
        <v>107.45</v>
      </c>
      <c r="E102" s="1">
        <f ca="1">IFERROR(__xludf.DUMMYFUNCTION("""COMPUTED_VALUE"""),111.08)</f>
        <v>111.08</v>
      </c>
      <c r="F102" s="1">
        <f ca="1">IFERROR(__xludf.DUMMYFUNCTION("""COMPUTED_VALUE"""),4650130)</f>
        <v>4650130</v>
      </c>
    </row>
    <row r="103" spans="1:6" ht="12.6">
      <c r="A103" s="2">
        <f ca="1">IFERROR(__xludf.DUMMYFUNCTION("""COMPUTED_VALUE"""),44708.6666666666)</f>
        <v>44708.666666666599</v>
      </c>
      <c r="B103" s="1">
        <f ca="1">IFERROR(__xludf.DUMMYFUNCTION("""COMPUTED_VALUE"""),113.55)</f>
        <v>113.55</v>
      </c>
      <c r="C103" s="1">
        <f ca="1">IFERROR(__xludf.DUMMYFUNCTION("""COMPUTED_VALUE"""),115.19)</f>
        <v>115.19</v>
      </c>
      <c r="D103" s="1">
        <f ca="1">IFERROR(__xludf.DUMMYFUNCTION("""COMPUTED_VALUE"""),112.63)</f>
        <v>112.63</v>
      </c>
      <c r="E103" s="1">
        <f ca="1">IFERROR(__xludf.DUMMYFUNCTION("""COMPUTED_VALUE"""),115.15)</f>
        <v>115.15</v>
      </c>
      <c r="F103" s="1">
        <f ca="1">IFERROR(__xludf.DUMMYFUNCTION("""COMPUTED_VALUE"""),4683008)</f>
        <v>4683008</v>
      </c>
    </row>
    <row r="104" spans="1:6" ht="12.6">
      <c r="A104" s="2">
        <f ca="1">IFERROR(__xludf.DUMMYFUNCTION("""COMPUTED_VALUE"""),44712.6666666666)</f>
        <v>44712.666666666599</v>
      </c>
      <c r="B104" s="1">
        <f ca="1">IFERROR(__xludf.DUMMYFUNCTION("""COMPUTED_VALUE"""),116.28)</f>
        <v>116.28</v>
      </c>
      <c r="C104" s="1">
        <f ca="1">IFERROR(__xludf.DUMMYFUNCTION("""COMPUTED_VALUE"""),121.99)</f>
        <v>121.99</v>
      </c>
      <c r="D104" s="1">
        <f ca="1">IFERROR(__xludf.DUMMYFUNCTION("""COMPUTED_VALUE"""),115.68)</f>
        <v>115.68</v>
      </c>
      <c r="E104" s="1">
        <f ca="1">IFERROR(__xludf.DUMMYFUNCTION("""COMPUTED_VALUE"""),120.21)</f>
        <v>120.21</v>
      </c>
      <c r="F104" s="1">
        <f ca="1">IFERROR(__xludf.DUMMYFUNCTION("""COMPUTED_VALUE"""),7231708)</f>
        <v>7231708</v>
      </c>
    </row>
    <row r="105" spans="1:6" ht="12.6">
      <c r="A105" s="2">
        <f ca="1">IFERROR(__xludf.DUMMYFUNCTION("""COMPUTED_VALUE"""),44713.6666666666)</f>
        <v>44713.666666666599</v>
      </c>
      <c r="B105" s="1">
        <f ca="1">IFERROR(__xludf.DUMMYFUNCTION("""COMPUTED_VALUE"""),122.26)</f>
        <v>122.26</v>
      </c>
      <c r="C105" s="1">
        <f ca="1">IFERROR(__xludf.DUMMYFUNCTION("""COMPUTED_VALUE"""),125.18)</f>
        <v>125.18</v>
      </c>
      <c r="D105" s="1">
        <f ca="1">IFERROR(__xludf.DUMMYFUNCTION("""COMPUTED_VALUE"""),120.62)</f>
        <v>120.62</v>
      </c>
      <c r="E105" s="1">
        <f ca="1">IFERROR(__xludf.DUMMYFUNCTION("""COMPUTED_VALUE"""),121.68)</f>
        <v>121.68</v>
      </c>
      <c r="F105" s="1">
        <f ca="1">IFERROR(__xludf.DUMMYFUNCTION("""COMPUTED_VALUE"""),6376449)</f>
        <v>6376449</v>
      </c>
    </row>
    <row r="106" spans="1:6" ht="12.6">
      <c r="A106" s="2">
        <f ca="1">IFERROR(__xludf.DUMMYFUNCTION("""COMPUTED_VALUE"""),44714.6666666666)</f>
        <v>44714.666666666599</v>
      </c>
      <c r="B106" s="1">
        <f ca="1">IFERROR(__xludf.DUMMYFUNCTION("""COMPUTED_VALUE"""),121.68)</f>
        <v>121.68</v>
      </c>
      <c r="C106" s="1">
        <f ca="1">IFERROR(__xludf.DUMMYFUNCTION("""COMPUTED_VALUE"""),125.61)</f>
        <v>125.61</v>
      </c>
      <c r="D106" s="1">
        <f ca="1">IFERROR(__xludf.DUMMYFUNCTION("""COMPUTED_VALUE"""),120.05)</f>
        <v>120.05</v>
      </c>
      <c r="E106" s="1">
        <f ca="1">IFERROR(__xludf.DUMMYFUNCTION("""COMPUTED_VALUE"""),125.51)</f>
        <v>125.51</v>
      </c>
      <c r="F106" s="1">
        <f ca="1">IFERROR(__xludf.DUMMYFUNCTION("""COMPUTED_VALUE"""),5028034)</f>
        <v>5028034</v>
      </c>
    </row>
    <row r="107" spans="1:6" ht="12.6">
      <c r="A107" s="2">
        <f ca="1">IFERROR(__xludf.DUMMYFUNCTION("""COMPUTED_VALUE"""),44715.6666666666)</f>
        <v>44715.666666666599</v>
      </c>
      <c r="B107" s="1">
        <f ca="1">IFERROR(__xludf.DUMMYFUNCTION("""COMPUTED_VALUE"""),124.2)</f>
        <v>124.2</v>
      </c>
      <c r="C107" s="1">
        <f ca="1">IFERROR(__xludf.DUMMYFUNCTION("""COMPUTED_VALUE"""),124.4)</f>
        <v>124.4</v>
      </c>
      <c r="D107" s="1">
        <f ca="1">IFERROR(__xludf.DUMMYFUNCTION("""COMPUTED_VALUE"""),121.05)</f>
        <v>121.05</v>
      </c>
      <c r="E107" s="1">
        <f ca="1">IFERROR(__xludf.DUMMYFUNCTION("""COMPUTED_VALUE"""),122.35)</f>
        <v>122.35</v>
      </c>
      <c r="F107" s="1">
        <f ca="1">IFERROR(__xludf.DUMMYFUNCTION("""COMPUTED_VALUE"""),4880166)</f>
        <v>4880166</v>
      </c>
    </row>
    <row r="108" spans="1:6" ht="12.6">
      <c r="A108" s="2">
        <f ca="1">IFERROR(__xludf.DUMMYFUNCTION("""COMPUTED_VALUE"""),44718.6666666666)</f>
        <v>44718.666666666599</v>
      </c>
      <c r="B108" s="1">
        <f ca="1">IFERROR(__xludf.DUMMYFUNCTION("""COMPUTED_VALUE"""),125.25)</f>
        <v>125.25</v>
      </c>
      <c r="C108" s="1">
        <f ca="1">IFERROR(__xludf.DUMMYFUNCTION("""COMPUTED_VALUE"""),128.99)</f>
        <v>128.99</v>
      </c>
      <c r="D108" s="1">
        <f ca="1">IFERROR(__xludf.DUMMYFUNCTION("""COMPUTED_VALUE"""),123.81)</f>
        <v>123.81</v>
      </c>
      <c r="E108" s="1">
        <f ca="1">IFERROR(__xludf.DUMMYFUNCTION("""COMPUTED_VALUE"""),124.79)</f>
        <v>124.79</v>
      </c>
      <c r="F108" s="1">
        <f ca="1">IFERROR(__xludf.DUMMYFUNCTION("""COMPUTED_VALUE"""),135269024)</f>
        <v>135269024</v>
      </c>
    </row>
    <row r="109" spans="1:6" ht="12.6">
      <c r="A109" s="2">
        <f ca="1">IFERROR(__xludf.DUMMYFUNCTION("""COMPUTED_VALUE"""),44719.6666666666)</f>
        <v>44719.666666666599</v>
      </c>
      <c r="B109" s="1">
        <f ca="1">IFERROR(__xludf.DUMMYFUNCTION("""COMPUTED_VALUE"""),122.01)</f>
        <v>122.01</v>
      </c>
      <c r="C109" s="1">
        <f ca="1">IFERROR(__xludf.DUMMYFUNCTION("""COMPUTED_VALUE"""),124.1)</f>
        <v>124.1</v>
      </c>
      <c r="D109" s="1">
        <f ca="1">IFERROR(__xludf.DUMMYFUNCTION("""COMPUTED_VALUE"""),120.63)</f>
        <v>120.63</v>
      </c>
      <c r="E109" s="1">
        <f ca="1">IFERROR(__xludf.DUMMYFUNCTION("""COMPUTED_VALUE"""),123)</f>
        <v>123</v>
      </c>
      <c r="F109" s="1">
        <f ca="1">IFERROR(__xludf.DUMMYFUNCTION("""COMPUTED_VALUE"""),85156712)</f>
        <v>85156712</v>
      </c>
    </row>
    <row r="110" spans="1:6" ht="12.6">
      <c r="A110" s="2">
        <f ca="1">IFERROR(__xludf.DUMMYFUNCTION("""COMPUTED_VALUE"""),44720.6666666666)</f>
        <v>44720.666666666599</v>
      </c>
      <c r="B110" s="1">
        <f ca="1">IFERROR(__xludf.DUMMYFUNCTION("""COMPUTED_VALUE"""),122.61)</f>
        <v>122.61</v>
      </c>
      <c r="C110" s="1">
        <f ca="1">IFERROR(__xludf.DUMMYFUNCTION("""COMPUTED_VALUE"""),123.75)</f>
        <v>123.75</v>
      </c>
      <c r="D110" s="1">
        <f ca="1">IFERROR(__xludf.DUMMYFUNCTION("""COMPUTED_VALUE"""),120.75)</f>
        <v>120.75</v>
      </c>
      <c r="E110" s="1">
        <f ca="1">IFERROR(__xludf.DUMMYFUNCTION("""COMPUTED_VALUE"""),121.18)</f>
        <v>121.18</v>
      </c>
      <c r="F110" s="1">
        <f ca="1">IFERROR(__xludf.DUMMYFUNCTION("""COMPUTED_VALUE"""),64926594)</f>
        <v>64926594</v>
      </c>
    </row>
    <row r="111" spans="1:6" ht="12.6">
      <c r="A111" s="2">
        <f ca="1">IFERROR(__xludf.DUMMYFUNCTION("""COMPUTED_VALUE"""),44721.6666666666)</f>
        <v>44721.666666666599</v>
      </c>
      <c r="B111" s="1">
        <f ca="1">IFERROR(__xludf.DUMMYFUNCTION("""COMPUTED_VALUE"""),119.99)</f>
        <v>119.99</v>
      </c>
      <c r="C111" s="1">
        <f ca="1">IFERROR(__xludf.DUMMYFUNCTION("""COMPUTED_VALUE"""),121.3)</f>
        <v>121.3</v>
      </c>
      <c r="D111" s="1">
        <f ca="1">IFERROR(__xludf.DUMMYFUNCTION("""COMPUTED_VALUE"""),116.1)</f>
        <v>116.1</v>
      </c>
      <c r="E111" s="1">
        <f ca="1">IFERROR(__xludf.DUMMYFUNCTION("""COMPUTED_VALUE"""),116.15)</f>
        <v>116.15</v>
      </c>
      <c r="F111" s="1">
        <f ca="1">IFERROR(__xludf.DUMMYFUNCTION("""COMPUTED_VALUE"""),67029842)</f>
        <v>67029842</v>
      </c>
    </row>
    <row r="112" spans="1:6" ht="12.6">
      <c r="A112" s="2">
        <f ca="1">IFERROR(__xludf.DUMMYFUNCTION("""COMPUTED_VALUE"""),44722.6666666666)</f>
        <v>44722.666666666599</v>
      </c>
      <c r="B112" s="1">
        <f ca="1">IFERROR(__xludf.DUMMYFUNCTION("""COMPUTED_VALUE"""),113.42)</f>
        <v>113.42</v>
      </c>
      <c r="C112" s="1">
        <f ca="1">IFERROR(__xludf.DUMMYFUNCTION("""COMPUTED_VALUE"""),114.5)</f>
        <v>114.5</v>
      </c>
      <c r="D112" s="1">
        <f ca="1">IFERROR(__xludf.DUMMYFUNCTION("""COMPUTED_VALUE"""),109.05)</f>
        <v>109.05</v>
      </c>
      <c r="E112" s="1">
        <f ca="1">IFERROR(__xludf.DUMMYFUNCTION("""COMPUTED_VALUE"""),109.65)</f>
        <v>109.65</v>
      </c>
      <c r="F112" s="1">
        <f ca="1">IFERROR(__xludf.DUMMYFUNCTION("""COMPUTED_VALUE"""),87412245)</f>
        <v>87412245</v>
      </c>
    </row>
    <row r="113" spans="1:6" ht="12.6">
      <c r="A113" s="2">
        <f ca="1">IFERROR(__xludf.DUMMYFUNCTION("""COMPUTED_VALUE"""),44725.6666666666)</f>
        <v>44725.666666666599</v>
      </c>
      <c r="B113" s="1">
        <f ca="1">IFERROR(__xludf.DUMMYFUNCTION("""COMPUTED_VALUE"""),104.19)</f>
        <v>104.19</v>
      </c>
      <c r="C113" s="1">
        <f ca="1">IFERROR(__xludf.DUMMYFUNCTION("""COMPUTED_VALUE"""),106.54)</f>
        <v>106.54</v>
      </c>
      <c r="D113" s="1">
        <f ca="1">IFERROR(__xludf.DUMMYFUNCTION("""COMPUTED_VALUE"""),101.86)</f>
        <v>101.86</v>
      </c>
      <c r="E113" s="1">
        <f ca="1">IFERROR(__xludf.DUMMYFUNCTION("""COMPUTED_VALUE"""),103.67)</f>
        <v>103.67</v>
      </c>
      <c r="F113" s="1">
        <f ca="1">IFERROR(__xludf.DUMMYFUNCTION("""COMPUTED_VALUE"""),99277742)</f>
        <v>99277742</v>
      </c>
    </row>
    <row r="114" spans="1:6" ht="12.6">
      <c r="A114" s="2">
        <f ca="1">IFERROR(__xludf.DUMMYFUNCTION("""COMPUTED_VALUE"""),44726.6666666666)</f>
        <v>44726.666666666599</v>
      </c>
      <c r="B114" s="1">
        <f ca="1">IFERROR(__xludf.DUMMYFUNCTION("""COMPUTED_VALUE"""),104.19)</f>
        <v>104.19</v>
      </c>
      <c r="C114" s="1">
        <f ca="1">IFERROR(__xludf.DUMMYFUNCTION("""COMPUTED_VALUE"""),104.88)</f>
        <v>104.88</v>
      </c>
      <c r="D114" s="1">
        <f ca="1">IFERROR(__xludf.DUMMYFUNCTION("""COMPUTED_VALUE"""),101.43)</f>
        <v>101.43</v>
      </c>
      <c r="E114" s="1">
        <f ca="1">IFERROR(__xludf.DUMMYFUNCTION("""COMPUTED_VALUE"""),102.31)</f>
        <v>102.31</v>
      </c>
      <c r="F114" s="1">
        <f ca="1">IFERROR(__xludf.DUMMYFUNCTION("""COMPUTED_VALUE"""),69728761)</f>
        <v>69728761</v>
      </c>
    </row>
    <row r="115" spans="1:6" ht="12.6">
      <c r="A115" s="2">
        <f ca="1">IFERROR(__xludf.DUMMYFUNCTION("""COMPUTED_VALUE"""),44727.6666666666)</f>
        <v>44727.666666666599</v>
      </c>
      <c r="B115" s="1">
        <f ca="1">IFERROR(__xludf.DUMMYFUNCTION("""COMPUTED_VALUE"""),103.86)</f>
        <v>103.86</v>
      </c>
      <c r="C115" s="1">
        <f ca="1">IFERROR(__xludf.DUMMYFUNCTION("""COMPUTED_VALUE"""),109.06)</f>
        <v>109.06</v>
      </c>
      <c r="D115" s="1">
        <f ca="1">IFERROR(__xludf.DUMMYFUNCTION("""COMPUTED_VALUE"""),103.53)</f>
        <v>103.53</v>
      </c>
      <c r="E115" s="1">
        <f ca="1">IFERROR(__xludf.DUMMYFUNCTION("""COMPUTED_VALUE"""),107.67)</f>
        <v>107.67</v>
      </c>
      <c r="F115" s="1">
        <f ca="1">IFERROR(__xludf.DUMMYFUNCTION("""COMPUTED_VALUE"""),85011060)</f>
        <v>85011060</v>
      </c>
    </row>
    <row r="116" spans="1:6" ht="12.6">
      <c r="A116" s="2">
        <f ca="1">IFERROR(__xludf.DUMMYFUNCTION("""COMPUTED_VALUE"""),44728.6666666666)</f>
        <v>44728.666666666599</v>
      </c>
      <c r="B116" s="1">
        <f ca="1">IFERROR(__xludf.DUMMYFUNCTION("""COMPUTED_VALUE"""),104.47)</f>
        <v>104.47</v>
      </c>
      <c r="C116" s="1">
        <f ca="1">IFERROR(__xludf.DUMMYFUNCTION("""COMPUTED_VALUE"""),104.58)</f>
        <v>104.58</v>
      </c>
      <c r="D116" s="1">
        <f ca="1">IFERROR(__xludf.DUMMYFUNCTION("""COMPUTED_VALUE"""),102.01)</f>
        <v>102.01</v>
      </c>
      <c r="E116" s="1">
        <f ca="1">IFERROR(__xludf.DUMMYFUNCTION("""COMPUTED_VALUE"""),103.66)</f>
        <v>103.66</v>
      </c>
      <c r="F116" s="1">
        <f ca="1">IFERROR(__xludf.DUMMYFUNCTION("""COMPUTED_VALUE"""),82186301)</f>
        <v>82186301</v>
      </c>
    </row>
    <row r="117" spans="1:6" ht="12.6">
      <c r="A117" s="2">
        <f ca="1">IFERROR(__xludf.DUMMYFUNCTION("""COMPUTED_VALUE"""),44729.6666666666)</f>
        <v>44729.666666666599</v>
      </c>
      <c r="B117" s="1">
        <f ca="1">IFERROR(__xludf.DUMMYFUNCTION("""COMPUTED_VALUE"""),102.8)</f>
        <v>102.8</v>
      </c>
      <c r="C117" s="1">
        <f ca="1">IFERROR(__xludf.DUMMYFUNCTION("""COMPUTED_VALUE"""),106.98)</f>
        <v>106.98</v>
      </c>
      <c r="D117" s="1">
        <f ca="1">IFERROR(__xludf.DUMMYFUNCTION("""COMPUTED_VALUE"""),102.51)</f>
        <v>102.51</v>
      </c>
      <c r="E117" s="1">
        <f ca="1">IFERROR(__xludf.DUMMYFUNCTION("""COMPUTED_VALUE"""),106.22)</f>
        <v>106.22</v>
      </c>
      <c r="F117" s="1">
        <f ca="1">IFERROR(__xludf.DUMMYFUNCTION("""COMPUTED_VALUE"""),99772147)</f>
        <v>99772147</v>
      </c>
    </row>
    <row r="118" spans="1:6" ht="12.6">
      <c r="A118" s="2">
        <f ca="1">IFERROR(__xludf.DUMMYFUNCTION("""COMPUTED_VALUE"""),44733.6666666666)</f>
        <v>44733.666666666599</v>
      </c>
      <c r="B118" s="1">
        <f ca="1">IFERROR(__xludf.DUMMYFUNCTION("""COMPUTED_VALUE"""),108.2)</f>
        <v>108.2</v>
      </c>
      <c r="C118" s="1">
        <f ca="1">IFERROR(__xludf.DUMMYFUNCTION("""COMPUTED_VALUE"""),111.63)</f>
        <v>111.63</v>
      </c>
      <c r="D118" s="1">
        <f ca="1">IFERROR(__xludf.DUMMYFUNCTION("""COMPUTED_VALUE"""),103.56)</f>
        <v>103.56</v>
      </c>
      <c r="E118" s="1">
        <f ca="1">IFERROR(__xludf.DUMMYFUNCTION("""COMPUTED_VALUE"""),108.68)</f>
        <v>108.68</v>
      </c>
      <c r="F118" s="1">
        <f ca="1">IFERROR(__xludf.DUMMYFUNCTION("""COMPUTED_VALUE"""),70901245)</f>
        <v>70901245</v>
      </c>
    </row>
    <row r="119" spans="1:6" ht="12.6">
      <c r="A119" s="2">
        <f ca="1">IFERROR(__xludf.DUMMYFUNCTION("""COMPUTED_VALUE"""),44734.6666666666)</f>
        <v>44734.666666666599</v>
      </c>
      <c r="B119" s="1">
        <f ca="1">IFERROR(__xludf.DUMMYFUNCTION("""COMPUTED_VALUE"""),107.43)</f>
        <v>107.43</v>
      </c>
      <c r="C119" s="1">
        <f ca="1">IFERROR(__xludf.DUMMYFUNCTION("""COMPUTED_VALUE"""),112.13)</f>
        <v>112.13</v>
      </c>
      <c r="D119" s="1">
        <f ca="1">IFERROR(__xludf.DUMMYFUNCTION("""COMPUTED_VALUE"""),107.02)</f>
        <v>107.02</v>
      </c>
      <c r="E119" s="1">
        <f ca="1">IFERROR(__xludf.DUMMYFUNCTION("""COMPUTED_VALUE"""),108.95)</f>
        <v>108.95</v>
      </c>
      <c r="F119" s="1">
        <f ca="1">IFERROR(__xludf.DUMMYFUNCTION("""COMPUTED_VALUE"""),60040131)</f>
        <v>60040131</v>
      </c>
    </row>
    <row r="120" spans="1:6" ht="12.6">
      <c r="A120" s="2">
        <f ca="1">IFERROR(__xludf.DUMMYFUNCTION("""COMPUTED_VALUE"""),44735.6666666666)</f>
        <v>44735.666666666599</v>
      </c>
      <c r="B120" s="1">
        <f ca="1">IFERROR(__xludf.DUMMYFUNCTION("""COMPUTED_VALUE"""),110.39)</f>
        <v>110.39</v>
      </c>
      <c r="C120" s="1">
        <f ca="1">IFERROR(__xludf.DUMMYFUNCTION("""COMPUTED_VALUE"""),113)</f>
        <v>113</v>
      </c>
      <c r="D120" s="1">
        <f ca="1">IFERROR(__xludf.DUMMYFUNCTION("""COMPUTED_VALUE"""),107.93)</f>
        <v>107.93</v>
      </c>
      <c r="E120" s="1">
        <f ca="1">IFERROR(__xludf.DUMMYFUNCTION("""COMPUTED_VALUE"""),112.44)</f>
        <v>112.44</v>
      </c>
      <c r="F120" s="1">
        <f ca="1">IFERROR(__xludf.DUMMYFUNCTION("""COMPUTED_VALUE"""),64345300)</f>
        <v>64345300</v>
      </c>
    </row>
    <row r="121" spans="1:6" ht="12.6">
      <c r="A121" s="2">
        <f ca="1">IFERROR(__xludf.DUMMYFUNCTION("""COMPUTED_VALUE"""),44736.6666666666)</f>
        <v>44736.666666666599</v>
      </c>
      <c r="B121" s="1">
        <f ca="1">IFERROR(__xludf.DUMMYFUNCTION("""COMPUTED_VALUE"""),112.38)</f>
        <v>112.38</v>
      </c>
      <c r="C121" s="1">
        <f ca="1">IFERROR(__xludf.DUMMYFUNCTION("""COMPUTED_VALUE"""),116.71)</f>
        <v>116.71</v>
      </c>
      <c r="D121" s="1">
        <f ca="1">IFERROR(__xludf.DUMMYFUNCTION("""COMPUTED_VALUE"""),111.43)</f>
        <v>111.43</v>
      </c>
      <c r="E121" s="1">
        <f ca="1">IFERROR(__xludf.DUMMYFUNCTION("""COMPUTED_VALUE"""),116.46)</f>
        <v>116.46</v>
      </c>
      <c r="F121" s="1">
        <f ca="1">IFERROR(__xludf.DUMMYFUNCTION("""COMPUTED_VALUE"""),69867618)</f>
        <v>69867618</v>
      </c>
    </row>
    <row r="122" spans="1:6" ht="12.6">
      <c r="A122" s="2">
        <f ca="1">IFERROR(__xludf.DUMMYFUNCTION("""COMPUTED_VALUE"""),44739.6666666666)</f>
        <v>44739.666666666599</v>
      </c>
      <c r="B122" s="1">
        <f ca="1">IFERROR(__xludf.DUMMYFUNCTION("""COMPUTED_VALUE"""),117.09)</f>
        <v>117.09</v>
      </c>
      <c r="C122" s="1">
        <f ca="1">IFERROR(__xludf.DUMMYFUNCTION("""COMPUTED_VALUE"""),117.98)</f>
        <v>117.98</v>
      </c>
      <c r="D122" s="1">
        <f ca="1">IFERROR(__xludf.DUMMYFUNCTION("""COMPUTED_VALUE"""),112.7)</f>
        <v>112.7</v>
      </c>
      <c r="E122" s="1">
        <f ca="1">IFERROR(__xludf.DUMMYFUNCTION("""COMPUTED_VALUE"""),113.22)</f>
        <v>113.22</v>
      </c>
      <c r="F122" s="1">
        <f ca="1">IFERROR(__xludf.DUMMYFUNCTION("""COMPUTED_VALUE"""),62133240)</f>
        <v>62133240</v>
      </c>
    </row>
    <row r="123" spans="1:6" ht="12.6">
      <c r="A123" s="2">
        <f ca="1">IFERROR(__xludf.DUMMYFUNCTION("""COMPUTED_VALUE"""),44740.6666666666)</f>
        <v>44740.666666666599</v>
      </c>
      <c r="B123" s="1">
        <f ca="1">IFERROR(__xludf.DUMMYFUNCTION("""COMPUTED_VALUE"""),113.5)</f>
        <v>113.5</v>
      </c>
      <c r="C123" s="1">
        <f ca="1">IFERROR(__xludf.DUMMYFUNCTION("""COMPUTED_VALUE"""),114.85)</f>
        <v>114.85</v>
      </c>
      <c r="D123" s="1">
        <f ca="1">IFERROR(__xludf.DUMMYFUNCTION("""COMPUTED_VALUE"""),107.04)</f>
        <v>107.04</v>
      </c>
      <c r="E123" s="1">
        <f ca="1">IFERROR(__xludf.DUMMYFUNCTION("""COMPUTED_VALUE"""),107.4)</f>
        <v>107.4</v>
      </c>
      <c r="F123" s="1">
        <f ca="1">IFERROR(__xludf.DUMMYFUNCTION("""COMPUTED_VALUE"""),75172028)</f>
        <v>75172028</v>
      </c>
    </row>
    <row r="124" spans="1:6" ht="12.6">
      <c r="A124" s="2">
        <f ca="1">IFERROR(__xludf.DUMMYFUNCTION("""COMPUTED_VALUE"""),44741.6666666666)</f>
        <v>44741.666666666599</v>
      </c>
      <c r="B124" s="1">
        <f ca="1">IFERROR(__xludf.DUMMYFUNCTION("""COMPUTED_VALUE"""),107.38)</f>
        <v>107.38</v>
      </c>
      <c r="C124" s="1">
        <f ca="1">IFERROR(__xludf.DUMMYFUNCTION("""COMPUTED_VALUE"""),110.99)</f>
        <v>110.99</v>
      </c>
      <c r="D124" s="1">
        <f ca="1">IFERROR(__xludf.DUMMYFUNCTION("""COMPUTED_VALUE"""),106.91)</f>
        <v>106.91</v>
      </c>
      <c r="E124" s="1">
        <f ca="1">IFERROR(__xludf.DUMMYFUNCTION("""COMPUTED_VALUE"""),108.92)</f>
        <v>108.92</v>
      </c>
      <c r="F124" s="1">
        <f ca="1">IFERROR(__xludf.DUMMYFUNCTION("""COMPUTED_VALUE"""),66375341)</f>
        <v>66375341</v>
      </c>
    </row>
    <row r="125" spans="1:6" ht="12.6">
      <c r="A125" s="2">
        <f ca="1">IFERROR(__xludf.DUMMYFUNCTION("""COMPUTED_VALUE"""),44742.6666666666)</f>
        <v>44742.666666666599</v>
      </c>
      <c r="B125" s="1">
        <f ca="1">IFERROR(__xludf.DUMMYFUNCTION("""COMPUTED_VALUE"""),108.11)</f>
        <v>108.11</v>
      </c>
      <c r="C125" s="1">
        <f ca="1">IFERROR(__xludf.DUMMYFUNCTION("""COMPUTED_VALUE"""),108.18)</f>
        <v>108.18</v>
      </c>
      <c r="D125" s="1">
        <f ca="1">IFERROR(__xludf.DUMMYFUNCTION("""COMPUTED_VALUE"""),102.52)</f>
        <v>102.52</v>
      </c>
      <c r="E125" s="1">
        <f ca="1">IFERROR(__xludf.DUMMYFUNCTION("""COMPUTED_VALUE"""),106.21)</f>
        <v>106.21</v>
      </c>
      <c r="F125" s="1">
        <f ca="1">IFERROR(__xludf.DUMMYFUNCTION("""COMPUTED_VALUE"""),97679401)</f>
        <v>97679401</v>
      </c>
    </row>
    <row r="126" spans="1:6" ht="12.6">
      <c r="A126" s="2">
        <f ca="1">IFERROR(__xludf.DUMMYFUNCTION("""COMPUTED_VALUE"""),44743.6666666666)</f>
        <v>44743.666666666599</v>
      </c>
      <c r="B126" s="1">
        <f ca="1">IFERROR(__xludf.DUMMYFUNCTION("""COMPUTED_VALUE"""),106.29)</f>
        <v>106.29</v>
      </c>
      <c r="C126" s="1">
        <f ca="1">IFERROR(__xludf.DUMMYFUNCTION("""COMPUTED_VALUE"""),109.75)</f>
        <v>109.75</v>
      </c>
      <c r="D126" s="1">
        <f ca="1">IFERROR(__xludf.DUMMYFUNCTION("""COMPUTED_VALUE"""),105.85)</f>
        <v>105.85</v>
      </c>
      <c r="E126" s="1">
        <f ca="1">IFERROR(__xludf.DUMMYFUNCTION("""COMPUTED_VALUE"""),109.56)</f>
        <v>109.56</v>
      </c>
      <c r="F126" s="1">
        <f ca="1">IFERROR(__xludf.DUMMYFUNCTION("""COMPUTED_VALUE"""),73021171)</f>
        <v>73021171</v>
      </c>
    </row>
    <row r="127" spans="1:6" ht="12.6">
      <c r="A127" s="2">
        <f ca="1">IFERROR(__xludf.DUMMYFUNCTION("""COMPUTED_VALUE"""),44747.6666666666)</f>
        <v>44747.666666666599</v>
      </c>
      <c r="B127" s="1">
        <f ca="1">IFERROR(__xludf.DUMMYFUNCTION("""COMPUTED_VALUE"""),107.6)</f>
        <v>107.6</v>
      </c>
      <c r="C127" s="1">
        <f ca="1">IFERROR(__xludf.DUMMYFUNCTION("""COMPUTED_VALUE"""),114.08)</f>
        <v>114.08</v>
      </c>
      <c r="D127" s="1">
        <f ca="1">IFERROR(__xludf.DUMMYFUNCTION("""COMPUTED_VALUE"""),106.32)</f>
        <v>106.32</v>
      </c>
      <c r="E127" s="1">
        <f ca="1">IFERROR(__xludf.DUMMYFUNCTION("""COMPUTED_VALUE"""),113.5)</f>
        <v>113.5</v>
      </c>
      <c r="F127" s="1">
        <f ca="1">IFERROR(__xludf.DUMMYFUNCTION("""COMPUTED_VALUE"""),76684414)</f>
        <v>76684414</v>
      </c>
    </row>
    <row r="128" spans="1:6" ht="12.6">
      <c r="A128" s="2">
        <f ca="1">IFERROR(__xludf.DUMMYFUNCTION("""COMPUTED_VALUE"""),44748.6666666666)</f>
        <v>44748.666666666599</v>
      </c>
      <c r="B128" s="1">
        <f ca="1">IFERROR(__xludf.DUMMYFUNCTION("""COMPUTED_VALUE"""),113.21)</f>
        <v>113.21</v>
      </c>
      <c r="C128" s="1">
        <f ca="1">IFERROR(__xludf.DUMMYFUNCTION("""COMPUTED_VALUE"""),115.48)</f>
        <v>115.48</v>
      </c>
      <c r="D128" s="1">
        <f ca="1">IFERROR(__xludf.DUMMYFUNCTION("""COMPUTED_VALUE"""),112.01)</f>
        <v>112.01</v>
      </c>
      <c r="E128" s="1">
        <f ca="1">IFERROR(__xludf.DUMMYFUNCTION("""COMPUTED_VALUE"""),114.33)</f>
        <v>114.33</v>
      </c>
      <c r="F128" s="1">
        <f ca="1">IFERROR(__xludf.DUMMYFUNCTION("""COMPUTED_VALUE"""),66958884)</f>
        <v>66958884</v>
      </c>
    </row>
    <row r="129" spans="1:6" ht="12.6">
      <c r="A129" s="2">
        <f ca="1">IFERROR(__xludf.DUMMYFUNCTION("""COMPUTED_VALUE"""),44749.6666666666)</f>
        <v>44749.666666666599</v>
      </c>
      <c r="B129" s="1">
        <f ca="1">IFERROR(__xludf.DUMMYFUNCTION("""COMPUTED_VALUE"""),113.85)</f>
        <v>113.85</v>
      </c>
      <c r="C129" s="1">
        <f ca="1">IFERROR(__xludf.DUMMYFUNCTION("""COMPUTED_VALUE"""),116.99)</f>
        <v>116.99</v>
      </c>
      <c r="D129" s="1">
        <f ca="1">IFERROR(__xludf.DUMMYFUNCTION("""COMPUTED_VALUE"""),113.49)</f>
        <v>113.49</v>
      </c>
      <c r="E129" s="1">
        <f ca="1">IFERROR(__xludf.DUMMYFUNCTION("""COMPUTED_VALUE"""),116.33)</f>
        <v>116.33</v>
      </c>
      <c r="F129" s="1">
        <f ca="1">IFERROR(__xludf.DUMMYFUNCTION("""COMPUTED_VALUE"""),57872323)</f>
        <v>57872323</v>
      </c>
    </row>
    <row r="130" spans="1:6" ht="12.6">
      <c r="A130" s="2">
        <f ca="1">IFERROR(__xludf.DUMMYFUNCTION("""COMPUTED_VALUE"""),44750.6666666666)</f>
        <v>44750.666666666599</v>
      </c>
      <c r="B130" s="1">
        <f ca="1">IFERROR(__xludf.DUMMYFUNCTION("""COMPUTED_VALUE"""),114.6)</f>
        <v>114.6</v>
      </c>
      <c r="C130" s="1">
        <f ca="1">IFERROR(__xludf.DUMMYFUNCTION("""COMPUTED_VALUE"""),116.58)</f>
        <v>116.58</v>
      </c>
      <c r="D130" s="1">
        <f ca="1">IFERROR(__xludf.DUMMYFUNCTION("""COMPUTED_VALUE"""),113.69)</f>
        <v>113.69</v>
      </c>
      <c r="E130" s="1">
        <f ca="1">IFERROR(__xludf.DUMMYFUNCTION("""COMPUTED_VALUE"""),115.54)</f>
        <v>115.54</v>
      </c>
      <c r="F130" s="1">
        <f ca="1">IFERROR(__xludf.DUMMYFUNCTION("""COMPUTED_VALUE"""),45719694)</f>
        <v>45719694</v>
      </c>
    </row>
    <row r="131" spans="1:6" ht="12.6">
      <c r="A131" s="2">
        <f ca="1">IFERROR(__xludf.DUMMYFUNCTION("""COMPUTED_VALUE"""),44753.6666666666)</f>
        <v>44753.666666666599</v>
      </c>
      <c r="B131" s="1">
        <f ca="1">IFERROR(__xludf.DUMMYFUNCTION("""COMPUTED_VALUE"""),114.08)</f>
        <v>114.08</v>
      </c>
      <c r="C131" s="1">
        <f ca="1">IFERROR(__xludf.DUMMYFUNCTION("""COMPUTED_VALUE"""),114.3)</f>
        <v>114.3</v>
      </c>
      <c r="D131" s="1">
        <f ca="1">IFERROR(__xludf.DUMMYFUNCTION("""COMPUTED_VALUE"""),110.87)</f>
        <v>110.87</v>
      </c>
      <c r="E131" s="1">
        <f ca="1">IFERROR(__xludf.DUMMYFUNCTION("""COMPUTED_VALUE"""),111.75)</f>
        <v>111.75</v>
      </c>
      <c r="F131" s="1">
        <f ca="1">IFERROR(__xludf.DUMMYFUNCTION("""COMPUTED_VALUE"""),53540019)</f>
        <v>53540019</v>
      </c>
    </row>
    <row r="132" spans="1:6" ht="12.6">
      <c r="A132" s="2">
        <f ca="1">IFERROR(__xludf.DUMMYFUNCTION("""COMPUTED_VALUE"""),44754.6666666666)</f>
        <v>44754.666666666599</v>
      </c>
      <c r="B132" s="1">
        <f ca="1">IFERROR(__xludf.DUMMYFUNCTION("""COMPUTED_VALUE"""),112.16)</f>
        <v>112.16</v>
      </c>
      <c r="C132" s="1">
        <f ca="1">IFERROR(__xludf.DUMMYFUNCTION("""COMPUTED_VALUE"""),113.23)</f>
        <v>113.23</v>
      </c>
      <c r="D132" s="1">
        <f ca="1">IFERROR(__xludf.DUMMYFUNCTION("""COMPUTED_VALUE"""),108.34)</f>
        <v>108.34</v>
      </c>
      <c r="E132" s="1">
        <f ca="1">IFERROR(__xludf.DUMMYFUNCTION("""COMPUTED_VALUE"""),109.22)</f>
        <v>109.22</v>
      </c>
      <c r="F132" s="1">
        <f ca="1">IFERROR(__xludf.DUMMYFUNCTION("""COMPUTED_VALUE"""),54280257)</f>
        <v>54280257</v>
      </c>
    </row>
    <row r="133" spans="1:6" ht="12.6">
      <c r="A133" s="2">
        <f ca="1">IFERROR(__xludf.DUMMYFUNCTION("""COMPUTED_VALUE"""),44755.6666666666)</f>
        <v>44755.666666666599</v>
      </c>
      <c r="B133" s="1">
        <f ca="1">IFERROR(__xludf.DUMMYFUNCTION("""COMPUTED_VALUE"""),107.03)</f>
        <v>107.03</v>
      </c>
      <c r="C133" s="1">
        <f ca="1">IFERROR(__xludf.DUMMYFUNCTION("""COMPUTED_VALUE"""),111.78)</f>
        <v>111.78</v>
      </c>
      <c r="D133" s="1">
        <f ca="1">IFERROR(__xludf.DUMMYFUNCTION("""COMPUTED_VALUE"""),106.01)</f>
        <v>106.01</v>
      </c>
      <c r="E133" s="1">
        <f ca="1">IFERROR(__xludf.DUMMYFUNCTION("""COMPUTED_VALUE"""),110.4)</f>
        <v>110.4</v>
      </c>
      <c r="F133" s="1">
        <f ca="1">IFERROR(__xludf.DUMMYFUNCTION("""COMPUTED_VALUE"""),61353812)</f>
        <v>61353812</v>
      </c>
    </row>
    <row r="134" spans="1:6" ht="12.6">
      <c r="A134" s="2">
        <f ca="1">IFERROR(__xludf.DUMMYFUNCTION("""COMPUTED_VALUE"""),44756.6666666666)</f>
        <v>44756.666666666599</v>
      </c>
      <c r="B134" s="1">
        <f ca="1">IFERROR(__xludf.DUMMYFUNCTION("""COMPUTED_VALUE"""),110.24)</f>
        <v>110.24</v>
      </c>
      <c r="C134" s="1">
        <f ca="1">IFERROR(__xludf.DUMMYFUNCTION("""COMPUTED_VALUE"""),111.18)</f>
        <v>111.18</v>
      </c>
      <c r="D134" s="1">
        <f ca="1">IFERROR(__xludf.DUMMYFUNCTION("""COMPUTED_VALUE"""),107.58)</f>
        <v>107.58</v>
      </c>
      <c r="E134" s="1">
        <f ca="1">IFERROR(__xludf.DUMMYFUNCTION("""COMPUTED_VALUE"""),110.63)</f>
        <v>110.63</v>
      </c>
      <c r="F134" s="1">
        <f ca="1">IFERROR(__xludf.DUMMYFUNCTION("""COMPUTED_VALUE"""),51163140)</f>
        <v>51163140</v>
      </c>
    </row>
    <row r="135" spans="1:6" ht="12.6">
      <c r="A135" s="2">
        <f ca="1">IFERROR(__xludf.DUMMYFUNCTION("""COMPUTED_VALUE"""),44757.6666666666)</f>
        <v>44757.666666666599</v>
      </c>
      <c r="B135" s="1">
        <f ca="1">IFERROR(__xludf.DUMMYFUNCTION("""COMPUTED_VALUE"""),112.5)</f>
        <v>112.5</v>
      </c>
      <c r="C135" s="1">
        <f ca="1">IFERROR(__xludf.DUMMYFUNCTION("""COMPUTED_VALUE"""),115.59)</f>
        <v>115.59</v>
      </c>
      <c r="D135" s="1">
        <f ca="1">IFERROR(__xludf.DUMMYFUNCTION("""COMPUTED_VALUE"""),111.59)</f>
        <v>111.59</v>
      </c>
      <c r="E135" s="1">
        <f ca="1">IFERROR(__xludf.DUMMYFUNCTION("""COMPUTED_VALUE"""),113.55)</f>
        <v>113.55</v>
      </c>
      <c r="F135" s="1">
        <f ca="1">IFERROR(__xludf.DUMMYFUNCTION("""COMPUTED_VALUE"""),84317816)</f>
        <v>84317816</v>
      </c>
    </row>
    <row r="136" spans="1:6" ht="12.6">
      <c r="A136" s="2">
        <f ca="1">IFERROR(__xludf.DUMMYFUNCTION("""COMPUTED_VALUE"""),44760.6666666666)</f>
        <v>44760.666666666599</v>
      </c>
      <c r="B136" s="1">
        <f ca="1">IFERROR(__xludf.DUMMYFUNCTION("""COMPUTED_VALUE"""),115)</f>
        <v>115</v>
      </c>
      <c r="C136" s="1">
        <f ca="1">IFERROR(__xludf.DUMMYFUNCTION("""COMPUTED_VALUE"""),117.24)</f>
        <v>117.24</v>
      </c>
      <c r="D136" s="1">
        <f ca="1">IFERROR(__xludf.DUMMYFUNCTION("""COMPUTED_VALUE"""),113.15)</f>
        <v>113.15</v>
      </c>
      <c r="E136" s="1">
        <f ca="1">IFERROR(__xludf.DUMMYFUNCTION("""COMPUTED_VALUE"""),113.76)</f>
        <v>113.76</v>
      </c>
      <c r="F136" s="1">
        <f ca="1">IFERROR(__xludf.DUMMYFUNCTION("""COMPUTED_VALUE"""),59115419)</f>
        <v>59115419</v>
      </c>
    </row>
    <row r="137" spans="1:6" ht="12.6">
      <c r="A137" s="2">
        <f ca="1">IFERROR(__xludf.DUMMYFUNCTION("""COMPUTED_VALUE"""),44761.6666666666)</f>
        <v>44761.666666666599</v>
      </c>
      <c r="B137" s="1">
        <f ca="1">IFERROR(__xludf.DUMMYFUNCTION("""COMPUTED_VALUE"""),115.7)</f>
        <v>115.7</v>
      </c>
      <c r="C137" s="1">
        <f ca="1">IFERROR(__xludf.DUMMYFUNCTION("""COMPUTED_VALUE"""),118.95)</f>
        <v>118.95</v>
      </c>
      <c r="D137" s="1">
        <f ca="1">IFERROR(__xludf.DUMMYFUNCTION("""COMPUTED_VALUE"""),114.03)</f>
        <v>114.03</v>
      </c>
      <c r="E137" s="1">
        <f ca="1">IFERROR(__xludf.DUMMYFUNCTION("""COMPUTED_VALUE"""),118.21)</f>
        <v>118.21</v>
      </c>
      <c r="F137" s="1">
        <f ca="1">IFERROR(__xludf.DUMMYFUNCTION("""COMPUTED_VALUE"""),60990043)</f>
        <v>60990043</v>
      </c>
    </row>
    <row r="138" spans="1:6" ht="12.6">
      <c r="A138" s="2">
        <f ca="1">IFERROR(__xludf.DUMMYFUNCTION("""COMPUTED_VALUE"""),44762.6666666666)</f>
        <v>44762.666666666599</v>
      </c>
      <c r="B138" s="1">
        <f ca="1">IFERROR(__xludf.DUMMYFUNCTION("""COMPUTED_VALUE"""),118.62)</f>
        <v>118.62</v>
      </c>
      <c r="C138" s="1">
        <f ca="1">IFERROR(__xludf.DUMMYFUNCTION("""COMPUTED_VALUE"""),123.48)</f>
        <v>123.48</v>
      </c>
      <c r="D138" s="1">
        <f ca="1">IFERROR(__xludf.DUMMYFUNCTION("""COMPUTED_VALUE"""),118.32)</f>
        <v>118.32</v>
      </c>
      <c r="E138" s="1">
        <f ca="1">IFERROR(__xludf.DUMMYFUNCTION("""COMPUTED_VALUE"""),122.77)</f>
        <v>122.77</v>
      </c>
      <c r="F138" s="1">
        <f ca="1">IFERROR(__xludf.DUMMYFUNCTION("""COMPUTED_VALUE"""),71268322)</f>
        <v>71268322</v>
      </c>
    </row>
    <row r="139" spans="1:6" ht="12.6">
      <c r="A139" s="2">
        <f ca="1">IFERROR(__xludf.DUMMYFUNCTION("""COMPUTED_VALUE"""),44763.6666666666)</f>
        <v>44763.666666666599</v>
      </c>
      <c r="B139" s="1">
        <f ca="1">IFERROR(__xludf.DUMMYFUNCTION("""COMPUTED_VALUE"""),123.2)</f>
        <v>123.2</v>
      </c>
      <c r="C139" s="1">
        <f ca="1">IFERROR(__xludf.DUMMYFUNCTION("""COMPUTED_VALUE"""),124.85)</f>
        <v>124.85</v>
      </c>
      <c r="D139" s="1">
        <f ca="1">IFERROR(__xludf.DUMMYFUNCTION("""COMPUTED_VALUE"""),121.26)</f>
        <v>121.26</v>
      </c>
      <c r="E139" s="1">
        <f ca="1">IFERROR(__xludf.DUMMYFUNCTION("""COMPUTED_VALUE"""),124.63)</f>
        <v>124.63</v>
      </c>
      <c r="F139" s="1">
        <f ca="1">IFERROR(__xludf.DUMMYFUNCTION("""COMPUTED_VALUE"""),60239892)</f>
        <v>60239892</v>
      </c>
    </row>
    <row r="140" spans="1:6" ht="12.6">
      <c r="A140" s="2">
        <f ca="1">IFERROR(__xludf.DUMMYFUNCTION("""COMPUTED_VALUE"""),44764.6666666666)</f>
        <v>44764.666666666599</v>
      </c>
      <c r="B140" s="1">
        <f ca="1">IFERROR(__xludf.DUMMYFUNCTION("""COMPUTED_VALUE"""),125.01)</f>
        <v>125.01</v>
      </c>
      <c r="C140" s="1">
        <f ca="1">IFERROR(__xludf.DUMMYFUNCTION("""COMPUTED_VALUE"""),125.5)</f>
        <v>125.5</v>
      </c>
      <c r="D140" s="1">
        <f ca="1">IFERROR(__xludf.DUMMYFUNCTION("""COMPUTED_VALUE"""),121.35)</f>
        <v>121.35</v>
      </c>
      <c r="E140" s="1">
        <f ca="1">IFERROR(__xludf.DUMMYFUNCTION("""COMPUTED_VALUE"""),122.42)</f>
        <v>122.42</v>
      </c>
      <c r="F140" s="1">
        <f ca="1">IFERROR(__xludf.DUMMYFUNCTION("""COMPUTED_VALUE"""),51463797)</f>
        <v>51463797</v>
      </c>
    </row>
    <row r="141" spans="1:6" ht="12.6">
      <c r="A141" s="2">
        <f ca="1">IFERROR(__xludf.DUMMYFUNCTION("""COMPUTED_VALUE"""),44767.6666666666)</f>
        <v>44767.666666666599</v>
      </c>
      <c r="B141" s="1">
        <f ca="1">IFERROR(__xludf.DUMMYFUNCTION("""COMPUTED_VALUE"""),122.7)</f>
        <v>122.7</v>
      </c>
      <c r="C141" s="1">
        <f ca="1">IFERROR(__xludf.DUMMYFUNCTION("""COMPUTED_VALUE"""),123.64)</f>
        <v>123.64</v>
      </c>
      <c r="D141" s="1">
        <f ca="1">IFERROR(__xludf.DUMMYFUNCTION("""COMPUTED_VALUE"""),120.03)</f>
        <v>120.03</v>
      </c>
      <c r="E141" s="1">
        <f ca="1">IFERROR(__xludf.DUMMYFUNCTION("""COMPUTED_VALUE"""),121.14)</f>
        <v>121.14</v>
      </c>
      <c r="F141" s="1">
        <f ca="1">IFERROR(__xludf.DUMMYFUNCTION("""COMPUTED_VALUE"""),50221259)</f>
        <v>50221259</v>
      </c>
    </row>
    <row r="142" spans="1:6" ht="12.6">
      <c r="A142" s="2">
        <f ca="1">IFERROR(__xludf.DUMMYFUNCTION("""COMPUTED_VALUE"""),44768.6666666666)</f>
        <v>44768.666666666599</v>
      </c>
      <c r="B142" s="1">
        <f ca="1">IFERROR(__xludf.DUMMYFUNCTION("""COMPUTED_VALUE"""),115.79)</f>
        <v>115.79</v>
      </c>
      <c r="C142" s="1">
        <f ca="1">IFERROR(__xludf.DUMMYFUNCTION("""COMPUTED_VALUE"""),118.15)</f>
        <v>118.15</v>
      </c>
      <c r="D142" s="1">
        <f ca="1">IFERROR(__xludf.DUMMYFUNCTION("""COMPUTED_VALUE"""),114.53)</f>
        <v>114.53</v>
      </c>
      <c r="E142" s="1">
        <f ca="1">IFERROR(__xludf.DUMMYFUNCTION("""COMPUTED_VALUE"""),114.81)</f>
        <v>114.81</v>
      </c>
      <c r="F142" s="1">
        <f ca="1">IFERROR(__xludf.DUMMYFUNCTION("""COMPUTED_VALUE"""),67075064)</f>
        <v>67075064</v>
      </c>
    </row>
    <row r="143" spans="1:6" ht="12.6">
      <c r="A143" s="2">
        <f ca="1">IFERROR(__xludf.DUMMYFUNCTION("""COMPUTED_VALUE"""),44769.6666666666)</f>
        <v>44769.666666666599</v>
      </c>
      <c r="B143" s="1">
        <f ca="1">IFERROR(__xludf.DUMMYFUNCTION("""COMPUTED_VALUE"""),117.31)</f>
        <v>117.31</v>
      </c>
      <c r="C143" s="1">
        <f ca="1">IFERROR(__xludf.DUMMYFUNCTION("""COMPUTED_VALUE"""),121.9)</f>
        <v>121.9</v>
      </c>
      <c r="D143" s="1">
        <f ca="1">IFERROR(__xludf.DUMMYFUNCTION("""COMPUTED_VALUE"""),117.16)</f>
        <v>117.16</v>
      </c>
      <c r="E143" s="1">
        <f ca="1">IFERROR(__xludf.DUMMYFUNCTION("""COMPUTED_VALUE"""),120.97)</f>
        <v>120.97</v>
      </c>
      <c r="F143" s="1">
        <f ca="1">IFERROR(__xludf.DUMMYFUNCTION("""COMPUTED_VALUE"""),61582015)</f>
        <v>61582015</v>
      </c>
    </row>
    <row r="144" spans="1:6" ht="12.6">
      <c r="A144" s="2">
        <f ca="1">IFERROR(__xludf.DUMMYFUNCTION("""COMPUTED_VALUE"""),44770.6666666666)</f>
        <v>44770.666666666599</v>
      </c>
      <c r="B144" s="1">
        <f ca="1">IFERROR(__xludf.DUMMYFUNCTION("""COMPUTED_VALUE"""),121.57)</f>
        <v>121.57</v>
      </c>
      <c r="C144" s="1">
        <f ca="1">IFERROR(__xludf.DUMMYFUNCTION("""COMPUTED_VALUE"""),122.84)</f>
        <v>122.84</v>
      </c>
      <c r="D144" s="1">
        <f ca="1">IFERROR(__xludf.DUMMYFUNCTION("""COMPUTED_VALUE"""),118.08)</f>
        <v>118.08</v>
      </c>
      <c r="E144" s="1">
        <f ca="1">IFERROR(__xludf.DUMMYFUNCTION("""COMPUTED_VALUE"""),122.28)</f>
        <v>122.28</v>
      </c>
      <c r="F144" s="1">
        <f ca="1">IFERROR(__xludf.DUMMYFUNCTION("""COMPUTED_VALUE"""),82245543)</f>
        <v>82245543</v>
      </c>
    </row>
    <row r="145" spans="1:6" ht="12.6">
      <c r="A145" s="2">
        <f ca="1">IFERROR(__xludf.DUMMYFUNCTION("""COMPUTED_VALUE"""),44771.6666666666)</f>
        <v>44771.666666666599</v>
      </c>
      <c r="B145" s="1">
        <f ca="1">IFERROR(__xludf.DUMMYFUNCTION("""COMPUTED_VALUE"""),134.9)</f>
        <v>134.9</v>
      </c>
      <c r="C145" s="1">
        <f ca="1">IFERROR(__xludf.DUMMYFUNCTION("""COMPUTED_VALUE"""),137.65)</f>
        <v>137.65</v>
      </c>
      <c r="D145" s="1">
        <f ca="1">IFERROR(__xludf.DUMMYFUNCTION("""COMPUTED_VALUE"""),132.41)</f>
        <v>132.41</v>
      </c>
      <c r="E145" s="1">
        <f ca="1">IFERROR(__xludf.DUMMYFUNCTION("""COMPUTED_VALUE"""),134.95)</f>
        <v>134.94999999999999</v>
      </c>
      <c r="F145" s="1">
        <f ca="1">IFERROR(__xludf.DUMMYFUNCTION("""COMPUTED_VALUE"""),148892889)</f>
        <v>148892889</v>
      </c>
    </row>
    <row r="146" spans="1:6" ht="12.6">
      <c r="A146" s="2">
        <f ca="1">IFERROR(__xludf.DUMMYFUNCTION("""COMPUTED_VALUE"""),44774.6666666666)</f>
        <v>44774.666666666599</v>
      </c>
      <c r="B146" s="1">
        <f ca="1">IFERROR(__xludf.DUMMYFUNCTION("""COMPUTED_VALUE"""),134.96)</f>
        <v>134.96</v>
      </c>
      <c r="C146" s="1">
        <f ca="1">IFERROR(__xludf.DUMMYFUNCTION("""COMPUTED_VALUE"""),138.83)</f>
        <v>138.83000000000001</v>
      </c>
      <c r="D146" s="1">
        <f ca="1">IFERROR(__xludf.DUMMYFUNCTION("""COMPUTED_VALUE"""),133.51)</f>
        <v>133.51</v>
      </c>
      <c r="E146" s="1">
        <f ca="1">IFERROR(__xludf.DUMMYFUNCTION("""COMPUTED_VALUE"""),135.39)</f>
        <v>135.38999999999999</v>
      </c>
      <c r="F146" s="1">
        <f ca="1">IFERROR(__xludf.DUMMYFUNCTION("""COMPUTED_VALUE"""),76846908)</f>
        <v>76846908</v>
      </c>
    </row>
    <row r="147" spans="1:6" ht="12.6">
      <c r="A147" s="2">
        <f ca="1">IFERROR(__xludf.DUMMYFUNCTION("""COMPUTED_VALUE"""),44775.6666666666)</f>
        <v>44775.666666666599</v>
      </c>
      <c r="B147" s="1">
        <f ca="1">IFERROR(__xludf.DUMMYFUNCTION("""COMPUTED_VALUE"""),134.72)</f>
        <v>134.72</v>
      </c>
      <c r="C147" s="1">
        <f ca="1">IFERROR(__xludf.DUMMYFUNCTION("""COMPUTED_VALUE"""),137.44)</f>
        <v>137.44</v>
      </c>
      <c r="D147" s="1">
        <f ca="1">IFERROR(__xludf.DUMMYFUNCTION("""COMPUTED_VALUE"""),134.09)</f>
        <v>134.09</v>
      </c>
      <c r="E147" s="1">
        <f ca="1">IFERROR(__xludf.DUMMYFUNCTION("""COMPUTED_VALUE"""),134.16)</f>
        <v>134.16</v>
      </c>
      <c r="F147" s="1">
        <f ca="1">IFERROR(__xludf.DUMMYFUNCTION("""COMPUTED_VALUE"""),61922429)</f>
        <v>61922429</v>
      </c>
    </row>
    <row r="148" spans="1:6" ht="12.6">
      <c r="A148" s="2">
        <f ca="1">IFERROR(__xludf.DUMMYFUNCTION("""COMPUTED_VALUE"""),44776.6666666666)</f>
        <v>44776.666666666599</v>
      </c>
      <c r="B148" s="1">
        <f ca="1">IFERROR(__xludf.DUMMYFUNCTION("""COMPUTED_VALUE"""),136.21)</f>
        <v>136.21</v>
      </c>
      <c r="C148" s="1">
        <f ca="1">IFERROR(__xludf.DUMMYFUNCTION("""COMPUTED_VALUE"""),140.49)</f>
        <v>140.49</v>
      </c>
      <c r="D148" s="1">
        <f ca="1">IFERROR(__xludf.DUMMYFUNCTION("""COMPUTED_VALUE"""),136.05)</f>
        <v>136.05000000000001</v>
      </c>
      <c r="E148" s="1">
        <f ca="1">IFERROR(__xludf.DUMMYFUNCTION("""COMPUTED_VALUE"""),139.52)</f>
        <v>139.52000000000001</v>
      </c>
      <c r="F148" s="1">
        <f ca="1">IFERROR(__xludf.DUMMYFUNCTION("""COMPUTED_VALUE"""),71827780)</f>
        <v>71827780</v>
      </c>
    </row>
    <row r="149" spans="1:6" ht="12.6">
      <c r="A149" s="2">
        <f ca="1">IFERROR(__xludf.DUMMYFUNCTION("""COMPUTED_VALUE"""),44777.6666666666)</f>
        <v>44777.666666666599</v>
      </c>
      <c r="B149" s="1">
        <f ca="1">IFERROR(__xludf.DUMMYFUNCTION("""COMPUTED_VALUE"""),140.58)</f>
        <v>140.58000000000001</v>
      </c>
      <c r="C149" s="1">
        <f ca="1">IFERROR(__xludf.DUMMYFUNCTION("""COMPUTED_VALUE"""),143.56)</f>
        <v>143.56</v>
      </c>
      <c r="D149" s="1">
        <f ca="1">IFERROR(__xludf.DUMMYFUNCTION("""COMPUTED_VALUE"""),139.55)</f>
        <v>139.55000000000001</v>
      </c>
      <c r="E149" s="1">
        <f ca="1">IFERROR(__xludf.DUMMYFUNCTION("""COMPUTED_VALUE"""),142.57)</f>
        <v>142.57</v>
      </c>
      <c r="F149" s="1">
        <f ca="1">IFERROR(__xludf.DUMMYFUNCTION("""COMPUTED_VALUE"""),70585020)</f>
        <v>70585020</v>
      </c>
    </row>
    <row r="150" spans="1:6" ht="12.6">
      <c r="A150" s="2">
        <f ca="1">IFERROR(__xludf.DUMMYFUNCTION("""COMPUTED_VALUE"""),44778.6666666666)</f>
        <v>44778.666666666599</v>
      </c>
      <c r="B150" s="1">
        <f ca="1">IFERROR(__xludf.DUMMYFUNCTION("""COMPUTED_VALUE"""),140.1)</f>
        <v>140.1</v>
      </c>
      <c r="C150" s="1">
        <f ca="1">IFERROR(__xludf.DUMMYFUNCTION("""COMPUTED_VALUE"""),142.86)</f>
        <v>142.86000000000001</v>
      </c>
      <c r="D150" s="1">
        <f ca="1">IFERROR(__xludf.DUMMYFUNCTION("""COMPUTED_VALUE"""),139.6)</f>
        <v>139.6</v>
      </c>
      <c r="E150" s="1">
        <f ca="1">IFERROR(__xludf.DUMMYFUNCTION("""COMPUTED_VALUE"""),140.8)</f>
        <v>140.80000000000001</v>
      </c>
      <c r="F150" s="1">
        <f ca="1">IFERROR(__xludf.DUMMYFUNCTION("""COMPUTED_VALUE"""),50686865)</f>
        <v>50686865</v>
      </c>
    </row>
    <row r="151" spans="1:6" ht="12.6">
      <c r="A151" s="2">
        <f ca="1">IFERROR(__xludf.DUMMYFUNCTION("""COMPUTED_VALUE"""),44781.6666666666)</f>
        <v>44781.666666666599</v>
      </c>
      <c r="B151" s="1">
        <f ca="1">IFERROR(__xludf.DUMMYFUNCTION("""COMPUTED_VALUE"""),142.05)</f>
        <v>142.05000000000001</v>
      </c>
      <c r="C151" s="1">
        <f ca="1">IFERROR(__xludf.DUMMYFUNCTION("""COMPUTED_VALUE"""),144.23)</f>
        <v>144.22999999999999</v>
      </c>
      <c r="D151" s="1">
        <f ca="1">IFERROR(__xludf.DUMMYFUNCTION("""COMPUTED_VALUE"""),138.29)</f>
        <v>138.29</v>
      </c>
      <c r="E151" s="1">
        <f ca="1">IFERROR(__xludf.DUMMYFUNCTION("""COMPUTED_VALUE"""),139.41)</f>
        <v>139.41</v>
      </c>
      <c r="F151" s="1">
        <f ca="1">IFERROR(__xludf.DUMMYFUNCTION("""COMPUTED_VALUE"""),52303475)</f>
        <v>52303475</v>
      </c>
    </row>
    <row r="152" spans="1:6" ht="12.6">
      <c r="A152" s="2">
        <f ca="1">IFERROR(__xludf.DUMMYFUNCTION("""COMPUTED_VALUE"""),44782.6666666666)</f>
        <v>44782.666666666599</v>
      </c>
      <c r="B152" s="1">
        <f ca="1">IFERROR(__xludf.DUMMYFUNCTION("""COMPUTED_VALUE"""),138.05)</f>
        <v>138.05000000000001</v>
      </c>
      <c r="C152" s="1">
        <f ca="1">IFERROR(__xludf.DUMMYFUNCTION("""COMPUTED_VALUE"""),138.95)</f>
        <v>138.94999999999999</v>
      </c>
      <c r="D152" s="1">
        <f ca="1">IFERROR(__xludf.DUMMYFUNCTION("""COMPUTED_VALUE"""),136.21)</f>
        <v>136.21</v>
      </c>
      <c r="E152" s="1">
        <f ca="1">IFERROR(__xludf.DUMMYFUNCTION("""COMPUTED_VALUE"""),137.83)</f>
        <v>137.83000000000001</v>
      </c>
      <c r="F152" s="1">
        <f ca="1">IFERROR(__xludf.DUMMYFUNCTION("""COMPUTED_VALUE"""),40434715)</f>
        <v>40434715</v>
      </c>
    </row>
    <row r="153" spans="1:6" ht="12.6">
      <c r="A153" s="2">
        <f ca="1">IFERROR(__xludf.DUMMYFUNCTION("""COMPUTED_VALUE"""),44783.6666666666)</f>
        <v>44783.666666666599</v>
      </c>
      <c r="B153" s="1">
        <f ca="1">IFERROR(__xludf.DUMMYFUNCTION("""COMPUTED_VALUE"""),142.9)</f>
        <v>142.9</v>
      </c>
      <c r="C153" s="1">
        <f ca="1">IFERROR(__xludf.DUMMYFUNCTION("""COMPUTED_VALUE"""),144.6)</f>
        <v>144.6</v>
      </c>
      <c r="D153" s="1">
        <f ca="1">IFERROR(__xludf.DUMMYFUNCTION("""COMPUTED_VALUE"""),141.01)</f>
        <v>141.01</v>
      </c>
      <c r="E153" s="1">
        <f ca="1">IFERROR(__xludf.DUMMYFUNCTION("""COMPUTED_VALUE"""),142.69)</f>
        <v>142.69</v>
      </c>
      <c r="F153" s="1">
        <f ca="1">IFERROR(__xludf.DUMMYFUNCTION("""COMPUTED_VALUE"""),54773819)</f>
        <v>54773819</v>
      </c>
    </row>
    <row r="154" spans="1:6" ht="12.6">
      <c r="A154" s="2">
        <f ca="1">IFERROR(__xludf.DUMMYFUNCTION("""COMPUTED_VALUE"""),44784.6666666666)</f>
        <v>44784.666666666599</v>
      </c>
      <c r="B154" s="1">
        <f ca="1">IFERROR(__xludf.DUMMYFUNCTION("""COMPUTED_VALUE"""),143.86)</f>
        <v>143.86000000000001</v>
      </c>
      <c r="C154" s="1">
        <f ca="1">IFERROR(__xludf.DUMMYFUNCTION("""COMPUTED_VALUE"""),144.49)</f>
        <v>144.49</v>
      </c>
      <c r="D154" s="1">
        <f ca="1">IFERROR(__xludf.DUMMYFUNCTION("""COMPUTED_VALUE"""),139.76)</f>
        <v>139.76</v>
      </c>
      <c r="E154" s="1">
        <f ca="1">IFERROR(__xludf.DUMMYFUNCTION("""COMPUTED_VALUE"""),140.64)</f>
        <v>140.63999999999999</v>
      </c>
      <c r="F154" s="1">
        <f ca="1">IFERROR(__xludf.DUMMYFUNCTION("""COMPUTED_VALUE"""),44867336)</f>
        <v>44867336</v>
      </c>
    </row>
    <row r="155" spans="1:6" ht="12.6">
      <c r="A155" s="2">
        <f ca="1">IFERROR(__xludf.DUMMYFUNCTION("""COMPUTED_VALUE"""),44785.6666666666)</f>
        <v>44785.666666666599</v>
      </c>
      <c r="B155" s="1">
        <f ca="1">IFERROR(__xludf.DUMMYFUNCTION("""COMPUTED_VALUE"""),142.05)</f>
        <v>142.05000000000001</v>
      </c>
      <c r="C155" s="1">
        <f ca="1">IFERROR(__xludf.DUMMYFUNCTION("""COMPUTED_VALUE"""),143.57)</f>
        <v>143.57</v>
      </c>
      <c r="D155" s="1">
        <f ca="1">IFERROR(__xludf.DUMMYFUNCTION("""COMPUTED_VALUE"""),140.12)</f>
        <v>140.12</v>
      </c>
      <c r="E155" s="1">
        <f ca="1">IFERROR(__xludf.DUMMYFUNCTION("""COMPUTED_VALUE"""),143.55)</f>
        <v>143.55000000000001</v>
      </c>
      <c r="F155" s="1">
        <f ca="1">IFERROR(__xludf.DUMMYFUNCTION("""COMPUTED_VALUE"""),47643484)</f>
        <v>47643484</v>
      </c>
    </row>
    <row r="156" spans="1:6" ht="12.6">
      <c r="A156" s="2">
        <f ca="1">IFERROR(__xludf.DUMMYFUNCTION("""COMPUTED_VALUE"""),44788.6666666666)</f>
        <v>44788.666666666599</v>
      </c>
      <c r="B156" s="1">
        <f ca="1">IFERROR(__xludf.DUMMYFUNCTION("""COMPUTED_VALUE"""),142.8)</f>
        <v>142.80000000000001</v>
      </c>
      <c r="C156" s="1">
        <f ca="1">IFERROR(__xludf.DUMMYFUNCTION("""COMPUTED_VALUE"""),143.76)</f>
        <v>143.76</v>
      </c>
      <c r="D156" s="1">
        <f ca="1">IFERROR(__xludf.DUMMYFUNCTION("""COMPUTED_VALUE"""),141.49)</f>
        <v>141.49</v>
      </c>
      <c r="E156" s="1">
        <f ca="1">IFERROR(__xludf.DUMMYFUNCTION("""COMPUTED_VALUE"""),143.18)</f>
        <v>143.18</v>
      </c>
      <c r="F156" s="1">
        <f ca="1">IFERROR(__xludf.DUMMYFUNCTION("""COMPUTED_VALUE"""),39014583)</f>
        <v>39014583</v>
      </c>
    </row>
    <row r="157" spans="1:6" ht="12.6">
      <c r="A157" s="2">
        <f ca="1">IFERROR(__xludf.DUMMYFUNCTION("""COMPUTED_VALUE"""),44789.6666666666)</f>
        <v>44789.666666666599</v>
      </c>
      <c r="B157" s="1">
        <f ca="1">IFERROR(__xludf.DUMMYFUNCTION("""COMPUTED_VALUE"""),143.91)</f>
        <v>143.91</v>
      </c>
      <c r="C157" s="1">
        <f ca="1">IFERROR(__xludf.DUMMYFUNCTION("""COMPUTED_VALUE"""),146.57)</f>
        <v>146.57</v>
      </c>
      <c r="D157" s="1">
        <f ca="1">IFERROR(__xludf.DUMMYFUNCTION("""COMPUTED_VALUE"""),142)</f>
        <v>142</v>
      </c>
      <c r="E157" s="1">
        <f ca="1">IFERROR(__xludf.DUMMYFUNCTION("""COMPUTED_VALUE"""),144.78)</f>
        <v>144.78</v>
      </c>
      <c r="F157" s="1">
        <f ca="1">IFERROR(__xludf.DUMMYFUNCTION("""COMPUTED_VALUE"""),59102859)</f>
        <v>59102859</v>
      </c>
    </row>
    <row r="158" spans="1:6" ht="12.6">
      <c r="A158" s="2">
        <f ca="1">IFERROR(__xludf.DUMMYFUNCTION("""COMPUTED_VALUE"""),44790.6666666666)</f>
        <v>44790.666666666599</v>
      </c>
      <c r="B158" s="1">
        <f ca="1">IFERROR(__xludf.DUMMYFUNCTION("""COMPUTED_VALUE"""),142.69)</f>
        <v>142.69</v>
      </c>
      <c r="C158" s="1">
        <f ca="1">IFERROR(__xludf.DUMMYFUNCTION("""COMPUTED_VALUE"""),143.38)</f>
        <v>143.38</v>
      </c>
      <c r="D158" s="1">
        <f ca="1">IFERROR(__xludf.DUMMYFUNCTION("""COMPUTED_VALUE"""),140.78)</f>
        <v>140.78</v>
      </c>
      <c r="E158" s="1">
        <f ca="1">IFERROR(__xludf.DUMMYFUNCTION("""COMPUTED_VALUE"""),142.1)</f>
        <v>142.1</v>
      </c>
      <c r="F158" s="1">
        <f ca="1">IFERROR(__xludf.DUMMYFUNCTION("""COMPUTED_VALUE"""),48149778)</f>
        <v>48149778</v>
      </c>
    </row>
    <row r="159" spans="1:6" ht="12.6">
      <c r="A159" s="2">
        <f ca="1">IFERROR(__xludf.DUMMYFUNCTION("""COMPUTED_VALUE"""),44791.6666666666)</f>
        <v>44791.666666666599</v>
      </c>
      <c r="B159" s="1">
        <f ca="1">IFERROR(__xludf.DUMMYFUNCTION("""COMPUTED_VALUE"""),141.32)</f>
        <v>141.32</v>
      </c>
      <c r="C159" s="1">
        <f ca="1">IFERROR(__xludf.DUMMYFUNCTION("""COMPUTED_VALUE"""),142.77)</f>
        <v>142.77000000000001</v>
      </c>
      <c r="D159" s="1">
        <f ca="1">IFERROR(__xludf.DUMMYFUNCTION("""COMPUTED_VALUE"""),140.38)</f>
        <v>140.38</v>
      </c>
      <c r="E159" s="1">
        <f ca="1">IFERROR(__xludf.DUMMYFUNCTION("""COMPUTED_VALUE"""),142.3)</f>
        <v>142.30000000000001</v>
      </c>
      <c r="F159" s="1">
        <f ca="1">IFERROR(__xludf.DUMMYFUNCTION("""COMPUTED_VALUE"""),37458737)</f>
        <v>37458737</v>
      </c>
    </row>
    <row r="160" spans="1:6" ht="12.6">
      <c r="A160" s="2">
        <f ca="1">IFERROR(__xludf.DUMMYFUNCTION("""COMPUTED_VALUE"""),44792.6666666666)</f>
        <v>44792.666666666599</v>
      </c>
      <c r="B160" s="1">
        <f ca="1">IFERROR(__xludf.DUMMYFUNCTION("""COMPUTED_VALUE"""),140.47)</f>
        <v>140.47</v>
      </c>
      <c r="C160" s="1">
        <f ca="1">IFERROR(__xludf.DUMMYFUNCTION("""COMPUTED_VALUE"""),141.11)</f>
        <v>141.11000000000001</v>
      </c>
      <c r="D160" s="1">
        <f ca="1">IFERROR(__xludf.DUMMYFUNCTION("""COMPUTED_VALUE"""),137.91)</f>
        <v>137.91</v>
      </c>
      <c r="E160" s="1">
        <f ca="1">IFERROR(__xludf.DUMMYFUNCTION("""COMPUTED_VALUE"""),138.23)</f>
        <v>138.22999999999999</v>
      </c>
      <c r="F160" s="1">
        <f ca="1">IFERROR(__xludf.DUMMYFUNCTION("""COMPUTED_VALUE"""),47792843)</f>
        <v>47792843</v>
      </c>
    </row>
    <row r="161" spans="1:6" ht="12.6">
      <c r="A161" s="2">
        <f ca="1">IFERROR(__xludf.DUMMYFUNCTION("""COMPUTED_VALUE"""),44795.6666666666)</f>
        <v>44795.666666666599</v>
      </c>
      <c r="B161" s="1">
        <f ca="1">IFERROR(__xludf.DUMMYFUNCTION("""COMPUTED_VALUE"""),135.72)</f>
        <v>135.72</v>
      </c>
      <c r="C161" s="1">
        <f ca="1">IFERROR(__xludf.DUMMYFUNCTION("""COMPUTED_VALUE"""),136.32)</f>
        <v>136.32</v>
      </c>
      <c r="D161" s="1">
        <f ca="1">IFERROR(__xludf.DUMMYFUNCTION("""COMPUTED_VALUE"""),132.85)</f>
        <v>132.85</v>
      </c>
      <c r="E161" s="1">
        <f ca="1">IFERROR(__xludf.DUMMYFUNCTION("""COMPUTED_VALUE"""),133.22)</f>
        <v>133.22</v>
      </c>
      <c r="F161" s="1">
        <f ca="1">IFERROR(__xludf.DUMMYFUNCTION("""COMPUTED_VALUE"""),50461504)</f>
        <v>50461504</v>
      </c>
    </row>
    <row r="162" spans="1:6" ht="12.6">
      <c r="A162" s="2">
        <f ca="1">IFERROR(__xludf.DUMMYFUNCTION("""COMPUTED_VALUE"""),44796.6666666666)</f>
        <v>44796.666666666599</v>
      </c>
      <c r="B162" s="1">
        <f ca="1">IFERROR(__xludf.DUMMYFUNCTION("""COMPUTED_VALUE"""),133.41)</f>
        <v>133.41</v>
      </c>
      <c r="C162" s="1">
        <f ca="1">IFERROR(__xludf.DUMMYFUNCTION("""COMPUTED_VALUE"""),134.99)</f>
        <v>134.99</v>
      </c>
      <c r="D162" s="1">
        <f ca="1">IFERROR(__xludf.DUMMYFUNCTION("""COMPUTED_VALUE"""),132.95)</f>
        <v>132.94999999999999</v>
      </c>
      <c r="E162" s="1">
        <f ca="1">IFERROR(__xludf.DUMMYFUNCTION("""COMPUTED_VALUE"""),133.62)</f>
        <v>133.62</v>
      </c>
      <c r="F162" s="1">
        <f ca="1">IFERROR(__xludf.DUMMYFUNCTION("""COMPUTED_VALUE"""),36252103)</f>
        <v>36252103</v>
      </c>
    </row>
    <row r="163" spans="1:6" ht="12.6">
      <c r="A163" s="2">
        <f ca="1">IFERROR(__xludf.DUMMYFUNCTION("""COMPUTED_VALUE"""),44797.6666666666)</f>
        <v>44797.666666666599</v>
      </c>
      <c r="B163" s="1">
        <f ca="1">IFERROR(__xludf.DUMMYFUNCTION("""COMPUTED_VALUE"""),132.75)</f>
        <v>132.75</v>
      </c>
      <c r="C163" s="1">
        <f ca="1">IFERROR(__xludf.DUMMYFUNCTION("""COMPUTED_VALUE"""),135.47)</f>
        <v>135.47</v>
      </c>
      <c r="D163" s="1">
        <f ca="1">IFERROR(__xludf.DUMMYFUNCTION("""COMPUTED_VALUE"""),132.1)</f>
        <v>132.1</v>
      </c>
      <c r="E163" s="1">
        <f ca="1">IFERROR(__xludf.DUMMYFUNCTION("""COMPUTED_VALUE"""),133.8)</f>
        <v>133.80000000000001</v>
      </c>
      <c r="F163" s="1">
        <f ca="1">IFERROR(__xludf.DUMMYFUNCTION("""COMPUTED_VALUE"""),38626978)</f>
        <v>38626978</v>
      </c>
    </row>
    <row r="164" spans="1:6" ht="12.6">
      <c r="A164" s="2">
        <f ca="1">IFERROR(__xludf.DUMMYFUNCTION("""COMPUTED_VALUE"""),44798.6666666666)</f>
        <v>44798.666666666599</v>
      </c>
      <c r="B164" s="1">
        <f ca="1">IFERROR(__xludf.DUMMYFUNCTION("""COMPUTED_VALUE"""),135.26)</f>
        <v>135.26</v>
      </c>
      <c r="C164" s="1">
        <f ca="1">IFERROR(__xludf.DUMMYFUNCTION("""COMPUTED_VALUE"""),137.42)</f>
        <v>137.41999999999999</v>
      </c>
      <c r="D164" s="1">
        <f ca="1">IFERROR(__xludf.DUMMYFUNCTION("""COMPUTED_VALUE"""),134.28)</f>
        <v>134.28</v>
      </c>
      <c r="E164" s="1">
        <f ca="1">IFERROR(__xludf.DUMMYFUNCTION("""COMPUTED_VALUE"""),137.28)</f>
        <v>137.28</v>
      </c>
      <c r="F164" s="1">
        <f ca="1">IFERROR(__xludf.DUMMYFUNCTION("""COMPUTED_VALUE"""),37496283)</f>
        <v>37496283</v>
      </c>
    </row>
    <row r="165" spans="1:6" ht="12.6">
      <c r="A165" s="2">
        <f ca="1">IFERROR(__xludf.DUMMYFUNCTION("""COMPUTED_VALUE"""),44799.6666666666)</f>
        <v>44799.666666666599</v>
      </c>
      <c r="B165" s="1">
        <f ca="1">IFERROR(__xludf.DUMMYFUNCTION("""COMPUTED_VALUE"""),136.55)</f>
        <v>136.55000000000001</v>
      </c>
      <c r="C165" s="1">
        <f ca="1">IFERROR(__xludf.DUMMYFUNCTION("""COMPUTED_VALUE"""),137.83)</f>
        <v>137.83000000000001</v>
      </c>
      <c r="D165" s="1">
        <f ca="1">IFERROR(__xludf.DUMMYFUNCTION("""COMPUTED_VALUE"""),130.5)</f>
        <v>130.5</v>
      </c>
      <c r="E165" s="1">
        <f ca="1">IFERROR(__xludf.DUMMYFUNCTION("""COMPUTED_VALUE"""),130.75)</f>
        <v>130.75</v>
      </c>
      <c r="F165" s="1">
        <f ca="1">IFERROR(__xludf.DUMMYFUNCTION("""COMPUTED_VALUE"""),53322663)</f>
        <v>53322663</v>
      </c>
    </row>
    <row r="166" spans="1:6" ht="12.6">
      <c r="A166" s="2">
        <f ca="1">IFERROR(__xludf.DUMMYFUNCTION("""COMPUTED_VALUE"""),44802.6666666666)</f>
        <v>44802.666666666599</v>
      </c>
      <c r="B166" s="1">
        <f ca="1">IFERROR(__xludf.DUMMYFUNCTION("""COMPUTED_VALUE"""),129.9)</f>
        <v>129.9</v>
      </c>
      <c r="C166" s="1">
        <f ca="1">IFERROR(__xludf.DUMMYFUNCTION("""COMPUTED_VALUE"""),131.95)</f>
        <v>131.94999999999999</v>
      </c>
      <c r="D166" s="1">
        <f ca="1">IFERROR(__xludf.DUMMYFUNCTION("""COMPUTED_VALUE"""),128.77)</f>
        <v>128.77000000000001</v>
      </c>
      <c r="E166" s="1">
        <f ca="1">IFERROR(__xludf.DUMMYFUNCTION("""COMPUTED_VALUE"""),129.79)</f>
        <v>129.79</v>
      </c>
      <c r="F166" s="1">
        <f ca="1">IFERROR(__xludf.DUMMYFUNCTION("""COMPUTED_VALUE"""),48101638)</f>
        <v>48101638</v>
      </c>
    </row>
    <row r="167" spans="1:6" ht="12.6">
      <c r="A167" s="2">
        <f ca="1">IFERROR(__xludf.DUMMYFUNCTION("""COMPUTED_VALUE"""),44803.6666666666)</f>
        <v>44803.666666666599</v>
      </c>
      <c r="B167" s="1">
        <f ca="1">IFERROR(__xludf.DUMMYFUNCTION("""COMPUTED_VALUE"""),131.25)</f>
        <v>131.25</v>
      </c>
      <c r="C167" s="1">
        <f ca="1">IFERROR(__xludf.DUMMYFUNCTION("""COMPUTED_VALUE"""),132.07)</f>
        <v>132.07</v>
      </c>
      <c r="D167" s="1">
        <f ca="1">IFERROR(__xludf.DUMMYFUNCTION("""COMPUTED_VALUE"""),126.85)</f>
        <v>126.85</v>
      </c>
      <c r="E167" s="1">
        <f ca="1">IFERROR(__xludf.DUMMYFUNCTION("""COMPUTED_VALUE"""),128.73)</f>
        <v>128.72999999999999</v>
      </c>
      <c r="F167" s="1">
        <f ca="1">IFERROR(__xludf.DUMMYFUNCTION("""COMPUTED_VALUE"""),49202990)</f>
        <v>49202990</v>
      </c>
    </row>
    <row r="168" spans="1:6" ht="12.6">
      <c r="A168" s="2">
        <f ca="1">IFERROR(__xludf.DUMMYFUNCTION("""COMPUTED_VALUE"""),44804.6666666666)</f>
        <v>44804.666666666599</v>
      </c>
      <c r="B168" s="1">
        <f ca="1">IFERROR(__xludf.DUMMYFUNCTION("""COMPUTED_VALUE"""),129.45)</f>
        <v>129.44999999999999</v>
      </c>
      <c r="C168" s="1">
        <f ca="1">IFERROR(__xludf.DUMMYFUNCTION("""COMPUTED_VALUE"""),130.59)</f>
        <v>130.59</v>
      </c>
      <c r="D168" s="1">
        <f ca="1">IFERROR(__xludf.DUMMYFUNCTION("""COMPUTED_VALUE"""),126.74)</f>
        <v>126.74</v>
      </c>
      <c r="E168" s="1">
        <f ca="1">IFERROR(__xludf.DUMMYFUNCTION("""COMPUTED_VALUE"""),126.77)</f>
        <v>126.77</v>
      </c>
      <c r="F168" s="1">
        <f ca="1">IFERROR(__xludf.DUMMYFUNCTION("""COMPUTED_VALUE"""),53648702)</f>
        <v>53648702</v>
      </c>
    </row>
    <row r="169" spans="1:6" ht="12.6">
      <c r="A169" s="2">
        <f ca="1">IFERROR(__xludf.DUMMYFUNCTION("""COMPUTED_VALUE"""),44805.6666666666)</f>
        <v>44805.666666666599</v>
      </c>
      <c r="B169" s="1">
        <f ca="1">IFERROR(__xludf.DUMMYFUNCTION("""COMPUTED_VALUE"""),126)</f>
        <v>126</v>
      </c>
      <c r="C169" s="1">
        <f ca="1">IFERROR(__xludf.DUMMYFUNCTION("""COMPUTED_VALUE"""),128.02)</f>
        <v>128.02000000000001</v>
      </c>
      <c r="D169" s="1">
        <f ca="1">IFERROR(__xludf.DUMMYFUNCTION("""COMPUTED_VALUE"""),123.66)</f>
        <v>123.66</v>
      </c>
      <c r="E169" s="1">
        <f ca="1">IFERROR(__xludf.DUMMYFUNCTION("""COMPUTED_VALUE"""),127.82)</f>
        <v>127.82</v>
      </c>
      <c r="F169" s="1">
        <f ca="1">IFERROR(__xludf.DUMMYFUNCTION("""COMPUTED_VALUE"""),56636145)</f>
        <v>56636145</v>
      </c>
    </row>
    <row r="170" spans="1:6" ht="12.6">
      <c r="A170" s="2">
        <f ca="1">IFERROR(__xludf.DUMMYFUNCTION("""COMPUTED_VALUE"""),44806.6666666666)</f>
        <v>44806.666666666599</v>
      </c>
      <c r="B170" s="1">
        <f ca="1">IFERROR(__xludf.DUMMYFUNCTION("""COMPUTED_VALUE"""),129.5)</f>
        <v>129.5</v>
      </c>
      <c r="C170" s="1">
        <f ca="1">IFERROR(__xludf.DUMMYFUNCTION("""COMPUTED_VALUE"""),131.38)</f>
        <v>131.38</v>
      </c>
      <c r="D170" s="1">
        <f ca="1">IFERROR(__xludf.DUMMYFUNCTION("""COMPUTED_VALUE"""),126.39)</f>
        <v>126.39</v>
      </c>
      <c r="E170" s="1">
        <f ca="1">IFERROR(__xludf.DUMMYFUNCTION("""COMPUTED_VALUE"""),127.51)</f>
        <v>127.51</v>
      </c>
      <c r="F170" s="1">
        <f ca="1">IFERROR(__xludf.DUMMYFUNCTION("""COMPUTED_VALUE"""),57429829)</f>
        <v>57429829</v>
      </c>
    </row>
    <row r="171" spans="1:6" ht="12.6">
      <c r="A171" s="2">
        <f ca="1">IFERROR(__xludf.DUMMYFUNCTION("""COMPUTED_VALUE"""),44810.6666666666)</f>
        <v>44810.666666666599</v>
      </c>
      <c r="B171" s="1">
        <f ca="1">IFERROR(__xludf.DUMMYFUNCTION("""COMPUTED_VALUE"""),127.92)</f>
        <v>127.92</v>
      </c>
      <c r="C171" s="1">
        <f ca="1">IFERROR(__xludf.DUMMYFUNCTION("""COMPUTED_VALUE"""),128.62)</f>
        <v>128.62</v>
      </c>
      <c r="D171" s="1">
        <f ca="1">IFERROR(__xludf.DUMMYFUNCTION("""COMPUTED_VALUE"""),124.74)</f>
        <v>124.74</v>
      </c>
      <c r="E171" s="1">
        <f ca="1">IFERROR(__xludf.DUMMYFUNCTION("""COMPUTED_VALUE"""),126.11)</f>
        <v>126.11</v>
      </c>
      <c r="F171" s="1">
        <f ca="1">IFERROR(__xludf.DUMMYFUNCTION("""COMPUTED_VALUE"""),43888587)</f>
        <v>43888587</v>
      </c>
    </row>
    <row r="172" spans="1:6" ht="12.6">
      <c r="A172" s="2">
        <f ca="1">IFERROR(__xludf.DUMMYFUNCTION("""COMPUTED_VALUE"""),44811.6666666666)</f>
        <v>44811.666666666599</v>
      </c>
      <c r="B172" s="1">
        <f ca="1">IFERROR(__xludf.DUMMYFUNCTION("""COMPUTED_VALUE"""),126.12)</f>
        <v>126.12</v>
      </c>
      <c r="C172" s="1">
        <f ca="1">IFERROR(__xludf.DUMMYFUNCTION("""COMPUTED_VALUE"""),129.82)</f>
        <v>129.82</v>
      </c>
      <c r="D172" s="1">
        <f ca="1">IFERROR(__xludf.DUMMYFUNCTION("""COMPUTED_VALUE"""),125.4)</f>
        <v>125.4</v>
      </c>
      <c r="E172" s="1">
        <f ca="1">IFERROR(__xludf.DUMMYFUNCTION("""COMPUTED_VALUE"""),129.48)</f>
        <v>129.47999999999999</v>
      </c>
      <c r="F172" s="1">
        <f ca="1">IFERROR(__xludf.DUMMYFUNCTION("""COMPUTED_VALUE"""),47834487)</f>
        <v>47834487</v>
      </c>
    </row>
    <row r="173" spans="1:6" ht="12.6">
      <c r="A173" s="2">
        <f ca="1">IFERROR(__xludf.DUMMYFUNCTION("""COMPUTED_VALUE"""),44812.6666666666)</f>
        <v>44812.666666666599</v>
      </c>
      <c r="B173" s="1">
        <f ca="1">IFERROR(__xludf.DUMMYFUNCTION("""COMPUTED_VALUE"""),127.72)</f>
        <v>127.72</v>
      </c>
      <c r="C173" s="1">
        <f ca="1">IFERROR(__xludf.DUMMYFUNCTION("""COMPUTED_VALUE"""),130.28)</f>
        <v>130.28</v>
      </c>
      <c r="D173" s="1">
        <f ca="1">IFERROR(__xludf.DUMMYFUNCTION("""COMPUTED_VALUE"""),127.1)</f>
        <v>127.1</v>
      </c>
      <c r="E173" s="1">
        <f ca="1">IFERROR(__xludf.DUMMYFUNCTION("""COMPUTED_VALUE"""),129.82)</f>
        <v>129.82</v>
      </c>
      <c r="F173" s="1">
        <f ca="1">IFERROR(__xludf.DUMMYFUNCTION("""COMPUTED_VALUE"""),43988509)</f>
        <v>43988509</v>
      </c>
    </row>
    <row r="174" spans="1:6" ht="12.6">
      <c r="A174" s="2">
        <f ca="1">IFERROR(__xludf.DUMMYFUNCTION("""COMPUTED_VALUE"""),44813.6666666666)</f>
        <v>44813.666666666599</v>
      </c>
      <c r="B174" s="1">
        <f ca="1">IFERROR(__xludf.DUMMYFUNCTION("""COMPUTED_VALUE"""),130.91)</f>
        <v>130.91</v>
      </c>
      <c r="C174" s="1">
        <f ca="1">IFERROR(__xludf.DUMMYFUNCTION("""COMPUTED_VALUE"""),133.69)</f>
        <v>133.69</v>
      </c>
      <c r="D174" s="1">
        <f ca="1">IFERROR(__xludf.DUMMYFUNCTION("""COMPUTED_VALUE"""),130.76)</f>
        <v>130.76</v>
      </c>
      <c r="E174" s="1">
        <f ca="1">IFERROR(__xludf.DUMMYFUNCTION("""COMPUTED_VALUE"""),133.27)</f>
        <v>133.27000000000001</v>
      </c>
      <c r="F174" s="1">
        <f ca="1">IFERROR(__xludf.DUMMYFUNCTION("""COMPUTED_VALUE"""),49422259)</f>
        <v>49422259</v>
      </c>
    </row>
    <row r="175" spans="1:6" ht="12.6">
      <c r="A175" s="2">
        <f ca="1">IFERROR(__xludf.DUMMYFUNCTION("""COMPUTED_VALUE"""),44816.6666666666)</f>
        <v>44816.666666666599</v>
      </c>
      <c r="B175" s="1">
        <f ca="1">IFERROR(__xludf.DUMMYFUNCTION("""COMPUTED_VALUE"""),134.1)</f>
        <v>134.1</v>
      </c>
      <c r="C175" s="1">
        <f ca="1">IFERROR(__xludf.DUMMYFUNCTION("""COMPUTED_VALUE"""),136.49)</f>
        <v>136.49</v>
      </c>
      <c r="D175" s="1">
        <f ca="1">IFERROR(__xludf.DUMMYFUNCTION("""COMPUTED_VALUE"""),134)</f>
        <v>134</v>
      </c>
      <c r="E175" s="1">
        <f ca="1">IFERROR(__xludf.DUMMYFUNCTION("""COMPUTED_VALUE"""),136.45)</f>
        <v>136.44999999999999</v>
      </c>
      <c r="F175" s="1">
        <f ca="1">IFERROR(__xludf.DUMMYFUNCTION("""COMPUTED_VALUE"""),53826859)</f>
        <v>53826859</v>
      </c>
    </row>
    <row r="176" spans="1:6" ht="12.6">
      <c r="A176" s="2">
        <f ca="1">IFERROR(__xludf.DUMMYFUNCTION("""COMPUTED_VALUE"""),44817.6666666666)</f>
        <v>44817.666666666599</v>
      </c>
      <c r="B176" s="1">
        <f ca="1">IFERROR(__xludf.DUMMYFUNCTION("""COMPUTED_VALUE"""),131.01)</f>
        <v>131.01</v>
      </c>
      <c r="C176" s="1">
        <f ca="1">IFERROR(__xludf.DUMMYFUNCTION("""COMPUTED_VALUE"""),131.4)</f>
        <v>131.4</v>
      </c>
      <c r="D176" s="1">
        <f ca="1">IFERROR(__xludf.DUMMYFUNCTION("""COMPUTED_VALUE"""),126.27)</f>
        <v>126.27</v>
      </c>
      <c r="E176" s="1">
        <f ca="1">IFERROR(__xludf.DUMMYFUNCTION("""COMPUTED_VALUE"""),126.82)</f>
        <v>126.82</v>
      </c>
      <c r="F176" s="1">
        <f ca="1">IFERROR(__xludf.DUMMYFUNCTION("""COMPUTED_VALUE"""),72694010)</f>
        <v>72694010</v>
      </c>
    </row>
    <row r="177" spans="1:6" ht="12.6">
      <c r="A177" s="2">
        <f ca="1">IFERROR(__xludf.DUMMYFUNCTION("""COMPUTED_VALUE"""),44818.6666666666)</f>
        <v>44818.666666666599</v>
      </c>
      <c r="B177" s="1">
        <f ca="1">IFERROR(__xludf.DUMMYFUNCTION("""COMPUTED_VALUE"""),127.36)</f>
        <v>127.36</v>
      </c>
      <c r="C177" s="1">
        <f ca="1">IFERROR(__xludf.DUMMYFUNCTION("""COMPUTED_VALUE"""),128.84)</f>
        <v>128.84</v>
      </c>
      <c r="D177" s="1">
        <f ca="1">IFERROR(__xludf.DUMMYFUNCTION("""COMPUTED_VALUE"""),126.33)</f>
        <v>126.33</v>
      </c>
      <c r="E177" s="1">
        <f ca="1">IFERROR(__xludf.DUMMYFUNCTION("""COMPUTED_VALUE"""),128.55)</f>
        <v>128.55000000000001</v>
      </c>
      <c r="F177" s="1">
        <f ca="1">IFERROR(__xludf.DUMMYFUNCTION("""COMPUTED_VALUE"""),45316772)</f>
        <v>45316772</v>
      </c>
    </row>
    <row r="178" spans="1:6" ht="12.6">
      <c r="A178" s="2">
        <f ca="1">IFERROR(__xludf.DUMMYFUNCTION("""COMPUTED_VALUE"""),44819.6666666666)</f>
        <v>44819.666666666599</v>
      </c>
      <c r="B178" s="1">
        <f ca="1">IFERROR(__xludf.DUMMYFUNCTION("""COMPUTED_VALUE"""),127.38)</f>
        <v>127.38</v>
      </c>
      <c r="C178" s="1">
        <f ca="1">IFERROR(__xludf.DUMMYFUNCTION("""COMPUTED_VALUE"""),130.37)</f>
        <v>130.37</v>
      </c>
      <c r="D178" s="1">
        <f ca="1">IFERROR(__xludf.DUMMYFUNCTION("""COMPUTED_VALUE"""),125.5)</f>
        <v>125.5</v>
      </c>
      <c r="E178" s="1">
        <f ca="1">IFERROR(__xludf.DUMMYFUNCTION("""COMPUTED_VALUE"""),126.28)</f>
        <v>126.28</v>
      </c>
      <c r="F178" s="1">
        <f ca="1">IFERROR(__xludf.DUMMYFUNCTION("""COMPUTED_VALUE"""),52887196)</f>
        <v>52887196</v>
      </c>
    </row>
    <row r="179" spans="1:6" ht="12.6">
      <c r="A179" s="2">
        <f ca="1">IFERROR(__xludf.DUMMYFUNCTION("""COMPUTED_VALUE"""),44820.6666666666)</f>
        <v>44820.666666666599</v>
      </c>
      <c r="B179" s="1">
        <f ca="1">IFERROR(__xludf.DUMMYFUNCTION("""COMPUTED_VALUE"""),122.78)</f>
        <v>122.78</v>
      </c>
      <c r="C179" s="1">
        <f ca="1">IFERROR(__xludf.DUMMYFUNCTION("""COMPUTED_VALUE"""),123.87)</f>
        <v>123.87</v>
      </c>
      <c r="D179" s="1">
        <f ca="1">IFERROR(__xludf.DUMMYFUNCTION("""COMPUTED_VALUE"""),120.7)</f>
        <v>120.7</v>
      </c>
      <c r="E179" s="1">
        <f ca="1">IFERROR(__xludf.DUMMYFUNCTION("""COMPUTED_VALUE"""),123.53)</f>
        <v>123.53</v>
      </c>
      <c r="F179" s="1">
        <f ca="1">IFERROR(__xludf.DUMMYFUNCTION("""COMPUTED_VALUE"""),115667804)</f>
        <v>115667804</v>
      </c>
    </row>
    <row r="180" spans="1:6" ht="12.6">
      <c r="A180" s="2">
        <f ca="1">IFERROR(__xludf.DUMMYFUNCTION("""COMPUTED_VALUE"""),44823.6666666666)</f>
        <v>44823.666666666599</v>
      </c>
      <c r="B180" s="1">
        <f ca="1">IFERROR(__xludf.DUMMYFUNCTION("""COMPUTED_VALUE"""),122.16)</f>
        <v>122.16</v>
      </c>
      <c r="C180" s="1">
        <f ca="1">IFERROR(__xludf.DUMMYFUNCTION("""COMPUTED_VALUE"""),124.71)</f>
        <v>124.71</v>
      </c>
      <c r="D180" s="1">
        <f ca="1">IFERROR(__xludf.DUMMYFUNCTION("""COMPUTED_VALUE"""),121.8)</f>
        <v>121.8</v>
      </c>
      <c r="E180" s="1">
        <f ca="1">IFERROR(__xludf.DUMMYFUNCTION("""COMPUTED_VALUE"""),124.66)</f>
        <v>124.66</v>
      </c>
      <c r="F180" s="1">
        <f ca="1">IFERROR(__xludf.DUMMYFUNCTION("""COMPUTED_VALUE"""),47279727)</f>
        <v>47279727</v>
      </c>
    </row>
    <row r="181" spans="1:6" ht="12.6">
      <c r="A181" s="2">
        <f ca="1">IFERROR(__xludf.DUMMYFUNCTION("""COMPUTED_VALUE"""),44824.6666666666)</f>
        <v>44824.666666666599</v>
      </c>
      <c r="B181" s="1">
        <f ca="1">IFERROR(__xludf.DUMMYFUNCTION("""COMPUTED_VALUE"""),123.35)</f>
        <v>123.35</v>
      </c>
      <c r="C181" s="1">
        <f ca="1">IFERROR(__xludf.DUMMYFUNCTION("""COMPUTED_VALUE"""),124.4)</f>
        <v>124.4</v>
      </c>
      <c r="D181" s="1">
        <f ca="1">IFERROR(__xludf.DUMMYFUNCTION("""COMPUTED_VALUE"""),121.14)</f>
        <v>121.14</v>
      </c>
      <c r="E181" s="1">
        <f ca="1">IFERROR(__xludf.DUMMYFUNCTION("""COMPUTED_VALUE"""),122.19)</f>
        <v>122.19</v>
      </c>
      <c r="F181" s="1">
        <f ca="1">IFERROR(__xludf.DUMMYFUNCTION("""COMPUTED_VALUE"""),47698432)</f>
        <v>47698432</v>
      </c>
    </row>
    <row r="182" spans="1:6" ht="12.6">
      <c r="A182" s="2">
        <f ca="1">IFERROR(__xludf.DUMMYFUNCTION("""COMPUTED_VALUE"""),44825.6666666666)</f>
        <v>44825.666666666599</v>
      </c>
      <c r="B182" s="1">
        <f ca="1">IFERROR(__xludf.DUMMYFUNCTION("""COMPUTED_VALUE"""),122.49)</f>
        <v>122.49</v>
      </c>
      <c r="C182" s="1">
        <f ca="1">IFERROR(__xludf.DUMMYFUNCTION("""COMPUTED_VALUE"""),123.76)</f>
        <v>123.76</v>
      </c>
      <c r="D182" s="1">
        <f ca="1">IFERROR(__xludf.DUMMYFUNCTION("""COMPUTED_VALUE"""),118.45)</f>
        <v>118.45</v>
      </c>
      <c r="E182" s="1">
        <f ca="1">IFERROR(__xludf.DUMMYFUNCTION("""COMPUTED_VALUE"""),118.54)</f>
        <v>118.54</v>
      </c>
      <c r="F182" s="1">
        <f ca="1">IFERROR(__xludf.DUMMYFUNCTION("""COMPUTED_VALUE"""),58498887)</f>
        <v>58498887</v>
      </c>
    </row>
    <row r="183" spans="1:6" ht="12.6">
      <c r="A183" s="2">
        <f ca="1">IFERROR(__xludf.DUMMYFUNCTION("""COMPUTED_VALUE"""),44826.6666666666)</f>
        <v>44826.666666666599</v>
      </c>
      <c r="B183" s="1">
        <f ca="1">IFERROR(__xludf.DUMMYFUNCTION("""COMPUTED_VALUE"""),117.08)</f>
        <v>117.08</v>
      </c>
      <c r="C183" s="1">
        <f ca="1">IFERROR(__xludf.DUMMYFUNCTION("""COMPUTED_VALUE"""),118.79)</f>
        <v>118.79</v>
      </c>
      <c r="D183" s="1">
        <f ca="1">IFERROR(__xludf.DUMMYFUNCTION("""COMPUTED_VALUE"""),116.26)</f>
        <v>116.26</v>
      </c>
      <c r="E183" s="1">
        <f ca="1">IFERROR(__xludf.DUMMYFUNCTION("""COMPUTED_VALUE"""),117.31)</f>
        <v>117.31</v>
      </c>
      <c r="F183" s="1">
        <f ca="1">IFERROR(__xludf.DUMMYFUNCTION("""COMPUTED_VALUE"""),55229190)</f>
        <v>55229190</v>
      </c>
    </row>
    <row r="184" spans="1:6" ht="12.6">
      <c r="A184" s="2">
        <f ca="1">IFERROR(__xludf.DUMMYFUNCTION("""COMPUTED_VALUE"""),44827.6666666666)</f>
        <v>44827.666666666599</v>
      </c>
      <c r="B184" s="1">
        <f ca="1">IFERROR(__xludf.DUMMYFUNCTION("""COMPUTED_VALUE"""),116)</f>
        <v>116</v>
      </c>
      <c r="C184" s="1">
        <f ca="1">IFERROR(__xludf.DUMMYFUNCTION("""COMPUTED_VALUE"""),116.05)</f>
        <v>116.05</v>
      </c>
      <c r="D184" s="1">
        <f ca="1">IFERROR(__xludf.DUMMYFUNCTION("""COMPUTED_VALUE"""),112.06)</f>
        <v>112.06</v>
      </c>
      <c r="E184" s="1">
        <f ca="1">IFERROR(__xludf.DUMMYFUNCTION("""COMPUTED_VALUE"""),113.78)</f>
        <v>113.78</v>
      </c>
      <c r="F184" s="1">
        <f ca="1">IFERROR(__xludf.DUMMYFUNCTION("""COMPUTED_VALUE"""),65126665)</f>
        <v>65126665</v>
      </c>
    </row>
    <row r="185" spans="1:6" ht="12.6">
      <c r="A185" s="2">
        <f ca="1">IFERROR(__xludf.DUMMYFUNCTION("""COMPUTED_VALUE"""),44830.6666666666)</f>
        <v>44830.666666666599</v>
      </c>
      <c r="B185" s="1">
        <f ca="1">IFERROR(__xludf.DUMMYFUNCTION("""COMPUTED_VALUE"""),113.3)</f>
        <v>113.3</v>
      </c>
      <c r="C185" s="1">
        <f ca="1">IFERROR(__xludf.DUMMYFUNCTION("""COMPUTED_VALUE"""),117.34)</f>
        <v>117.34</v>
      </c>
      <c r="D185" s="1">
        <f ca="1">IFERROR(__xludf.DUMMYFUNCTION("""COMPUTED_VALUE"""),113.13)</f>
        <v>113.13</v>
      </c>
      <c r="E185" s="1">
        <f ca="1">IFERROR(__xludf.DUMMYFUNCTION("""COMPUTED_VALUE"""),115.15)</f>
        <v>115.15</v>
      </c>
      <c r="F185" s="1">
        <f ca="1">IFERROR(__xludf.DUMMYFUNCTION("""COMPUTED_VALUE"""),62723268)</f>
        <v>62723268</v>
      </c>
    </row>
    <row r="186" spans="1:6" ht="12.6">
      <c r="A186" s="2">
        <f ca="1">IFERROR(__xludf.DUMMYFUNCTION("""COMPUTED_VALUE"""),44831.6666666666)</f>
        <v>44831.666666666599</v>
      </c>
      <c r="B186" s="1">
        <f ca="1">IFERROR(__xludf.DUMMYFUNCTION("""COMPUTED_VALUE"""),117.2)</f>
        <v>117.2</v>
      </c>
      <c r="C186" s="1">
        <f ca="1">IFERROR(__xludf.DUMMYFUNCTION("""COMPUTED_VALUE"""),118.32)</f>
        <v>118.32</v>
      </c>
      <c r="D186" s="1">
        <f ca="1">IFERROR(__xludf.DUMMYFUNCTION("""COMPUTED_VALUE"""),113.05)</f>
        <v>113.05</v>
      </c>
      <c r="E186" s="1">
        <f ca="1">IFERROR(__xludf.DUMMYFUNCTION("""COMPUTED_VALUE"""),114.41)</f>
        <v>114.41</v>
      </c>
      <c r="F186" s="1">
        <f ca="1">IFERROR(__xludf.DUMMYFUNCTION("""COMPUTED_VALUE"""),60094693)</f>
        <v>60094693</v>
      </c>
    </row>
    <row r="187" spans="1:6" ht="12.6">
      <c r="A187" s="2">
        <f ca="1">IFERROR(__xludf.DUMMYFUNCTION("""COMPUTED_VALUE"""),44832.6666666666)</f>
        <v>44832.666666666599</v>
      </c>
      <c r="B187" s="1">
        <f ca="1">IFERROR(__xludf.DUMMYFUNCTION("""COMPUTED_VALUE"""),114.38)</f>
        <v>114.38</v>
      </c>
      <c r="C187" s="1">
        <f ca="1">IFERROR(__xludf.DUMMYFUNCTION("""COMPUTED_VALUE"""),118.7)</f>
        <v>118.7</v>
      </c>
      <c r="D187" s="1">
        <f ca="1">IFERROR(__xludf.DUMMYFUNCTION("""COMPUTED_VALUE"""),113.8)</f>
        <v>113.8</v>
      </c>
      <c r="E187" s="1">
        <f ca="1">IFERROR(__xludf.DUMMYFUNCTION("""COMPUTED_VALUE"""),118.01)</f>
        <v>118.01</v>
      </c>
      <c r="F187" s="1">
        <f ca="1">IFERROR(__xludf.DUMMYFUNCTION("""COMPUTED_VALUE"""),55763750)</f>
        <v>55763750</v>
      </c>
    </row>
    <row r="188" spans="1:6" ht="12.6">
      <c r="A188" s="2">
        <f ca="1">IFERROR(__xludf.DUMMYFUNCTION("""COMPUTED_VALUE"""),44833.6666666666)</f>
        <v>44833.666666666599</v>
      </c>
      <c r="B188" s="1">
        <f ca="1">IFERROR(__xludf.DUMMYFUNCTION("""COMPUTED_VALUE"""),115.6)</f>
        <v>115.6</v>
      </c>
      <c r="C188" s="1">
        <f ca="1">IFERROR(__xludf.DUMMYFUNCTION("""COMPUTED_VALUE"""),116.07)</f>
        <v>116.07</v>
      </c>
      <c r="D188" s="1">
        <f ca="1">IFERROR(__xludf.DUMMYFUNCTION("""COMPUTED_VALUE"""),113.06)</f>
        <v>113.06</v>
      </c>
      <c r="E188" s="1">
        <f ca="1">IFERROR(__xludf.DUMMYFUNCTION("""COMPUTED_VALUE"""),114.8)</f>
        <v>114.8</v>
      </c>
      <c r="F188" s="1">
        <f ca="1">IFERROR(__xludf.DUMMYFUNCTION("""COMPUTED_VALUE"""),58969714)</f>
        <v>58969714</v>
      </c>
    </row>
    <row r="189" spans="1:6" ht="12.6">
      <c r="A189" s="2">
        <f ca="1">IFERROR(__xludf.DUMMYFUNCTION("""COMPUTED_VALUE"""),44834.6666666666)</f>
        <v>44834.666666666599</v>
      </c>
      <c r="B189" s="1">
        <f ca="1">IFERROR(__xludf.DUMMYFUNCTION("""COMPUTED_VALUE"""),114.08)</f>
        <v>114.08</v>
      </c>
      <c r="C189" s="1">
        <f ca="1">IFERROR(__xludf.DUMMYFUNCTION("""COMPUTED_VALUE"""),116.92)</f>
        <v>116.92</v>
      </c>
      <c r="D189" s="1">
        <f ca="1">IFERROR(__xludf.DUMMYFUNCTION("""COMPUTED_VALUE"""),112.84)</f>
        <v>112.84</v>
      </c>
      <c r="E189" s="1">
        <f ca="1">IFERROR(__xludf.DUMMYFUNCTION("""COMPUTED_VALUE"""),113)</f>
        <v>113</v>
      </c>
      <c r="F189" s="1">
        <f ca="1">IFERROR(__xludf.DUMMYFUNCTION("""COMPUTED_VALUE"""),59479586)</f>
        <v>59479586</v>
      </c>
    </row>
    <row r="190" spans="1:6" ht="12.6">
      <c r="A190" s="2">
        <f ca="1">IFERROR(__xludf.DUMMYFUNCTION("""COMPUTED_VALUE"""),44837.6666666666)</f>
        <v>44837.666666666599</v>
      </c>
      <c r="B190" s="1">
        <f ca="1">IFERROR(__xludf.DUMMYFUNCTION("""COMPUTED_VALUE"""),113.58)</f>
        <v>113.58</v>
      </c>
      <c r="C190" s="1">
        <f ca="1">IFERROR(__xludf.DUMMYFUNCTION("""COMPUTED_VALUE"""),116.91)</f>
        <v>116.91</v>
      </c>
      <c r="D190" s="1">
        <f ca="1">IFERROR(__xludf.DUMMYFUNCTION("""COMPUTED_VALUE"""),112.45)</f>
        <v>112.45</v>
      </c>
      <c r="E190" s="1">
        <f ca="1">IFERROR(__xludf.DUMMYFUNCTION("""COMPUTED_VALUE"""),115.88)</f>
        <v>115.88</v>
      </c>
      <c r="F190" s="1">
        <f ca="1">IFERROR(__xludf.DUMMYFUNCTION("""COMPUTED_VALUE"""),50941854)</f>
        <v>50941854</v>
      </c>
    </row>
    <row r="191" spans="1:6" ht="12.6">
      <c r="A191" s="2">
        <f ca="1">IFERROR(__xludf.DUMMYFUNCTION("""COMPUTED_VALUE"""),44838.6666666666)</f>
        <v>44838.666666666599</v>
      </c>
      <c r="B191" s="1">
        <f ca="1">IFERROR(__xludf.DUMMYFUNCTION("""COMPUTED_VALUE"""),119.89)</f>
        <v>119.89</v>
      </c>
      <c r="C191" s="1">
        <f ca="1">IFERROR(__xludf.DUMMYFUNCTION("""COMPUTED_VALUE"""),123)</f>
        <v>123</v>
      </c>
      <c r="D191" s="1">
        <f ca="1">IFERROR(__xludf.DUMMYFUNCTION("""COMPUTED_VALUE"""),119.79)</f>
        <v>119.79</v>
      </c>
      <c r="E191" s="1">
        <f ca="1">IFERROR(__xludf.DUMMYFUNCTION("""COMPUTED_VALUE"""),121.09)</f>
        <v>121.09</v>
      </c>
      <c r="F191" s="1">
        <f ca="1">IFERROR(__xludf.DUMMYFUNCTION("""COMPUTED_VALUE"""),62812564)</f>
        <v>62812564</v>
      </c>
    </row>
    <row r="192" spans="1:6" ht="12.6">
      <c r="A192" s="2">
        <f ca="1">IFERROR(__xludf.DUMMYFUNCTION("""COMPUTED_VALUE"""),44839.6666666666)</f>
        <v>44839.666666666599</v>
      </c>
      <c r="B192" s="1">
        <f ca="1">IFERROR(__xludf.DUMMYFUNCTION("""COMPUTED_VALUE"""),118.58)</f>
        <v>118.58</v>
      </c>
      <c r="C192" s="1">
        <f ca="1">IFERROR(__xludf.DUMMYFUNCTION("""COMPUTED_VALUE"""),121.75)</f>
        <v>121.75</v>
      </c>
      <c r="D192" s="1">
        <f ca="1">IFERROR(__xludf.DUMMYFUNCTION("""COMPUTED_VALUE"""),117.69)</f>
        <v>117.69</v>
      </c>
      <c r="E192" s="1">
        <f ca="1">IFERROR(__xludf.DUMMYFUNCTION("""COMPUTED_VALUE"""),120.95)</f>
        <v>120.95</v>
      </c>
      <c r="F192" s="1">
        <f ca="1">IFERROR(__xludf.DUMMYFUNCTION("""COMPUTED_VALUE"""),48217535)</f>
        <v>48217535</v>
      </c>
    </row>
    <row r="193" spans="1:6" ht="12.6">
      <c r="A193" s="2">
        <f ca="1">IFERROR(__xludf.DUMMYFUNCTION("""COMPUTED_VALUE"""),44840.6666666666)</f>
        <v>44840.666666666599</v>
      </c>
      <c r="B193" s="1">
        <f ca="1">IFERROR(__xludf.DUMMYFUNCTION("""COMPUTED_VALUE"""),120.77)</f>
        <v>120.77</v>
      </c>
      <c r="C193" s="1">
        <f ca="1">IFERROR(__xludf.DUMMYFUNCTION("""COMPUTED_VALUE"""),121.53)</f>
        <v>121.53</v>
      </c>
      <c r="D193" s="1">
        <f ca="1">IFERROR(__xludf.DUMMYFUNCTION("""COMPUTED_VALUE"""),119.5)</f>
        <v>119.5</v>
      </c>
      <c r="E193" s="1">
        <f ca="1">IFERROR(__xludf.DUMMYFUNCTION("""COMPUTED_VALUE"""),120.3)</f>
        <v>120.3</v>
      </c>
      <c r="F193" s="1">
        <f ca="1">IFERROR(__xludf.DUMMYFUNCTION("""COMPUTED_VALUE"""),42253755)</f>
        <v>42253755</v>
      </c>
    </row>
    <row r="194" spans="1:6" ht="12.6">
      <c r="A194" s="2">
        <f ca="1">IFERROR(__xludf.DUMMYFUNCTION("""COMPUTED_VALUE"""),44841.6666666666)</f>
        <v>44841.666666666599</v>
      </c>
      <c r="B194" s="1">
        <f ca="1">IFERROR(__xludf.DUMMYFUNCTION("""COMPUTED_VALUE"""),118)</f>
        <v>118</v>
      </c>
      <c r="C194" s="1">
        <f ca="1">IFERROR(__xludf.DUMMYFUNCTION("""COMPUTED_VALUE"""),118.17)</f>
        <v>118.17</v>
      </c>
      <c r="D194" s="1">
        <f ca="1">IFERROR(__xludf.DUMMYFUNCTION("""COMPUTED_VALUE"""),113.88)</f>
        <v>113.88</v>
      </c>
      <c r="E194" s="1">
        <f ca="1">IFERROR(__xludf.DUMMYFUNCTION("""COMPUTED_VALUE"""),114.56)</f>
        <v>114.56</v>
      </c>
      <c r="F194" s="1">
        <f ca="1">IFERROR(__xludf.DUMMYFUNCTION("""COMPUTED_VALUE"""),54677980)</f>
        <v>54677980</v>
      </c>
    </row>
    <row r="195" spans="1:6" ht="12.6">
      <c r="A195" s="2">
        <f ca="1">IFERROR(__xludf.DUMMYFUNCTION("""COMPUTED_VALUE"""),44844.6666666666)</f>
        <v>44844.666666666599</v>
      </c>
      <c r="B195" s="1">
        <f ca="1">IFERROR(__xludf.DUMMYFUNCTION("""COMPUTED_VALUE"""),115.1)</f>
        <v>115.1</v>
      </c>
      <c r="C195" s="1">
        <f ca="1">IFERROR(__xludf.DUMMYFUNCTION("""COMPUTED_VALUE"""),116.25)</f>
        <v>116.25</v>
      </c>
      <c r="D195" s="1">
        <f ca="1">IFERROR(__xludf.DUMMYFUNCTION("""COMPUTED_VALUE"""),112.43)</f>
        <v>112.43</v>
      </c>
      <c r="E195" s="1">
        <f ca="1">IFERROR(__xludf.DUMMYFUNCTION("""COMPUTED_VALUE"""),113.67)</f>
        <v>113.67</v>
      </c>
      <c r="F195" s="1">
        <f ca="1">IFERROR(__xludf.DUMMYFUNCTION("""COMPUTED_VALUE"""),42339675)</f>
        <v>42339675</v>
      </c>
    </row>
    <row r="196" spans="1:6" ht="12.6">
      <c r="A196" s="2">
        <f ca="1">IFERROR(__xludf.DUMMYFUNCTION("""COMPUTED_VALUE"""),44845.6666666666)</f>
        <v>44845.666666666599</v>
      </c>
      <c r="B196" s="1">
        <f ca="1">IFERROR(__xludf.DUMMYFUNCTION("""COMPUTED_VALUE"""),112.71)</f>
        <v>112.71</v>
      </c>
      <c r="C196" s="1">
        <f ca="1">IFERROR(__xludf.DUMMYFUNCTION("""COMPUTED_VALUE"""),115.48)</f>
        <v>115.48</v>
      </c>
      <c r="D196" s="1">
        <f ca="1">IFERROR(__xludf.DUMMYFUNCTION("""COMPUTED_VALUE"""),110.39)</f>
        <v>110.39</v>
      </c>
      <c r="E196" s="1">
        <f ca="1">IFERROR(__xludf.DUMMYFUNCTION("""COMPUTED_VALUE"""),112.21)</f>
        <v>112.21</v>
      </c>
      <c r="F196" s="1">
        <f ca="1">IFERROR(__xludf.DUMMYFUNCTION("""COMPUTED_VALUE"""),56432233)</f>
        <v>56432233</v>
      </c>
    </row>
    <row r="197" spans="1:6" ht="12.6">
      <c r="A197" s="2">
        <f ca="1">IFERROR(__xludf.DUMMYFUNCTION("""COMPUTED_VALUE"""),44846.6666666666)</f>
        <v>44846.666666666599</v>
      </c>
      <c r="B197" s="1">
        <f ca="1">IFERROR(__xludf.DUMMYFUNCTION("""COMPUTED_VALUE"""),112.49)</f>
        <v>112.49</v>
      </c>
      <c r="C197" s="1">
        <f ca="1">IFERROR(__xludf.DUMMYFUNCTION("""COMPUTED_VALUE"""),113.83)</f>
        <v>113.83</v>
      </c>
      <c r="D197" s="1">
        <f ca="1">IFERROR(__xludf.DUMMYFUNCTION("""COMPUTED_VALUE"""),111.4)</f>
        <v>111.4</v>
      </c>
      <c r="E197" s="1">
        <f ca="1">IFERROR(__xludf.DUMMYFUNCTION("""COMPUTED_VALUE"""),112.9)</f>
        <v>112.9</v>
      </c>
      <c r="F197" s="1">
        <f ca="1">IFERROR(__xludf.DUMMYFUNCTION("""COMPUTED_VALUE"""),45728660)</f>
        <v>45728660</v>
      </c>
    </row>
    <row r="198" spans="1:6" ht="12.6">
      <c r="A198" s="2">
        <f ca="1">IFERROR(__xludf.DUMMYFUNCTION("""COMPUTED_VALUE"""),44847.6666666666)</f>
        <v>44847.666666666599</v>
      </c>
      <c r="B198" s="1">
        <f ca="1">IFERROR(__xludf.DUMMYFUNCTION("""COMPUTED_VALUE"""),107.88)</f>
        <v>107.88</v>
      </c>
      <c r="C198" s="1">
        <f ca="1">IFERROR(__xludf.DUMMYFUNCTION("""COMPUTED_VALUE"""),113.44)</f>
        <v>113.44</v>
      </c>
      <c r="D198" s="1">
        <f ca="1">IFERROR(__xludf.DUMMYFUNCTION("""COMPUTED_VALUE"""),105.35)</f>
        <v>105.35</v>
      </c>
      <c r="E198" s="1">
        <f ca="1">IFERROR(__xludf.DUMMYFUNCTION("""COMPUTED_VALUE"""),112.53)</f>
        <v>112.53</v>
      </c>
      <c r="F198" s="1">
        <f ca="1">IFERROR(__xludf.DUMMYFUNCTION("""COMPUTED_VALUE"""),86868103)</f>
        <v>86868103</v>
      </c>
    </row>
    <row r="199" spans="1:6" ht="12.6">
      <c r="A199" s="2">
        <f ca="1">IFERROR(__xludf.DUMMYFUNCTION("""COMPUTED_VALUE"""),44848.6666666666)</f>
        <v>44848.666666666599</v>
      </c>
      <c r="B199" s="1">
        <f ca="1">IFERROR(__xludf.DUMMYFUNCTION("""COMPUTED_VALUE"""),114.1)</f>
        <v>114.1</v>
      </c>
      <c r="C199" s="1">
        <f ca="1">IFERROR(__xludf.DUMMYFUNCTION("""COMPUTED_VALUE"""),114.96)</f>
        <v>114.96</v>
      </c>
      <c r="D199" s="1">
        <f ca="1">IFERROR(__xludf.DUMMYFUNCTION("""COMPUTED_VALUE"""),106.6)</f>
        <v>106.6</v>
      </c>
      <c r="E199" s="1">
        <f ca="1">IFERROR(__xludf.DUMMYFUNCTION("""COMPUTED_VALUE"""),106.9)</f>
        <v>106.9</v>
      </c>
      <c r="F199" s="1">
        <f ca="1">IFERROR(__xludf.DUMMYFUNCTION("""COMPUTED_VALUE"""),67737344)</f>
        <v>67737344</v>
      </c>
    </row>
    <row r="200" spans="1:6" ht="12.6">
      <c r="A200" s="2">
        <f ca="1">IFERROR(__xludf.DUMMYFUNCTION("""COMPUTED_VALUE"""),44851.6666666666)</f>
        <v>44851.666666666599</v>
      </c>
      <c r="B200" s="1">
        <f ca="1">IFERROR(__xludf.DUMMYFUNCTION("""COMPUTED_VALUE"""),110.11)</f>
        <v>110.11</v>
      </c>
      <c r="C200" s="1">
        <f ca="1">IFERROR(__xludf.DUMMYFUNCTION("""COMPUTED_VALUE"""),114.19)</f>
        <v>114.19</v>
      </c>
      <c r="D200" s="1">
        <f ca="1">IFERROR(__xludf.DUMMYFUNCTION("""COMPUTED_VALUE"""),110.09)</f>
        <v>110.09</v>
      </c>
      <c r="E200" s="1">
        <f ca="1">IFERROR(__xludf.DUMMYFUNCTION("""COMPUTED_VALUE"""),113.79)</f>
        <v>113.79</v>
      </c>
      <c r="F200" s="1">
        <f ca="1">IFERROR(__xludf.DUMMYFUNCTION("""COMPUTED_VALUE"""),62781985)</f>
        <v>62781985</v>
      </c>
    </row>
    <row r="201" spans="1:6" ht="12.6">
      <c r="A201" s="2">
        <f ca="1">IFERROR(__xludf.DUMMYFUNCTION("""COMPUTED_VALUE"""),44852.6666666666)</f>
        <v>44852.666666666599</v>
      </c>
      <c r="B201" s="1">
        <f ca="1">IFERROR(__xludf.DUMMYFUNCTION("""COMPUTED_VALUE"""),119.06)</f>
        <v>119.06</v>
      </c>
      <c r="C201" s="1">
        <f ca="1">IFERROR(__xludf.DUMMYFUNCTION("""COMPUTED_VALUE"""),119.52)</f>
        <v>119.52</v>
      </c>
      <c r="D201" s="1">
        <f ca="1">IFERROR(__xludf.DUMMYFUNCTION("""COMPUTED_VALUE"""),114.79)</f>
        <v>114.79</v>
      </c>
      <c r="E201" s="1">
        <f ca="1">IFERROR(__xludf.DUMMYFUNCTION("""COMPUTED_VALUE"""),116.36)</f>
        <v>116.36</v>
      </c>
      <c r="F201" s="1">
        <f ca="1">IFERROR(__xludf.DUMMYFUNCTION("""COMPUTED_VALUE"""),65607448)</f>
        <v>65607448</v>
      </c>
    </row>
    <row r="202" spans="1:6" ht="12.6">
      <c r="A202" s="2">
        <f ca="1">IFERROR(__xludf.DUMMYFUNCTION("""COMPUTED_VALUE"""),44853.6666666666)</f>
        <v>44853.666666666599</v>
      </c>
      <c r="B202" s="1">
        <f ca="1">IFERROR(__xludf.DUMMYFUNCTION("""COMPUTED_VALUE"""),114.71)</f>
        <v>114.71</v>
      </c>
      <c r="C202" s="1">
        <f ca="1">IFERROR(__xludf.DUMMYFUNCTION("""COMPUTED_VALUE"""),116.59)</f>
        <v>116.59</v>
      </c>
      <c r="D202" s="1">
        <f ca="1">IFERROR(__xludf.DUMMYFUNCTION("""COMPUTED_VALUE"""),113.22)</f>
        <v>113.22</v>
      </c>
      <c r="E202" s="1">
        <f ca="1">IFERROR(__xludf.DUMMYFUNCTION("""COMPUTED_VALUE"""),115.07)</f>
        <v>115.07</v>
      </c>
      <c r="F202" s="1">
        <f ca="1">IFERROR(__xludf.DUMMYFUNCTION("""COMPUTED_VALUE"""),47198122)</f>
        <v>47198122</v>
      </c>
    </row>
    <row r="203" spans="1:6" ht="12.6">
      <c r="A203" s="2">
        <f ca="1">IFERROR(__xludf.DUMMYFUNCTION("""COMPUTED_VALUE"""),44854.6666666666)</f>
        <v>44854.666666666599</v>
      </c>
      <c r="B203" s="1">
        <f ca="1">IFERROR(__xludf.DUMMYFUNCTION("""COMPUTED_VALUE"""),113.83)</f>
        <v>113.83</v>
      </c>
      <c r="C203" s="1">
        <f ca="1">IFERROR(__xludf.DUMMYFUNCTION("""COMPUTED_VALUE"""),118.24)</f>
        <v>118.24</v>
      </c>
      <c r="D203" s="1">
        <f ca="1">IFERROR(__xludf.DUMMYFUNCTION("""COMPUTED_VALUE"""),113.51)</f>
        <v>113.51</v>
      </c>
      <c r="E203" s="1">
        <f ca="1">IFERROR(__xludf.DUMMYFUNCTION("""COMPUTED_VALUE"""),115.25)</f>
        <v>115.25</v>
      </c>
      <c r="F203" s="1">
        <f ca="1">IFERROR(__xludf.DUMMYFUNCTION("""COMPUTED_VALUE"""),48795104)</f>
        <v>48795104</v>
      </c>
    </row>
    <row r="204" spans="1:6" ht="12.6">
      <c r="A204" s="2">
        <f ca="1">IFERROR(__xludf.DUMMYFUNCTION("""COMPUTED_VALUE"""),44855.6666666666)</f>
        <v>44855.666666666599</v>
      </c>
      <c r="B204" s="1">
        <f ca="1">IFERROR(__xludf.DUMMYFUNCTION("""COMPUTED_VALUE"""),114.79)</f>
        <v>114.79</v>
      </c>
      <c r="C204" s="1">
        <f ca="1">IFERROR(__xludf.DUMMYFUNCTION("""COMPUTED_VALUE"""),119.59)</f>
        <v>119.59</v>
      </c>
      <c r="D204" s="1">
        <f ca="1">IFERROR(__xludf.DUMMYFUNCTION("""COMPUTED_VALUE"""),114.5)</f>
        <v>114.5</v>
      </c>
      <c r="E204" s="1">
        <f ca="1">IFERROR(__xludf.DUMMYFUNCTION("""COMPUTED_VALUE"""),119.32)</f>
        <v>119.32</v>
      </c>
      <c r="F204" s="1">
        <f ca="1">IFERROR(__xludf.DUMMYFUNCTION("""COMPUTED_VALUE"""),55660485)</f>
        <v>55660485</v>
      </c>
    </row>
    <row r="205" spans="1:6" ht="12.6">
      <c r="A205" s="2">
        <f ca="1">IFERROR(__xludf.DUMMYFUNCTION("""COMPUTED_VALUE"""),44858.6666666666)</f>
        <v>44858.666666666599</v>
      </c>
      <c r="B205" s="1">
        <f ca="1">IFERROR(__xludf.DUMMYFUNCTION("""COMPUTED_VALUE"""),119.98)</f>
        <v>119.98</v>
      </c>
      <c r="C205" s="1">
        <f ca="1">IFERROR(__xludf.DUMMYFUNCTION("""COMPUTED_VALUE"""),120.39)</f>
        <v>120.39</v>
      </c>
      <c r="D205" s="1">
        <f ca="1">IFERROR(__xludf.DUMMYFUNCTION("""COMPUTED_VALUE"""),116.57)</f>
        <v>116.57</v>
      </c>
      <c r="E205" s="1">
        <f ca="1">IFERROR(__xludf.DUMMYFUNCTION("""COMPUTED_VALUE"""),119.82)</f>
        <v>119.82</v>
      </c>
      <c r="F205" s="1">
        <f ca="1">IFERROR(__xludf.DUMMYFUNCTION("""COMPUTED_VALUE"""),49531523)</f>
        <v>49531523</v>
      </c>
    </row>
    <row r="206" spans="1:6" ht="12.6">
      <c r="A206" s="2">
        <f ca="1">IFERROR(__xludf.DUMMYFUNCTION("""COMPUTED_VALUE"""),44859.6666666666)</f>
        <v>44859.666666666599</v>
      </c>
      <c r="B206" s="1">
        <f ca="1">IFERROR(__xludf.DUMMYFUNCTION("""COMPUTED_VALUE"""),119.65)</f>
        <v>119.65</v>
      </c>
      <c r="C206" s="1">
        <f ca="1">IFERROR(__xludf.DUMMYFUNCTION("""COMPUTED_VALUE"""),121.32)</f>
        <v>121.32</v>
      </c>
      <c r="D206" s="1">
        <f ca="1">IFERROR(__xludf.DUMMYFUNCTION("""COMPUTED_VALUE"""),118.95)</f>
        <v>118.95</v>
      </c>
      <c r="E206" s="1">
        <f ca="1">IFERROR(__xludf.DUMMYFUNCTION("""COMPUTED_VALUE"""),120.6)</f>
        <v>120.6</v>
      </c>
      <c r="F206" s="1">
        <f ca="1">IFERROR(__xludf.DUMMYFUNCTION("""COMPUTED_VALUE"""),50934609)</f>
        <v>50934609</v>
      </c>
    </row>
    <row r="207" spans="1:6" ht="12.6">
      <c r="A207" s="2">
        <f ca="1">IFERROR(__xludf.DUMMYFUNCTION("""COMPUTED_VALUE"""),44860.6666666666)</f>
        <v>44860.666666666599</v>
      </c>
      <c r="B207" s="1">
        <f ca="1">IFERROR(__xludf.DUMMYFUNCTION("""COMPUTED_VALUE"""),116)</f>
        <v>116</v>
      </c>
      <c r="C207" s="1">
        <f ca="1">IFERROR(__xludf.DUMMYFUNCTION("""COMPUTED_VALUE"""),119.35)</f>
        <v>119.35</v>
      </c>
      <c r="D207" s="1">
        <f ca="1">IFERROR(__xludf.DUMMYFUNCTION("""COMPUTED_VALUE"""),114.76)</f>
        <v>114.76</v>
      </c>
      <c r="E207" s="1">
        <f ca="1">IFERROR(__xludf.DUMMYFUNCTION("""COMPUTED_VALUE"""),115.66)</f>
        <v>115.66</v>
      </c>
      <c r="F207" s="1">
        <f ca="1">IFERROR(__xludf.DUMMYFUNCTION("""COMPUTED_VALUE"""),69002457)</f>
        <v>69002457</v>
      </c>
    </row>
    <row r="208" spans="1:6" ht="12.6">
      <c r="A208" s="2">
        <f ca="1">IFERROR(__xludf.DUMMYFUNCTION("""COMPUTED_VALUE"""),44861.6666666666)</f>
        <v>44861.666666666599</v>
      </c>
      <c r="B208" s="1">
        <f ca="1">IFERROR(__xludf.DUMMYFUNCTION("""COMPUTED_VALUE"""),113.92)</f>
        <v>113.92</v>
      </c>
      <c r="C208" s="1">
        <f ca="1">IFERROR(__xludf.DUMMYFUNCTION("""COMPUTED_VALUE"""),114.12)</f>
        <v>114.12</v>
      </c>
      <c r="D208" s="1">
        <f ca="1">IFERROR(__xludf.DUMMYFUNCTION("""COMPUTED_VALUE"""),109.77)</f>
        <v>109.77</v>
      </c>
      <c r="E208" s="1">
        <f ca="1">IFERROR(__xludf.DUMMYFUNCTION("""COMPUTED_VALUE"""),110.96)</f>
        <v>110.96</v>
      </c>
      <c r="F208" s="1">
        <f ca="1">IFERROR(__xludf.DUMMYFUNCTION("""COMPUTED_VALUE"""),129605362)</f>
        <v>129605362</v>
      </c>
    </row>
    <row r="209" spans="1:6" ht="12.6">
      <c r="A209" s="2">
        <f ca="1">IFERROR(__xludf.DUMMYFUNCTION("""COMPUTED_VALUE"""),44862.6666666666)</f>
        <v>44862.666666666599</v>
      </c>
      <c r="B209" s="1">
        <f ca="1">IFERROR(__xludf.DUMMYFUNCTION("""COMPUTED_VALUE"""),97.91)</f>
        <v>97.91</v>
      </c>
      <c r="C209" s="1">
        <f ca="1">IFERROR(__xludf.DUMMYFUNCTION("""COMPUTED_VALUE"""),103.96)</f>
        <v>103.96</v>
      </c>
      <c r="D209" s="1">
        <f ca="1">IFERROR(__xludf.DUMMYFUNCTION("""COMPUTED_VALUE"""),97.66)</f>
        <v>97.66</v>
      </c>
      <c r="E209" s="1">
        <f ca="1">IFERROR(__xludf.DUMMYFUNCTION("""COMPUTED_VALUE"""),103.41)</f>
        <v>103.41</v>
      </c>
      <c r="F209" s="1">
        <f ca="1">IFERROR(__xludf.DUMMYFUNCTION("""COMPUTED_VALUE"""),223133398)</f>
        <v>223133398</v>
      </c>
    </row>
    <row r="210" spans="1:6" ht="12.6">
      <c r="A210" s="2">
        <f ca="1">IFERROR(__xludf.DUMMYFUNCTION("""COMPUTED_VALUE"""),44865.6666666666)</f>
        <v>44865.666666666599</v>
      </c>
      <c r="B210" s="1">
        <f ca="1">IFERROR(__xludf.DUMMYFUNCTION("""COMPUTED_VALUE"""),103.56)</f>
        <v>103.56</v>
      </c>
      <c r="C210" s="1">
        <f ca="1">IFERROR(__xludf.DUMMYFUNCTION("""COMPUTED_VALUE"""),104.87)</f>
        <v>104.87</v>
      </c>
      <c r="D210" s="1">
        <f ca="1">IFERROR(__xludf.DUMMYFUNCTION("""COMPUTED_VALUE"""),100.74)</f>
        <v>100.74</v>
      </c>
      <c r="E210" s="1">
        <f ca="1">IFERROR(__xludf.DUMMYFUNCTION("""COMPUTED_VALUE"""),102.44)</f>
        <v>102.44</v>
      </c>
      <c r="F210" s="1">
        <f ca="1">IFERROR(__xludf.DUMMYFUNCTION("""COMPUTED_VALUE"""),99251395)</f>
        <v>99251395</v>
      </c>
    </row>
    <row r="211" spans="1:6" ht="12.6">
      <c r="A211" s="2">
        <f ca="1">IFERROR(__xludf.DUMMYFUNCTION("""COMPUTED_VALUE"""),44866.6666666666)</f>
        <v>44866.666666666599</v>
      </c>
      <c r="B211" s="1">
        <f ca="1">IFERROR(__xludf.DUMMYFUNCTION("""COMPUTED_VALUE"""),103.99)</f>
        <v>103.99</v>
      </c>
      <c r="C211" s="1">
        <f ca="1">IFERROR(__xludf.DUMMYFUNCTION("""COMPUTED_VALUE"""),104.58)</f>
        <v>104.58</v>
      </c>
      <c r="D211" s="1">
        <f ca="1">IFERROR(__xludf.DUMMYFUNCTION("""COMPUTED_VALUE"""),96.06)</f>
        <v>96.06</v>
      </c>
      <c r="E211" s="1">
        <f ca="1">IFERROR(__xludf.DUMMYFUNCTION("""COMPUTED_VALUE"""),96.79)</f>
        <v>96.79</v>
      </c>
      <c r="F211" s="1">
        <f ca="1">IFERROR(__xludf.DUMMYFUNCTION("""COMPUTED_VALUE"""),153370032)</f>
        <v>153370032</v>
      </c>
    </row>
    <row r="212" spans="1:6" ht="12.6">
      <c r="A212" s="2">
        <f ca="1">IFERROR(__xludf.DUMMYFUNCTION("""COMPUTED_VALUE"""),44867.6666666666)</f>
        <v>44867.666666666599</v>
      </c>
      <c r="B212" s="1">
        <f ca="1">IFERROR(__xludf.DUMMYFUNCTION("""COMPUTED_VALUE"""),97.32)</f>
        <v>97.32</v>
      </c>
      <c r="C212" s="1">
        <f ca="1">IFERROR(__xludf.DUMMYFUNCTION("""COMPUTED_VALUE"""),97.74)</f>
        <v>97.74</v>
      </c>
      <c r="D212" s="1">
        <f ca="1">IFERROR(__xludf.DUMMYFUNCTION("""COMPUTED_VALUE"""),92.01)</f>
        <v>92.01</v>
      </c>
      <c r="E212" s="1">
        <f ca="1">IFERROR(__xludf.DUMMYFUNCTION("""COMPUTED_VALUE"""),92.12)</f>
        <v>92.12</v>
      </c>
      <c r="F212" s="1">
        <f ca="1">IFERROR(__xludf.DUMMYFUNCTION("""COMPUTED_VALUE"""),135761798)</f>
        <v>135761798</v>
      </c>
    </row>
    <row r="213" spans="1:6" ht="12.6">
      <c r="A213" s="2">
        <f ca="1">IFERROR(__xludf.DUMMYFUNCTION("""COMPUTED_VALUE"""),44868.6666666666)</f>
        <v>44868.666666666599</v>
      </c>
      <c r="B213" s="1">
        <f ca="1">IFERROR(__xludf.DUMMYFUNCTION("""COMPUTED_VALUE"""),92.47)</f>
        <v>92.47</v>
      </c>
      <c r="C213" s="1">
        <f ca="1">IFERROR(__xludf.DUMMYFUNCTION("""COMPUTED_VALUE"""),93.5)</f>
        <v>93.5</v>
      </c>
      <c r="D213" s="1">
        <f ca="1">IFERROR(__xludf.DUMMYFUNCTION("""COMPUTED_VALUE"""),89.02)</f>
        <v>89.02</v>
      </c>
      <c r="E213" s="1">
        <f ca="1">IFERROR(__xludf.DUMMYFUNCTION("""COMPUTED_VALUE"""),89.3)</f>
        <v>89.3</v>
      </c>
      <c r="F213" s="1">
        <f ca="1">IFERROR(__xludf.DUMMYFUNCTION("""COMPUTED_VALUE"""),136683303)</f>
        <v>136683303</v>
      </c>
    </row>
    <row r="214" spans="1:6" ht="12.6">
      <c r="A214" s="2">
        <f ca="1">IFERROR(__xludf.DUMMYFUNCTION("""COMPUTED_VALUE"""),44869.6666666666)</f>
        <v>44869.666666666599</v>
      </c>
      <c r="B214" s="1">
        <f ca="1">IFERROR(__xludf.DUMMYFUNCTION("""COMPUTED_VALUE"""),91.49)</f>
        <v>91.49</v>
      </c>
      <c r="C214" s="1">
        <f ca="1">IFERROR(__xludf.DUMMYFUNCTION("""COMPUTED_VALUE"""),92.44)</f>
        <v>92.44</v>
      </c>
      <c r="D214" s="1">
        <f ca="1">IFERROR(__xludf.DUMMYFUNCTION("""COMPUTED_VALUE"""),88.04)</f>
        <v>88.04</v>
      </c>
      <c r="E214" s="1">
        <f ca="1">IFERROR(__xludf.DUMMYFUNCTION("""COMPUTED_VALUE"""),90.98)</f>
        <v>90.98</v>
      </c>
      <c r="F214" s="1">
        <f ca="1">IFERROR(__xludf.DUMMYFUNCTION("""COMPUTED_VALUE"""),129101336)</f>
        <v>129101336</v>
      </c>
    </row>
    <row r="215" spans="1:6" ht="12.6">
      <c r="A215" s="2">
        <f ca="1">IFERROR(__xludf.DUMMYFUNCTION("""COMPUTED_VALUE"""),44872.6666666666)</f>
        <v>44872.666666666599</v>
      </c>
      <c r="B215" s="1">
        <f ca="1">IFERROR(__xludf.DUMMYFUNCTION("""COMPUTED_VALUE"""),91.95)</f>
        <v>91.95</v>
      </c>
      <c r="C215" s="1">
        <f ca="1">IFERROR(__xludf.DUMMYFUNCTION("""COMPUTED_VALUE"""),92.1)</f>
        <v>92.1</v>
      </c>
      <c r="D215" s="1">
        <f ca="1">IFERROR(__xludf.DUMMYFUNCTION("""COMPUTED_VALUE"""),89.04)</f>
        <v>89.04</v>
      </c>
      <c r="E215" s="1">
        <f ca="1">IFERROR(__xludf.DUMMYFUNCTION("""COMPUTED_VALUE"""),90.53)</f>
        <v>90.53</v>
      </c>
      <c r="F215" s="1">
        <f ca="1">IFERROR(__xludf.DUMMYFUNCTION("""COMPUTED_VALUE"""),77495728)</f>
        <v>77495728</v>
      </c>
    </row>
    <row r="216" spans="1:6" ht="12.6">
      <c r="A216" s="2">
        <f ca="1">IFERROR(__xludf.DUMMYFUNCTION("""COMPUTED_VALUE"""),44873.6666666666)</f>
        <v>44873.666666666599</v>
      </c>
      <c r="B216" s="1">
        <f ca="1">IFERROR(__xludf.DUMMYFUNCTION("""COMPUTED_VALUE"""),90.79)</f>
        <v>90.79</v>
      </c>
      <c r="C216" s="1">
        <f ca="1">IFERROR(__xludf.DUMMYFUNCTION("""COMPUTED_VALUE"""),91.72)</f>
        <v>91.72</v>
      </c>
      <c r="D216" s="1">
        <f ca="1">IFERROR(__xludf.DUMMYFUNCTION("""COMPUTED_VALUE"""),88.23)</f>
        <v>88.23</v>
      </c>
      <c r="E216" s="1">
        <f ca="1">IFERROR(__xludf.DUMMYFUNCTION("""COMPUTED_VALUE"""),89.98)</f>
        <v>89.98</v>
      </c>
      <c r="F216" s="1">
        <f ca="1">IFERROR(__xludf.DUMMYFUNCTION("""COMPUTED_VALUE"""),88703370)</f>
        <v>88703370</v>
      </c>
    </row>
    <row r="217" spans="1:6" ht="12.6">
      <c r="A217" s="2">
        <f ca="1">IFERROR(__xludf.DUMMYFUNCTION("""COMPUTED_VALUE"""),44874.6666666666)</f>
        <v>44874.666666666599</v>
      </c>
      <c r="B217" s="1">
        <f ca="1">IFERROR(__xludf.DUMMYFUNCTION("""COMPUTED_VALUE"""),89.47)</f>
        <v>89.47</v>
      </c>
      <c r="C217" s="1">
        <f ca="1">IFERROR(__xludf.DUMMYFUNCTION("""COMPUTED_VALUE"""),89.48)</f>
        <v>89.48</v>
      </c>
      <c r="D217" s="1">
        <f ca="1">IFERROR(__xludf.DUMMYFUNCTION("""COMPUTED_VALUE"""),85.87)</f>
        <v>85.87</v>
      </c>
      <c r="E217" s="1">
        <f ca="1">IFERROR(__xludf.DUMMYFUNCTION("""COMPUTED_VALUE"""),86.14)</f>
        <v>86.14</v>
      </c>
      <c r="F217" s="1">
        <f ca="1">IFERROR(__xludf.DUMMYFUNCTION("""COMPUTED_VALUE"""),90796249)</f>
        <v>90796249</v>
      </c>
    </row>
    <row r="218" spans="1:6" ht="12.6">
      <c r="A218" s="2">
        <f ca="1">IFERROR(__xludf.DUMMYFUNCTION("""COMPUTED_VALUE"""),44875.6666666666)</f>
        <v>44875.666666666599</v>
      </c>
      <c r="B218" s="1">
        <f ca="1">IFERROR(__xludf.DUMMYFUNCTION("""COMPUTED_VALUE"""),92.94)</f>
        <v>92.94</v>
      </c>
      <c r="C218" s="1">
        <f ca="1">IFERROR(__xludf.DUMMYFUNCTION("""COMPUTED_VALUE"""),98.69)</f>
        <v>98.69</v>
      </c>
      <c r="D218" s="1">
        <f ca="1">IFERROR(__xludf.DUMMYFUNCTION("""COMPUTED_VALUE"""),91.65)</f>
        <v>91.65</v>
      </c>
      <c r="E218" s="1">
        <f ca="1">IFERROR(__xludf.DUMMYFUNCTION("""COMPUTED_VALUE"""),96.63)</f>
        <v>96.63</v>
      </c>
      <c r="F218" s="1">
        <f ca="1">IFERROR(__xludf.DUMMYFUNCTION("""COMPUTED_VALUE"""),173414862)</f>
        <v>173414862</v>
      </c>
    </row>
    <row r="219" spans="1:6" ht="12.6">
      <c r="A219" s="2">
        <f ca="1">IFERROR(__xludf.DUMMYFUNCTION("""COMPUTED_VALUE"""),44876.6666666666)</f>
        <v>44876.666666666599</v>
      </c>
      <c r="B219" s="1">
        <f ca="1">IFERROR(__xludf.DUMMYFUNCTION("""COMPUTED_VALUE"""),97.88)</f>
        <v>97.88</v>
      </c>
      <c r="C219" s="1">
        <f ca="1">IFERROR(__xludf.DUMMYFUNCTION("""COMPUTED_VALUE"""),101.19)</f>
        <v>101.19</v>
      </c>
      <c r="D219" s="1">
        <f ca="1">IFERROR(__xludf.DUMMYFUNCTION("""COMPUTED_VALUE"""),96.66)</f>
        <v>96.66</v>
      </c>
      <c r="E219" s="1">
        <f ca="1">IFERROR(__xludf.DUMMYFUNCTION("""COMPUTED_VALUE"""),100.79)</f>
        <v>100.79</v>
      </c>
      <c r="F219" s="1">
        <f ca="1">IFERROR(__xludf.DUMMYFUNCTION("""COMPUTED_VALUE"""),111590544)</f>
        <v>111590544</v>
      </c>
    </row>
    <row r="220" spans="1:6" ht="12.6">
      <c r="A220" s="2">
        <f ca="1">IFERROR(__xludf.DUMMYFUNCTION("""COMPUTED_VALUE"""),44879.6666666666)</f>
        <v>44879.666666666599</v>
      </c>
      <c r="B220" s="1">
        <f ca="1">IFERROR(__xludf.DUMMYFUNCTION("""COMPUTED_VALUE"""),98.77)</f>
        <v>98.77</v>
      </c>
      <c r="C220" s="1">
        <f ca="1">IFERROR(__xludf.DUMMYFUNCTION("""COMPUTED_VALUE"""),100.12)</f>
        <v>100.12</v>
      </c>
      <c r="D220" s="1">
        <f ca="1">IFERROR(__xludf.DUMMYFUNCTION("""COMPUTED_VALUE"""),97.29)</f>
        <v>97.29</v>
      </c>
      <c r="E220" s="1">
        <f ca="1">IFERROR(__xludf.DUMMYFUNCTION("""COMPUTED_VALUE"""),98.49)</f>
        <v>98.49</v>
      </c>
      <c r="F220" s="1">
        <f ca="1">IFERROR(__xludf.DUMMYFUNCTION("""COMPUTED_VALUE"""),99533072)</f>
        <v>99533072</v>
      </c>
    </row>
    <row r="221" spans="1:6" ht="12.6">
      <c r="A221" s="2">
        <f ca="1">IFERROR(__xludf.DUMMYFUNCTION("""COMPUTED_VALUE"""),44880.6666666666)</f>
        <v>44880.666666666599</v>
      </c>
      <c r="B221" s="1">
        <f ca="1">IFERROR(__xludf.DUMMYFUNCTION("""COMPUTED_VALUE"""),103.21)</f>
        <v>103.21</v>
      </c>
      <c r="C221" s="1">
        <f ca="1">IFERROR(__xludf.DUMMYFUNCTION("""COMPUTED_VALUE"""),103.79)</f>
        <v>103.79</v>
      </c>
      <c r="D221" s="1">
        <f ca="1">IFERROR(__xludf.DUMMYFUNCTION("""COMPUTED_VALUE"""),97.34)</f>
        <v>97.34</v>
      </c>
      <c r="E221" s="1">
        <f ca="1">IFERROR(__xludf.DUMMYFUNCTION("""COMPUTED_VALUE"""),98.94)</f>
        <v>98.94</v>
      </c>
      <c r="F221" s="1">
        <f ca="1">IFERROR(__xludf.DUMMYFUNCTION("""COMPUTED_VALUE"""),111336317)</f>
        <v>111336317</v>
      </c>
    </row>
    <row r="222" spans="1:6" ht="12.6">
      <c r="A222" s="2">
        <f ca="1">IFERROR(__xludf.DUMMYFUNCTION("""COMPUTED_VALUE"""),44881.6666666666)</f>
        <v>44881.666666666599</v>
      </c>
      <c r="B222" s="1">
        <f ca="1">IFERROR(__xludf.DUMMYFUNCTION("""COMPUTED_VALUE"""),96.85)</f>
        <v>96.85</v>
      </c>
      <c r="C222" s="1">
        <f ca="1">IFERROR(__xludf.DUMMYFUNCTION("""COMPUTED_VALUE"""),98.49)</f>
        <v>98.49</v>
      </c>
      <c r="D222" s="1">
        <f ca="1">IFERROR(__xludf.DUMMYFUNCTION("""COMPUTED_VALUE"""),95.54)</f>
        <v>95.54</v>
      </c>
      <c r="E222" s="1">
        <f ca="1">IFERROR(__xludf.DUMMYFUNCTION("""COMPUTED_VALUE"""),97.12)</f>
        <v>97.12</v>
      </c>
      <c r="F222" s="1">
        <f ca="1">IFERROR(__xludf.DUMMYFUNCTION("""COMPUTED_VALUE"""),87958828)</f>
        <v>87958828</v>
      </c>
    </row>
    <row r="223" spans="1:6" ht="12.6">
      <c r="A223" s="2">
        <f ca="1">IFERROR(__xludf.DUMMYFUNCTION("""COMPUTED_VALUE"""),44882.6666666666)</f>
        <v>44882.666666666599</v>
      </c>
      <c r="B223" s="1">
        <f ca="1">IFERROR(__xludf.DUMMYFUNCTION("""COMPUTED_VALUE"""),95.37)</f>
        <v>95.37</v>
      </c>
      <c r="C223" s="1">
        <f ca="1">IFERROR(__xludf.DUMMYFUNCTION("""COMPUTED_VALUE"""),96.97)</f>
        <v>96.97</v>
      </c>
      <c r="D223" s="1">
        <f ca="1">IFERROR(__xludf.DUMMYFUNCTION("""COMPUTED_VALUE"""),94.03)</f>
        <v>94.03</v>
      </c>
      <c r="E223" s="1">
        <f ca="1">IFERROR(__xludf.DUMMYFUNCTION("""COMPUTED_VALUE"""),94.85)</f>
        <v>94.85</v>
      </c>
      <c r="F223" s="1">
        <f ca="1">IFERROR(__xludf.DUMMYFUNCTION("""COMPUTED_VALUE"""),82617865)</f>
        <v>82617865</v>
      </c>
    </row>
    <row r="224" spans="1:6" ht="12.6">
      <c r="A224" s="2">
        <f ca="1">IFERROR(__xludf.DUMMYFUNCTION("""COMPUTED_VALUE"""),44883.6666666666)</f>
        <v>44883.666666666599</v>
      </c>
      <c r="B224" s="1">
        <f ca="1">IFERROR(__xludf.DUMMYFUNCTION("""COMPUTED_VALUE"""),95.95)</f>
        <v>95.95</v>
      </c>
      <c r="C224" s="1">
        <f ca="1">IFERROR(__xludf.DUMMYFUNCTION("""COMPUTED_VALUE"""),95.99)</f>
        <v>95.99</v>
      </c>
      <c r="D224" s="1">
        <f ca="1">IFERROR(__xludf.DUMMYFUNCTION("""COMPUTED_VALUE"""),92.48)</f>
        <v>92.48</v>
      </c>
      <c r="E224" s="1">
        <f ca="1">IFERROR(__xludf.DUMMYFUNCTION("""COMPUTED_VALUE"""),94.14)</f>
        <v>94.14</v>
      </c>
      <c r="F224" s="1">
        <f ca="1">IFERROR(__xludf.DUMMYFUNCTION("""COMPUTED_VALUE"""),72428185)</f>
        <v>72428185</v>
      </c>
    </row>
    <row r="225" spans="1:6" ht="12.6">
      <c r="A225" s="2">
        <f ca="1">IFERROR(__xludf.DUMMYFUNCTION("""COMPUTED_VALUE"""),44886.6666666666)</f>
        <v>44886.666666666599</v>
      </c>
      <c r="B225" s="1">
        <f ca="1">IFERROR(__xludf.DUMMYFUNCTION("""COMPUTED_VALUE"""),93.97)</f>
        <v>93.97</v>
      </c>
      <c r="C225" s="1">
        <f ca="1">IFERROR(__xludf.DUMMYFUNCTION("""COMPUTED_VALUE"""),95.02)</f>
        <v>95.02</v>
      </c>
      <c r="D225" s="1">
        <f ca="1">IFERROR(__xludf.DUMMYFUNCTION("""COMPUTED_VALUE"""),90.59)</f>
        <v>90.59</v>
      </c>
      <c r="E225" s="1">
        <f ca="1">IFERROR(__xludf.DUMMYFUNCTION("""COMPUTED_VALUE"""),92.46)</f>
        <v>92.46</v>
      </c>
      <c r="F225" s="1">
        <f ca="1">IFERROR(__xludf.DUMMYFUNCTION("""COMPUTED_VALUE"""),84330270)</f>
        <v>84330270</v>
      </c>
    </row>
    <row r="226" spans="1:6" ht="12.6">
      <c r="A226" s="2">
        <f ca="1">IFERROR(__xludf.DUMMYFUNCTION("""COMPUTED_VALUE"""),44887.6666666666)</f>
        <v>44887.666666666599</v>
      </c>
      <c r="B226" s="1">
        <f ca="1">IFERROR(__xludf.DUMMYFUNCTION("""COMPUTED_VALUE"""),92.62)</f>
        <v>92.62</v>
      </c>
      <c r="C226" s="1">
        <f ca="1">IFERROR(__xludf.DUMMYFUNCTION("""COMPUTED_VALUE"""),93.35)</f>
        <v>93.35</v>
      </c>
      <c r="D226" s="1">
        <f ca="1">IFERROR(__xludf.DUMMYFUNCTION("""COMPUTED_VALUE"""),90.87)</f>
        <v>90.87</v>
      </c>
      <c r="E226" s="1">
        <f ca="1">IFERROR(__xludf.DUMMYFUNCTION("""COMPUTED_VALUE"""),93.2)</f>
        <v>93.2</v>
      </c>
      <c r="F226" s="1">
        <f ca="1">IFERROR(__xludf.DUMMYFUNCTION("""COMPUTED_VALUE"""),62191962)</f>
        <v>62191962</v>
      </c>
    </row>
    <row r="227" spans="1:6" ht="12.6">
      <c r="A227" s="2">
        <f ca="1">IFERROR(__xludf.DUMMYFUNCTION("""COMPUTED_VALUE"""),44888.6666666666)</f>
        <v>44888.666666666599</v>
      </c>
      <c r="B227" s="1">
        <f ca="1">IFERROR(__xludf.DUMMYFUNCTION("""COMPUTED_VALUE"""),93.24)</f>
        <v>93.24</v>
      </c>
      <c r="C227" s="1">
        <f ca="1">IFERROR(__xludf.DUMMYFUNCTION("""COMPUTED_VALUE"""),94.58)</f>
        <v>94.58</v>
      </c>
      <c r="D227" s="1">
        <f ca="1">IFERROR(__xludf.DUMMYFUNCTION("""COMPUTED_VALUE"""),92.83)</f>
        <v>92.83</v>
      </c>
      <c r="E227" s="1">
        <f ca="1">IFERROR(__xludf.DUMMYFUNCTION("""COMPUTED_VALUE"""),94.13)</f>
        <v>94.13</v>
      </c>
      <c r="F227" s="1">
        <f ca="1">IFERROR(__xludf.DUMMYFUNCTION("""COMPUTED_VALUE"""),59414684)</f>
        <v>59414684</v>
      </c>
    </row>
    <row r="228" spans="1:6" ht="12.6">
      <c r="A228" s="2">
        <f ca="1">IFERROR(__xludf.DUMMYFUNCTION("""COMPUTED_VALUE"""),44890.5451388888)</f>
        <v>44890.545138888803</v>
      </c>
      <c r="B228" s="1">
        <f ca="1">IFERROR(__xludf.DUMMYFUNCTION("""COMPUTED_VALUE"""),93.79)</f>
        <v>93.79</v>
      </c>
      <c r="C228" s="1">
        <f ca="1">IFERROR(__xludf.DUMMYFUNCTION("""COMPUTED_VALUE"""),94.43)</f>
        <v>94.43</v>
      </c>
      <c r="D228" s="1">
        <f ca="1">IFERROR(__xludf.DUMMYFUNCTION("""COMPUTED_VALUE"""),93.07)</f>
        <v>93.07</v>
      </c>
      <c r="E228" s="1">
        <f ca="1">IFERROR(__xludf.DUMMYFUNCTION("""COMPUTED_VALUE"""),93.41)</f>
        <v>93.41</v>
      </c>
      <c r="F228" s="1">
        <f ca="1">IFERROR(__xludf.DUMMYFUNCTION("""COMPUTED_VALUE"""),35088609)</f>
        <v>35088609</v>
      </c>
    </row>
    <row r="229" spans="1:6" ht="12.6">
      <c r="A229" s="2">
        <f ca="1">IFERROR(__xludf.DUMMYFUNCTION("""COMPUTED_VALUE"""),44893.6666666666)</f>
        <v>44893.666666666599</v>
      </c>
      <c r="B229" s="1">
        <f ca="1">IFERROR(__xludf.DUMMYFUNCTION("""COMPUTED_VALUE"""),93.93)</f>
        <v>93.93</v>
      </c>
      <c r="C229" s="1">
        <f ca="1">IFERROR(__xludf.DUMMYFUNCTION("""COMPUTED_VALUE"""),96.4)</f>
        <v>96.4</v>
      </c>
      <c r="D229" s="1">
        <f ca="1">IFERROR(__xludf.DUMMYFUNCTION("""COMPUTED_VALUE"""),93.43)</f>
        <v>93.43</v>
      </c>
      <c r="E229" s="1">
        <f ca="1">IFERROR(__xludf.DUMMYFUNCTION("""COMPUTED_VALUE"""),93.95)</f>
        <v>93.95</v>
      </c>
      <c r="F229" s="1">
        <f ca="1">IFERROR(__xludf.DUMMYFUNCTION("""COMPUTED_VALUE"""),75062316)</f>
        <v>75062316</v>
      </c>
    </row>
    <row r="230" spans="1:6" ht="12.6">
      <c r="A230" s="2">
        <f ca="1">IFERROR(__xludf.DUMMYFUNCTION("""COMPUTED_VALUE"""),44894.6666666666)</f>
        <v>44894.666666666599</v>
      </c>
      <c r="B230" s="1">
        <f ca="1">IFERROR(__xludf.DUMMYFUNCTION("""COMPUTED_VALUE"""),94.04)</f>
        <v>94.04</v>
      </c>
      <c r="C230" s="1">
        <f ca="1">IFERROR(__xludf.DUMMYFUNCTION("""COMPUTED_VALUE"""),94.41)</f>
        <v>94.41</v>
      </c>
      <c r="D230" s="1">
        <f ca="1">IFERROR(__xludf.DUMMYFUNCTION("""COMPUTED_VALUE"""),91.44)</f>
        <v>91.44</v>
      </c>
      <c r="E230" s="1">
        <f ca="1">IFERROR(__xludf.DUMMYFUNCTION("""COMPUTED_VALUE"""),92.42)</f>
        <v>92.42</v>
      </c>
      <c r="F230" s="1">
        <f ca="1">IFERROR(__xludf.DUMMYFUNCTION("""COMPUTED_VALUE"""),65567286)</f>
        <v>65567286</v>
      </c>
    </row>
    <row r="231" spans="1:6" ht="12.6">
      <c r="A231" s="2">
        <f ca="1">IFERROR(__xludf.DUMMYFUNCTION("""COMPUTED_VALUE"""),44895.6666666666)</f>
        <v>44895.666666666599</v>
      </c>
      <c r="B231" s="1">
        <f ca="1">IFERROR(__xludf.DUMMYFUNCTION("""COMPUTED_VALUE"""),92.47)</f>
        <v>92.47</v>
      </c>
      <c r="C231" s="1">
        <f ca="1">IFERROR(__xludf.DUMMYFUNCTION("""COMPUTED_VALUE"""),96.54)</f>
        <v>96.54</v>
      </c>
      <c r="D231" s="1">
        <f ca="1">IFERROR(__xludf.DUMMYFUNCTION("""COMPUTED_VALUE"""),91.53)</f>
        <v>91.53</v>
      </c>
      <c r="E231" s="1">
        <f ca="1">IFERROR(__xludf.DUMMYFUNCTION("""COMPUTED_VALUE"""),96.54)</f>
        <v>96.54</v>
      </c>
      <c r="F231" s="1">
        <f ca="1">IFERROR(__xludf.DUMMYFUNCTION("""COMPUTED_VALUE"""),102805806)</f>
        <v>102805806</v>
      </c>
    </row>
    <row r="232" spans="1:6" ht="12.6">
      <c r="A232" s="2">
        <f ca="1">IFERROR(__xludf.DUMMYFUNCTION("""COMPUTED_VALUE"""),44896.6666666666)</f>
        <v>44896.666666666599</v>
      </c>
      <c r="B232" s="1">
        <f ca="1">IFERROR(__xludf.DUMMYFUNCTION("""COMPUTED_VALUE"""),96.99)</f>
        <v>96.99</v>
      </c>
      <c r="C232" s="1">
        <f ca="1">IFERROR(__xludf.DUMMYFUNCTION("""COMPUTED_VALUE"""),97.23)</f>
        <v>97.23</v>
      </c>
      <c r="D232" s="1">
        <f ca="1">IFERROR(__xludf.DUMMYFUNCTION("""COMPUTED_VALUE"""),94.92)</f>
        <v>94.92</v>
      </c>
      <c r="E232" s="1">
        <f ca="1">IFERROR(__xludf.DUMMYFUNCTION("""COMPUTED_VALUE"""),95.5)</f>
        <v>95.5</v>
      </c>
      <c r="F232" s="1">
        <f ca="1">IFERROR(__xludf.DUMMYFUNCTION("""COMPUTED_VALUE"""),68487969)</f>
        <v>68487969</v>
      </c>
    </row>
    <row r="233" spans="1:6" ht="12.6">
      <c r="A233" s="2">
        <f ca="1">IFERROR(__xludf.DUMMYFUNCTION("""COMPUTED_VALUE"""),44897.6666666666)</f>
        <v>44897.666666666599</v>
      </c>
      <c r="B233" s="1">
        <f ca="1">IFERROR(__xludf.DUMMYFUNCTION("""COMPUTED_VALUE"""),94.48)</f>
        <v>94.48</v>
      </c>
      <c r="C233" s="1">
        <f ca="1">IFERROR(__xludf.DUMMYFUNCTION("""COMPUTED_VALUE"""),95.36)</f>
        <v>95.36</v>
      </c>
      <c r="D233" s="1">
        <f ca="1">IFERROR(__xludf.DUMMYFUNCTION("""COMPUTED_VALUE"""),93.78)</f>
        <v>93.78</v>
      </c>
      <c r="E233" s="1">
        <f ca="1">IFERROR(__xludf.DUMMYFUNCTION("""COMPUTED_VALUE"""),94.13)</f>
        <v>94.13</v>
      </c>
      <c r="F233" s="1">
        <f ca="1">IFERROR(__xludf.DUMMYFUNCTION("""COMPUTED_VALUE"""),72496388)</f>
        <v>72496388</v>
      </c>
    </row>
    <row r="234" spans="1:6" ht="12.6">
      <c r="A234" s="2">
        <f ca="1">IFERROR(__xludf.DUMMYFUNCTION("""COMPUTED_VALUE"""),44900.6666666666)</f>
        <v>44900.666666666599</v>
      </c>
      <c r="B234" s="1">
        <f ca="1">IFERROR(__xludf.DUMMYFUNCTION("""COMPUTED_VALUE"""),93.05)</f>
        <v>93.05</v>
      </c>
      <c r="C234" s="1">
        <f ca="1">IFERROR(__xludf.DUMMYFUNCTION("""COMPUTED_VALUE"""),94.06)</f>
        <v>94.06</v>
      </c>
      <c r="D234" s="1">
        <f ca="1">IFERROR(__xludf.DUMMYFUNCTION("""COMPUTED_VALUE"""),90.82)</f>
        <v>90.82</v>
      </c>
      <c r="E234" s="1">
        <f ca="1">IFERROR(__xludf.DUMMYFUNCTION("""COMPUTED_VALUE"""),91.01)</f>
        <v>91.01</v>
      </c>
      <c r="F234" s="1">
        <f ca="1">IFERROR(__xludf.DUMMYFUNCTION("""COMPUTED_VALUE"""),71535526)</f>
        <v>71535526</v>
      </c>
    </row>
    <row r="235" spans="1:6" ht="12.6">
      <c r="A235" s="2">
        <f ca="1">IFERROR(__xludf.DUMMYFUNCTION("""COMPUTED_VALUE"""),44901.6666666666)</f>
        <v>44901.666666666599</v>
      </c>
      <c r="B235" s="1">
        <f ca="1">IFERROR(__xludf.DUMMYFUNCTION("""COMPUTED_VALUE"""),90.5)</f>
        <v>90.5</v>
      </c>
      <c r="C235" s="1">
        <f ca="1">IFERROR(__xludf.DUMMYFUNCTION("""COMPUTED_VALUE"""),91.04)</f>
        <v>91.04</v>
      </c>
      <c r="D235" s="1">
        <f ca="1">IFERROR(__xludf.DUMMYFUNCTION("""COMPUTED_VALUE"""),87.9)</f>
        <v>87.9</v>
      </c>
      <c r="E235" s="1">
        <f ca="1">IFERROR(__xludf.DUMMYFUNCTION("""COMPUTED_VALUE"""),88.25)</f>
        <v>88.25</v>
      </c>
      <c r="F235" s="1">
        <f ca="1">IFERROR(__xludf.DUMMYFUNCTION("""COMPUTED_VALUE"""),75503628)</f>
        <v>75503628</v>
      </c>
    </row>
    <row r="236" spans="1:6" ht="12.6">
      <c r="A236" s="2">
        <f ca="1">IFERROR(__xludf.DUMMYFUNCTION("""COMPUTED_VALUE"""),44902.6666666666)</f>
        <v>44902.666666666599</v>
      </c>
      <c r="B236" s="1">
        <f ca="1">IFERROR(__xludf.DUMMYFUNCTION("""COMPUTED_VALUE"""),88.34)</f>
        <v>88.34</v>
      </c>
      <c r="C236" s="1">
        <f ca="1">IFERROR(__xludf.DUMMYFUNCTION("""COMPUTED_VALUE"""),89.89)</f>
        <v>89.89</v>
      </c>
      <c r="D236" s="1">
        <f ca="1">IFERROR(__xludf.DUMMYFUNCTION("""COMPUTED_VALUE"""),87.48)</f>
        <v>87.48</v>
      </c>
      <c r="E236" s="1">
        <f ca="1">IFERROR(__xludf.DUMMYFUNCTION("""COMPUTED_VALUE"""),88.46)</f>
        <v>88.46</v>
      </c>
      <c r="F236" s="1">
        <f ca="1">IFERROR(__xludf.DUMMYFUNCTION("""COMPUTED_VALUE"""),68086880)</f>
        <v>68086880</v>
      </c>
    </row>
    <row r="237" spans="1:6" ht="12.6">
      <c r="A237" s="2">
        <f ca="1">IFERROR(__xludf.DUMMYFUNCTION("""COMPUTED_VALUE"""),44903.6666666666)</f>
        <v>44903.666666666599</v>
      </c>
      <c r="B237" s="1">
        <f ca="1">IFERROR(__xludf.DUMMYFUNCTION("""COMPUTED_VALUE"""),89.24)</f>
        <v>89.24</v>
      </c>
      <c r="C237" s="1">
        <f ca="1">IFERROR(__xludf.DUMMYFUNCTION("""COMPUTED_VALUE"""),90.86)</f>
        <v>90.86</v>
      </c>
      <c r="D237" s="1">
        <f ca="1">IFERROR(__xludf.DUMMYFUNCTION("""COMPUTED_VALUE"""),87.88)</f>
        <v>87.88</v>
      </c>
      <c r="E237" s="1">
        <f ca="1">IFERROR(__xludf.DUMMYFUNCTION("""COMPUTED_VALUE"""),90.35)</f>
        <v>90.35</v>
      </c>
      <c r="F237" s="1">
        <f ca="1">IFERROR(__xludf.DUMMYFUNCTION("""COMPUTED_VALUE"""),73305887)</f>
        <v>73305887</v>
      </c>
    </row>
    <row r="238" spans="1:6" ht="12.6">
      <c r="A238" s="2">
        <f ca="1">IFERROR(__xludf.DUMMYFUNCTION("""COMPUTED_VALUE"""),44904.6666666666)</f>
        <v>44904.666666666599</v>
      </c>
      <c r="B238" s="1">
        <f ca="1">IFERROR(__xludf.DUMMYFUNCTION("""COMPUTED_VALUE"""),88.9)</f>
        <v>88.9</v>
      </c>
      <c r="C238" s="1">
        <f ca="1">IFERROR(__xludf.DUMMYFUNCTION("""COMPUTED_VALUE"""),90.3)</f>
        <v>90.3</v>
      </c>
      <c r="D238" s="1">
        <f ca="1">IFERROR(__xludf.DUMMYFUNCTION("""COMPUTED_VALUE"""),88.63)</f>
        <v>88.63</v>
      </c>
      <c r="E238" s="1">
        <f ca="1">IFERROR(__xludf.DUMMYFUNCTION("""COMPUTED_VALUE"""),89.09)</f>
        <v>89.09</v>
      </c>
      <c r="F238" s="1">
        <f ca="1">IFERROR(__xludf.DUMMYFUNCTION("""COMPUTED_VALUE"""),67398506)</f>
        <v>67398506</v>
      </c>
    </row>
    <row r="239" spans="1:6" ht="12.6">
      <c r="A239" s="2">
        <f ca="1">IFERROR(__xludf.DUMMYFUNCTION("""COMPUTED_VALUE"""),44907.6666666666)</f>
        <v>44907.666666666599</v>
      </c>
      <c r="B239" s="1">
        <f ca="1">IFERROR(__xludf.DUMMYFUNCTION("""COMPUTED_VALUE"""),89.21)</f>
        <v>89.21</v>
      </c>
      <c r="C239" s="1">
        <f ca="1">IFERROR(__xludf.DUMMYFUNCTION("""COMPUTED_VALUE"""),90.58)</f>
        <v>90.58</v>
      </c>
      <c r="D239" s="1">
        <f ca="1">IFERROR(__xludf.DUMMYFUNCTION("""COMPUTED_VALUE"""),87.87)</f>
        <v>87.87</v>
      </c>
      <c r="E239" s="1">
        <f ca="1">IFERROR(__xludf.DUMMYFUNCTION("""COMPUTED_VALUE"""),90.55)</f>
        <v>90.55</v>
      </c>
      <c r="F239" s="1">
        <f ca="1">IFERROR(__xludf.DUMMYFUNCTION("""COMPUTED_VALUE"""),61999762)</f>
        <v>61999762</v>
      </c>
    </row>
    <row r="240" spans="1:6" ht="12.6">
      <c r="A240" s="2">
        <f ca="1">IFERROR(__xludf.DUMMYFUNCTION("""COMPUTED_VALUE"""),44908.6666666666)</f>
        <v>44908.666666666599</v>
      </c>
      <c r="B240" s="1">
        <f ca="1">IFERROR(__xludf.DUMMYFUNCTION("""COMPUTED_VALUE"""),95.23)</f>
        <v>95.23</v>
      </c>
      <c r="C240" s="1">
        <f ca="1">IFERROR(__xludf.DUMMYFUNCTION("""COMPUTED_VALUE"""),96.25)</f>
        <v>96.25</v>
      </c>
      <c r="D240" s="1">
        <f ca="1">IFERROR(__xludf.DUMMYFUNCTION("""COMPUTED_VALUE"""),90.52)</f>
        <v>90.52</v>
      </c>
      <c r="E240" s="1">
        <f ca="1">IFERROR(__xludf.DUMMYFUNCTION("""COMPUTED_VALUE"""),92.49)</f>
        <v>92.49</v>
      </c>
      <c r="F240" s="1">
        <f ca="1">IFERROR(__xludf.DUMMYFUNCTION("""COMPUTED_VALUE"""),100212038)</f>
        <v>100212038</v>
      </c>
    </row>
    <row r="241" spans="1:6" ht="12.6">
      <c r="A241" s="2">
        <f ca="1">IFERROR(__xludf.DUMMYFUNCTION("""COMPUTED_VALUE"""),44909.6666666666)</f>
        <v>44909.666666666599</v>
      </c>
      <c r="B241" s="1">
        <f ca="1">IFERROR(__xludf.DUMMYFUNCTION("""COMPUTED_VALUE"""),92.5)</f>
        <v>92.5</v>
      </c>
      <c r="C241" s="1">
        <f ca="1">IFERROR(__xludf.DUMMYFUNCTION("""COMPUTED_VALUE"""),93.46)</f>
        <v>93.46</v>
      </c>
      <c r="D241" s="1">
        <f ca="1">IFERROR(__xludf.DUMMYFUNCTION("""COMPUTED_VALUE"""),89.87)</f>
        <v>89.87</v>
      </c>
      <c r="E241" s="1">
        <f ca="1">IFERROR(__xludf.DUMMYFUNCTION("""COMPUTED_VALUE"""),91.58)</f>
        <v>91.58</v>
      </c>
      <c r="F241" s="1">
        <f ca="1">IFERROR(__xludf.DUMMYFUNCTION("""COMPUTED_VALUE"""),70298006)</f>
        <v>70298006</v>
      </c>
    </row>
    <row r="242" spans="1:6" ht="12.6">
      <c r="A242" s="2">
        <f ca="1">IFERROR(__xludf.DUMMYFUNCTION("""COMPUTED_VALUE"""),44910.6666666666)</f>
        <v>44910.666666666599</v>
      </c>
      <c r="B242" s="1">
        <f ca="1">IFERROR(__xludf.DUMMYFUNCTION("""COMPUTED_VALUE"""),89.89)</f>
        <v>89.89</v>
      </c>
      <c r="C242" s="1">
        <f ca="1">IFERROR(__xludf.DUMMYFUNCTION("""COMPUTED_VALUE"""),89.97)</f>
        <v>89.97</v>
      </c>
      <c r="D242" s="1">
        <f ca="1">IFERROR(__xludf.DUMMYFUNCTION("""COMPUTED_VALUE"""),87.47)</f>
        <v>87.47</v>
      </c>
      <c r="E242" s="1">
        <f ca="1">IFERROR(__xludf.DUMMYFUNCTION("""COMPUTED_VALUE"""),88.45)</f>
        <v>88.45</v>
      </c>
      <c r="F242" s="1">
        <f ca="1">IFERROR(__xludf.DUMMYFUNCTION("""COMPUTED_VALUE"""),84802877)</f>
        <v>84802877</v>
      </c>
    </row>
    <row r="243" spans="1:6" ht="12.6">
      <c r="A243" s="2">
        <f ca="1">IFERROR(__xludf.DUMMYFUNCTION("""COMPUTED_VALUE"""),44911.6666666666)</f>
        <v>44911.666666666599</v>
      </c>
      <c r="B243" s="1">
        <f ca="1">IFERROR(__xludf.DUMMYFUNCTION("""COMPUTED_VALUE"""),88.27)</f>
        <v>88.27</v>
      </c>
      <c r="C243" s="1">
        <f ca="1">IFERROR(__xludf.DUMMYFUNCTION("""COMPUTED_VALUE"""),89.35)</f>
        <v>89.35</v>
      </c>
      <c r="D243" s="1">
        <f ca="1">IFERROR(__xludf.DUMMYFUNCTION("""COMPUTED_VALUE"""),86.73)</f>
        <v>86.73</v>
      </c>
      <c r="E243" s="1">
        <f ca="1">IFERROR(__xludf.DUMMYFUNCTION("""COMPUTED_VALUE"""),87.86)</f>
        <v>87.86</v>
      </c>
      <c r="F243" s="1">
        <f ca="1">IFERROR(__xludf.DUMMYFUNCTION("""COMPUTED_VALUE"""),146144064)</f>
        <v>146144064</v>
      </c>
    </row>
    <row r="244" spans="1:6" ht="12.6">
      <c r="A244" s="2">
        <f ca="1">IFERROR(__xludf.DUMMYFUNCTION("""COMPUTED_VALUE"""),44914.6666666666)</f>
        <v>44914.666666666599</v>
      </c>
      <c r="B244" s="1">
        <f ca="1">IFERROR(__xludf.DUMMYFUNCTION("""COMPUTED_VALUE"""),87.51)</f>
        <v>87.51</v>
      </c>
      <c r="C244" s="1">
        <f ca="1">IFERROR(__xludf.DUMMYFUNCTION("""COMPUTED_VALUE"""),87.63)</f>
        <v>87.63</v>
      </c>
      <c r="D244" s="1">
        <f ca="1">IFERROR(__xludf.DUMMYFUNCTION("""COMPUTED_VALUE"""),84.51)</f>
        <v>84.51</v>
      </c>
      <c r="E244" s="1">
        <f ca="1">IFERROR(__xludf.DUMMYFUNCTION("""COMPUTED_VALUE"""),84.92)</f>
        <v>84.92</v>
      </c>
      <c r="F244" s="1">
        <f ca="1">IFERROR(__xludf.DUMMYFUNCTION("""COMPUTED_VALUE"""),83531460)</f>
        <v>83531460</v>
      </c>
    </row>
    <row r="245" spans="1:6" ht="12.6">
      <c r="A245" s="2">
        <f ca="1">IFERROR(__xludf.DUMMYFUNCTION("""COMPUTED_VALUE"""),44915.6666666666)</f>
        <v>44915.666666666599</v>
      </c>
      <c r="B245" s="1">
        <f ca="1">IFERROR(__xludf.DUMMYFUNCTION("""COMPUTED_VALUE"""),85.33)</f>
        <v>85.33</v>
      </c>
      <c r="C245" s="1">
        <f ca="1">IFERROR(__xludf.DUMMYFUNCTION("""COMPUTED_VALUE"""),86.61)</f>
        <v>86.61</v>
      </c>
      <c r="D245" s="1">
        <f ca="1">IFERROR(__xludf.DUMMYFUNCTION("""COMPUTED_VALUE"""),84.33)</f>
        <v>84.33</v>
      </c>
      <c r="E245" s="1">
        <f ca="1">IFERROR(__xludf.DUMMYFUNCTION("""COMPUTED_VALUE"""),85.19)</f>
        <v>85.19</v>
      </c>
      <c r="F245" s="1">
        <f ca="1">IFERROR(__xludf.DUMMYFUNCTION("""COMPUTED_VALUE"""),74348301)</f>
        <v>74348301</v>
      </c>
    </row>
    <row r="246" spans="1:6" ht="12.6">
      <c r="A246" s="2">
        <f ca="1">IFERROR(__xludf.DUMMYFUNCTION("""COMPUTED_VALUE"""),44916.6666666666)</f>
        <v>44916.666666666599</v>
      </c>
      <c r="B246" s="1">
        <f ca="1">IFERROR(__xludf.DUMMYFUNCTION("""COMPUTED_VALUE"""),86.18)</f>
        <v>86.18</v>
      </c>
      <c r="C246" s="1">
        <f ca="1">IFERROR(__xludf.DUMMYFUNCTION("""COMPUTED_VALUE"""),87.23)</f>
        <v>87.23</v>
      </c>
      <c r="D246" s="1">
        <f ca="1">IFERROR(__xludf.DUMMYFUNCTION("""COMPUTED_VALUE"""),85.21)</f>
        <v>85.21</v>
      </c>
      <c r="E246" s="1">
        <f ca="1">IFERROR(__xludf.DUMMYFUNCTION("""COMPUTED_VALUE"""),86.77)</f>
        <v>86.77</v>
      </c>
      <c r="F246" s="1">
        <f ca="1">IFERROR(__xludf.DUMMYFUNCTION("""COMPUTED_VALUE"""),59267156)</f>
        <v>59267156</v>
      </c>
    </row>
    <row r="247" spans="1:6" ht="12.6">
      <c r="A247" s="2">
        <f ca="1">IFERROR(__xludf.DUMMYFUNCTION("""COMPUTED_VALUE"""),44917.6666666666)</f>
        <v>44917.666666666599</v>
      </c>
      <c r="B247" s="1">
        <f ca="1">IFERROR(__xludf.DUMMYFUNCTION("""COMPUTED_VALUE"""),85.52)</f>
        <v>85.52</v>
      </c>
      <c r="C247" s="1">
        <f ca="1">IFERROR(__xludf.DUMMYFUNCTION("""COMPUTED_VALUE"""),85.68)</f>
        <v>85.68</v>
      </c>
      <c r="D247" s="1">
        <f ca="1">IFERROR(__xludf.DUMMYFUNCTION("""COMPUTED_VALUE"""),82.25)</f>
        <v>82.25</v>
      </c>
      <c r="E247" s="1">
        <f ca="1">IFERROR(__xludf.DUMMYFUNCTION("""COMPUTED_VALUE"""),83.79)</f>
        <v>83.79</v>
      </c>
      <c r="F247" s="1">
        <f ca="1">IFERROR(__xludf.DUMMYFUNCTION("""COMPUTED_VALUE"""),81431314)</f>
        <v>81431314</v>
      </c>
    </row>
    <row r="248" spans="1:6" ht="12.6">
      <c r="A248" s="2">
        <f ca="1">IFERROR(__xludf.DUMMYFUNCTION("""COMPUTED_VALUE"""),44918.6666666666)</f>
        <v>44918.666666666599</v>
      </c>
      <c r="B248" s="1">
        <f ca="1">IFERROR(__xludf.DUMMYFUNCTION("""COMPUTED_VALUE"""),83.25)</f>
        <v>83.25</v>
      </c>
      <c r="C248" s="1">
        <f ca="1">IFERROR(__xludf.DUMMYFUNCTION("""COMPUTED_VALUE"""),85.78)</f>
        <v>85.78</v>
      </c>
      <c r="D248" s="1">
        <f ca="1">IFERROR(__xludf.DUMMYFUNCTION("""COMPUTED_VALUE"""),82.93)</f>
        <v>82.93</v>
      </c>
      <c r="E248" s="1">
        <f ca="1">IFERROR(__xludf.DUMMYFUNCTION("""COMPUTED_VALUE"""),85.25)</f>
        <v>85.25</v>
      </c>
      <c r="F248" s="1">
        <f ca="1">IFERROR(__xludf.DUMMYFUNCTION("""COMPUTED_VALUE"""),57433655)</f>
        <v>57433655</v>
      </c>
    </row>
    <row r="249" spans="1:6" ht="12.6">
      <c r="A249" s="2">
        <f ca="1">IFERROR(__xludf.DUMMYFUNCTION("""COMPUTED_VALUE"""),44922.6666666666)</f>
        <v>44922.666666666599</v>
      </c>
      <c r="B249" s="1">
        <f ca="1">IFERROR(__xludf.DUMMYFUNCTION("""COMPUTED_VALUE"""),84.97)</f>
        <v>84.97</v>
      </c>
      <c r="C249" s="1">
        <f ca="1">IFERROR(__xludf.DUMMYFUNCTION("""COMPUTED_VALUE"""),85.35)</f>
        <v>85.35</v>
      </c>
      <c r="D249" s="1">
        <f ca="1">IFERROR(__xludf.DUMMYFUNCTION("""COMPUTED_VALUE"""),83)</f>
        <v>83</v>
      </c>
      <c r="E249" s="1">
        <f ca="1">IFERROR(__xludf.DUMMYFUNCTION("""COMPUTED_VALUE"""),83.04)</f>
        <v>83.04</v>
      </c>
      <c r="F249" s="1">
        <f ca="1">IFERROR(__xludf.DUMMYFUNCTION("""COMPUTED_VALUE"""),57284035)</f>
        <v>57284035</v>
      </c>
    </row>
    <row r="250" spans="1:6" ht="12.6">
      <c r="A250" s="2">
        <f ca="1">IFERROR(__xludf.DUMMYFUNCTION("""COMPUTED_VALUE"""),44923.6666666666)</f>
        <v>44923.666666666599</v>
      </c>
      <c r="B250" s="1">
        <f ca="1">IFERROR(__xludf.DUMMYFUNCTION("""COMPUTED_VALUE"""),82.8)</f>
        <v>82.8</v>
      </c>
      <c r="C250" s="1">
        <f ca="1">IFERROR(__xludf.DUMMYFUNCTION("""COMPUTED_VALUE"""),83.48)</f>
        <v>83.48</v>
      </c>
      <c r="D250" s="1">
        <f ca="1">IFERROR(__xludf.DUMMYFUNCTION("""COMPUTED_VALUE"""),81.69)</f>
        <v>81.69</v>
      </c>
      <c r="E250" s="1">
        <f ca="1">IFERROR(__xludf.DUMMYFUNCTION("""COMPUTED_VALUE"""),81.82)</f>
        <v>81.819999999999993</v>
      </c>
      <c r="F250" s="1">
        <f ca="1">IFERROR(__xludf.DUMMYFUNCTION("""COMPUTED_VALUE"""),58228575)</f>
        <v>58228575</v>
      </c>
    </row>
    <row r="251" spans="1:6" ht="12.6">
      <c r="A251" s="2">
        <f ca="1">IFERROR(__xludf.DUMMYFUNCTION("""COMPUTED_VALUE"""),44924.6666666666)</f>
        <v>44924.666666666599</v>
      </c>
      <c r="B251" s="1">
        <f ca="1">IFERROR(__xludf.DUMMYFUNCTION("""COMPUTED_VALUE"""),82.87)</f>
        <v>82.87</v>
      </c>
      <c r="C251" s="1">
        <f ca="1">IFERROR(__xludf.DUMMYFUNCTION("""COMPUTED_VALUE"""),84.55)</f>
        <v>84.55</v>
      </c>
      <c r="D251" s="1">
        <f ca="1">IFERROR(__xludf.DUMMYFUNCTION("""COMPUTED_VALUE"""),82.55)</f>
        <v>82.55</v>
      </c>
      <c r="E251" s="1">
        <f ca="1">IFERROR(__xludf.DUMMYFUNCTION("""COMPUTED_VALUE"""),84.18)</f>
        <v>84.18</v>
      </c>
      <c r="F251" s="1">
        <f ca="1">IFERROR(__xludf.DUMMYFUNCTION("""COMPUTED_VALUE"""),54995895)</f>
        <v>54995895</v>
      </c>
    </row>
    <row r="252" spans="1:6" ht="12.6">
      <c r="A252" s="2">
        <f ca="1">IFERROR(__xludf.DUMMYFUNCTION("""COMPUTED_VALUE"""),44925.6666666666)</f>
        <v>44925.666666666599</v>
      </c>
      <c r="B252" s="1">
        <f ca="1">IFERROR(__xludf.DUMMYFUNCTION("""COMPUTED_VALUE"""),83.12)</f>
        <v>83.12</v>
      </c>
      <c r="C252" s="1">
        <f ca="1">IFERROR(__xludf.DUMMYFUNCTION("""COMPUTED_VALUE"""),84.05)</f>
        <v>84.05</v>
      </c>
      <c r="D252" s="1">
        <f ca="1">IFERROR(__xludf.DUMMYFUNCTION("""COMPUTED_VALUE"""),82.47)</f>
        <v>82.47</v>
      </c>
      <c r="E252" s="1">
        <f ca="1">IFERROR(__xludf.DUMMYFUNCTION("""COMPUTED_VALUE"""),84)</f>
        <v>84</v>
      </c>
      <c r="F252" s="1">
        <f ca="1">IFERROR(__xludf.DUMMYFUNCTION("""COMPUTED_VALUE"""),62401194)</f>
        <v>62401194</v>
      </c>
    </row>
    <row r="253" spans="1:6" ht="12.6">
      <c r="A253" s="2">
        <f ca="1">IFERROR(__xludf.DUMMYFUNCTION("""COMPUTED_VALUE"""),44929.6666666666)</f>
        <v>44929.666666666599</v>
      </c>
      <c r="B253" s="1">
        <f ca="1">IFERROR(__xludf.DUMMYFUNCTION("""COMPUTED_VALUE"""),85.46)</f>
        <v>85.46</v>
      </c>
      <c r="C253" s="1">
        <f ca="1">IFERROR(__xludf.DUMMYFUNCTION("""COMPUTED_VALUE"""),86.96)</f>
        <v>86.96</v>
      </c>
      <c r="D253" s="1">
        <f ca="1">IFERROR(__xludf.DUMMYFUNCTION("""COMPUTED_VALUE"""),84.21)</f>
        <v>84.21</v>
      </c>
      <c r="E253" s="1">
        <f ca="1">IFERROR(__xludf.DUMMYFUNCTION("""COMPUTED_VALUE"""),85.82)</f>
        <v>85.82</v>
      </c>
      <c r="F253" s="1">
        <f ca="1">IFERROR(__xludf.DUMMYFUNCTION("""COMPUTED_VALUE"""),76706040)</f>
        <v>76706040</v>
      </c>
    </row>
    <row r="254" spans="1:6" ht="12.6">
      <c r="A254" s="2">
        <f ca="1">IFERROR(__xludf.DUMMYFUNCTION("""COMPUTED_VALUE"""),44930.6666666666)</f>
        <v>44930.666666666599</v>
      </c>
      <c r="B254" s="1">
        <f ca="1">IFERROR(__xludf.DUMMYFUNCTION("""COMPUTED_VALUE"""),86.55)</f>
        <v>86.55</v>
      </c>
      <c r="C254" s="1">
        <f ca="1">IFERROR(__xludf.DUMMYFUNCTION("""COMPUTED_VALUE"""),86.98)</f>
        <v>86.98</v>
      </c>
      <c r="D254" s="1">
        <f ca="1">IFERROR(__xludf.DUMMYFUNCTION("""COMPUTED_VALUE"""),83.36)</f>
        <v>83.36</v>
      </c>
      <c r="E254" s="1">
        <f ca="1">IFERROR(__xludf.DUMMYFUNCTION("""COMPUTED_VALUE"""),85.14)</f>
        <v>85.14</v>
      </c>
      <c r="F254" s="1">
        <f ca="1">IFERROR(__xludf.DUMMYFUNCTION("""COMPUTED_VALUE"""),68885123)</f>
        <v>68885123</v>
      </c>
    </row>
    <row r="255" spans="1:6" ht="12.6">
      <c r="A255" s="2">
        <f ca="1">IFERROR(__xludf.DUMMYFUNCTION("""COMPUTED_VALUE"""),44931.6666666666)</f>
        <v>44931.666666666599</v>
      </c>
      <c r="B255" s="1">
        <f ca="1">IFERROR(__xludf.DUMMYFUNCTION("""COMPUTED_VALUE"""),85.33)</f>
        <v>85.33</v>
      </c>
      <c r="C255" s="1">
        <f ca="1">IFERROR(__xludf.DUMMYFUNCTION("""COMPUTED_VALUE"""),85.42)</f>
        <v>85.42</v>
      </c>
      <c r="D255" s="1">
        <f ca="1">IFERROR(__xludf.DUMMYFUNCTION("""COMPUTED_VALUE"""),83.07)</f>
        <v>83.07</v>
      </c>
      <c r="E255" s="1">
        <f ca="1">IFERROR(__xludf.DUMMYFUNCTION("""COMPUTED_VALUE"""),83.12)</f>
        <v>83.12</v>
      </c>
      <c r="F255" s="1">
        <f ca="1">IFERROR(__xludf.DUMMYFUNCTION("""COMPUTED_VALUE"""),67930825)</f>
        <v>67930825</v>
      </c>
    </row>
    <row r="256" spans="1:6" ht="12.6">
      <c r="A256" s="2">
        <f ca="1">IFERROR(__xludf.DUMMYFUNCTION("""COMPUTED_VALUE"""),44932.6666666666)</f>
        <v>44932.666666666599</v>
      </c>
      <c r="B256" s="1">
        <f ca="1">IFERROR(__xludf.DUMMYFUNCTION("""COMPUTED_VALUE"""),83.03)</f>
        <v>83.03</v>
      </c>
      <c r="C256" s="1">
        <f ca="1">IFERROR(__xludf.DUMMYFUNCTION("""COMPUTED_VALUE"""),86.4)</f>
        <v>86.4</v>
      </c>
      <c r="D256" s="1">
        <f ca="1">IFERROR(__xludf.DUMMYFUNCTION("""COMPUTED_VALUE"""),81.43)</f>
        <v>81.430000000000007</v>
      </c>
      <c r="E256" s="1">
        <f ca="1">IFERROR(__xludf.DUMMYFUNCTION("""COMPUTED_VALUE"""),86.08)</f>
        <v>86.08</v>
      </c>
      <c r="F256" s="1">
        <f ca="1">IFERROR(__xludf.DUMMYFUNCTION("""COMPUTED_VALUE"""),83303361)</f>
        <v>83303361</v>
      </c>
    </row>
    <row r="257" spans="1:6" ht="12.6">
      <c r="A257" s="2">
        <f ca="1">IFERROR(__xludf.DUMMYFUNCTION("""COMPUTED_VALUE"""),44935.6666666666)</f>
        <v>44935.666666666599</v>
      </c>
      <c r="B257" s="1">
        <f ca="1">IFERROR(__xludf.DUMMYFUNCTION("""COMPUTED_VALUE"""),87.46)</f>
        <v>87.46</v>
      </c>
      <c r="C257" s="1">
        <f ca="1">IFERROR(__xludf.DUMMYFUNCTION("""COMPUTED_VALUE"""),89.48)</f>
        <v>89.48</v>
      </c>
      <c r="D257" s="1">
        <f ca="1">IFERROR(__xludf.DUMMYFUNCTION("""COMPUTED_VALUE"""),87.08)</f>
        <v>87.08</v>
      </c>
      <c r="E257" s="1">
        <f ca="1">IFERROR(__xludf.DUMMYFUNCTION("""COMPUTED_VALUE"""),87.36)</f>
        <v>87.36</v>
      </c>
      <c r="F257" s="1">
        <f ca="1">IFERROR(__xludf.DUMMYFUNCTION("""COMPUTED_VALUE"""),65266056)</f>
        <v>65266056</v>
      </c>
    </row>
    <row r="258" spans="1:6" ht="12.6">
      <c r="A258" s="2">
        <f ca="1">IFERROR(__xludf.DUMMYFUNCTION("""COMPUTED_VALUE"""),44936.6666666666)</f>
        <v>44936.666666666599</v>
      </c>
      <c r="B258" s="1">
        <f ca="1">IFERROR(__xludf.DUMMYFUNCTION("""COMPUTED_VALUE"""),87.57)</f>
        <v>87.57</v>
      </c>
      <c r="C258" s="1">
        <f ca="1">IFERROR(__xludf.DUMMYFUNCTION("""COMPUTED_VALUE"""),90.19)</f>
        <v>90.19</v>
      </c>
      <c r="D258" s="1">
        <f ca="1">IFERROR(__xludf.DUMMYFUNCTION("""COMPUTED_VALUE"""),87.29)</f>
        <v>87.29</v>
      </c>
      <c r="E258" s="1">
        <f ca="1">IFERROR(__xludf.DUMMYFUNCTION("""COMPUTED_VALUE"""),89.87)</f>
        <v>89.87</v>
      </c>
      <c r="F258" s="1">
        <f ca="1">IFERROR(__xludf.DUMMYFUNCTION("""COMPUTED_VALUE"""),67756601)</f>
        <v>67756601</v>
      </c>
    </row>
    <row r="259" spans="1:6" ht="12.6">
      <c r="A259" s="2">
        <f ca="1">IFERROR(__xludf.DUMMYFUNCTION("""COMPUTED_VALUE"""),44937.6666666666)</f>
        <v>44937.666666666599</v>
      </c>
      <c r="B259" s="1">
        <f ca="1">IFERROR(__xludf.DUMMYFUNCTION("""COMPUTED_VALUE"""),90.93)</f>
        <v>90.93</v>
      </c>
      <c r="C259" s="1">
        <f ca="1">IFERROR(__xludf.DUMMYFUNCTION("""COMPUTED_VALUE"""),95.26)</f>
        <v>95.26</v>
      </c>
      <c r="D259" s="1">
        <f ca="1">IFERROR(__xludf.DUMMYFUNCTION("""COMPUTED_VALUE"""),90.93)</f>
        <v>90.93</v>
      </c>
      <c r="E259" s="1">
        <f ca="1">IFERROR(__xludf.DUMMYFUNCTION("""COMPUTED_VALUE"""),95.09)</f>
        <v>95.09</v>
      </c>
      <c r="F259" s="1">
        <f ca="1">IFERROR(__xludf.DUMMYFUNCTION("""COMPUTED_VALUE"""),103126183)</f>
        <v>103126183</v>
      </c>
    </row>
    <row r="260" spans="1:6" ht="12.6">
      <c r="A260" s="2">
        <f ca="1">IFERROR(__xludf.DUMMYFUNCTION("""COMPUTED_VALUE"""),44938.6666666666)</f>
        <v>44938.666666666599</v>
      </c>
      <c r="B260" s="1">
        <f ca="1">IFERROR(__xludf.DUMMYFUNCTION("""COMPUTED_VALUE"""),96.93)</f>
        <v>96.93</v>
      </c>
      <c r="C260" s="1">
        <f ca="1">IFERROR(__xludf.DUMMYFUNCTION("""COMPUTED_VALUE"""),97.19)</f>
        <v>97.19</v>
      </c>
      <c r="D260" s="1">
        <f ca="1">IFERROR(__xludf.DUMMYFUNCTION("""COMPUTED_VALUE"""),93.5)</f>
        <v>93.5</v>
      </c>
      <c r="E260" s="1">
        <f ca="1">IFERROR(__xludf.DUMMYFUNCTION("""COMPUTED_VALUE"""),95.27)</f>
        <v>95.27</v>
      </c>
      <c r="F260" s="1">
        <f ca="1">IFERROR(__xludf.DUMMYFUNCTION("""COMPUTED_VALUE"""),85254781)</f>
        <v>85254781</v>
      </c>
    </row>
    <row r="261" spans="1:6" ht="12.6">
      <c r="A261" s="2">
        <f ca="1">IFERROR(__xludf.DUMMYFUNCTION("""COMPUTED_VALUE"""),44939.6666666666)</f>
        <v>44939.666666666599</v>
      </c>
      <c r="B261" s="1">
        <f ca="1">IFERROR(__xludf.DUMMYFUNCTION("""COMPUTED_VALUE"""),94.18)</f>
        <v>94.18</v>
      </c>
      <c r="C261" s="1">
        <f ca="1">IFERROR(__xludf.DUMMYFUNCTION("""COMPUTED_VALUE"""),98.37)</f>
        <v>98.37</v>
      </c>
      <c r="D261" s="1">
        <f ca="1">IFERROR(__xludf.DUMMYFUNCTION("""COMPUTED_VALUE"""),94.12)</f>
        <v>94.12</v>
      </c>
      <c r="E261" s="1">
        <f ca="1">IFERROR(__xludf.DUMMYFUNCTION("""COMPUTED_VALUE"""),98.12)</f>
        <v>98.12</v>
      </c>
      <c r="F261" s="1">
        <f ca="1">IFERROR(__xludf.DUMMYFUNCTION("""COMPUTED_VALUE"""),85549432)</f>
        <v>85549432</v>
      </c>
    </row>
    <row r="262" spans="1:6" ht="12.6">
      <c r="A262" s="2">
        <f ca="1">IFERROR(__xludf.DUMMYFUNCTION("""COMPUTED_VALUE"""),44943.6666666666)</f>
        <v>44943.666666666599</v>
      </c>
      <c r="B262" s="1">
        <f ca="1">IFERROR(__xludf.DUMMYFUNCTION("""COMPUTED_VALUE"""),98.68)</f>
        <v>98.68</v>
      </c>
      <c r="C262" s="1">
        <f ca="1">IFERROR(__xludf.DUMMYFUNCTION("""COMPUTED_VALUE"""),98.89)</f>
        <v>98.89</v>
      </c>
      <c r="D262" s="1">
        <f ca="1">IFERROR(__xludf.DUMMYFUNCTION("""COMPUTED_VALUE"""),95.73)</f>
        <v>95.73</v>
      </c>
      <c r="E262" s="1">
        <f ca="1">IFERROR(__xludf.DUMMYFUNCTION("""COMPUTED_VALUE"""),96.05)</f>
        <v>96.05</v>
      </c>
      <c r="F262" s="1">
        <f ca="1">IFERROR(__xludf.DUMMYFUNCTION("""COMPUTED_VALUE"""),72755001)</f>
        <v>72755001</v>
      </c>
    </row>
    <row r="263" spans="1:6" ht="12.6">
      <c r="A263" s="2">
        <f ca="1">IFERROR(__xludf.DUMMYFUNCTION("""COMPUTED_VALUE"""),44944.6666666666)</f>
        <v>44944.666666666599</v>
      </c>
      <c r="B263" s="1">
        <f ca="1">IFERROR(__xludf.DUMMYFUNCTION("""COMPUTED_VALUE"""),97.25)</f>
        <v>97.25</v>
      </c>
      <c r="C263" s="1">
        <f ca="1">IFERROR(__xludf.DUMMYFUNCTION("""COMPUTED_VALUE"""),99.32)</f>
        <v>99.32</v>
      </c>
      <c r="D263" s="1">
        <f ca="1">IFERROR(__xludf.DUMMYFUNCTION("""COMPUTED_VALUE"""),95.38)</f>
        <v>95.38</v>
      </c>
      <c r="E263" s="1">
        <f ca="1">IFERROR(__xludf.DUMMYFUNCTION("""COMPUTED_VALUE"""),95.46)</f>
        <v>95.46</v>
      </c>
      <c r="F263" s="1">
        <f ca="1">IFERROR(__xludf.DUMMYFUNCTION("""COMPUTED_VALUE"""),79570370)</f>
        <v>79570370</v>
      </c>
    </row>
    <row r="264" spans="1:6" ht="12.6">
      <c r="A264" s="2">
        <f ca="1">IFERROR(__xludf.DUMMYFUNCTION("""COMPUTED_VALUE"""),44945.6666666666)</f>
        <v>44945.666666666599</v>
      </c>
      <c r="B264" s="1">
        <f ca="1">IFERROR(__xludf.DUMMYFUNCTION("""COMPUTED_VALUE"""),94.74)</f>
        <v>94.74</v>
      </c>
      <c r="C264" s="1">
        <f ca="1">IFERROR(__xludf.DUMMYFUNCTION("""COMPUTED_VALUE"""),95.44)</f>
        <v>95.44</v>
      </c>
      <c r="D264" s="1">
        <f ca="1">IFERROR(__xludf.DUMMYFUNCTION("""COMPUTED_VALUE"""),92.86)</f>
        <v>92.86</v>
      </c>
      <c r="E264" s="1">
        <f ca="1">IFERROR(__xludf.DUMMYFUNCTION("""COMPUTED_VALUE"""),93.68)</f>
        <v>93.68</v>
      </c>
      <c r="F264" s="1">
        <f ca="1">IFERROR(__xludf.DUMMYFUNCTION("""COMPUTED_VALUE"""),69002663)</f>
        <v>69002663</v>
      </c>
    </row>
    <row r="265" spans="1:6" ht="12.6">
      <c r="A265" s="2">
        <f ca="1">IFERROR(__xludf.DUMMYFUNCTION("""COMPUTED_VALUE"""),44946.6666666666)</f>
        <v>44946.666666666599</v>
      </c>
      <c r="B265" s="1">
        <f ca="1">IFERROR(__xludf.DUMMYFUNCTION("""COMPUTED_VALUE"""),93.86)</f>
        <v>93.86</v>
      </c>
      <c r="C265" s="1">
        <f ca="1">IFERROR(__xludf.DUMMYFUNCTION("""COMPUTED_VALUE"""),97.35)</f>
        <v>97.35</v>
      </c>
      <c r="D265" s="1">
        <f ca="1">IFERROR(__xludf.DUMMYFUNCTION("""COMPUTED_VALUE"""),93.2)</f>
        <v>93.2</v>
      </c>
      <c r="E265" s="1">
        <f ca="1">IFERROR(__xludf.DUMMYFUNCTION("""COMPUTED_VALUE"""),97.25)</f>
        <v>97.25</v>
      </c>
      <c r="F265" s="1">
        <f ca="1">IFERROR(__xludf.DUMMYFUNCTION("""COMPUTED_VALUE"""),67481539)</f>
        <v>67481539</v>
      </c>
    </row>
    <row r="266" spans="1:6" ht="12.6">
      <c r="A266" s="2">
        <f ca="1">IFERROR(__xludf.DUMMYFUNCTION("""COMPUTED_VALUE"""),44949.6666666666)</f>
        <v>44949.666666666599</v>
      </c>
      <c r="B266" s="1">
        <f ca="1">IFERROR(__xludf.DUMMYFUNCTION("""COMPUTED_VALUE"""),97.56)</f>
        <v>97.56</v>
      </c>
      <c r="C266" s="1">
        <f ca="1">IFERROR(__xludf.DUMMYFUNCTION("""COMPUTED_VALUE"""),97.78)</f>
        <v>97.78</v>
      </c>
      <c r="D266" s="1">
        <f ca="1">IFERROR(__xludf.DUMMYFUNCTION("""COMPUTED_VALUE"""),95.86)</f>
        <v>95.86</v>
      </c>
      <c r="E266" s="1">
        <f ca="1">IFERROR(__xludf.DUMMYFUNCTION("""COMPUTED_VALUE"""),97.52)</f>
        <v>97.52</v>
      </c>
      <c r="F266" s="1">
        <f ca="1">IFERROR(__xludf.DUMMYFUNCTION("""COMPUTED_VALUE"""),76501103)</f>
        <v>76501103</v>
      </c>
    </row>
    <row r="267" spans="1:6" ht="12.6">
      <c r="A267" s="2">
        <f ca="1">IFERROR(__xludf.DUMMYFUNCTION("""COMPUTED_VALUE"""),44950.6666666666)</f>
        <v>44950.666666666599</v>
      </c>
      <c r="B267" s="1">
        <f ca="1">IFERROR(__xludf.DUMMYFUNCTION("""COMPUTED_VALUE"""),96.93)</f>
        <v>96.93</v>
      </c>
      <c r="C267" s="1">
        <f ca="1">IFERROR(__xludf.DUMMYFUNCTION("""COMPUTED_VALUE"""),98.09)</f>
        <v>98.09</v>
      </c>
      <c r="D267" s="1">
        <f ca="1">IFERROR(__xludf.DUMMYFUNCTION("""COMPUTED_VALUE"""),96)</f>
        <v>96</v>
      </c>
      <c r="E267" s="1">
        <f ca="1">IFERROR(__xludf.DUMMYFUNCTION("""COMPUTED_VALUE"""),96.32)</f>
        <v>96.32</v>
      </c>
      <c r="F267" s="1">
        <f ca="1">IFERROR(__xludf.DUMMYFUNCTION("""COMPUTED_VALUE"""),66929452)</f>
        <v>66929452</v>
      </c>
    </row>
    <row r="268" spans="1:6" ht="12.6">
      <c r="A268" s="2">
        <f ca="1">IFERROR(__xludf.DUMMYFUNCTION("""COMPUTED_VALUE"""),44951.6666666666)</f>
        <v>44951.666666666599</v>
      </c>
      <c r="B268" s="1">
        <f ca="1">IFERROR(__xludf.DUMMYFUNCTION("""COMPUTED_VALUE"""),92.56)</f>
        <v>92.56</v>
      </c>
      <c r="C268" s="1">
        <f ca="1">IFERROR(__xludf.DUMMYFUNCTION("""COMPUTED_VALUE"""),97.24)</f>
        <v>97.24</v>
      </c>
      <c r="D268" s="1">
        <f ca="1">IFERROR(__xludf.DUMMYFUNCTION("""COMPUTED_VALUE"""),91.52)</f>
        <v>91.52</v>
      </c>
      <c r="E268" s="1">
        <f ca="1">IFERROR(__xludf.DUMMYFUNCTION("""COMPUTED_VALUE"""),97.18)</f>
        <v>97.18</v>
      </c>
      <c r="F268" s="1">
        <f ca="1">IFERROR(__xludf.DUMMYFUNCTION("""COMPUTED_VALUE"""),94261570)</f>
        <v>94261570</v>
      </c>
    </row>
    <row r="269" spans="1:6" ht="12.6">
      <c r="A269" s="2">
        <f ca="1">IFERROR(__xludf.DUMMYFUNCTION("""COMPUTED_VALUE"""),44952.6666666666)</f>
        <v>44952.666666666599</v>
      </c>
      <c r="B269" s="1">
        <f ca="1">IFERROR(__xludf.DUMMYFUNCTION("""COMPUTED_VALUE"""),98.24)</f>
        <v>98.24</v>
      </c>
      <c r="C269" s="1">
        <f ca="1">IFERROR(__xludf.DUMMYFUNCTION("""COMPUTED_VALUE"""),99.49)</f>
        <v>99.49</v>
      </c>
      <c r="D269" s="1">
        <f ca="1">IFERROR(__xludf.DUMMYFUNCTION("""COMPUTED_VALUE"""),96.92)</f>
        <v>96.92</v>
      </c>
      <c r="E269" s="1">
        <f ca="1">IFERROR(__xludf.DUMMYFUNCTION("""COMPUTED_VALUE"""),99.22)</f>
        <v>99.22</v>
      </c>
      <c r="F269" s="1">
        <f ca="1">IFERROR(__xludf.DUMMYFUNCTION("""COMPUTED_VALUE"""),68523557)</f>
        <v>68523557</v>
      </c>
    </row>
    <row r="270" spans="1:6" ht="12.6">
      <c r="A270" s="2">
        <f ca="1">IFERROR(__xludf.DUMMYFUNCTION("""COMPUTED_VALUE"""),44953.6666666666)</f>
        <v>44953.666666666599</v>
      </c>
      <c r="B270" s="1">
        <f ca="1">IFERROR(__xludf.DUMMYFUNCTION("""COMPUTED_VALUE"""),99.53)</f>
        <v>99.53</v>
      </c>
      <c r="C270" s="1">
        <f ca="1">IFERROR(__xludf.DUMMYFUNCTION("""COMPUTED_VALUE"""),103.49)</f>
        <v>103.49</v>
      </c>
      <c r="D270" s="1">
        <f ca="1">IFERROR(__xludf.DUMMYFUNCTION("""COMPUTED_VALUE"""),99.53)</f>
        <v>99.53</v>
      </c>
      <c r="E270" s="1">
        <f ca="1">IFERROR(__xludf.DUMMYFUNCTION("""COMPUTED_VALUE"""),102.24)</f>
        <v>102.24</v>
      </c>
      <c r="F270" s="1">
        <f ca="1">IFERROR(__xludf.DUMMYFUNCTION("""COMPUTED_VALUE"""),87775614)</f>
        <v>87775614</v>
      </c>
    </row>
    <row r="271" spans="1:6" ht="12.6">
      <c r="A271" s="2">
        <f ca="1">IFERROR(__xludf.DUMMYFUNCTION("""COMPUTED_VALUE"""),44956.6666666666)</f>
        <v>44956.666666666599</v>
      </c>
      <c r="B271" s="1">
        <f ca="1">IFERROR(__xludf.DUMMYFUNCTION("""COMPUTED_VALUE"""),101.09)</f>
        <v>101.09</v>
      </c>
      <c r="C271" s="1">
        <f ca="1">IFERROR(__xludf.DUMMYFUNCTION("""COMPUTED_VALUE"""),101.74)</f>
        <v>101.74</v>
      </c>
      <c r="D271" s="1">
        <f ca="1">IFERROR(__xludf.DUMMYFUNCTION("""COMPUTED_VALUE"""),99.01)</f>
        <v>99.01</v>
      </c>
      <c r="E271" s="1">
        <f ca="1">IFERROR(__xludf.DUMMYFUNCTION("""COMPUTED_VALUE"""),100.55)</f>
        <v>100.55</v>
      </c>
      <c r="F271" s="1">
        <f ca="1">IFERROR(__xludf.DUMMYFUNCTION("""COMPUTED_VALUE"""),70691860)</f>
        <v>70691860</v>
      </c>
    </row>
    <row r="272" spans="1:6" ht="12.6">
      <c r="A272" s="2">
        <f ca="1">IFERROR(__xludf.DUMMYFUNCTION("""COMPUTED_VALUE"""),44957.6666666666)</f>
        <v>44957.666666666599</v>
      </c>
      <c r="B272" s="1">
        <f ca="1">IFERROR(__xludf.DUMMYFUNCTION("""COMPUTED_VALUE"""),101.16)</f>
        <v>101.16</v>
      </c>
      <c r="C272" s="1">
        <f ca="1">IFERROR(__xludf.DUMMYFUNCTION("""COMPUTED_VALUE"""),103.35)</f>
        <v>103.35</v>
      </c>
      <c r="D272" s="1">
        <f ca="1">IFERROR(__xludf.DUMMYFUNCTION("""COMPUTED_VALUE"""),101.14)</f>
        <v>101.14</v>
      </c>
      <c r="E272" s="1">
        <f ca="1">IFERROR(__xludf.DUMMYFUNCTION("""COMPUTED_VALUE"""),103.13)</f>
        <v>103.13</v>
      </c>
      <c r="F272" s="1">
        <f ca="1">IFERROR(__xludf.DUMMYFUNCTION("""COMPUTED_VALUE"""),66527253)</f>
        <v>66527253</v>
      </c>
    </row>
    <row r="273" spans="1:6" ht="12.6">
      <c r="A273" s="2">
        <f ca="1">IFERROR(__xludf.DUMMYFUNCTION("""COMPUTED_VALUE"""),44958.6666666666)</f>
        <v>44958.666666666599</v>
      </c>
      <c r="B273" s="1">
        <f ca="1">IFERROR(__xludf.DUMMYFUNCTION("""COMPUTED_VALUE"""),102.53)</f>
        <v>102.53</v>
      </c>
      <c r="C273" s="1">
        <f ca="1">IFERROR(__xludf.DUMMYFUNCTION("""COMPUTED_VALUE"""),106.24)</f>
        <v>106.24</v>
      </c>
      <c r="D273" s="1">
        <f ca="1">IFERROR(__xludf.DUMMYFUNCTION("""COMPUTED_VALUE"""),101.24)</f>
        <v>101.24</v>
      </c>
      <c r="E273" s="1">
        <f ca="1">IFERROR(__xludf.DUMMYFUNCTION("""COMPUTED_VALUE"""),105.15)</f>
        <v>105.15</v>
      </c>
      <c r="F273" s="1">
        <f ca="1">IFERROR(__xludf.DUMMYFUNCTION("""COMPUTED_VALUE"""),80450121)</f>
        <v>80450121</v>
      </c>
    </row>
    <row r="274" spans="1:6" ht="12.6">
      <c r="A274" s="2">
        <f ca="1">IFERROR(__xludf.DUMMYFUNCTION("""COMPUTED_VALUE"""),44959.6666666666)</f>
        <v>44959.666666666599</v>
      </c>
      <c r="B274" s="1">
        <f ca="1">IFERROR(__xludf.DUMMYFUNCTION("""COMPUTED_VALUE"""),110.25)</f>
        <v>110.25</v>
      </c>
      <c r="C274" s="1">
        <f ca="1">IFERROR(__xludf.DUMMYFUNCTION("""COMPUTED_VALUE"""),114)</f>
        <v>114</v>
      </c>
      <c r="D274" s="1">
        <f ca="1">IFERROR(__xludf.DUMMYFUNCTION("""COMPUTED_VALUE"""),108.88)</f>
        <v>108.88</v>
      </c>
      <c r="E274" s="1">
        <f ca="1">IFERROR(__xludf.DUMMYFUNCTION("""COMPUTED_VALUE"""),112.91)</f>
        <v>112.91</v>
      </c>
      <c r="F274" s="1">
        <f ca="1">IFERROR(__xludf.DUMMYFUNCTION("""COMPUTED_VALUE"""),158154243)</f>
        <v>158154243</v>
      </c>
    </row>
    <row r="275" spans="1:6" ht="12.6">
      <c r="A275" s="2">
        <f ca="1">IFERROR(__xludf.DUMMYFUNCTION("""COMPUTED_VALUE"""),44960.6666666666)</f>
        <v>44960.666666666599</v>
      </c>
      <c r="B275" s="1">
        <f ca="1">IFERROR(__xludf.DUMMYFUNCTION("""COMPUTED_VALUE"""),105.26)</f>
        <v>105.26</v>
      </c>
      <c r="C275" s="1">
        <f ca="1">IFERROR(__xludf.DUMMYFUNCTION("""COMPUTED_VALUE"""),108.78)</f>
        <v>108.78</v>
      </c>
      <c r="D275" s="1">
        <f ca="1">IFERROR(__xludf.DUMMYFUNCTION("""COMPUTED_VALUE"""),102.52)</f>
        <v>102.52</v>
      </c>
      <c r="E275" s="1">
        <f ca="1">IFERROR(__xludf.DUMMYFUNCTION("""COMPUTED_VALUE"""),103.39)</f>
        <v>103.39</v>
      </c>
      <c r="F275" s="1">
        <f ca="1">IFERROR(__xludf.DUMMYFUNCTION("""COMPUTED_VALUE"""),144374828)</f>
        <v>144374828</v>
      </c>
    </row>
    <row r="276" spans="1:6" ht="12.6">
      <c r="A276" s="2">
        <f ca="1">IFERROR(__xludf.DUMMYFUNCTION("""COMPUTED_VALUE"""),44963.6666666666)</f>
        <v>44963.666666666599</v>
      </c>
      <c r="B276" s="1">
        <f ca="1">IFERROR(__xludf.DUMMYFUNCTION("""COMPUTED_VALUE"""),102.93)</f>
        <v>102.93</v>
      </c>
      <c r="C276" s="1">
        <f ca="1">IFERROR(__xludf.DUMMYFUNCTION("""COMPUTED_VALUE"""),103.95)</f>
        <v>103.95</v>
      </c>
      <c r="D276" s="1">
        <f ca="1">IFERROR(__xludf.DUMMYFUNCTION("""COMPUTED_VALUE"""),100.65)</f>
        <v>100.65</v>
      </c>
      <c r="E276" s="1">
        <f ca="1">IFERROR(__xludf.DUMMYFUNCTION("""COMPUTED_VALUE"""),102.18)</f>
        <v>102.18</v>
      </c>
      <c r="F276" s="1">
        <f ca="1">IFERROR(__xludf.DUMMYFUNCTION("""COMPUTED_VALUE"""),81945199)</f>
        <v>81945199</v>
      </c>
    </row>
    <row r="277" spans="1:6" ht="12.6">
      <c r="A277" s="2">
        <f ca="1">IFERROR(__xludf.DUMMYFUNCTION("""COMPUTED_VALUE"""),44964.6666666666)</f>
        <v>44964.666666666599</v>
      </c>
      <c r="B277" s="1">
        <f ca="1">IFERROR(__xludf.DUMMYFUNCTION("""COMPUTED_VALUE"""),101.17)</f>
        <v>101.17</v>
      </c>
      <c r="C277" s="1">
        <f ca="1">IFERROR(__xludf.DUMMYFUNCTION("""COMPUTED_VALUE"""),102.41)</f>
        <v>102.41</v>
      </c>
      <c r="D277" s="1">
        <f ca="1">IFERROR(__xludf.DUMMYFUNCTION("""COMPUTED_VALUE"""),98.08)</f>
        <v>98.08</v>
      </c>
      <c r="E277" s="1">
        <f ca="1">IFERROR(__xludf.DUMMYFUNCTION("""COMPUTED_VALUE"""),102.11)</f>
        <v>102.11</v>
      </c>
      <c r="F277" s="1">
        <f ca="1">IFERROR(__xludf.DUMMYFUNCTION("""COMPUTED_VALUE"""),119501301)</f>
        <v>119501301</v>
      </c>
    </row>
    <row r="278" spans="1:6" ht="12.6">
      <c r="A278" s="2">
        <f ca="1">IFERROR(__xludf.DUMMYFUNCTION("""COMPUTED_VALUE"""),44965.6666666666)</f>
        <v>44965.666666666599</v>
      </c>
      <c r="B278" s="1">
        <f ca="1">IFERROR(__xludf.DUMMYFUNCTION("""COMPUTED_VALUE"""),102.04)</f>
        <v>102.04</v>
      </c>
      <c r="C278" s="1">
        <f ca="1">IFERROR(__xludf.DUMMYFUNCTION("""COMPUTED_VALUE"""),102.67)</f>
        <v>102.67</v>
      </c>
      <c r="D278" s="1">
        <f ca="1">IFERROR(__xludf.DUMMYFUNCTION("""COMPUTED_VALUE"""),98.78)</f>
        <v>98.78</v>
      </c>
      <c r="E278" s="1">
        <f ca="1">IFERROR(__xludf.DUMMYFUNCTION("""COMPUTED_VALUE"""),100.05)</f>
        <v>100.05</v>
      </c>
      <c r="F278" s="1">
        <f ca="1">IFERROR(__xludf.DUMMYFUNCTION("""COMPUTED_VALUE"""),75878304)</f>
        <v>75878304</v>
      </c>
    </row>
    <row r="279" spans="1:6" ht="12.6">
      <c r="A279" s="2">
        <f ca="1">IFERROR(__xludf.DUMMYFUNCTION("""COMPUTED_VALUE"""),44966.6666666666)</f>
        <v>44966.666666666599</v>
      </c>
      <c r="B279" s="1">
        <f ca="1">IFERROR(__xludf.DUMMYFUNCTION("""COMPUTED_VALUE"""),101.32)</f>
        <v>101.32</v>
      </c>
      <c r="C279" s="1">
        <f ca="1">IFERROR(__xludf.DUMMYFUNCTION("""COMPUTED_VALUE"""),101.78)</f>
        <v>101.78</v>
      </c>
      <c r="D279" s="1">
        <f ca="1">IFERROR(__xludf.DUMMYFUNCTION("""COMPUTED_VALUE"""),97.57)</f>
        <v>97.57</v>
      </c>
      <c r="E279" s="1">
        <f ca="1">IFERROR(__xludf.DUMMYFUNCTION("""COMPUTED_VALUE"""),98.24)</f>
        <v>98.24</v>
      </c>
      <c r="F279" s="1">
        <f ca="1">IFERROR(__xludf.DUMMYFUNCTION("""COMPUTED_VALUE"""),64622489)</f>
        <v>64622489</v>
      </c>
    </row>
    <row r="280" spans="1:6" ht="12.6">
      <c r="A280" s="2">
        <f ca="1">IFERROR(__xludf.DUMMYFUNCTION("""COMPUTED_VALUE"""),44967.6666666666)</f>
        <v>44967.666666666599</v>
      </c>
      <c r="B280" s="1">
        <f ca="1">IFERROR(__xludf.DUMMYFUNCTION("""COMPUTED_VALUE"""),97.56)</f>
        <v>97.56</v>
      </c>
      <c r="C280" s="1">
        <f ca="1">IFERROR(__xludf.DUMMYFUNCTION("""COMPUTED_VALUE"""),98.82)</f>
        <v>98.82</v>
      </c>
      <c r="D280" s="1">
        <f ca="1">IFERROR(__xludf.DUMMYFUNCTION("""COMPUTED_VALUE"""),96.23)</f>
        <v>96.23</v>
      </c>
      <c r="E280" s="1">
        <f ca="1">IFERROR(__xludf.DUMMYFUNCTION("""COMPUTED_VALUE"""),97.61)</f>
        <v>97.61</v>
      </c>
      <c r="F280" s="1">
        <f ca="1">IFERROR(__xludf.DUMMYFUNCTION("""COMPUTED_VALUE"""),52740133)</f>
        <v>52740133</v>
      </c>
    </row>
    <row r="281" spans="1:6" ht="12.6">
      <c r="A281" s="2">
        <f ca="1">IFERROR(__xludf.DUMMYFUNCTION("""COMPUTED_VALUE"""),44970.6666666666)</f>
        <v>44970.666666666599</v>
      </c>
      <c r="B281" s="1">
        <f ca="1">IFERROR(__xludf.DUMMYFUNCTION("""COMPUTED_VALUE"""),97.85)</f>
        <v>97.85</v>
      </c>
      <c r="C281" s="1">
        <f ca="1">IFERROR(__xludf.DUMMYFUNCTION("""COMPUTED_VALUE"""),99.68)</f>
        <v>99.68</v>
      </c>
      <c r="D281" s="1">
        <f ca="1">IFERROR(__xludf.DUMMYFUNCTION("""COMPUTED_VALUE"""),96.91)</f>
        <v>96.91</v>
      </c>
      <c r="E281" s="1">
        <f ca="1">IFERROR(__xludf.DUMMYFUNCTION("""COMPUTED_VALUE"""),99.54)</f>
        <v>99.54</v>
      </c>
      <c r="F281" s="1">
        <f ca="1">IFERROR(__xludf.DUMMYFUNCTION("""COMPUTED_VALUE"""),52841464)</f>
        <v>52841464</v>
      </c>
    </row>
    <row r="282" spans="1:6" ht="12.6">
      <c r="A282" s="2">
        <f ca="1">IFERROR(__xludf.DUMMYFUNCTION("""COMPUTED_VALUE"""),44971.6666666666)</f>
        <v>44971.666666666599</v>
      </c>
      <c r="B282" s="1">
        <f ca="1">IFERROR(__xludf.DUMMYFUNCTION("""COMPUTED_VALUE"""),98.41)</f>
        <v>98.41</v>
      </c>
      <c r="C282" s="1">
        <f ca="1">IFERROR(__xludf.DUMMYFUNCTION("""COMPUTED_VALUE"""),100.92)</f>
        <v>100.92</v>
      </c>
      <c r="D282" s="1">
        <f ca="1">IFERROR(__xludf.DUMMYFUNCTION("""COMPUTED_VALUE"""),97.52)</f>
        <v>97.52</v>
      </c>
      <c r="E282" s="1">
        <f ca="1">IFERROR(__xludf.DUMMYFUNCTION("""COMPUTED_VALUE"""),99.7)</f>
        <v>99.7</v>
      </c>
      <c r="F282" s="1">
        <f ca="1">IFERROR(__xludf.DUMMYFUNCTION("""COMPUTED_VALUE"""),56202898)</f>
        <v>56202898</v>
      </c>
    </row>
    <row r="283" spans="1:6" ht="12.6">
      <c r="A283" s="2">
        <f ca="1">IFERROR(__xludf.DUMMYFUNCTION("""COMPUTED_VALUE"""),44972.6666666666)</f>
        <v>44972.666666666599</v>
      </c>
      <c r="B283" s="1">
        <f ca="1">IFERROR(__xludf.DUMMYFUNCTION("""COMPUTED_VALUE"""),99.09)</f>
        <v>99.09</v>
      </c>
      <c r="C283" s="1">
        <f ca="1">IFERROR(__xludf.DUMMYFUNCTION("""COMPUTED_VALUE"""),101.17)</f>
        <v>101.17</v>
      </c>
      <c r="D283" s="1">
        <f ca="1">IFERROR(__xludf.DUMMYFUNCTION("""COMPUTED_VALUE"""),98.45)</f>
        <v>98.45</v>
      </c>
      <c r="E283" s="1">
        <f ca="1">IFERROR(__xludf.DUMMYFUNCTION("""COMPUTED_VALUE"""),101.16)</f>
        <v>101.16</v>
      </c>
      <c r="F283" s="1">
        <f ca="1">IFERROR(__xludf.DUMMYFUNCTION("""COMPUTED_VALUE"""),48053879)</f>
        <v>48053879</v>
      </c>
    </row>
    <row r="284" spans="1:6" ht="12.6">
      <c r="A284" s="2">
        <f ca="1">IFERROR(__xludf.DUMMYFUNCTION("""COMPUTED_VALUE"""),44973.6666666666)</f>
        <v>44973.666666666599</v>
      </c>
      <c r="B284" s="1">
        <f ca="1">IFERROR(__xludf.DUMMYFUNCTION("""COMPUTED_VALUE"""),99.21)</f>
        <v>99.21</v>
      </c>
      <c r="C284" s="1">
        <f ca="1">IFERROR(__xludf.DUMMYFUNCTION("""COMPUTED_VALUE"""),100.63)</f>
        <v>100.63</v>
      </c>
      <c r="D284" s="1">
        <f ca="1">IFERROR(__xludf.DUMMYFUNCTION("""COMPUTED_VALUE"""),98.1)</f>
        <v>98.1</v>
      </c>
      <c r="E284" s="1">
        <f ca="1">IFERROR(__xludf.DUMMYFUNCTION("""COMPUTED_VALUE"""),98.15)</f>
        <v>98.15</v>
      </c>
      <c r="F284" s="1">
        <f ca="1">IFERROR(__xludf.DUMMYFUNCTION("""COMPUTED_VALUE"""),56339173)</f>
        <v>56339173</v>
      </c>
    </row>
    <row r="285" spans="1:6" ht="12.6">
      <c r="A285" s="2">
        <f ca="1">IFERROR(__xludf.DUMMYFUNCTION("""COMPUTED_VALUE"""),44974.6666666666)</f>
        <v>44974.666666666599</v>
      </c>
      <c r="B285" s="1">
        <f ca="1">IFERROR(__xludf.DUMMYFUNCTION("""COMPUTED_VALUE"""),97.8)</f>
        <v>97.8</v>
      </c>
      <c r="C285" s="1">
        <f ca="1">IFERROR(__xludf.DUMMYFUNCTION("""COMPUTED_VALUE"""),97.94)</f>
        <v>97.94</v>
      </c>
      <c r="D285" s="1">
        <f ca="1">IFERROR(__xludf.DUMMYFUNCTION("""COMPUTED_VALUE"""),95.65)</f>
        <v>95.65</v>
      </c>
      <c r="E285" s="1">
        <f ca="1">IFERROR(__xludf.DUMMYFUNCTION("""COMPUTED_VALUE"""),97.2)</f>
        <v>97.2</v>
      </c>
      <c r="F285" s="1">
        <f ca="1">IFERROR(__xludf.DUMMYFUNCTION("""COMPUTED_VALUE"""),60029405)</f>
        <v>60029405</v>
      </c>
    </row>
    <row r="286" spans="1:6" ht="12.6">
      <c r="A286" s="2">
        <f ca="1">IFERROR(__xludf.DUMMYFUNCTION("""COMPUTED_VALUE"""),44978.6666666666)</f>
        <v>44978.666666666599</v>
      </c>
      <c r="B286" s="1">
        <f ca="1">IFERROR(__xludf.DUMMYFUNCTION("""COMPUTED_VALUE"""),95.34)</f>
        <v>95.34</v>
      </c>
      <c r="C286" s="1">
        <f ca="1">IFERROR(__xludf.DUMMYFUNCTION("""COMPUTED_VALUE"""),95.61)</f>
        <v>95.61</v>
      </c>
      <c r="D286" s="1">
        <f ca="1">IFERROR(__xludf.DUMMYFUNCTION("""COMPUTED_VALUE"""),94.27)</f>
        <v>94.27</v>
      </c>
      <c r="E286" s="1">
        <f ca="1">IFERROR(__xludf.DUMMYFUNCTION("""COMPUTED_VALUE"""),94.58)</f>
        <v>94.58</v>
      </c>
      <c r="F286" s="1">
        <f ca="1">IFERROR(__xludf.DUMMYFUNCTION("""COMPUTED_VALUE"""),56580360)</f>
        <v>56580360</v>
      </c>
    </row>
    <row r="287" spans="1:6" ht="12.6">
      <c r="A287" s="2">
        <f ca="1">IFERROR(__xludf.DUMMYFUNCTION("""COMPUTED_VALUE"""),44979.6666666666)</f>
        <v>44979.666666666599</v>
      </c>
      <c r="B287" s="1">
        <f ca="1">IFERROR(__xludf.DUMMYFUNCTION("""COMPUTED_VALUE"""),95.1)</f>
        <v>95.1</v>
      </c>
      <c r="C287" s="1">
        <f ca="1">IFERROR(__xludf.DUMMYFUNCTION("""COMPUTED_VALUE"""),97.01)</f>
        <v>97.01</v>
      </c>
      <c r="D287" s="1">
        <f ca="1">IFERROR(__xludf.DUMMYFUNCTION("""COMPUTED_VALUE"""),94.8)</f>
        <v>94.8</v>
      </c>
      <c r="E287" s="1">
        <f ca="1">IFERROR(__xludf.DUMMYFUNCTION("""COMPUTED_VALUE"""),95.79)</f>
        <v>95.79</v>
      </c>
      <c r="F287" s="1">
        <f ca="1">IFERROR(__xludf.DUMMYFUNCTION("""COMPUTED_VALUE"""),59534094)</f>
        <v>59534094</v>
      </c>
    </row>
    <row r="288" spans="1:6" ht="12.6">
      <c r="A288" s="2">
        <f ca="1">IFERROR(__xludf.DUMMYFUNCTION("""COMPUTED_VALUE"""),44980.6666666666)</f>
        <v>44980.666666666599</v>
      </c>
      <c r="B288" s="1">
        <f ca="1">IFERROR(__xludf.DUMMYFUNCTION("""COMPUTED_VALUE"""),96.12)</f>
        <v>96.12</v>
      </c>
      <c r="C288" s="1">
        <f ca="1">IFERROR(__xludf.DUMMYFUNCTION("""COMPUTED_VALUE"""),96.43)</f>
        <v>96.43</v>
      </c>
      <c r="D288" s="1">
        <f ca="1">IFERROR(__xludf.DUMMYFUNCTION("""COMPUTED_VALUE"""),93.67)</f>
        <v>93.67</v>
      </c>
      <c r="E288" s="1">
        <f ca="1">IFERROR(__xludf.DUMMYFUNCTION("""COMPUTED_VALUE"""),95.82)</f>
        <v>95.82</v>
      </c>
      <c r="F288" s="1">
        <f ca="1">IFERROR(__xludf.DUMMYFUNCTION("""COMPUTED_VALUE"""),48466994)</f>
        <v>48466994</v>
      </c>
    </row>
    <row r="289" spans="1:6" ht="12.6">
      <c r="A289" s="2">
        <f ca="1">IFERROR(__xludf.DUMMYFUNCTION("""COMPUTED_VALUE"""),44981.6666666666)</f>
        <v>44981.666666666599</v>
      </c>
      <c r="B289" s="1">
        <f ca="1">IFERROR(__xludf.DUMMYFUNCTION("""COMPUTED_VALUE"""),93.53)</f>
        <v>93.53</v>
      </c>
      <c r="C289" s="1">
        <f ca="1">IFERROR(__xludf.DUMMYFUNCTION("""COMPUTED_VALUE"""),94.14)</f>
        <v>94.14</v>
      </c>
      <c r="D289" s="1">
        <f ca="1">IFERROR(__xludf.DUMMYFUNCTION("""COMPUTED_VALUE"""),92.32)</f>
        <v>92.32</v>
      </c>
      <c r="E289" s="1">
        <f ca="1">IFERROR(__xludf.DUMMYFUNCTION("""COMPUTED_VALUE"""),93.5)</f>
        <v>93.5</v>
      </c>
      <c r="F289" s="1">
        <f ca="1">IFERROR(__xludf.DUMMYFUNCTION("""COMPUTED_VALUE"""),57053812)</f>
        <v>57053812</v>
      </c>
    </row>
    <row r="290" spans="1:6" ht="12.6">
      <c r="A290" s="2">
        <f ca="1">IFERROR(__xludf.DUMMYFUNCTION("""COMPUTED_VALUE"""),44984.6666666666)</f>
        <v>44984.666666666599</v>
      </c>
      <c r="B290" s="1">
        <f ca="1">IFERROR(__xludf.DUMMYFUNCTION("""COMPUTED_VALUE"""),94.28)</f>
        <v>94.28</v>
      </c>
      <c r="C290" s="1">
        <f ca="1">IFERROR(__xludf.DUMMYFUNCTION("""COMPUTED_VALUE"""),94.78)</f>
        <v>94.78</v>
      </c>
      <c r="D290" s="1">
        <f ca="1">IFERROR(__xludf.DUMMYFUNCTION("""COMPUTED_VALUE"""),93.14)</f>
        <v>93.14</v>
      </c>
      <c r="E290" s="1">
        <f ca="1">IFERROR(__xludf.DUMMYFUNCTION("""COMPUTED_VALUE"""),93.76)</f>
        <v>93.76</v>
      </c>
      <c r="F290" s="1">
        <f ca="1">IFERROR(__xludf.DUMMYFUNCTION("""COMPUTED_VALUE"""),47470321)</f>
        <v>47470321</v>
      </c>
    </row>
    <row r="291" spans="1:6" ht="12.6">
      <c r="A291" s="2">
        <f ca="1">IFERROR(__xludf.DUMMYFUNCTION("""COMPUTED_VALUE"""),44985.6666666666)</f>
        <v>44985.666666666599</v>
      </c>
      <c r="B291" s="1">
        <f ca="1">IFERROR(__xludf.DUMMYFUNCTION("""COMPUTED_VALUE"""),93.14)</f>
        <v>93.14</v>
      </c>
      <c r="C291" s="1">
        <f ca="1">IFERROR(__xludf.DUMMYFUNCTION("""COMPUTED_VALUE"""),94.69)</f>
        <v>94.69</v>
      </c>
      <c r="D291" s="1">
        <f ca="1">IFERROR(__xludf.DUMMYFUNCTION("""COMPUTED_VALUE"""),92.92)</f>
        <v>92.92</v>
      </c>
      <c r="E291" s="1">
        <f ca="1">IFERROR(__xludf.DUMMYFUNCTION("""COMPUTED_VALUE"""),94.23)</f>
        <v>94.23</v>
      </c>
      <c r="F291" s="1">
        <f ca="1">IFERROR(__xludf.DUMMYFUNCTION("""COMPUTED_VALUE"""),43959290)</f>
        <v>43959290</v>
      </c>
    </row>
    <row r="292" spans="1:6" ht="12.6">
      <c r="A292" s="2">
        <f ca="1">IFERROR(__xludf.DUMMYFUNCTION("""COMPUTED_VALUE"""),44986.6666666666)</f>
        <v>44986.666666666599</v>
      </c>
      <c r="B292" s="1">
        <f ca="1">IFERROR(__xludf.DUMMYFUNCTION("""COMPUTED_VALUE"""),93.87)</f>
        <v>93.87</v>
      </c>
      <c r="C292" s="1">
        <f ca="1">IFERROR(__xludf.DUMMYFUNCTION("""COMPUTED_VALUE"""),94.68)</f>
        <v>94.68</v>
      </c>
      <c r="D292" s="1">
        <f ca="1">IFERROR(__xludf.DUMMYFUNCTION("""COMPUTED_VALUE"""),91.59)</f>
        <v>91.59</v>
      </c>
      <c r="E292" s="1">
        <f ca="1">IFERROR(__xludf.DUMMYFUNCTION("""COMPUTED_VALUE"""),92.17)</f>
        <v>92.17</v>
      </c>
      <c r="F292" s="1">
        <f ca="1">IFERROR(__xludf.DUMMYFUNCTION("""COMPUTED_VALUE"""),52299524)</f>
        <v>52299524</v>
      </c>
    </row>
    <row r="293" spans="1:6" ht="12.6">
      <c r="A293" s="2">
        <f ca="1">IFERROR(__xludf.DUMMYFUNCTION("""COMPUTED_VALUE"""),44987.6666666666)</f>
        <v>44987.666666666599</v>
      </c>
      <c r="B293" s="1">
        <f ca="1">IFERROR(__xludf.DUMMYFUNCTION("""COMPUTED_VALUE"""),91.41)</f>
        <v>91.41</v>
      </c>
      <c r="C293" s="1">
        <f ca="1">IFERROR(__xludf.DUMMYFUNCTION("""COMPUTED_VALUE"""),92.23)</f>
        <v>92.23</v>
      </c>
      <c r="D293" s="1">
        <f ca="1">IFERROR(__xludf.DUMMYFUNCTION("""COMPUTED_VALUE"""),90.39)</f>
        <v>90.39</v>
      </c>
      <c r="E293" s="1">
        <f ca="1">IFERROR(__xludf.DUMMYFUNCTION("""COMPUTED_VALUE"""),92.13)</f>
        <v>92.13</v>
      </c>
      <c r="F293" s="1">
        <f ca="1">IFERROR(__xludf.DUMMYFUNCTION("""COMPUTED_VALUE"""),55574820)</f>
        <v>55574820</v>
      </c>
    </row>
    <row r="294" spans="1:6" ht="12.6">
      <c r="A294" s="2">
        <f ca="1">IFERROR(__xludf.DUMMYFUNCTION("""COMPUTED_VALUE"""),44988.6666666666)</f>
        <v>44988.666666666599</v>
      </c>
      <c r="B294" s="1">
        <f ca="1">IFERROR(__xludf.DUMMYFUNCTION("""COMPUTED_VALUE"""),92.74)</f>
        <v>92.74</v>
      </c>
      <c r="C294" s="1">
        <f ca="1">IFERROR(__xludf.DUMMYFUNCTION("""COMPUTED_VALUE"""),94.94)</f>
        <v>94.94</v>
      </c>
      <c r="D294" s="1">
        <f ca="1">IFERROR(__xludf.DUMMYFUNCTION("""COMPUTED_VALUE"""),92.66)</f>
        <v>92.66</v>
      </c>
      <c r="E294" s="1">
        <f ca="1">IFERROR(__xludf.DUMMYFUNCTION("""COMPUTED_VALUE"""),94.9)</f>
        <v>94.9</v>
      </c>
      <c r="F294" s="1">
        <f ca="1">IFERROR(__xludf.DUMMYFUNCTION("""COMPUTED_VALUE"""),55759609)</f>
        <v>55759609</v>
      </c>
    </row>
    <row r="295" spans="1:6" ht="12.6">
      <c r="A295" s="2">
        <f ca="1">IFERROR(__xludf.DUMMYFUNCTION("""COMPUTED_VALUE"""),44991.6666666666)</f>
        <v>44991.666666666599</v>
      </c>
      <c r="B295" s="1">
        <f ca="1">IFERROR(__xludf.DUMMYFUNCTION("""COMPUTED_VALUE"""),95.19)</f>
        <v>95.19</v>
      </c>
      <c r="C295" s="1">
        <f ca="1">IFERROR(__xludf.DUMMYFUNCTION("""COMPUTED_VALUE"""),96.55)</f>
        <v>96.55</v>
      </c>
      <c r="D295" s="1">
        <f ca="1">IFERROR(__xludf.DUMMYFUNCTION("""COMPUTED_VALUE"""),93.74)</f>
        <v>93.74</v>
      </c>
      <c r="E295" s="1">
        <f ca="1">IFERROR(__xludf.DUMMYFUNCTION("""COMPUTED_VALUE"""),93.75)</f>
        <v>93.75</v>
      </c>
      <c r="F295" s="1">
        <f ca="1">IFERROR(__xludf.DUMMYFUNCTION("""COMPUTED_VALUE"""),52112355)</f>
        <v>52112355</v>
      </c>
    </row>
    <row r="296" spans="1:6" ht="12.6">
      <c r="A296" s="2">
        <f ca="1">IFERROR(__xludf.DUMMYFUNCTION("""COMPUTED_VALUE"""),44992.6666666666)</f>
        <v>44992.666666666599</v>
      </c>
      <c r="B296" s="1">
        <f ca="1">IFERROR(__xludf.DUMMYFUNCTION("""COMPUTED_VALUE"""),94.06)</f>
        <v>94.06</v>
      </c>
      <c r="C296" s="1">
        <f ca="1">IFERROR(__xludf.DUMMYFUNCTION("""COMPUTED_VALUE"""),95.09)</f>
        <v>95.09</v>
      </c>
      <c r="D296" s="1">
        <f ca="1">IFERROR(__xludf.DUMMYFUNCTION("""COMPUTED_VALUE"""),92.78)</f>
        <v>92.78</v>
      </c>
      <c r="E296" s="1">
        <f ca="1">IFERROR(__xludf.DUMMYFUNCTION("""COMPUTED_VALUE"""),93.55)</f>
        <v>93.55</v>
      </c>
      <c r="F296" s="1">
        <f ca="1">IFERROR(__xludf.DUMMYFUNCTION("""COMPUTED_VALUE"""),49100668)</f>
        <v>49100668</v>
      </c>
    </row>
    <row r="297" spans="1:6" ht="12.6">
      <c r="A297" s="2">
        <f ca="1">IFERROR(__xludf.DUMMYFUNCTION("""COMPUTED_VALUE"""),44993.6666666666)</f>
        <v>44993.666666666599</v>
      </c>
      <c r="B297" s="1">
        <f ca="1">IFERROR(__xludf.DUMMYFUNCTION("""COMPUTED_VALUE"""),93.6)</f>
        <v>93.6</v>
      </c>
      <c r="C297" s="1">
        <f ca="1">IFERROR(__xludf.DUMMYFUNCTION("""COMPUTED_VALUE"""),94.17)</f>
        <v>94.17</v>
      </c>
      <c r="D297" s="1">
        <f ca="1">IFERROR(__xludf.DUMMYFUNCTION("""COMPUTED_VALUE"""),92.18)</f>
        <v>92.18</v>
      </c>
      <c r="E297" s="1">
        <f ca="1">IFERROR(__xludf.DUMMYFUNCTION("""COMPUTED_VALUE"""),93.92)</f>
        <v>93.92</v>
      </c>
      <c r="F297" s="1">
        <f ca="1">IFERROR(__xludf.DUMMYFUNCTION("""COMPUTED_VALUE"""),44899128)</f>
        <v>44899128</v>
      </c>
    </row>
    <row r="298" spans="1:6" ht="12.6">
      <c r="A298" s="2">
        <f ca="1">IFERROR(__xludf.DUMMYFUNCTION("""COMPUTED_VALUE"""),44994.6666666666)</f>
        <v>44994.666666666599</v>
      </c>
      <c r="B298" s="1">
        <f ca="1">IFERROR(__xludf.DUMMYFUNCTION("""COMPUTED_VALUE"""),93.68)</f>
        <v>93.68</v>
      </c>
      <c r="C298" s="1">
        <f ca="1">IFERROR(__xludf.DUMMYFUNCTION("""COMPUTED_VALUE"""),96.21)</f>
        <v>96.21</v>
      </c>
      <c r="D298" s="1">
        <f ca="1">IFERROR(__xludf.DUMMYFUNCTION("""COMPUTED_VALUE"""),92.18)</f>
        <v>92.18</v>
      </c>
      <c r="E298" s="1">
        <f ca="1">IFERROR(__xludf.DUMMYFUNCTION("""COMPUTED_VALUE"""),92.25)</f>
        <v>92.25</v>
      </c>
      <c r="F298" s="1">
        <f ca="1">IFERROR(__xludf.DUMMYFUNCTION("""COMPUTED_VALUE"""),56218705)</f>
        <v>56218705</v>
      </c>
    </row>
    <row r="299" spans="1:6" ht="12.6">
      <c r="A299" s="2">
        <f ca="1">IFERROR(__xludf.DUMMYFUNCTION("""COMPUTED_VALUE"""),44995.6666666666)</f>
        <v>44995.666666666599</v>
      </c>
      <c r="B299" s="1">
        <f ca="1">IFERROR(__xludf.DUMMYFUNCTION("""COMPUTED_VALUE"""),92.67)</f>
        <v>92.67</v>
      </c>
      <c r="C299" s="1">
        <f ca="1">IFERROR(__xludf.DUMMYFUNCTION("""COMPUTED_VALUE"""),93.57)</f>
        <v>93.57</v>
      </c>
      <c r="D299" s="1">
        <f ca="1">IFERROR(__xludf.DUMMYFUNCTION("""COMPUTED_VALUE"""),90.25)</f>
        <v>90.25</v>
      </c>
      <c r="E299" s="1">
        <f ca="1">IFERROR(__xludf.DUMMYFUNCTION("""COMPUTED_VALUE"""),90.73)</f>
        <v>90.73</v>
      </c>
      <c r="F299" s="1">
        <f ca="1">IFERROR(__xludf.DUMMYFUNCTION("""COMPUTED_VALUE"""),69827490)</f>
        <v>69827490</v>
      </c>
    </row>
    <row r="300" spans="1:6" ht="12.6">
      <c r="A300" s="2">
        <f ca="1">IFERROR(__xludf.DUMMYFUNCTION("""COMPUTED_VALUE"""),44998.6666666666)</f>
        <v>44998.666666666599</v>
      </c>
      <c r="B300" s="1">
        <f ca="1">IFERROR(__xludf.DUMMYFUNCTION("""COMPUTED_VALUE"""),89.97)</f>
        <v>89.97</v>
      </c>
      <c r="C300" s="1">
        <f ca="1">IFERROR(__xludf.DUMMYFUNCTION("""COMPUTED_VALUE"""),94.02)</f>
        <v>94.02</v>
      </c>
      <c r="D300" s="1">
        <f ca="1">IFERROR(__xludf.DUMMYFUNCTION("""COMPUTED_VALUE"""),88.12)</f>
        <v>88.12</v>
      </c>
      <c r="E300" s="1">
        <f ca="1">IFERROR(__xludf.DUMMYFUNCTION("""COMPUTED_VALUE"""),92.43)</f>
        <v>92.43</v>
      </c>
      <c r="F300" s="1">
        <f ca="1">IFERROR(__xludf.DUMMYFUNCTION("""COMPUTED_VALUE"""),72397053)</f>
        <v>72397053</v>
      </c>
    </row>
    <row r="301" spans="1:6" ht="12.6">
      <c r="A301" s="2">
        <f ca="1">IFERROR(__xludf.DUMMYFUNCTION("""COMPUTED_VALUE"""),44999.6666666666)</f>
        <v>44999.666666666599</v>
      </c>
      <c r="B301" s="1">
        <f ca="1">IFERROR(__xludf.DUMMYFUNCTION("""COMPUTED_VALUE"""),93.83)</f>
        <v>93.83</v>
      </c>
      <c r="C301" s="1">
        <f ca="1">IFERROR(__xludf.DUMMYFUNCTION("""COMPUTED_VALUE"""),95.07)</f>
        <v>95.07</v>
      </c>
      <c r="D301" s="1">
        <f ca="1">IFERROR(__xludf.DUMMYFUNCTION("""COMPUTED_VALUE"""),92.71)</f>
        <v>92.71</v>
      </c>
      <c r="E301" s="1">
        <f ca="1">IFERROR(__xludf.DUMMYFUNCTION("""COMPUTED_VALUE"""),94.88)</f>
        <v>94.88</v>
      </c>
      <c r="F301" s="1">
        <f ca="1">IFERROR(__xludf.DUMMYFUNCTION("""COMPUTED_VALUE"""),60912674)</f>
        <v>60912674</v>
      </c>
    </row>
    <row r="302" spans="1:6" ht="12.6">
      <c r="A302" s="2">
        <f ca="1">IFERROR(__xludf.DUMMYFUNCTION("""COMPUTED_VALUE"""),45000.6666666666)</f>
        <v>45000.666666666599</v>
      </c>
      <c r="B302" s="1">
        <f ca="1">IFERROR(__xludf.DUMMYFUNCTION("""COMPUTED_VALUE"""),93.22)</f>
        <v>93.22</v>
      </c>
      <c r="C302" s="1">
        <f ca="1">IFERROR(__xludf.DUMMYFUNCTION("""COMPUTED_VALUE"""),96.67)</f>
        <v>96.67</v>
      </c>
      <c r="D302" s="1">
        <f ca="1">IFERROR(__xludf.DUMMYFUNCTION("""COMPUTED_VALUE"""),93.07)</f>
        <v>93.07</v>
      </c>
      <c r="E302" s="1">
        <f ca="1">IFERROR(__xludf.DUMMYFUNCTION("""COMPUTED_VALUE"""),96.2)</f>
        <v>96.2</v>
      </c>
      <c r="F302" s="1">
        <f ca="1">IFERROR(__xludf.DUMMYFUNCTION("""COMPUTED_VALUE"""),70731792)</f>
        <v>70731792</v>
      </c>
    </row>
    <row r="303" spans="1:6" ht="12.6">
      <c r="A303" s="2">
        <f ca="1">IFERROR(__xludf.DUMMYFUNCTION("""COMPUTED_VALUE"""),45001.6666666666)</f>
        <v>45001.666666666599</v>
      </c>
      <c r="B303" s="1">
        <f ca="1">IFERROR(__xludf.DUMMYFUNCTION("""COMPUTED_VALUE"""),95.75)</f>
        <v>95.75</v>
      </c>
      <c r="C303" s="1">
        <f ca="1">IFERROR(__xludf.DUMMYFUNCTION("""COMPUTED_VALUE"""),100.99)</f>
        <v>100.99</v>
      </c>
      <c r="D303" s="1">
        <f ca="1">IFERROR(__xludf.DUMMYFUNCTION("""COMPUTED_VALUE"""),95.61)</f>
        <v>95.61</v>
      </c>
      <c r="E303" s="1">
        <f ca="1">IFERROR(__xludf.DUMMYFUNCTION("""COMPUTED_VALUE"""),100.04)</f>
        <v>100.04</v>
      </c>
      <c r="F303" s="1">
        <f ca="1">IFERROR(__xludf.DUMMYFUNCTION("""COMPUTED_VALUE"""),84558934)</f>
        <v>84558934</v>
      </c>
    </row>
    <row r="304" spans="1:6" ht="12.6">
      <c r="A304" s="2">
        <f ca="1">IFERROR(__xludf.DUMMYFUNCTION("""COMPUTED_VALUE"""),45002.6666666666)</f>
        <v>45002.666666666599</v>
      </c>
      <c r="B304" s="1">
        <f ca="1">IFERROR(__xludf.DUMMYFUNCTION("""COMPUTED_VALUE"""),99.79)</f>
        <v>99.79</v>
      </c>
      <c r="C304" s="1">
        <f ca="1">IFERROR(__xludf.DUMMYFUNCTION("""COMPUTED_VALUE"""),100.66)</f>
        <v>100.66</v>
      </c>
      <c r="D304" s="1">
        <f ca="1">IFERROR(__xludf.DUMMYFUNCTION("""COMPUTED_VALUE"""),97.46)</f>
        <v>97.46</v>
      </c>
      <c r="E304" s="1">
        <f ca="1">IFERROR(__xludf.DUMMYFUNCTION("""COMPUTED_VALUE"""),98.95)</f>
        <v>98.95</v>
      </c>
      <c r="F304" s="1">
        <f ca="1">IFERROR(__xludf.DUMMYFUNCTION("""COMPUTED_VALUE"""),87300242)</f>
        <v>87300242</v>
      </c>
    </row>
    <row r="305" spans="1:6" ht="12.6">
      <c r="A305" s="2">
        <f ca="1">IFERROR(__xludf.DUMMYFUNCTION("""COMPUTED_VALUE"""),45005.6666666666)</f>
        <v>45005.666666666599</v>
      </c>
      <c r="B305" s="1">
        <f ca="1">IFERROR(__xludf.DUMMYFUNCTION("""COMPUTED_VALUE"""),98.41)</f>
        <v>98.41</v>
      </c>
      <c r="C305" s="1">
        <f ca="1">IFERROR(__xludf.DUMMYFUNCTION("""COMPUTED_VALUE"""),98.48)</f>
        <v>98.48</v>
      </c>
      <c r="D305" s="1">
        <f ca="1">IFERROR(__xludf.DUMMYFUNCTION("""COMPUTED_VALUE"""),95.7)</f>
        <v>95.7</v>
      </c>
      <c r="E305" s="1">
        <f ca="1">IFERROR(__xludf.DUMMYFUNCTION("""COMPUTED_VALUE"""),97.71)</f>
        <v>97.71</v>
      </c>
      <c r="F305" s="1">
        <f ca="1">IFERROR(__xludf.DUMMYFUNCTION("""COMPUTED_VALUE"""),62388911)</f>
        <v>62388911</v>
      </c>
    </row>
    <row r="306" spans="1:6" ht="12.6">
      <c r="A306" s="2">
        <f ca="1">IFERROR(__xludf.DUMMYFUNCTION("""COMPUTED_VALUE"""),45006.6666666666)</f>
        <v>45006.666666666599</v>
      </c>
      <c r="B306" s="1">
        <f ca="1">IFERROR(__xludf.DUMMYFUNCTION("""COMPUTED_VALUE"""),98.14)</f>
        <v>98.14</v>
      </c>
      <c r="C306" s="1">
        <f ca="1">IFERROR(__xludf.DUMMYFUNCTION("""COMPUTED_VALUE"""),100.85)</f>
        <v>100.85</v>
      </c>
      <c r="D306" s="1">
        <f ca="1">IFERROR(__xludf.DUMMYFUNCTION("""COMPUTED_VALUE"""),98)</f>
        <v>98</v>
      </c>
      <c r="E306" s="1">
        <f ca="1">IFERROR(__xludf.DUMMYFUNCTION("""COMPUTED_VALUE"""),100.61)</f>
        <v>100.61</v>
      </c>
      <c r="F306" s="1">
        <f ca="1">IFERROR(__xludf.DUMMYFUNCTION("""COMPUTED_VALUE"""),58597275)</f>
        <v>58597275</v>
      </c>
    </row>
    <row r="307" spans="1:6" ht="12.6">
      <c r="A307" s="2">
        <f ca="1">IFERROR(__xludf.DUMMYFUNCTION("""COMPUTED_VALUE"""),45007.6666666666)</f>
        <v>45007.666666666599</v>
      </c>
      <c r="B307" s="1">
        <f ca="1">IFERROR(__xludf.DUMMYFUNCTION("""COMPUTED_VALUE"""),100.45)</f>
        <v>100.45</v>
      </c>
      <c r="C307" s="1">
        <f ca="1">IFERROR(__xludf.DUMMYFUNCTION("""COMPUTED_VALUE"""),102.1)</f>
        <v>102.1</v>
      </c>
      <c r="D307" s="1">
        <f ca="1">IFERROR(__xludf.DUMMYFUNCTION("""COMPUTED_VALUE"""),98.61)</f>
        <v>98.61</v>
      </c>
      <c r="E307" s="1">
        <f ca="1">IFERROR(__xludf.DUMMYFUNCTION("""COMPUTED_VALUE"""),98.7)</f>
        <v>98.7</v>
      </c>
      <c r="F307" s="1">
        <f ca="1">IFERROR(__xludf.DUMMYFUNCTION("""COMPUTED_VALUE"""),57475365)</f>
        <v>57475365</v>
      </c>
    </row>
    <row r="308" spans="1:6" ht="12.6">
      <c r="A308" s="2">
        <f ca="1">IFERROR(__xludf.DUMMYFUNCTION("""COMPUTED_VALUE"""),45008.6666666666)</f>
        <v>45008.666666666599</v>
      </c>
      <c r="B308" s="1">
        <f ca="1">IFERROR(__xludf.DUMMYFUNCTION("""COMPUTED_VALUE"""),100.43)</f>
        <v>100.43</v>
      </c>
      <c r="C308" s="1">
        <f ca="1">IFERROR(__xludf.DUMMYFUNCTION("""COMPUTED_VALUE"""),101.06)</f>
        <v>101.06</v>
      </c>
      <c r="D308" s="1">
        <f ca="1">IFERROR(__xludf.DUMMYFUNCTION("""COMPUTED_VALUE"""),97.62)</f>
        <v>97.62</v>
      </c>
      <c r="E308" s="1">
        <f ca="1">IFERROR(__xludf.DUMMYFUNCTION("""COMPUTED_VALUE"""),98.71)</f>
        <v>98.71</v>
      </c>
      <c r="F308" s="1">
        <f ca="1">IFERROR(__xludf.DUMMYFUNCTION("""COMPUTED_VALUE"""),57559310)</f>
        <v>57559310</v>
      </c>
    </row>
    <row r="309" spans="1:6" ht="12.6">
      <c r="A309" s="2">
        <f ca="1">IFERROR(__xludf.DUMMYFUNCTION("""COMPUTED_VALUE"""),45009.6666666666)</f>
        <v>45009.666666666599</v>
      </c>
      <c r="B309" s="1">
        <f ca="1">IFERROR(__xludf.DUMMYFUNCTION("""COMPUTED_VALUE"""),98.07)</f>
        <v>98.07</v>
      </c>
      <c r="C309" s="1">
        <f ca="1">IFERROR(__xludf.DUMMYFUNCTION("""COMPUTED_VALUE"""),98.3)</f>
        <v>98.3</v>
      </c>
      <c r="D309" s="1">
        <f ca="1">IFERROR(__xludf.DUMMYFUNCTION("""COMPUTED_VALUE"""),96.4)</f>
        <v>96.4</v>
      </c>
      <c r="E309" s="1">
        <f ca="1">IFERROR(__xludf.DUMMYFUNCTION("""COMPUTED_VALUE"""),98.13)</f>
        <v>98.13</v>
      </c>
      <c r="F309" s="1">
        <f ca="1">IFERROR(__xludf.DUMMYFUNCTION("""COMPUTED_VALUE"""),56144801)</f>
        <v>56144801</v>
      </c>
    </row>
    <row r="310" spans="1:6" ht="12.6">
      <c r="A310" s="2">
        <f ca="1">IFERROR(__xludf.DUMMYFUNCTION("""COMPUTED_VALUE"""),45012.6666666666)</f>
        <v>45012.666666666599</v>
      </c>
      <c r="B310" s="1">
        <f ca="1">IFERROR(__xludf.DUMMYFUNCTION("""COMPUTED_VALUE"""),99.07)</f>
        <v>99.07</v>
      </c>
      <c r="C310" s="1">
        <f ca="1">IFERROR(__xludf.DUMMYFUNCTION("""COMPUTED_VALUE"""),99.34)</f>
        <v>99.34</v>
      </c>
      <c r="D310" s="1">
        <f ca="1">IFERROR(__xludf.DUMMYFUNCTION("""COMPUTED_VALUE"""),97.08)</f>
        <v>97.08</v>
      </c>
      <c r="E310" s="1">
        <f ca="1">IFERROR(__xludf.DUMMYFUNCTION("""COMPUTED_VALUE"""),98.04)</f>
        <v>98.04</v>
      </c>
      <c r="F310" s="1">
        <f ca="1">IFERROR(__xludf.DUMMYFUNCTION("""COMPUTED_VALUE"""),46721296)</f>
        <v>46721296</v>
      </c>
    </row>
    <row r="311" spans="1:6" ht="12.6">
      <c r="A311" s="2">
        <f ca="1">IFERROR(__xludf.DUMMYFUNCTION("""COMPUTED_VALUE"""),45013.6666666666)</f>
        <v>45013.666666666599</v>
      </c>
      <c r="B311" s="1">
        <f ca="1">IFERROR(__xludf.DUMMYFUNCTION("""COMPUTED_VALUE"""),98.11)</f>
        <v>98.11</v>
      </c>
      <c r="C311" s="1">
        <f ca="1">IFERROR(__xludf.DUMMYFUNCTION("""COMPUTED_VALUE"""),98.44)</f>
        <v>98.44</v>
      </c>
      <c r="D311" s="1">
        <f ca="1">IFERROR(__xludf.DUMMYFUNCTION("""COMPUTED_VALUE"""),96.29)</f>
        <v>96.29</v>
      </c>
      <c r="E311" s="1">
        <f ca="1">IFERROR(__xludf.DUMMYFUNCTION("""COMPUTED_VALUE"""),97.24)</f>
        <v>97.24</v>
      </c>
      <c r="F311" s="1">
        <f ca="1">IFERROR(__xludf.DUMMYFUNCTION("""COMPUTED_VALUE"""),38720050)</f>
        <v>38720050</v>
      </c>
    </row>
    <row r="312" spans="1:6" ht="12.6">
      <c r="A312" s="2">
        <f ca="1">IFERROR(__xludf.DUMMYFUNCTION("""COMPUTED_VALUE"""),45014.6666666666)</f>
        <v>45014.666666666599</v>
      </c>
      <c r="B312" s="1">
        <f ca="1">IFERROR(__xludf.DUMMYFUNCTION("""COMPUTED_VALUE"""),98.69)</f>
        <v>98.69</v>
      </c>
      <c r="C312" s="1">
        <f ca="1">IFERROR(__xludf.DUMMYFUNCTION("""COMPUTED_VALUE"""),100.42)</f>
        <v>100.42</v>
      </c>
      <c r="D312" s="1">
        <f ca="1">IFERROR(__xludf.DUMMYFUNCTION("""COMPUTED_VALUE"""),98.56)</f>
        <v>98.56</v>
      </c>
      <c r="E312" s="1">
        <f ca="1">IFERROR(__xludf.DUMMYFUNCTION("""COMPUTED_VALUE"""),100.25)</f>
        <v>100.25</v>
      </c>
      <c r="F312" s="1">
        <f ca="1">IFERROR(__xludf.DUMMYFUNCTION("""COMPUTED_VALUE"""),49783279)</f>
        <v>49783279</v>
      </c>
    </row>
    <row r="313" spans="1:6" ht="12.6">
      <c r="A313" s="2">
        <f ca="1">IFERROR(__xludf.DUMMYFUNCTION("""COMPUTED_VALUE"""),45015.6666666666)</f>
        <v>45015.666666666599</v>
      </c>
      <c r="B313" s="1">
        <f ca="1">IFERROR(__xludf.DUMMYFUNCTION("""COMPUTED_VALUE"""),101.55)</f>
        <v>101.55</v>
      </c>
      <c r="C313" s="1">
        <f ca="1">IFERROR(__xludf.DUMMYFUNCTION("""COMPUTED_VALUE"""),103.04)</f>
        <v>103.04</v>
      </c>
      <c r="D313" s="1">
        <f ca="1">IFERROR(__xludf.DUMMYFUNCTION("""COMPUTED_VALUE"""),101.01)</f>
        <v>101.01</v>
      </c>
      <c r="E313" s="1">
        <f ca="1">IFERROR(__xludf.DUMMYFUNCTION("""COMPUTED_VALUE"""),102)</f>
        <v>102</v>
      </c>
      <c r="F313" s="1">
        <f ca="1">IFERROR(__xludf.DUMMYFUNCTION("""COMPUTED_VALUE"""),53633398)</f>
        <v>53633398</v>
      </c>
    </row>
    <row r="314" spans="1:6" ht="12.6">
      <c r="A314" s="2">
        <f ca="1">IFERROR(__xludf.DUMMYFUNCTION("""COMPUTED_VALUE"""),45016.6666666666)</f>
        <v>45016.666666666599</v>
      </c>
      <c r="B314" s="1">
        <f ca="1">IFERROR(__xludf.DUMMYFUNCTION("""COMPUTED_VALUE"""),102.16)</f>
        <v>102.16</v>
      </c>
      <c r="C314" s="1">
        <f ca="1">IFERROR(__xludf.DUMMYFUNCTION("""COMPUTED_VALUE"""),103.49)</f>
        <v>103.49</v>
      </c>
      <c r="D314" s="1">
        <f ca="1">IFERROR(__xludf.DUMMYFUNCTION("""COMPUTED_VALUE"""),101.95)</f>
        <v>101.95</v>
      </c>
      <c r="E314" s="1">
        <f ca="1">IFERROR(__xludf.DUMMYFUNCTION("""COMPUTED_VALUE"""),103.29)</f>
        <v>103.29</v>
      </c>
      <c r="F314" s="1">
        <f ca="1">IFERROR(__xludf.DUMMYFUNCTION("""COMPUTED_VALUE"""),56750317)</f>
        <v>56750317</v>
      </c>
    </row>
    <row r="315" spans="1:6" ht="12.6">
      <c r="A315" s="2">
        <f ca="1">IFERROR(__xludf.DUMMYFUNCTION("""COMPUTED_VALUE"""),45019.6666666666)</f>
        <v>45019.666666666599</v>
      </c>
      <c r="B315" s="1">
        <f ca="1">IFERROR(__xludf.DUMMYFUNCTION("""COMPUTED_VALUE"""),102.3)</f>
        <v>102.3</v>
      </c>
      <c r="C315" s="1">
        <f ca="1">IFERROR(__xludf.DUMMYFUNCTION("""COMPUTED_VALUE"""),103.29)</f>
        <v>103.29</v>
      </c>
      <c r="D315" s="1">
        <f ca="1">IFERROR(__xludf.DUMMYFUNCTION("""COMPUTED_VALUE"""),101.43)</f>
        <v>101.43</v>
      </c>
      <c r="E315" s="1">
        <f ca="1">IFERROR(__xludf.DUMMYFUNCTION("""COMPUTED_VALUE"""),102.41)</f>
        <v>102.41</v>
      </c>
      <c r="F315" s="1">
        <f ca="1">IFERROR(__xludf.DUMMYFUNCTION("""COMPUTED_VALUE"""),41135733)</f>
        <v>41135733</v>
      </c>
    </row>
    <row r="316" spans="1:6" ht="12.6">
      <c r="A316" s="2">
        <f ca="1">IFERROR(__xludf.DUMMYFUNCTION("""COMPUTED_VALUE"""),45020.6666666666)</f>
        <v>45020.666666666599</v>
      </c>
      <c r="B316" s="1">
        <f ca="1">IFERROR(__xludf.DUMMYFUNCTION("""COMPUTED_VALUE"""),102.75)</f>
        <v>102.75</v>
      </c>
      <c r="C316" s="1">
        <f ca="1">IFERROR(__xludf.DUMMYFUNCTION("""COMPUTED_VALUE"""),104.2)</f>
        <v>104.2</v>
      </c>
      <c r="D316" s="1">
        <f ca="1">IFERROR(__xludf.DUMMYFUNCTION("""COMPUTED_VALUE"""),102.11)</f>
        <v>102.11</v>
      </c>
      <c r="E316" s="1">
        <f ca="1">IFERROR(__xludf.DUMMYFUNCTION("""COMPUTED_VALUE"""),103.95)</f>
        <v>103.95</v>
      </c>
      <c r="F316" s="1">
        <f ca="1">IFERROR(__xludf.DUMMYFUNCTION("""COMPUTED_VALUE"""),48662496)</f>
        <v>48662496</v>
      </c>
    </row>
    <row r="317" spans="1:6" ht="12.6">
      <c r="A317" s="2">
        <f ca="1">IFERROR(__xludf.DUMMYFUNCTION("""COMPUTED_VALUE"""),45021.6666666666)</f>
        <v>45021.666666666599</v>
      </c>
      <c r="B317" s="1">
        <f ca="1">IFERROR(__xludf.DUMMYFUNCTION("""COMPUTED_VALUE"""),103.91)</f>
        <v>103.91</v>
      </c>
      <c r="C317" s="1">
        <f ca="1">IFERROR(__xludf.DUMMYFUNCTION("""COMPUTED_VALUE"""),103.91)</f>
        <v>103.91</v>
      </c>
      <c r="D317" s="1">
        <f ca="1">IFERROR(__xludf.DUMMYFUNCTION("""COMPUTED_VALUE"""),100.75)</f>
        <v>100.75</v>
      </c>
      <c r="E317" s="1">
        <f ca="1">IFERROR(__xludf.DUMMYFUNCTION("""COMPUTED_VALUE"""),101.1)</f>
        <v>101.1</v>
      </c>
      <c r="F317" s="1">
        <f ca="1">IFERROR(__xludf.DUMMYFUNCTION("""COMPUTED_VALUE"""),45175393)</f>
        <v>45175393</v>
      </c>
    </row>
    <row r="318" spans="1:6" ht="12.6">
      <c r="A318" s="2">
        <f ca="1">IFERROR(__xludf.DUMMYFUNCTION("""COMPUTED_VALUE"""),45022.6666666666)</f>
        <v>45022.666666666599</v>
      </c>
      <c r="B318" s="1">
        <f ca="1">IFERROR(__xludf.DUMMYFUNCTION("""COMPUTED_VALUE"""),100.75)</f>
        <v>100.75</v>
      </c>
      <c r="C318" s="1">
        <f ca="1">IFERROR(__xludf.DUMMYFUNCTION("""COMPUTED_VALUE"""),102.38)</f>
        <v>102.38</v>
      </c>
      <c r="D318" s="1">
        <f ca="1">IFERROR(__xludf.DUMMYFUNCTION("""COMPUTED_VALUE"""),99.8)</f>
        <v>99.8</v>
      </c>
      <c r="E318" s="1">
        <f ca="1">IFERROR(__xludf.DUMMYFUNCTION("""COMPUTED_VALUE"""),102.06)</f>
        <v>102.06</v>
      </c>
      <c r="F318" s="1">
        <f ca="1">IFERROR(__xludf.DUMMYFUNCTION("""COMPUTED_VALUE"""),43808020)</f>
        <v>43808020</v>
      </c>
    </row>
    <row r="319" spans="1:6" ht="12.6">
      <c r="A319" s="2">
        <f ca="1">IFERROR(__xludf.DUMMYFUNCTION("""COMPUTED_VALUE"""),45026.6666666666)</f>
        <v>45026.666666666599</v>
      </c>
      <c r="B319" s="1">
        <f ca="1">IFERROR(__xludf.DUMMYFUNCTION("""COMPUTED_VALUE"""),100.96)</f>
        <v>100.96</v>
      </c>
      <c r="C319" s="1">
        <f ca="1">IFERROR(__xludf.DUMMYFUNCTION("""COMPUTED_VALUE"""),102.2)</f>
        <v>102.2</v>
      </c>
      <c r="D319" s="1">
        <f ca="1">IFERROR(__xludf.DUMMYFUNCTION("""COMPUTED_VALUE"""),99.57)</f>
        <v>99.57</v>
      </c>
      <c r="E319" s="1">
        <f ca="1">IFERROR(__xludf.DUMMYFUNCTION("""COMPUTED_VALUE"""),102.17)</f>
        <v>102.17</v>
      </c>
      <c r="F319" s="1">
        <f ca="1">IFERROR(__xludf.DUMMYFUNCTION("""COMPUTED_VALUE"""),37261185)</f>
        <v>37261185</v>
      </c>
    </row>
    <row r="320" spans="1:6" ht="12.6">
      <c r="A320" s="2">
        <f ca="1">IFERROR(__xludf.DUMMYFUNCTION("""COMPUTED_VALUE"""),45027.6666666666)</f>
        <v>45027.666666666599</v>
      </c>
      <c r="B320" s="1">
        <f ca="1">IFERROR(__xludf.DUMMYFUNCTION("""COMPUTED_VALUE"""),100.8)</f>
        <v>100.8</v>
      </c>
      <c r="C320" s="1">
        <f ca="1">IFERROR(__xludf.DUMMYFUNCTION("""COMPUTED_VALUE"""),101)</f>
        <v>101</v>
      </c>
      <c r="D320" s="1">
        <f ca="1">IFERROR(__xludf.DUMMYFUNCTION("""COMPUTED_VALUE"""),99.01)</f>
        <v>99.01</v>
      </c>
      <c r="E320" s="1">
        <f ca="1">IFERROR(__xludf.DUMMYFUNCTION("""COMPUTED_VALUE"""),99.92)</f>
        <v>99.92</v>
      </c>
      <c r="F320" s="1">
        <f ca="1">IFERROR(__xludf.DUMMYFUNCTION("""COMPUTED_VALUE"""),60417847)</f>
        <v>60417847</v>
      </c>
    </row>
    <row r="321" spans="1:6" ht="12.6">
      <c r="A321" s="2">
        <f ca="1">IFERROR(__xludf.DUMMYFUNCTION("""COMPUTED_VALUE"""),45028.6666666666)</f>
        <v>45028.666666666599</v>
      </c>
      <c r="B321" s="1">
        <f ca="1">IFERROR(__xludf.DUMMYFUNCTION("""COMPUTED_VALUE"""),100.4)</f>
        <v>100.4</v>
      </c>
      <c r="C321" s="1">
        <f ca="1">IFERROR(__xludf.DUMMYFUNCTION("""COMPUTED_VALUE"""),100.51)</f>
        <v>100.51</v>
      </c>
      <c r="D321" s="1">
        <f ca="1">IFERROR(__xludf.DUMMYFUNCTION("""COMPUTED_VALUE"""),97.71)</f>
        <v>97.71</v>
      </c>
      <c r="E321" s="1">
        <f ca="1">IFERROR(__xludf.DUMMYFUNCTION("""COMPUTED_VALUE"""),97.83)</f>
        <v>97.83</v>
      </c>
      <c r="F321" s="1">
        <f ca="1">IFERROR(__xludf.DUMMYFUNCTION("""COMPUTED_VALUE"""),56735007)</f>
        <v>56735007</v>
      </c>
    </row>
    <row r="322" spans="1:6" ht="12.6">
      <c r="A322" s="2">
        <f ca="1">IFERROR(__xludf.DUMMYFUNCTION("""COMPUTED_VALUE"""),45029.6666666666)</f>
        <v>45029.666666666599</v>
      </c>
      <c r="B322" s="1">
        <f ca="1">IFERROR(__xludf.DUMMYFUNCTION("""COMPUTED_VALUE"""),98.95)</f>
        <v>98.95</v>
      </c>
      <c r="C322" s="1">
        <f ca="1">IFERROR(__xludf.DUMMYFUNCTION("""COMPUTED_VALUE"""),102.57)</f>
        <v>102.57</v>
      </c>
      <c r="D322" s="1">
        <f ca="1">IFERROR(__xludf.DUMMYFUNCTION("""COMPUTED_VALUE"""),98.71)</f>
        <v>98.71</v>
      </c>
      <c r="E322" s="1">
        <f ca="1">IFERROR(__xludf.DUMMYFUNCTION("""COMPUTED_VALUE"""),102.4)</f>
        <v>102.4</v>
      </c>
      <c r="F322" s="1">
        <f ca="1">IFERROR(__xludf.DUMMYFUNCTION("""COMPUTED_VALUE"""),67925138)</f>
        <v>67925138</v>
      </c>
    </row>
    <row r="323" spans="1:6" ht="12.6">
      <c r="A323" s="2">
        <f ca="1">IFERROR(__xludf.DUMMYFUNCTION("""COMPUTED_VALUE"""),45030.6666666666)</f>
        <v>45030.666666666599</v>
      </c>
      <c r="B323" s="1">
        <f ca="1">IFERROR(__xludf.DUMMYFUNCTION("""COMPUTED_VALUE"""),102.07)</f>
        <v>102.07</v>
      </c>
      <c r="C323" s="1">
        <f ca="1">IFERROR(__xludf.DUMMYFUNCTION("""COMPUTED_VALUE"""),103.2)</f>
        <v>103.2</v>
      </c>
      <c r="D323" s="1">
        <f ca="1">IFERROR(__xludf.DUMMYFUNCTION("""COMPUTED_VALUE"""),101.11)</f>
        <v>101.11</v>
      </c>
      <c r="E323" s="1">
        <f ca="1">IFERROR(__xludf.DUMMYFUNCTION("""COMPUTED_VALUE"""),102.51)</f>
        <v>102.51</v>
      </c>
      <c r="F323" s="1">
        <f ca="1">IFERROR(__xludf.DUMMYFUNCTION("""COMPUTED_VALUE"""),51450522)</f>
        <v>51450522</v>
      </c>
    </row>
    <row r="324" spans="1:6" ht="12.6">
      <c r="A324" s="2">
        <f ca="1">IFERROR(__xludf.DUMMYFUNCTION("""COMPUTED_VALUE"""),45033.6666666666)</f>
        <v>45033.666666666599</v>
      </c>
      <c r="B324" s="1">
        <f ca="1">IFERROR(__xludf.DUMMYFUNCTION("""COMPUTED_VALUE"""),103.16)</f>
        <v>103.16</v>
      </c>
      <c r="C324" s="1">
        <f ca="1">IFERROR(__xludf.DUMMYFUNCTION("""COMPUTED_VALUE"""),103.73)</f>
        <v>103.73</v>
      </c>
      <c r="D324" s="1">
        <f ca="1">IFERROR(__xludf.DUMMYFUNCTION("""COMPUTED_VALUE"""),101.59)</f>
        <v>101.59</v>
      </c>
      <c r="E324" s="1">
        <f ca="1">IFERROR(__xludf.DUMMYFUNCTION("""COMPUTED_VALUE"""),102.74)</f>
        <v>102.74</v>
      </c>
      <c r="F324" s="1">
        <f ca="1">IFERROR(__xludf.DUMMYFUNCTION("""COMPUTED_VALUE"""),39919457)</f>
        <v>39919457</v>
      </c>
    </row>
    <row r="325" spans="1:6" ht="12.6">
      <c r="A325" s="2">
        <f ca="1">IFERROR(__xludf.DUMMYFUNCTION("""COMPUTED_VALUE"""),45034.6666666666)</f>
        <v>45034.666666666599</v>
      </c>
      <c r="B325" s="1">
        <f ca="1">IFERROR(__xludf.DUMMYFUNCTION("""COMPUTED_VALUE"""),103.95)</f>
        <v>103.95</v>
      </c>
      <c r="C325" s="1">
        <f ca="1">IFERROR(__xludf.DUMMYFUNCTION("""COMPUTED_VALUE"""),104.2)</f>
        <v>104.2</v>
      </c>
      <c r="D325" s="1">
        <f ca="1">IFERROR(__xludf.DUMMYFUNCTION("""COMPUTED_VALUE"""),101.52)</f>
        <v>101.52</v>
      </c>
      <c r="E325" s="1">
        <f ca="1">IFERROR(__xludf.DUMMYFUNCTION("""COMPUTED_VALUE"""),102.3)</f>
        <v>102.3</v>
      </c>
      <c r="F325" s="1">
        <f ca="1">IFERROR(__xludf.DUMMYFUNCTION("""COMPUTED_VALUE"""),39790518)</f>
        <v>39790518</v>
      </c>
    </row>
    <row r="326" spans="1:6" ht="12.6">
      <c r="A326" s="2">
        <f ca="1">IFERROR(__xludf.DUMMYFUNCTION("""COMPUTED_VALUE"""),45035.6666666666)</f>
        <v>45035.666666666599</v>
      </c>
      <c r="B326" s="1">
        <f ca="1">IFERROR(__xludf.DUMMYFUNCTION("""COMPUTED_VALUE"""),101.58)</f>
        <v>101.58</v>
      </c>
      <c r="C326" s="1">
        <f ca="1">IFERROR(__xludf.DUMMYFUNCTION("""COMPUTED_VALUE"""),105.12)</f>
        <v>105.12</v>
      </c>
      <c r="D326" s="1">
        <f ca="1">IFERROR(__xludf.DUMMYFUNCTION("""COMPUTED_VALUE"""),101.39)</f>
        <v>101.39</v>
      </c>
      <c r="E326" s="1">
        <f ca="1">IFERROR(__xludf.DUMMYFUNCTION("""COMPUTED_VALUE"""),104.3)</f>
        <v>104.3</v>
      </c>
      <c r="F326" s="1">
        <f ca="1">IFERROR(__xludf.DUMMYFUNCTION("""COMPUTED_VALUE"""),58398890)</f>
        <v>58398890</v>
      </c>
    </row>
    <row r="327" spans="1:6" ht="12.6">
      <c r="A327" s="2">
        <f ca="1">IFERROR(__xludf.DUMMYFUNCTION("""COMPUTED_VALUE"""),45036.6666666666)</f>
        <v>45036.666666666599</v>
      </c>
      <c r="B327" s="1">
        <f ca="1">IFERROR(__xludf.DUMMYFUNCTION("""COMPUTED_VALUE"""),103.53)</f>
        <v>103.53</v>
      </c>
      <c r="C327" s="1">
        <f ca="1">IFERROR(__xludf.DUMMYFUNCTION("""COMPUTED_VALUE"""),105.25)</f>
        <v>105.25</v>
      </c>
      <c r="D327" s="1">
        <f ca="1">IFERROR(__xludf.DUMMYFUNCTION("""COMPUTED_VALUE"""),103.21)</f>
        <v>103.21</v>
      </c>
      <c r="E327" s="1">
        <f ca="1">IFERROR(__xludf.DUMMYFUNCTION("""COMPUTED_VALUE"""),103.81)</f>
        <v>103.81</v>
      </c>
      <c r="F327" s="1">
        <f ca="1">IFERROR(__xludf.DUMMYFUNCTION("""COMPUTED_VALUE"""),57696866)</f>
        <v>57696866</v>
      </c>
    </row>
    <row r="328" spans="1:6" ht="12.6">
      <c r="A328" s="2">
        <f ca="1">IFERROR(__xludf.DUMMYFUNCTION("""COMPUTED_VALUE"""),45037.6666666666)</f>
        <v>45037.666666666599</v>
      </c>
      <c r="B328" s="1">
        <f ca="1">IFERROR(__xludf.DUMMYFUNCTION("""COMPUTED_VALUE"""),106.1)</f>
        <v>106.1</v>
      </c>
      <c r="C328" s="1">
        <f ca="1">IFERROR(__xludf.DUMMYFUNCTION("""COMPUTED_VALUE"""),108.15)</f>
        <v>108.15</v>
      </c>
      <c r="D328" s="1">
        <f ca="1">IFERROR(__xludf.DUMMYFUNCTION("""COMPUTED_VALUE"""),105.08)</f>
        <v>105.08</v>
      </c>
      <c r="E328" s="1">
        <f ca="1">IFERROR(__xludf.DUMMYFUNCTION("""COMPUTED_VALUE"""),106.96)</f>
        <v>106.96</v>
      </c>
      <c r="F328" s="1">
        <f ca="1">IFERROR(__xludf.DUMMYFUNCTION("""COMPUTED_VALUE"""),86774185)</f>
        <v>86774185</v>
      </c>
    </row>
    <row r="329" spans="1:6" ht="12.6">
      <c r="A329" s="2">
        <f ca="1">IFERROR(__xludf.DUMMYFUNCTION("""COMPUTED_VALUE"""),45040.6666666666)</f>
        <v>45040.666666666599</v>
      </c>
      <c r="B329" s="1">
        <f ca="1">IFERROR(__xludf.DUMMYFUNCTION("""COMPUTED_VALUE"""),107.66)</f>
        <v>107.66</v>
      </c>
      <c r="C329" s="1">
        <f ca="1">IFERROR(__xludf.DUMMYFUNCTION("""COMPUTED_VALUE"""),109.23)</f>
        <v>109.23</v>
      </c>
      <c r="D329" s="1">
        <f ca="1">IFERROR(__xludf.DUMMYFUNCTION("""COMPUTED_VALUE"""),105.07)</f>
        <v>105.07</v>
      </c>
      <c r="E329" s="1">
        <f ca="1">IFERROR(__xludf.DUMMYFUNCTION("""COMPUTED_VALUE"""),106.21)</f>
        <v>106.21</v>
      </c>
      <c r="F329" s="1">
        <f ca="1">IFERROR(__xludf.DUMMYFUNCTION("""COMPUTED_VALUE"""),69575610)</f>
        <v>69575610</v>
      </c>
    </row>
    <row r="330" spans="1:6" ht="12.6">
      <c r="A330" s="2">
        <f ca="1">IFERROR(__xludf.DUMMYFUNCTION("""COMPUTED_VALUE"""),45041.6666666666)</f>
        <v>45041.666666666599</v>
      </c>
      <c r="B330" s="1">
        <f ca="1">IFERROR(__xludf.DUMMYFUNCTION("""COMPUTED_VALUE"""),104.91)</f>
        <v>104.91</v>
      </c>
      <c r="C330" s="1">
        <f ca="1">IFERROR(__xludf.DUMMYFUNCTION("""COMPUTED_VALUE"""),105.45)</f>
        <v>105.45</v>
      </c>
      <c r="D330" s="1">
        <f ca="1">IFERROR(__xludf.DUMMYFUNCTION("""COMPUTED_VALUE"""),102.45)</f>
        <v>102.45</v>
      </c>
      <c r="E330" s="1">
        <f ca="1">IFERROR(__xludf.DUMMYFUNCTION("""COMPUTED_VALUE"""),102.57)</f>
        <v>102.57</v>
      </c>
      <c r="F330" s="1">
        <f ca="1">IFERROR(__xludf.DUMMYFUNCTION("""COMPUTED_VALUE"""),65026818)</f>
        <v>65026818</v>
      </c>
    </row>
    <row r="331" spans="1:6" ht="12.6">
      <c r="A331" s="2">
        <f ca="1">IFERROR(__xludf.DUMMYFUNCTION("""COMPUTED_VALUE"""),45042.6666666666)</f>
        <v>45042.666666666599</v>
      </c>
      <c r="B331" s="1">
        <f ca="1">IFERROR(__xludf.DUMMYFUNCTION("""COMPUTED_VALUE"""),105.04)</f>
        <v>105.04</v>
      </c>
      <c r="C331" s="1">
        <f ca="1">IFERROR(__xludf.DUMMYFUNCTION("""COMPUTED_VALUE"""),106.62)</f>
        <v>106.62</v>
      </c>
      <c r="D331" s="1">
        <f ca="1">IFERROR(__xludf.DUMMYFUNCTION("""COMPUTED_VALUE"""),104.1)</f>
        <v>104.1</v>
      </c>
      <c r="E331" s="1">
        <f ca="1">IFERROR(__xludf.DUMMYFUNCTION("""COMPUTED_VALUE"""),104.98)</f>
        <v>104.98</v>
      </c>
      <c r="F331" s="1">
        <f ca="1">IFERROR(__xludf.DUMMYFUNCTION("""COMPUTED_VALUE"""),73803790)</f>
        <v>73803790</v>
      </c>
    </row>
    <row r="332" spans="1:6" ht="12.6">
      <c r="A332" s="2">
        <f ca="1">IFERROR(__xludf.DUMMYFUNCTION("""COMPUTED_VALUE"""),45043.6666666666)</f>
        <v>45043.666666666599</v>
      </c>
      <c r="B332" s="1">
        <f ca="1">IFERROR(__xludf.DUMMYFUNCTION("""COMPUTED_VALUE"""),108.16)</f>
        <v>108.16</v>
      </c>
      <c r="C332" s="1">
        <f ca="1">IFERROR(__xludf.DUMMYFUNCTION("""COMPUTED_VALUE"""),110.86)</f>
        <v>110.86</v>
      </c>
      <c r="D332" s="1">
        <f ca="1">IFERROR(__xludf.DUMMYFUNCTION("""COMPUTED_VALUE"""),106.8)</f>
        <v>106.8</v>
      </c>
      <c r="E332" s="1">
        <f ca="1">IFERROR(__xludf.DUMMYFUNCTION("""COMPUTED_VALUE"""),109.82)</f>
        <v>109.82</v>
      </c>
      <c r="F332" s="1">
        <f ca="1">IFERROR(__xludf.DUMMYFUNCTION("""COMPUTED_VALUE"""),149961167)</f>
        <v>149961167</v>
      </c>
    </row>
    <row r="333" spans="1:6" ht="12.6">
      <c r="A333" s="2">
        <f ca="1">IFERROR(__xludf.DUMMYFUNCTION("""COMPUTED_VALUE"""),45044.6666666666)</f>
        <v>45044.666666666599</v>
      </c>
      <c r="B333" s="1">
        <f ca="1">IFERROR(__xludf.DUMMYFUNCTION("""COMPUTED_VALUE"""),107.73)</f>
        <v>107.73</v>
      </c>
      <c r="C333" s="1">
        <f ca="1">IFERROR(__xludf.DUMMYFUNCTION("""COMPUTED_VALUE"""),109.48)</f>
        <v>109.48</v>
      </c>
      <c r="D333" s="1">
        <f ca="1">IFERROR(__xludf.DUMMYFUNCTION("""COMPUTED_VALUE"""),104.33)</f>
        <v>104.33</v>
      </c>
      <c r="E333" s="1">
        <f ca="1">IFERROR(__xludf.DUMMYFUNCTION("""COMPUTED_VALUE"""),105.45)</f>
        <v>105.45</v>
      </c>
      <c r="F333" s="1">
        <f ca="1">IFERROR(__xludf.DUMMYFUNCTION("""COMPUTED_VALUE"""),130715946)</f>
        <v>130715946</v>
      </c>
    </row>
    <row r="334" spans="1:6" ht="12.6">
      <c r="A334" s="2">
        <f ca="1">IFERROR(__xludf.DUMMYFUNCTION("""COMPUTED_VALUE"""),45047.6666666666)</f>
        <v>45047.666666666599</v>
      </c>
      <c r="B334" s="1">
        <f ca="1">IFERROR(__xludf.DUMMYFUNCTION("""COMPUTED_VALUE"""),104.95)</f>
        <v>104.95</v>
      </c>
      <c r="C334" s="1">
        <f ca="1">IFERROR(__xludf.DUMMYFUNCTION("""COMPUTED_VALUE"""),105.23)</f>
        <v>105.23</v>
      </c>
      <c r="D334" s="1">
        <f ca="1">IFERROR(__xludf.DUMMYFUNCTION("""COMPUTED_VALUE"""),101.82)</f>
        <v>101.82</v>
      </c>
      <c r="E334" s="1">
        <f ca="1">IFERROR(__xludf.DUMMYFUNCTION("""COMPUTED_VALUE"""),102.05)</f>
        <v>102.05</v>
      </c>
      <c r="F334" s="1">
        <f ca="1">IFERROR(__xludf.DUMMYFUNCTION("""COMPUTED_VALUE"""),74728096)</f>
        <v>74728096</v>
      </c>
    </row>
    <row r="335" spans="1:6" ht="12.6">
      <c r="A335" s="2">
        <f ca="1">IFERROR(__xludf.DUMMYFUNCTION("""COMPUTED_VALUE"""),45048.6666666666)</f>
        <v>45048.666666666599</v>
      </c>
      <c r="B335" s="1">
        <f ca="1">IFERROR(__xludf.DUMMYFUNCTION("""COMPUTED_VALUE"""),101.47)</f>
        <v>101.47</v>
      </c>
      <c r="C335" s="1">
        <f ca="1">IFERROR(__xludf.DUMMYFUNCTION("""COMPUTED_VALUE"""),103.9)</f>
        <v>103.9</v>
      </c>
      <c r="D335" s="1">
        <f ca="1">IFERROR(__xludf.DUMMYFUNCTION("""COMPUTED_VALUE"""),101.15)</f>
        <v>101.15</v>
      </c>
      <c r="E335" s="1">
        <f ca="1">IFERROR(__xludf.DUMMYFUNCTION("""COMPUTED_VALUE"""),103.63)</f>
        <v>103.63</v>
      </c>
      <c r="F335" s="1">
        <f ca="1">IFERROR(__xludf.DUMMYFUNCTION("""COMPUTED_VALUE"""),73469350)</f>
        <v>73469350</v>
      </c>
    </row>
    <row r="336" spans="1:6" ht="12.6">
      <c r="A336" s="2">
        <f ca="1">IFERROR(__xludf.DUMMYFUNCTION("""COMPUTED_VALUE"""),45049.6666666666)</f>
        <v>45049.666666666599</v>
      </c>
      <c r="B336" s="1">
        <f ca="1">IFERROR(__xludf.DUMMYFUNCTION("""COMPUTED_VALUE"""),103.74)</f>
        <v>103.74</v>
      </c>
      <c r="C336" s="1">
        <f ca="1">IFERROR(__xludf.DUMMYFUNCTION("""COMPUTED_VALUE"""),105.96)</f>
        <v>105.96</v>
      </c>
      <c r="D336" s="1">
        <f ca="1">IFERROR(__xludf.DUMMYFUNCTION("""COMPUTED_VALUE"""),103.28)</f>
        <v>103.28</v>
      </c>
      <c r="E336" s="1">
        <f ca="1">IFERROR(__xludf.DUMMYFUNCTION("""COMPUTED_VALUE"""),103.65)</f>
        <v>103.65</v>
      </c>
      <c r="F336" s="1">
        <f ca="1">IFERROR(__xludf.DUMMYFUNCTION("""COMPUTED_VALUE"""),65051925)</f>
        <v>65051925</v>
      </c>
    </row>
    <row r="337" spans="1:6" ht="12.6">
      <c r="A337" s="2">
        <f ca="1">IFERROR(__xludf.DUMMYFUNCTION("""COMPUTED_VALUE"""),45050.6666666666)</f>
        <v>45050.666666666599</v>
      </c>
      <c r="B337" s="1">
        <f ca="1">IFERROR(__xludf.DUMMYFUNCTION("""COMPUTED_VALUE"""),104.04)</f>
        <v>104.04</v>
      </c>
      <c r="C337" s="1">
        <f ca="1">IFERROR(__xludf.DUMMYFUNCTION("""COMPUTED_VALUE"""),105.39)</f>
        <v>105.39</v>
      </c>
      <c r="D337" s="1">
        <f ca="1">IFERROR(__xludf.DUMMYFUNCTION("""COMPUTED_VALUE"""),103.31)</f>
        <v>103.31</v>
      </c>
      <c r="E337" s="1">
        <f ca="1">IFERROR(__xludf.DUMMYFUNCTION("""COMPUTED_VALUE"""),104)</f>
        <v>104</v>
      </c>
      <c r="F337" s="1">
        <f ca="1">IFERROR(__xludf.DUMMYFUNCTION("""COMPUTED_VALUE"""),45345523)</f>
        <v>45345523</v>
      </c>
    </row>
    <row r="338" spans="1:6" ht="12.6">
      <c r="A338" s="2">
        <f ca="1">IFERROR(__xludf.DUMMYFUNCTION("""COMPUTED_VALUE"""),45051.6666666666)</f>
        <v>45051.666666666599</v>
      </c>
      <c r="B338" s="1">
        <f ca="1">IFERROR(__xludf.DUMMYFUNCTION("""COMPUTED_VALUE"""),104.27)</f>
        <v>104.27</v>
      </c>
      <c r="C338" s="1">
        <f ca="1">IFERROR(__xludf.DUMMYFUNCTION("""COMPUTED_VALUE"""),105.76)</f>
        <v>105.76</v>
      </c>
      <c r="D338" s="1">
        <f ca="1">IFERROR(__xludf.DUMMYFUNCTION("""COMPUTED_VALUE"""),103.55)</f>
        <v>103.55</v>
      </c>
      <c r="E338" s="1">
        <f ca="1">IFERROR(__xludf.DUMMYFUNCTION("""COMPUTED_VALUE"""),105.66)</f>
        <v>105.66</v>
      </c>
      <c r="F338" s="1">
        <f ca="1">IFERROR(__xludf.DUMMYFUNCTION("""COMPUTED_VALUE"""),56951744)</f>
        <v>56951744</v>
      </c>
    </row>
    <row r="339" spans="1:6" ht="12.6">
      <c r="A339" s="2">
        <f ca="1">IFERROR(__xludf.DUMMYFUNCTION("""COMPUTED_VALUE"""),45054.6666666666)</f>
        <v>45054.666666666599</v>
      </c>
      <c r="B339" s="1">
        <f ca="1">IFERROR(__xludf.DUMMYFUNCTION("""COMPUTED_VALUE"""),105.04)</f>
        <v>105.04</v>
      </c>
      <c r="C339" s="1">
        <f ca="1">IFERROR(__xludf.DUMMYFUNCTION("""COMPUTED_VALUE"""),106.1)</f>
        <v>106.1</v>
      </c>
      <c r="D339" s="1">
        <f ca="1">IFERROR(__xludf.DUMMYFUNCTION("""COMPUTED_VALUE"""),104.7)</f>
        <v>104.7</v>
      </c>
      <c r="E339" s="1">
        <f ca="1">IFERROR(__xludf.DUMMYFUNCTION("""COMPUTED_VALUE"""),105.83)</f>
        <v>105.83</v>
      </c>
      <c r="F339" s="1">
        <f ca="1">IFERROR(__xludf.DUMMYFUNCTION("""COMPUTED_VALUE"""),49430909)</f>
        <v>49430909</v>
      </c>
    </row>
    <row r="340" spans="1:6" ht="12.6">
      <c r="A340" s="2">
        <f ca="1">IFERROR(__xludf.DUMMYFUNCTION("""COMPUTED_VALUE"""),45055.6666666666)</f>
        <v>45055.666666666599</v>
      </c>
      <c r="B340" s="1">
        <f ca="1">IFERROR(__xludf.DUMMYFUNCTION("""COMPUTED_VALUE"""),105.48)</f>
        <v>105.48</v>
      </c>
      <c r="C340" s="1">
        <f ca="1">IFERROR(__xludf.DUMMYFUNCTION("""COMPUTED_VALUE"""),106.79)</f>
        <v>106.79</v>
      </c>
      <c r="D340" s="1">
        <f ca="1">IFERROR(__xludf.DUMMYFUNCTION("""COMPUTED_VALUE"""),105.16)</f>
        <v>105.16</v>
      </c>
      <c r="E340" s="1">
        <f ca="1">IFERROR(__xludf.DUMMYFUNCTION("""COMPUTED_VALUE"""),106.62)</f>
        <v>106.62</v>
      </c>
      <c r="F340" s="1">
        <f ca="1">IFERROR(__xludf.DUMMYFUNCTION("""COMPUTED_VALUE"""),44089359)</f>
        <v>44089359</v>
      </c>
    </row>
    <row r="341" spans="1:6" ht="12.6">
      <c r="A341" s="2">
        <f ca="1">IFERROR(__xludf.DUMMYFUNCTION("""COMPUTED_VALUE"""),45056.6666666666)</f>
        <v>45056.666666666599</v>
      </c>
      <c r="B341" s="1">
        <f ca="1">IFERROR(__xludf.DUMMYFUNCTION("""COMPUTED_VALUE"""),108.1)</f>
        <v>108.1</v>
      </c>
      <c r="C341" s="1">
        <f ca="1">IFERROR(__xludf.DUMMYFUNCTION("""COMPUTED_VALUE"""),110.67)</f>
        <v>110.67</v>
      </c>
      <c r="D341" s="1">
        <f ca="1">IFERROR(__xludf.DUMMYFUNCTION("""COMPUTED_VALUE"""),108.05)</f>
        <v>108.05</v>
      </c>
      <c r="E341" s="1">
        <f ca="1">IFERROR(__xludf.DUMMYFUNCTION("""COMPUTED_VALUE"""),110.19)</f>
        <v>110.19</v>
      </c>
      <c r="F341" s="1">
        <f ca="1">IFERROR(__xludf.DUMMYFUNCTION("""COMPUTED_VALUE"""),78627616)</f>
        <v>78627616</v>
      </c>
    </row>
    <row r="342" spans="1:6" ht="12.6">
      <c r="A342" s="2">
        <f ca="1">IFERROR(__xludf.DUMMYFUNCTION("""COMPUTED_VALUE"""),45057.6666666666)</f>
        <v>45057.666666666599</v>
      </c>
      <c r="B342" s="1">
        <f ca="1">IFERROR(__xludf.DUMMYFUNCTION("""COMPUTED_VALUE"""),111.03)</f>
        <v>111.03</v>
      </c>
      <c r="C342" s="1">
        <f ca="1">IFERROR(__xludf.DUMMYFUNCTION("""COMPUTED_VALUE"""),113.28)</f>
        <v>113.28</v>
      </c>
      <c r="D342" s="1">
        <f ca="1">IFERROR(__xludf.DUMMYFUNCTION("""COMPUTED_VALUE"""),110.49)</f>
        <v>110.49</v>
      </c>
      <c r="E342" s="1">
        <f ca="1">IFERROR(__xludf.DUMMYFUNCTION("""COMPUTED_VALUE"""),112.18)</f>
        <v>112.18</v>
      </c>
      <c r="F342" s="1">
        <f ca="1">IFERROR(__xludf.DUMMYFUNCTION("""COMPUTED_VALUE"""),74924841)</f>
        <v>74924841</v>
      </c>
    </row>
    <row r="343" spans="1:6" ht="12.6">
      <c r="A343" s="2">
        <f ca="1">IFERROR(__xludf.DUMMYFUNCTION("""COMPUTED_VALUE"""),45058.6666666666)</f>
        <v>45058.666666666599</v>
      </c>
      <c r="B343" s="1">
        <f ca="1">IFERROR(__xludf.DUMMYFUNCTION("""COMPUTED_VALUE"""),112.16)</f>
        <v>112.16</v>
      </c>
      <c r="C343" s="1">
        <f ca="1">IFERROR(__xludf.DUMMYFUNCTION("""COMPUTED_VALUE"""),112.64)</f>
        <v>112.64</v>
      </c>
      <c r="D343" s="1">
        <f ca="1">IFERROR(__xludf.DUMMYFUNCTION("""COMPUTED_VALUE"""),109.32)</f>
        <v>109.32</v>
      </c>
      <c r="E343" s="1">
        <f ca="1">IFERROR(__xludf.DUMMYFUNCTION("""COMPUTED_VALUE"""),110.26)</f>
        <v>110.26</v>
      </c>
      <c r="F343" s="1">
        <f ca="1">IFERROR(__xludf.DUMMYFUNCTION("""COMPUTED_VALUE"""),49852671)</f>
        <v>49852671</v>
      </c>
    </row>
    <row r="344" spans="1:6" ht="12.6">
      <c r="A344" s="2">
        <f ca="1">IFERROR(__xludf.DUMMYFUNCTION("""COMPUTED_VALUE"""),45061.6666666666)</f>
        <v>45061.666666666599</v>
      </c>
      <c r="B344" s="1">
        <f ca="1">IFERROR(__xludf.DUMMYFUNCTION("""COMPUTED_VALUE"""),111.15)</f>
        <v>111.15</v>
      </c>
      <c r="C344" s="1">
        <f ca="1">IFERROR(__xludf.DUMMYFUNCTION("""COMPUTED_VALUE"""),112.29)</f>
        <v>112.29</v>
      </c>
      <c r="D344" s="1">
        <f ca="1">IFERROR(__xludf.DUMMYFUNCTION("""COMPUTED_VALUE"""),109.25)</f>
        <v>109.25</v>
      </c>
      <c r="E344" s="1">
        <f ca="1">IFERROR(__xludf.DUMMYFUNCTION("""COMPUTED_VALUE"""),111.2)</f>
        <v>111.2</v>
      </c>
      <c r="F344" s="1">
        <f ca="1">IFERROR(__xludf.DUMMYFUNCTION("""COMPUTED_VALUE"""),53011145)</f>
        <v>53011145</v>
      </c>
    </row>
    <row r="345" spans="1:6" ht="12.6">
      <c r="A345" s="2">
        <f ca="1">IFERROR(__xludf.DUMMYFUNCTION("""COMPUTED_VALUE"""),45062.6666666666)</f>
        <v>45062.666666666599</v>
      </c>
      <c r="B345" s="1">
        <f ca="1">IFERROR(__xludf.DUMMYFUNCTION("""COMPUTED_VALUE"""),111.05)</f>
        <v>111.05</v>
      </c>
      <c r="C345" s="1">
        <f ca="1">IFERROR(__xludf.DUMMYFUNCTION("""COMPUTED_VALUE"""),114.79)</f>
        <v>114.79</v>
      </c>
      <c r="D345" s="1">
        <f ca="1">IFERROR(__xludf.DUMMYFUNCTION("""COMPUTED_VALUE"""),111.05)</f>
        <v>111.05</v>
      </c>
      <c r="E345" s="1">
        <f ca="1">IFERROR(__xludf.DUMMYFUNCTION("""COMPUTED_VALUE"""),113.4)</f>
        <v>113.4</v>
      </c>
      <c r="F345" s="1">
        <f ca="1">IFERROR(__xludf.DUMMYFUNCTION("""COMPUTED_VALUE"""),71472908)</f>
        <v>71472908</v>
      </c>
    </row>
    <row r="346" spans="1:6" ht="12.6">
      <c r="A346" s="2">
        <f ca="1">IFERROR(__xludf.DUMMYFUNCTION("""COMPUTED_VALUE"""),45063.6666666666)</f>
        <v>45063.666666666599</v>
      </c>
      <c r="B346" s="1">
        <f ca="1">IFERROR(__xludf.DUMMYFUNCTION("""COMPUTED_VALUE"""),114.89)</f>
        <v>114.89</v>
      </c>
      <c r="C346" s="1">
        <f ca="1">IFERROR(__xludf.DUMMYFUNCTION("""COMPUTED_VALUE"""),115.83)</f>
        <v>115.83</v>
      </c>
      <c r="D346" s="1">
        <f ca="1">IFERROR(__xludf.DUMMYFUNCTION("""COMPUTED_VALUE"""),114.22)</f>
        <v>114.22</v>
      </c>
      <c r="E346" s="1">
        <f ca="1">IFERROR(__xludf.DUMMYFUNCTION("""COMPUTED_VALUE"""),115.5)</f>
        <v>115.5</v>
      </c>
      <c r="F346" s="1">
        <f ca="1">IFERROR(__xludf.DUMMYFUNCTION("""COMPUTED_VALUE"""),65655177)</f>
        <v>65655177</v>
      </c>
    </row>
    <row r="347" spans="1:6" ht="12.6">
      <c r="A347" s="2">
        <f ca="1">IFERROR(__xludf.DUMMYFUNCTION("""COMPUTED_VALUE"""),45064.6666666666)</f>
        <v>45064.666666666599</v>
      </c>
      <c r="B347" s="1">
        <f ca="1">IFERROR(__xludf.DUMMYFUNCTION("""COMPUTED_VALUE"""),116.69)</f>
        <v>116.69</v>
      </c>
      <c r="C347" s="1">
        <f ca="1">IFERROR(__xludf.DUMMYFUNCTION("""COMPUTED_VALUE"""),118.6)</f>
        <v>118.6</v>
      </c>
      <c r="D347" s="1">
        <f ca="1">IFERROR(__xludf.DUMMYFUNCTION("""COMPUTED_VALUE"""),116.34)</f>
        <v>116.34</v>
      </c>
      <c r="E347" s="1">
        <f ca="1">IFERROR(__xludf.DUMMYFUNCTION("""COMPUTED_VALUE"""),118.15)</f>
        <v>118.15</v>
      </c>
      <c r="F347" s="1">
        <f ca="1">IFERROR(__xludf.DUMMYFUNCTION("""COMPUTED_VALUE"""),73174087)</f>
        <v>73174087</v>
      </c>
    </row>
    <row r="348" spans="1:6" ht="12.6">
      <c r="A348" s="2">
        <f ca="1">IFERROR(__xludf.DUMMYFUNCTION("""COMPUTED_VALUE"""),45065.6666666666)</f>
        <v>45065.666666666599</v>
      </c>
      <c r="B348" s="1">
        <f ca="1">IFERROR(__xludf.DUMMYFUNCTION("""COMPUTED_VALUE"""),118.16)</f>
        <v>118.16</v>
      </c>
      <c r="C348" s="1">
        <f ca="1">IFERROR(__xludf.DUMMYFUNCTION("""COMPUTED_VALUE"""),118.31)</f>
        <v>118.31</v>
      </c>
      <c r="D348" s="1">
        <f ca="1">IFERROR(__xludf.DUMMYFUNCTION("""COMPUTED_VALUE"""),115.7)</f>
        <v>115.7</v>
      </c>
      <c r="E348" s="1">
        <f ca="1">IFERROR(__xludf.DUMMYFUNCTION("""COMPUTED_VALUE"""),116.25)</f>
        <v>116.25</v>
      </c>
      <c r="F348" s="1">
        <f ca="1">IFERROR(__xludf.DUMMYFUNCTION("""COMPUTED_VALUE"""),55056307)</f>
        <v>55056307</v>
      </c>
    </row>
    <row r="349" spans="1:6" ht="12.6">
      <c r="A349" s="2">
        <f ca="1">IFERROR(__xludf.DUMMYFUNCTION("""COMPUTED_VALUE"""),45068.6666666666)</f>
        <v>45068.666666666599</v>
      </c>
      <c r="B349" s="1">
        <f ca="1">IFERROR(__xludf.DUMMYFUNCTION("""COMPUTED_VALUE"""),116.77)</f>
        <v>116.77</v>
      </c>
      <c r="C349" s="1">
        <f ca="1">IFERROR(__xludf.DUMMYFUNCTION("""COMPUTED_VALUE"""),116.77)</f>
        <v>116.77</v>
      </c>
      <c r="D349" s="1">
        <f ca="1">IFERROR(__xludf.DUMMYFUNCTION("""COMPUTED_VALUE"""),114.25)</f>
        <v>114.25</v>
      </c>
      <c r="E349" s="1">
        <f ca="1">IFERROR(__xludf.DUMMYFUNCTION("""COMPUTED_VALUE"""),115.01)</f>
        <v>115.01</v>
      </c>
      <c r="F349" s="1">
        <f ca="1">IFERROR(__xludf.DUMMYFUNCTION("""COMPUTED_VALUE"""),70741123)</f>
        <v>70741123</v>
      </c>
    </row>
    <row r="350" spans="1:6" ht="12.6">
      <c r="A350" s="2">
        <f ca="1">IFERROR(__xludf.DUMMYFUNCTION("""COMPUTED_VALUE"""),45069.6666666666)</f>
        <v>45069.666666666599</v>
      </c>
      <c r="B350" s="1">
        <f ca="1">IFERROR(__xludf.DUMMYFUNCTION("""COMPUTED_VALUE"""),114.27)</f>
        <v>114.27</v>
      </c>
      <c r="C350" s="1">
        <f ca="1">IFERROR(__xludf.DUMMYFUNCTION("""COMPUTED_VALUE"""),117.14)</f>
        <v>117.14</v>
      </c>
      <c r="D350" s="1">
        <f ca="1">IFERROR(__xludf.DUMMYFUNCTION("""COMPUTED_VALUE"""),113.78)</f>
        <v>113.78</v>
      </c>
      <c r="E350" s="1">
        <f ca="1">IFERROR(__xludf.DUMMYFUNCTION("""COMPUTED_VALUE"""),114.99)</f>
        <v>114.99</v>
      </c>
      <c r="F350" s="1">
        <f ca="1">IFERROR(__xludf.DUMMYFUNCTION("""COMPUTED_VALUE"""),67576262)</f>
        <v>67576262</v>
      </c>
    </row>
    <row r="351" spans="1:6" ht="12.6">
      <c r="A351" s="2">
        <f ca="1">IFERROR(__xludf.DUMMYFUNCTION("""COMPUTED_VALUE"""),45070.6666666666)</f>
        <v>45070.666666666599</v>
      </c>
      <c r="B351" s="1">
        <f ca="1">IFERROR(__xludf.DUMMYFUNCTION("""COMPUTED_VALUE"""),115.35)</f>
        <v>115.35</v>
      </c>
      <c r="C351" s="1">
        <f ca="1">IFERROR(__xludf.DUMMYFUNCTION("""COMPUTED_VALUE"""),117.34)</f>
        <v>117.34</v>
      </c>
      <c r="D351" s="1">
        <f ca="1">IFERROR(__xludf.DUMMYFUNCTION("""COMPUTED_VALUE"""),115.02)</f>
        <v>115.02</v>
      </c>
      <c r="E351" s="1">
        <f ca="1">IFERROR(__xludf.DUMMYFUNCTION("""COMPUTED_VALUE"""),116.75)</f>
        <v>116.75</v>
      </c>
      <c r="F351" s="1">
        <f ca="1">IFERROR(__xludf.DUMMYFUNCTION("""COMPUTED_VALUE"""),63487938)</f>
        <v>63487938</v>
      </c>
    </row>
    <row r="352" spans="1:6" ht="12.6">
      <c r="A352" s="2">
        <f ca="1">IFERROR(__xludf.DUMMYFUNCTION("""COMPUTED_VALUE"""),45071.6666666666)</f>
        <v>45071.666666666599</v>
      </c>
      <c r="B352" s="1">
        <f ca="1">IFERROR(__xludf.DUMMYFUNCTION("""COMPUTED_VALUE"""),116.63)</f>
        <v>116.63</v>
      </c>
      <c r="C352" s="1">
        <f ca="1">IFERROR(__xludf.DUMMYFUNCTION("""COMPUTED_VALUE"""),116.87)</f>
        <v>116.87</v>
      </c>
      <c r="D352" s="1">
        <f ca="1">IFERROR(__xludf.DUMMYFUNCTION("""COMPUTED_VALUE"""),114.31)</f>
        <v>114.31</v>
      </c>
      <c r="E352" s="1">
        <f ca="1">IFERROR(__xludf.DUMMYFUNCTION("""COMPUTED_VALUE"""),115)</f>
        <v>115</v>
      </c>
      <c r="F352" s="1">
        <f ca="1">IFERROR(__xludf.DUMMYFUNCTION("""COMPUTED_VALUE"""),66496681)</f>
        <v>66496681</v>
      </c>
    </row>
    <row r="353" spans="1:6" ht="12.6">
      <c r="A353" s="2">
        <f ca="1">IFERROR(__xludf.DUMMYFUNCTION("""COMPUTED_VALUE"""),45072.6666666666)</f>
        <v>45072.666666666599</v>
      </c>
      <c r="B353" s="1">
        <f ca="1">IFERROR(__xludf.DUMMYFUNCTION("""COMPUTED_VALUE"""),116.04)</f>
        <v>116.04</v>
      </c>
      <c r="C353" s="1">
        <f ca="1">IFERROR(__xludf.DUMMYFUNCTION("""COMPUTED_VALUE"""),121.5)</f>
        <v>121.5</v>
      </c>
      <c r="D353" s="1">
        <f ca="1">IFERROR(__xludf.DUMMYFUNCTION("""COMPUTED_VALUE"""),116.02)</f>
        <v>116.02</v>
      </c>
      <c r="E353" s="1">
        <f ca="1">IFERROR(__xludf.DUMMYFUNCTION("""COMPUTED_VALUE"""),120.11)</f>
        <v>120.11</v>
      </c>
      <c r="F353" s="1">
        <f ca="1">IFERROR(__xludf.DUMMYFUNCTION("""COMPUTED_VALUE"""),96779889)</f>
        <v>96779889</v>
      </c>
    </row>
    <row r="354" spans="1:6" ht="12.6">
      <c r="A354" s="2">
        <f ca="1">IFERROR(__xludf.DUMMYFUNCTION("""COMPUTED_VALUE"""),45076.6666666666)</f>
        <v>45076.666666666599</v>
      </c>
      <c r="B354" s="1">
        <f ca="1">IFERROR(__xludf.DUMMYFUNCTION("""COMPUTED_VALUE"""),122.37)</f>
        <v>122.37</v>
      </c>
      <c r="C354" s="1">
        <f ca="1">IFERROR(__xludf.DUMMYFUNCTION("""COMPUTED_VALUE"""),122.92)</f>
        <v>122.92</v>
      </c>
      <c r="D354" s="1">
        <f ca="1">IFERROR(__xludf.DUMMYFUNCTION("""COMPUTED_VALUE"""),119.86)</f>
        <v>119.86</v>
      </c>
      <c r="E354" s="1">
        <f ca="1">IFERROR(__xludf.DUMMYFUNCTION("""COMPUTED_VALUE"""),121.66)</f>
        <v>121.66</v>
      </c>
      <c r="F354" s="1">
        <f ca="1">IFERROR(__xludf.DUMMYFUNCTION("""COMPUTED_VALUE"""),64314808)</f>
        <v>64314808</v>
      </c>
    </row>
    <row r="355" spans="1:6" ht="12.6">
      <c r="A355" s="2">
        <f ca="1">IFERROR(__xludf.DUMMYFUNCTION("""COMPUTED_VALUE"""),45077.6666666666)</f>
        <v>45077.666666666599</v>
      </c>
      <c r="B355" s="1">
        <f ca="1">IFERROR(__xludf.DUMMYFUNCTION("""COMPUTED_VALUE"""),121.45)</f>
        <v>121.45</v>
      </c>
      <c r="C355" s="1">
        <f ca="1">IFERROR(__xludf.DUMMYFUNCTION("""COMPUTED_VALUE"""),122.04)</f>
        <v>122.04</v>
      </c>
      <c r="D355" s="1">
        <f ca="1">IFERROR(__xludf.DUMMYFUNCTION("""COMPUTED_VALUE"""),119.17)</f>
        <v>119.17</v>
      </c>
      <c r="E355" s="1">
        <f ca="1">IFERROR(__xludf.DUMMYFUNCTION("""COMPUTED_VALUE"""),120.58)</f>
        <v>120.58</v>
      </c>
      <c r="F355" s="1">
        <f ca="1">IFERROR(__xludf.DUMMYFUNCTION("""COMPUTED_VALUE"""),72800787)</f>
        <v>72800787</v>
      </c>
    </row>
    <row r="356" spans="1:6" ht="12.6">
      <c r="A356" s="2">
        <f ca="1">IFERROR(__xludf.DUMMYFUNCTION("""COMPUTED_VALUE"""),45078.6666666666)</f>
        <v>45078.666666666599</v>
      </c>
      <c r="B356" s="1">
        <f ca="1">IFERROR(__xludf.DUMMYFUNCTION("""COMPUTED_VALUE"""),120.69)</f>
        <v>120.69</v>
      </c>
      <c r="C356" s="1">
        <f ca="1">IFERROR(__xludf.DUMMYFUNCTION("""COMPUTED_VALUE"""),123.49)</f>
        <v>123.49</v>
      </c>
      <c r="D356" s="1">
        <f ca="1">IFERROR(__xludf.DUMMYFUNCTION("""COMPUTED_VALUE"""),119.93)</f>
        <v>119.93</v>
      </c>
      <c r="E356" s="1">
        <f ca="1">IFERROR(__xludf.DUMMYFUNCTION("""COMPUTED_VALUE"""),122.77)</f>
        <v>122.77</v>
      </c>
      <c r="F356" s="1">
        <f ca="1">IFERROR(__xludf.DUMMYFUNCTION("""COMPUTED_VALUE"""),54375131)</f>
        <v>54375131</v>
      </c>
    </row>
    <row r="357" spans="1:6" ht="12.6">
      <c r="A357" s="2">
        <f ca="1">IFERROR(__xludf.DUMMYFUNCTION("""COMPUTED_VALUE"""),45079.6666666666)</f>
        <v>45079.666666666599</v>
      </c>
      <c r="B357" s="1">
        <f ca="1">IFERROR(__xludf.DUMMYFUNCTION("""COMPUTED_VALUE"""),124.92)</f>
        <v>124.92</v>
      </c>
      <c r="C357" s="1">
        <f ca="1">IFERROR(__xludf.DUMMYFUNCTION("""COMPUTED_VALUE"""),126.39)</f>
        <v>126.39</v>
      </c>
      <c r="D357" s="1">
        <f ca="1">IFERROR(__xludf.DUMMYFUNCTION("""COMPUTED_VALUE"""),124.02)</f>
        <v>124.02</v>
      </c>
      <c r="E357" s="1">
        <f ca="1">IFERROR(__xludf.DUMMYFUNCTION("""COMPUTED_VALUE"""),124.25)</f>
        <v>124.25</v>
      </c>
      <c r="F357" s="1">
        <f ca="1">IFERROR(__xludf.DUMMYFUNCTION("""COMPUTED_VALUE"""),61264414)</f>
        <v>61264414</v>
      </c>
    </row>
    <row r="358" spans="1:6" ht="12.6">
      <c r="A358" s="2">
        <f ca="1">IFERROR(__xludf.DUMMYFUNCTION("""COMPUTED_VALUE"""),45082.6666666666)</f>
        <v>45082.666666666599</v>
      </c>
      <c r="B358" s="1">
        <f ca="1">IFERROR(__xludf.DUMMYFUNCTION("""COMPUTED_VALUE"""),123.36)</f>
        <v>123.36</v>
      </c>
      <c r="C358" s="1">
        <f ca="1">IFERROR(__xludf.DUMMYFUNCTION("""COMPUTED_VALUE"""),125.8)</f>
        <v>125.8</v>
      </c>
      <c r="D358" s="1">
        <f ca="1">IFERROR(__xludf.DUMMYFUNCTION("""COMPUTED_VALUE"""),123.03)</f>
        <v>123.03</v>
      </c>
      <c r="E358" s="1">
        <f ca="1">IFERROR(__xludf.DUMMYFUNCTION("""COMPUTED_VALUE"""),125.3)</f>
        <v>125.3</v>
      </c>
      <c r="F358" s="1">
        <f ca="1">IFERROR(__xludf.DUMMYFUNCTION("""COMPUTED_VALUE"""),47950128)</f>
        <v>47950128</v>
      </c>
    </row>
    <row r="359" spans="1:6" ht="12.6">
      <c r="A359" s="2">
        <f ca="1">IFERROR(__xludf.DUMMYFUNCTION("""COMPUTED_VALUE"""),45083.6666666666)</f>
        <v>45083.666666666599</v>
      </c>
      <c r="B359" s="1">
        <f ca="1">IFERROR(__xludf.DUMMYFUNCTION("""COMPUTED_VALUE"""),125.07)</f>
        <v>125.07</v>
      </c>
      <c r="C359" s="1">
        <f ca="1">IFERROR(__xludf.DUMMYFUNCTION("""COMPUTED_VALUE"""),127.4)</f>
        <v>127.4</v>
      </c>
      <c r="D359" s="1">
        <f ca="1">IFERROR(__xludf.DUMMYFUNCTION("""COMPUTED_VALUE"""),125)</f>
        <v>125</v>
      </c>
      <c r="E359" s="1">
        <f ca="1">IFERROR(__xludf.DUMMYFUNCTION("""COMPUTED_VALUE"""),126.61)</f>
        <v>126.61</v>
      </c>
      <c r="F359" s="1">
        <f ca="1">IFERROR(__xludf.DUMMYFUNCTION("""COMPUTED_VALUE"""),45695212)</f>
        <v>45695212</v>
      </c>
    </row>
    <row r="360" spans="1:6" ht="12.6">
      <c r="A360" s="2">
        <f ca="1">IFERROR(__xludf.DUMMYFUNCTION("""COMPUTED_VALUE"""),45084.6666666666)</f>
        <v>45084.666666666599</v>
      </c>
      <c r="B360" s="1">
        <f ca="1">IFERROR(__xludf.DUMMYFUNCTION("""COMPUTED_VALUE"""),127.01)</f>
        <v>127.01</v>
      </c>
      <c r="C360" s="1">
        <f ca="1">IFERROR(__xludf.DUMMYFUNCTION("""COMPUTED_VALUE"""),127.37)</f>
        <v>127.37</v>
      </c>
      <c r="D360" s="1">
        <f ca="1">IFERROR(__xludf.DUMMYFUNCTION("""COMPUTED_VALUE"""),120.63)</f>
        <v>120.63</v>
      </c>
      <c r="E360" s="1">
        <f ca="1">IFERROR(__xludf.DUMMYFUNCTION("""COMPUTED_VALUE"""),121.23)</f>
        <v>121.23</v>
      </c>
      <c r="F360" s="1">
        <f ca="1">IFERROR(__xludf.DUMMYFUNCTION("""COMPUTED_VALUE"""),95663275)</f>
        <v>95663275</v>
      </c>
    </row>
    <row r="361" spans="1:6" ht="12.6">
      <c r="A361" s="2">
        <f ca="1">IFERROR(__xludf.DUMMYFUNCTION("""COMPUTED_VALUE"""),45085.6666666666)</f>
        <v>45085.666666666599</v>
      </c>
      <c r="B361" s="1">
        <f ca="1">IFERROR(__xludf.DUMMYFUNCTION("""COMPUTED_VALUE"""),123.01)</f>
        <v>123.01</v>
      </c>
      <c r="C361" s="1">
        <f ca="1">IFERROR(__xludf.DUMMYFUNCTION("""COMPUTED_VALUE"""),125.63)</f>
        <v>125.63</v>
      </c>
      <c r="D361" s="1">
        <f ca="1">IFERROR(__xludf.DUMMYFUNCTION("""COMPUTED_VALUE"""),122.26)</f>
        <v>122.26</v>
      </c>
      <c r="E361" s="1">
        <f ca="1">IFERROR(__xludf.DUMMYFUNCTION("""COMPUTED_VALUE"""),124.25)</f>
        <v>124.25</v>
      </c>
      <c r="F361" s="1">
        <f ca="1">IFERROR(__xludf.DUMMYFUNCTION("""COMPUTED_VALUE"""),62159270)</f>
        <v>62159270</v>
      </c>
    </row>
    <row r="362" spans="1:6" ht="12.6">
      <c r="A362" s="2">
        <f ca="1">IFERROR(__xludf.DUMMYFUNCTION("""COMPUTED_VALUE"""),45086.6666666666)</f>
        <v>45086.666666666599</v>
      </c>
      <c r="B362" s="1">
        <f ca="1">IFERROR(__xludf.DUMMYFUNCTION("""COMPUTED_VALUE"""),124.08)</f>
        <v>124.08</v>
      </c>
      <c r="C362" s="1">
        <f ca="1">IFERROR(__xludf.DUMMYFUNCTION("""COMPUTED_VALUE"""),125.8)</f>
        <v>125.8</v>
      </c>
      <c r="D362" s="1">
        <f ca="1">IFERROR(__xludf.DUMMYFUNCTION("""COMPUTED_VALUE"""),123.19)</f>
        <v>123.19</v>
      </c>
      <c r="E362" s="1">
        <f ca="1">IFERROR(__xludf.DUMMYFUNCTION("""COMPUTED_VALUE"""),123.43)</f>
        <v>123.43</v>
      </c>
      <c r="F362" s="1">
        <f ca="1">IFERROR(__xludf.DUMMYFUNCTION("""COMPUTED_VALUE"""),51396018)</f>
        <v>51396018</v>
      </c>
    </row>
    <row r="363" spans="1:6" ht="12.6">
      <c r="A363" s="2">
        <f ca="1">IFERROR(__xludf.DUMMYFUNCTION("""COMPUTED_VALUE"""),45089.6666666666)</f>
        <v>45089.666666666599</v>
      </c>
      <c r="B363" s="1">
        <f ca="1">IFERROR(__xludf.DUMMYFUNCTION("""COMPUTED_VALUE"""),124.02)</f>
        <v>124.02</v>
      </c>
      <c r="C363" s="1">
        <f ca="1">IFERROR(__xludf.DUMMYFUNCTION("""COMPUTED_VALUE"""),126.78)</f>
        <v>126.78</v>
      </c>
      <c r="D363" s="1">
        <f ca="1">IFERROR(__xludf.DUMMYFUNCTION("""COMPUTED_VALUE"""),123.53)</f>
        <v>123.53</v>
      </c>
      <c r="E363" s="1">
        <f ca="1">IFERROR(__xludf.DUMMYFUNCTION("""COMPUTED_VALUE"""),126.57)</f>
        <v>126.57</v>
      </c>
      <c r="F363" s="1">
        <f ca="1">IFERROR(__xludf.DUMMYFUNCTION("""COMPUTED_VALUE"""),51473376)</f>
        <v>51473376</v>
      </c>
    </row>
    <row r="364" spans="1:6" ht="12.6">
      <c r="A364" s="2">
        <f ca="1">IFERROR(__xludf.DUMMYFUNCTION("""COMPUTED_VALUE"""),45090.6666666666)</f>
        <v>45090.666666666599</v>
      </c>
      <c r="B364" s="1">
        <f ca="1">IFERROR(__xludf.DUMMYFUNCTION("""COMPUTED_VALUE"""),128.12)</f>
        <v>128.12</v>
      </c>
      <c r="C364" s="1">
        <f ca="1">IFERROR(__xludf.DUMMYFUNCTION("""COMPUTED_VALUE"""),128.41)</f>
        <v>128.41</v>
      </c>
      <c r="D364" s="1">
        <f ca="1">IFERROR(__xludf.DUMMYFUNCTION("""COMPUTED_VALUE"""),125.18)</f>
        <v>125.18</v>
      </c>
      <c r="E364" s="1">
        <f ca="1">IFERROR(__xludf.DUMMYFUNCTION("""COMPUTED_VALUE"""),126.66)</f>
        <v>126.66</v>
      </c>
      <c r="F364" s="1">
        <f ca="1">IFERROR(__xludf.DUMMYFUNCTION("""COMPUTED_VALUE"""),50564785)</f>
        <v>50564785</v>
      </c>
    </row>
    <row r="365" spans="1:6" ht="12.6">
      <c r="A365" s="2">
        <f ca="1">IFERROR(__xludf.DUMMYFUNCTION("""COMPUTED_VALUE"""),45091.6666666666)</f>
        <v>45091.666666666599</v>
      </c>
      <c r="B365" s="1">
        <f ca="1">IFERROR(__xludf.DUMMYFUNCTION("""COMPUTED_VALUE"""),126.7)</f>
        <v>126.7</v>
      </c>
      <c r="C365" s="1">
        <f ca="1">IFERROR(__xludf.DUMMYFUNCTION("""COMPUTED_VALUE"""),126.95)</f>
        <v>126.95</v>
      </c>
      <c r="D365" s="1">
        <f ca="1">IFERROR(__xludf.DUMMYFUNCTION("""COMPUTED_VALUE"""),124.12)</f>
        <v>124.12</v>
      </c>
      <c r="E365" s="1">
        <f ca="1">IFERROR(__xludf.DUMMYFUNCTION("""COMPUTED_VALUE"""),126.42)</f>
        <v>126.42</v>
      </c>
      <c r="F365" s="1">
        <f ca="1">IFERROR(__xludf.DUMMYFUNCTION("""COMPUTED_VALUE"""),52422463)</f>
        <v>52422463</v>
      </c>
    </row>
    <row r="366" spans="1:6" ht="12.6">
      <c r="A366" s="2">
        <f ca="1">IFERROR(__xludf.DUMMYFUNCTION("""COMPUTED_VALUE"""),45092.6666666666)</f>
        <v>45092.666666666599</v>
      </c>
      <c r="B366" s="1">
        <f ca="1">IFERROR(__xludf.DUMMYFUNCTION("""COMPUTED_VALUE"""),125.21)</f>
        <v>125.21</v>
      </c>
      <c r="C366" s="1">
        <f ca="1">IFERROR(__xludf.DUMMYFUNCTION("""COMPUTED_VALUE"""),127.69)</f>
        <v>127.69</v>
      </c>
      <c r="D366" s="1">
        <f ca="1">IFERROR(__xludf.DUMMYFUNCTION("""COMPUTED_VALUE"""),124.32)</f>
        <v>124.32</v>
      </c>
      <c r="E366" s="1">
        <f ca="1">IFERROR(__xludf.DUMMYFUNCTION("""COMPUTED_VALUE"""),127.11)</f>
        <v>127.11</v>
      </c>
      <c r="F366" s="1">
        <f ca="1">IFERROR(__xludf.DUMMYFUNCTION("""COMPUTED_VALUE"""),60458471)</f>
        <v>60458471</v>
      </c>
    </row>
    <row r="367" spans="1:6" ht="12.6">
      <c r="A367" s="2">
        <f ca="1">IFERROR(__xludf.DUMMYFUNCTION("""COMPUTED_VALUE"""),45093.6666666666)</f>
        <v>45093.666666666599</v>
      </c>
      <c r="B367" s="1">
        <f ca="1">IFERROR(__xludf.DUMMYFUNCTION("""COMPUTED_VALUE"""),127.71)</f>
        <v>127.71</v>
      </c>
      <c r="C367" s="1">
        <f ca="1">IFERROR(__xludf.DUMMYFUNCTION("""COMPUTED_VALUE"""),127.9)</f>
        <v>127.9</v>
      </c>
      <c r="D367" s="1">
        <f ca="1">IFERROR(__xludf.DUMMYFUNCTION("""COMPUTED_VALUE"""),125.3)</f>
        <v>125.3</v>
      </c>
      <c r="E367" s="1">
        <f ca="1">IFERROR(__xludf.DUMMYFUNCTION("""COMPUTED_VALUE"""),125.49)</f>
        <v>125.49</v>
      </c>
      <c r="F367" s="1">
        <f ca="1">IFERROR(__xludf.DUMMYFUNCTION("""COMPUTED_VALUE"""),84247104)</f>
        <v>84247104</v>
      </c>
    </row>
    <row r="368" spans="1:6" ht="12.6">
      <c r="A368" s="2">
        <f ca="1">IFERROR(__xludf.DUMMYFUNCTION("""COMPUTED_VALUE"""),45097.6666666666)</f>
        <v>45097.666666666599</v>
      </c>
      <c r="B368" s="1">
        <f ca="1">IFERROR(__xludf.DUMMYFUNCTION("""COMPUTED_VALUE"""),124.97)</f>
        <v>124.97</v>
      </c>
      <c r="C368" s="1">
        <f ca="1">IFERROR(__xludf.DUMMYFUNCTION("""COMPUTED_VALUE"""),127.25)</f>
        <v>127.25</v>
      </c>
      <c r="D368" s="1">
        <f ca="1">IFERROR(__xludf.DUMMYFUNCTION("""COMPUTED_VALUE"""),124.5)</f>
        <v>124.5</v>
      </c>
      <c r="E368" s="1">
        <f ca="1">IFERROR(__xludf.DUMMYFUNCTION("""COMPUTED_VALUE"""),125.78)</f>
        <v>125.78</v>
      </c>
      <c r="F368" s="1">
        <f ca="1">IFERROR(__xludf.DUMMYFUNCTION("""COMPUTED_VALUE"""),56930122)</f>
        <v>56930122</v>
      </c>
    </row>
    <row r="369" spans="1:6" ht="12.6">
      <c r="A369" s="2">
        <f ca="1">IFERROR(__xludf.DUMMYFUNCTION("""COMPUTED_VALUE"""),45098.6666666666)</f>
        <v>45098.666666666599</v>
      </c>
      <c r="B369" s="1">
        <f ca="1">IFERROR(__xludf.DUMMYFUNCTION("""COMPUTED_VALUE"""),125.64)</f>
        <v>125.64</v>
      </c>
      <c r="C369" s="1">
        <f ca="1">IFERROR(__xludf.DUMMYFUNCTION("""COMPUTED_VALUE"""),126.73)</f>
        <v>126.73</v>
      </c>
      <c r="D369" s="1">
        <f ca="1">IFERROR(__xludf.DUMMYFUNCTION("""COMPUTED_VALUE"""),123.85)</f>
        <v>123.85</v>
      </c>
      <c r="E369" s="1">
        <f ca="1">IFERROR(__xludf.DUMMYFUNCTION("""COMPUTED_VALUE"""),124.83)</f>
        <v>124.83</v>
      </c>
      <c r="F369" s="1">
        <f ca="1">IFERROR(__xludf.DUMMYFUNCTION("""COMPUTED_VALUE"""),52137670)</f>
        <v>52137670</v>
      </c>
    </row>
    <row r="370" spans="1:6" ht="12.6">
      <c r="A370" s="2">
        <f ca="1">IFERROR(__xludf.DUMMYFUNCTION("""COMPUTED_VALUE"""),45099.6666666666)</f>
        <v>45099.666666666599</v>
      </c>
      <c r="B370" s="1">
        <f ca="1">IFERROR(__xludf.DUMMYFUNCTION("""COMPUTED_VALUE"""),125.31)</f>
        <v>125.31</v>
      </c>
      <c r="C370" s="1">
        <f ca="1">IFERROR(__xludf.DUMMYFUNCTION("""COMPUTED_VALUE"""),130.33)</f>
        <v>130.33000000000001</v>
      </c>
      <c r="D370" s="1">
        <f ca="1">IFERROR(__xludf.DUMMYFUNCTION("""COMPUTED_VALUE"""),125.14)</f>
        <v>125.14</v>
      </c>
      <c r="E370" s="1">
        <f ca="1">IFERROR(__xludf.DUMMYFUNCTION("""COMPUTED_VALUE"""),130.15)</f>
        <v>130.15</v>
      </c>
      <c r="F370" s="1">
        <f ca="1">IFERROR(__xludf.DUMMYFUNCTION("""COMPUTED_VALUE"""),90354572)</f>
        <v>90354572</v>
      </c>
    </row>
    <row r="371" spans="1:6" ht="12.6">
      <c r="A371" s="2">
        <f ca="1">IFERROR(__xludf.DUMMYFUNCTION("""COMPUTED_VALUE"""),45100.6666666666)</f>
        <v>45100.666666666599</v>
      </c>
      <c r="B371" s="1">
        <f ca="1">IFERROR(__xludf.DUMMYFUNCTION("""COMPUTED_VALUE"""),129.11)</f>
        <v>129.11000000000001</v>
      </c>
      <c r="C371" s="1">
        <f ca="1">IFERROR(__xludf.DUMMYFUNCTION("""COMPUTED_VALUE"""),130.84)</f>
        <v>130.84</v>
      </c>
      <c r="D371" s="1">
        <f ca="1">IFERROR(__xludf.DUMMYFUNCTION("""COMPUTED_VALUE"""),128.28)</f>
        <v>128.28</v>
      </c>
      <c r="E371" s="1">
        <f ca="1">IFERROR(__xludf.DUMMYFUNCTION("""COMPUTED_VALUE"""),129.33)</f>
        <v>129.33000000000001</v>
      </c>
      <c r="F371" s="1">
        <f ca="1">IFERROR(__xludf.DUMMYFUNCTION("""COMPUTED_VALUE"""),71927776)</f>
        <v>71927776</v>
      </c>
    </row>
    <row r="372" spans="1:6" ht="12.6">
      <c r="A372" s="2">
        <f ca="1">IFERROR(__xludf.DUMMYFUNCTION("""COMPUTED_VALUE"""),45103.6666666666)</f>
        <v>45103.666666666599</v>
      </c>
      <c r="B372" s="1">
        <f ca="1">IFERROR(__xludf.DUMMYFUNCTION("""COMPUTED_VALUE"""),129.33)</f>
        <v>129.33000000000001</v>
      </c>
      <c r="C372" s="1">
        <f ca="1">IFERROR(__xludf.DUMMYFUNCTION("""COMPUTED_VALUE"""),131.49)</f>
        <v>131.49</v>
      </c>
      <c r="D372" s="1">
        <f ca="1">IFERROR(__xludf.DUMMYFUNCTION("""COMPUTED_VALUE"""),127.1)</f>
        <v>127.1</v>
      </c>
      <c r="E372" s="1">
        <f ca="1">IFERROR(__xludf.DUMMYFUNCTION("""COMPUTED_VALUE"""),127.33)</f>
        <v>127.33</v>
      </c>
      <c r="F372" s="1">
        <f ca="1">IFERROR(__xludf.DUMMYFUNCTION("""COMPUTED_VALUE"""),59989317)</f>
        <v>59989317</v>
      </c>
    </row>
    <row r="373" spans="1:6" ht="12.6">
      <c r="A373" s="2">
        <f ca="1">IFERROR(__xludf.DUMMYFUNCTION("""COMPUTED_VALUE"""),45104.6666666666)</f>
        <v>45104.666666666599</v>
      </c>
      <c r="B373" s="1">
        <f ca="1">IFERROR(__xludf.DUMMYFUNCTION("""COMPUTED_VALUE"""),128.63)</f>
        <v>128.63</v>
      </c>
      <c r="C373" s="1">
        <f ca="1">IFERROR(__xludf.DUMMYFUNCTION("""COMPUTED_VALUE"""),130.09)</f>
        <v>130.09</v>
      </c>
      <c r="D373" s="1">
        <f ca="1">IFERROR(__xludf.DUMMYFUNCTION("""COMPUTED_VALUE"""),127.55)</f>
        <v>127.55</v>
      </c>
      <c r="E373" s="1">
        <f ca="1">IFERROR(__xludf.DUMMYFUNCTION("""COMPUTED_VALUE"""),129.18)</f>
        <v>129.18</v>
      </c>
      <c r="F373" s="1">
        <f ca="1">IFERROR(__xludf.DUMMYFUNCTION("""COMPUTED_VALUE"""),46801008)</f>
        <v>46801008</v>
      </c>
    </row>
    <row r="374" spans="1:6" ht="12.6">
      <c r="A374" s="2">
        <f ca="1">IFERROR(__xludf.DUMMYFUNCTION("""COMPUTED_VALUE"""),45105.6666666666)</f>
        <v>45105.666666666599</v>
      </c>
      <c r="B374" s="1">
        <f ca="1">IFERROR(__xludf.DUMMYFUNCTION("""COMPUTED_VALUE"""),128.94)</f>
        <v>128.94</v>
      </c>
      <c r="C374" s="1">
        <f ca="1">IFERROR(__xludf.DUMMYFUNCTION("""COMPUTED_VALUE"""),131.48)</f>
        <v>131.47999999999999</v>
      </c>
      <c r="D374" s="1">
        <f ca="1">IFERROR(__xludf.DUMMYFUNCTION("""COMPUTED_VALUE"""),128.44)</f>
        <v>128.44</v>
      </c>
      <c r="E374" s="1">
        <f ca="1">IFERROR(__xludf.DUMMYFUNCTION("""COMPUTED_VALUE"""),129.04)</f>
        <v>129.04</v>
      </c>
      <c r="F374" s="1">
        <f ca="1">IFERROR(__xludf.DUMMYFUNCTION("""COMPUTED_VALUE"""),52149512)</f>
        <v>52149512</v>
      </c>
    </row>
    <row r="375" spans="1:6" ht="12.6">
      <c r="A375" s="2">
        <f ca="1">IFERROR(__xludf.DUMMYFUNCTION("""COMPUTED_VALUE"""),45106.6666666666)</f>
        <v>45106.666666666599</v>
      </c>
      <c r="B375" s="1">
        <f ca="1">IFERROR(__xludf.DUMMYFUNCTION("""COMPUTED_VALUE"""),128.77)</f>
        <v>128.77000000000001</v>
      </c>
      <c r="C375" s="1">
        <f ca="1">IFERROR(__xludf.DUMMYFUNCTION("""COMPUTED_VALUE"""),129.26)</f>
        <v>129.26</v>
      </c>
      <c r="D375" s="1">
        <f ca="1">IFERROR(__xludf.DUMMYFUNCTION("""COMPUTED_VALUE"""),127.26)</f>
        <v>127.26</v>
      </c>
      <c r="E375" s="1">
        <f ca="1">IFERROR(__xludf.DUMMYFUNCTION("""COMPUTED_VALUE"""),127.9)</f>
        <v>127.9</v>
      </c>
      <c r="F375" s="1">
        <f ca="1">IFERROR(__xludf.DUMMYFUNCTION("""COMPUTED_VALUE"""),40760959)</f>
        <v>40760959</v>
      </c>
    </row>
    <row r="376" spans="1:6" ht="12.6">
      <c r="A376" s="2">
        <f ca="1">IFERROR(__xludf.DUMMYFUNCTION("""COMPUTED_VALUE"""),45107.6666666666)</f>
        <v>45107.666666666599</v>
      </c>
      <c r="B376" s="1">
        <f ca="1">IFERROR(__xludf.DUMMYFUNCTION("""COMPUTED_VALUE"""),129.47)</f>
        <v>129.47</v>
      </c>
      <c r="C376" s="1">
        <f ca="1">IFERROR(__xludf.DUMMYFUNCTION("""COMPUTED_VALUE"""),131.25)</f>
        <v>131.25</v>
      </c>
      <c r="D376" s="1">
        <f ca="1">IFERROR(__xludf.DUMMYFUNCTION("""COMPUTED_VALUE"""),128.95)</f>
        <v>128.94999999999999</v>
      </c>
      <c r="E376" s="1">
        <f ca="1">IFERROR(__xludf.DUMMYFUNCTION("""COMPUTED_VALUE"""),130.36)</f>
        <v>130.36000000000001</v>
      </c>
      <c r="F376" s="1">
        <f ca="1">IFERROR(__xludf.DUMMYFUNCTION("""COMPUTED_VALUE"""),54350684)</f>
        <v>54350684</v>
      </c>
    </row>
    <row r="377" spans="1:6" ht="12.6">
      <c r="A377" s="2">
        <f ca="1">IFERROR(__xludf.DUMMYFUNCTION("""COMPUTED_VALUE"""),45110.5451388888)</f>
        <v>45110.545138888803</v>
      </c>
      <c r="B377" s="1">
        <f ca="1">IFERROR(__xludf.DUMMYFUNCTION("""COMPUTED_VALUE"""),130.82)</f>
        <v>130.82</v>
      </c>
      <c r="C377" s="1">
        <f ca="1">IFERROR(__xludf.DUMMYFUNCTION("""COMPUTED_VALUE"""),131.85)</f>
        <v>131.85</v>
      </c>
      <c r="D377" s="1">
        <f ca="1">IFERROR(__xludf.DUMMYFUNCTION("""COMPUTED_VALUE"""),130.07)</f>
        <v>130.07</v>
      </c>
      <c r="E377" s="1">
        <f ca="1">IFERROR(__xludf.DUMMYFUNCTION("""COMPUTED_VALUE"""),130.22)</f>
        <v>130.22</v>
      </c>
      <c r="F377" s="1">
        <f ca="1">IFERROR(__xludf.DUMMYFUNCTION("""COMPUTED_VALUE"""),28264785)</f>
        <v>28264785</v>
      </c>
    </row>
    <row r="378" spans="1:6" ht="12.6">
      <c r="A378" s="2">
        <f ca="1">IFERROR(__xludf.DUMMYFUNCTION("""COMPUTED_VALUE"""),45112.6666666666)</f>
        <v>45112.666666666599</v>
      </c>
      <c r="B378" s="1">
        <f ca="1">IFERROR(__xludf.DUMMYFUNCTION("""COMPUTED_VALUE"""),130.24)</f>
        <v>130.24</v>
      </c>
      <c r="C378" s="1">
        <f ca="1">IFERROR(__xludf.DUMMYFUNCTION("""COMPUTED_VALUE"""),131.4)</f>
        <v>131.4</v>
      </c>
      <c r="D378" s="1">
        <f ca="1">IFERROR(__xludf.DUMMYFUNCTION("""COMPUTED_VALUE"""),129.64)</f>
        <v>129.63999999999999</v>
      </c>
      <c r="E378" s="1">
        <f ca="1">IFERROR(__xludf.DUMMYFUNCTION("""COMPUTED_VALUE"""),130.38)</f>
        <v>130.38</v>
      </c>
      <c r="F378" s="1">
        <f ca="1">IFERROR(__xludf.DUMMYFUNCTION("""COMPUTED_VALUE"""),35895409)</f>
        <v>35895409</v>
      </c>
    </row>
    <row r="379" spans="1:6" ht="12.6">
      <c r="A379" s="2">
        <f ca="1">IFERROR(__xludf.DUMMYFUNCTION("""COMPUTED_VALUE"""),45113.6666666666)</f>
        <v>45113.666666666599</v>
      </c>
      <c r="B379" s="1">
        <f ca="1">IFERROR(__xludf.DUMMYFUNCTION("""COMPUTED_VALUE"""),128.25)</f>
        <v>128.25</v>
      </c>
      <c r="C379" s="1">
        <f ca="1">IFERROR(__xludf.DUMMYFUNCTION("""COMPUTED_VALUE"""),128.73)</f>
        <v>128.72999999999999</v>
      </c>
      <c r="D379" s="1">
        <f ca="1">IFERROR(__xludf.DUMMYFUNCTION("""COMPUTED_VALUE"""),127.37)</f>
        <v>127.37</v>
      </c>
      <c r="E379" s="1">
        <f ca="1">IFERROR(__xludf.DUMMYFUNCTION("""COMPUTED_VALUE"""),128.36)</f>
        <v>128.36000000000001</v>
      </c>
      <c r="F379" s="1">
        <f ca="1">IFERROR(__xludf.DUMMYFUNCTION("""COMPUTED_VALUE"""),40697848)</f>
        <v>40697848</v>
      </c>
    </row>
    <row r="380" spans="1:6" ht="12.6">
      <c r="A380" s="2">
        <f ca="1">IFERROR(__xludf.DUMMYFUNCTION("""COMPUTED_VALUE"""),45114.6666666666)</f>
        <v>45114.666666666599</v>
      </c>
      <c r="B380" s="1">
        <f ca="1">IFERROR(__xludf.DUMMYFUNCTION("""COMPUTED_VALUE"""),128.59)</f>
        <v>128.59</v>
      </c>
      <c r="C380" s="1">
        <f ca="1">IFERROR(__xludf.DUMMYFUNCTION("""COMPUTED_VALUE"""),130.97)</f>
        <v>130.97</v>
      </c>
      <c r="D380" s="1">
        <f ca="1">IFERROR(__xludf.DUMMYFUNCTION("""COMPUTED_VALUE"""),128.13)</f>
        <v>128.13</v>
      </c>
      <c r="E380" s="1">
        <f ca="1">IFERROR(__xludf.DUMMYFUNCTION("""COMPUTED_VALUE"""),129.78)</f>
        <v>129.78</v>
      </c>
      <c r="F380" s="1">
        <f ca="1">IFERROR(__xludf.DUMMYFUNCTION("""COMPUTED_VALUE"""),41992251)</f>
        <v>41992251</v>
      </c>
    </row>
    <row r="381" spans="1:6" ht="12.6">
      <c r="A381" s="2">
        <f ca="1">IFERROR(__xludf.DUMMYFUNCTION("""COMPUTED_VALUE"""),45117.6666666666)</f>
        <v>45117.666666666599</v>
      </c>
      <c r="B381" s="1">
        <f ca="1">IFERROR(__xludf.DUMMYFUNCTION("""COMPUTED_VALUE"""),129.07)</f>
        <v>129.07</v>
      </c>
      <c r="C381" s="1">
        <f ca="1">IFERROR(__xludf.DUMMYFUNCTION("""COMPUTED_VALUE"""),129.28)</f>
        <v>129.28</v>
      </c>
      <c r="D381" s="1">
        <f ca="1">IFERROR(__xludf.DUMMYFUNCTION("""COMPUTED_VALUE"""),125.92)</f>
        <v>125.92</v>
      </c>
      <c r="E381" s="1">
        <f ca="1">IFERROR(__xludf.DUMMYFUNCTION("""COMPUTED_VALUE"""),127.13)</f>
        <v>127.13</v>
      </c>
      <c r="F381" s="1">
        <f ca="1">IFERROR(__xludf.DUMMYFUNCTION("""COMPUTED_VALUE"""),61889289)</f>
        <v>61889289</v>
      </c>
    </row>
    <row r="382" spans="1:6" ht="12.6">
      <c r="A382" s="2">
        <f ca="1">IFERROR(__xludf.DUMMYFUNCTION("""COMPUTED_VALUE"""),45118.6666666666)</f>
        <v>45118.666666666599</v>
      </c>
      <c r="B382" s="1">
        <f ca="1">IFERROR(__xludf.DUMMYFUNCTION("""COMPUTED_VALUE"""),127.75)</f>
        <v>127.75</v>
      </c>
      <c r="C382" s="1">
        <f ca="1">IFERROR(__xludf.DUMMYFUNCTION("""COMPUTED_VALUE"""),129.77)</f>
        <v>129.77000000000001</v>
      </c>
      <c r="D382" s="1">
        <f ca="1">IFERROR(__xludf.DUMMYFUNCTION("""COMPUTED_VALUE"""),127.35)</f>
        <v>127.35</v>
      </c>
      <c r="E382" s="1">
        <f ca="1">IFERROR(__xludf.DUMMYFUNCTION("""COMPUTED_VALUE"""),128.78)</f>
        <v>128.78</v>
      </c>
      <c r="F382" s="1">
        <f ca="1">IFERROR(__xludf.DUMMYFUNCTION("""COMPUTED_VALUE"""),49951460)</f>
        <v>49951460</v>
      </c>
    </row>
    <row r="383" spans="1:6" ht="12.6">
      <c r="A383" s="2">
        <f ca="1">IFERROR(__xludf.DUMMYFUNCTION("""COMPUTED_VALUE"""),45119.6666666666)</f>
        <v>45119.666666666599</v>
      </c>
      <c r="B383" s="1">
        <f ca="1">IFERROR(__xludf.DUMMYFUNCTION("""COMPUTED_VALUE"""),130.31)</f>
        <v>130.31</v>
      </c>
      <c r="C383" s="1">
        <f ca="1">IFERROR(__xludf.DUMMYFUNCTION("""COMPUTED_VALUE"""),131.26)</f>
        <v>131.26</v>
      </c>
      <c r="D383" s="1">
        <f ca="1">IFERROR(__xludf.DUMMYFUNCTION("""COMPUTED_VALUE"""),128.83)</f>
        <v>128.83000000000001</v>
      </c>
      <c r="E383" s="1">
        <f ca="1">IFERROR(__xludf.DUMMYFUNCTION("""COMPUTED_VALUE"""),130.8)</f>
        <v>130.80000000000001</v>
      </c>
      <c r="F383" s="1">
        <f ca="1">IFERROR(__xludf.DUMMYFUNCTION("""COMPUTED_VALUE"""),54022847)</f>
        <v>54022847</v>
      </c>
    </row>
    <row r="384" spans="1:6" ht="12.6">
      <c r="A384" s="2">
        <f ca="1">IFERROR(__xludf.DUMMYFUNCTION("""COMPUTED_VALUE"""),45120.6666666666)</f>
        <v>45120.666666666599</v>
      </c>
      <c r="B384" s="1">
        <f ca="1">IFERROR(__xludf.DUMMYFUNCTION("""COMPUTED_VALUE"""),134.04)</f>
        <v>134.04</v>
      </c>
      <c r="C384" s="1">
        <f ca="1">IFERROR(__xludf.DUMMYFUNCTION("""COMPUTED_VALUE"""),134.67)</f>
        <v>134.66999999999999</v>
      </c>
      <c r="D384" s="1">
        <f ca="1">IFERROR(__xludf.DUMMYFUNCTION("""COMPUTED_VALUE"""),132.71)</f>
        <v>132.71</v>
      </c>
      <c r="E384" s="1">
        <f ca="1">IFERROR(__xludf.DUMMYFUNCTION("""COMPUTED_VALUE"""),134.3)</f>
        <v>134.30000000000001</v>
      </c>
      <c r="F384" s="1">
        <f ca="1">IFERROR(__xludf.DUMMYFUNCTION("""COMPUTED_VALUE"""),61170883)</f>
        <v>61170883</v>
      </c>
    </row>
    <row r="385" spans="1:6" ht="12.6">
      <c r="A385" s="2">
        <f ca="1">IFERROR(__xludf.DUMMYFUNCTION("""COMPUTED_VALUE"""),45121.6666666666)</f>
        <v>45121.666666666599</v>
      </c>
      <c r="B385" s="1">
        <f ca="1">IFERROR(__xludf.DUMMYFUNCTION("""COMPUTED_VALUE"""),134.06)</f>
        <v>134.06</v>
      </c>
      <c r="C385" s="1">
        <f ca="1">IFERROR(__xludf.DUMMYFUNCTION("""COMPUTED_VALUE"""),136.65)</f>
        <v>136.65</v>
      </c>
      <c r="D385" s="1">
        <f ca="1">IFERROR(__xludf.DUMMYFUNCTION("""COMPUTED_VALUE"""),134.06)</f>
        <v>134.06</v>
      </c>
      <c r="E385" s="1">
        <f ca="1">IFERROR(__xludf.DUMMYFUNCTION("""COMPUTED_VALUE"""),134.68)</f>
        <v>134.68</v>
      </c>
      <c r="F385" s="1">
        <f ca="1">IFERROR(__xludf.DUMMYFUNCTION("""COMPUTED_VALUE"""),54487090)</f>
        <v>54487090</v>
      </c>
    </row>
    <row r="386" spans="1:6" ht="12.6">
      <c r="A386" s="2">
        <f ca="1">IFERROR(__xludf.DUMMYFUNCTION("""COMPUTED_VALUE"""),45124.6666666666)</f>
        <v>45124.666666666599</v>
      </c>
      <c r="B386" s="1">
        <f ca="1">IFERROR(__xludf.DUMMYFUNCTION("""COMPUTED_VALUE"""),134.56)</f>
        <v>134.56</v>
      </c>
      <c r="C386" s="1">
        <f ca="1">IFERROR(__xludf.DUMMYFUNCTION("""COMPUTED_VALUE"""),135.62)</f>
        <v>135.62</v>
      </c>
      <c r="D386" s="1">
        <f ca="1">IFERROR(__xludf.DUMMYFUNCTION("""COMPUTED_VALUE"""),133.21)</f>
        <v>133.21</v>
      </c>
      <c r="E386" s="1">
        <f ca="1">IFERROR(__xludf.DUMMYFUNCTION("""COMPUTED_VALUE"""),133.56)</f>
        <v>133.56</v>
      </c>
      <c r="F386" s="1">
        <f ca="1">IFERROR(__xludf.DUMMYFUNCTION("""COMPUTED_VALUE"""),48450198)</f>
        <v>48450198</v>
      </c>
    </row>
    <row r="387" spans="1:6" ht="12.6">
      <c r="A387" s="2">
        <f ca="1">IFERROR(__xludf.DUMMYFUNCTION("""COMPUTED_VALUE"""),45125.6666666666)</f>
        <v>45125.666666666599</v>
      </c>
      <c r="B387" s="1">
        <f ca="1">IFERROR(__xludf.DUMMYFUNCTION("""COMPUTED_VALUE"""),132.71)</f>
        <v>132.71</v>
      </c>
      <c r="C387" s="1">
        <f ca="1">IFERROR(__xludf.DUMMYFUNCTION("""COMPUTED_VALUE"""),133.86)</f>
        <v>133.86000000000001</v>
      </c>
      <c r="D387" s="1">
        <f ca="1">IFERROR(__xludf.DUMMYFUNCTION("""COMPUTED_VALUE"""),131.35)</f>
        <v>131.35</v>
      </c>
      <c r="E387" s="1">
        <f ca="1">IFERROR(__xludf.DUMMYFUNCTION("""COMPUTED_VALUE"""),132.83)</f>
        <v>132.83000000000001</v>
      </c>
      <c r="F387" s="1">
        <f ca="1">IFERROR(__xludf.DUMMYFUNCTION("""COMPUTED_VALUE"""),54969133)</f>
        <v>54969133</v>
      </c>
    </row>
    <row r="388" spans="1:6" ht="12.6">
      <c r="A388" s="2">
        <f ca="1">IFERROR(__xludf.DUMMYFUNCTION("""COMPUTED_VALUE"""),45126.6666666666)</f>
        <v>45126.666666666599</v>
      </c>
      <c r="B388" s="1">
        <f ca="1">IFERROR(__xludf.DUMMYFUNCTION("""COMPUTED_VALUE"""),133.39)</f>
        <v>133.38999999999999</v>
      </c>
      <c r="C388" s="1">
        <f ca="1">IFERROR(__xludf.DUMMYFUNCTION("""COMPUTED_VALUE"""),135.99)</f>
        <v>135.99</v>
      </c>
      <c r="D388" s="1">
        <f ca="1">IFERROR(__xludf.DUMMYFUNCTION("""COMPUTED_VALUE"""),132.53)</f>
        <v>132.53</v>
      </c>
      <c r="E388" s="1">
        <f ca="1">IFERROR(__xludf.DUMMYFUNCTION("""COMPUTED_VALUE"""),135.36)</f>
        <v>135.36000000000001</v>
      </c>
      <c r="F388" s="1">
        <f ca="1">IFERROR(__xludf.DUMMYFUNCTION("""COMPUTED_VALUE"""),54531037)</f>
        <v>54531037</v>
      </c>
    </row>
    <row r="389" spans="1:6" ht="12.6">
      <c r="A389" s="2">
        <f ca="1">IFERROR(__xludf.DUMMYFUNCTION("""COMPUTED_VALUE"""),45127.6666666666)</f>
        <v>45127.666666666599</v>
      </c>
      <c r="B389" s="1">
        <f ca="1">IFERROR(__xludf.DUMMYFUNCTION("""COMPUTED_VALUE"""),134.07)</f>
        <v>134.07</v>
      </c>
      <c r="C389" s="1">
        <f ca="1">IFERROR(__xludf.DUMMYFUNCTION("""COMPUTED_VALUE"""),134.79)</f>
        <v>134.79</v>
      </c>
      <c r="D389" s="1">
        <f ca="1">IFERROR(__xludf.DUMMYFUNCTION("""COMPUTED_VALUE"""),129.33)</f>
        <v>129.33000000000001</v>
      </c>
      <c r="E389" s="1">
        <f ca="1">IFERROR(__xludf.DUMMYFUNCTION("""COMPUTED_VALUE"""),129.96)</f>
        <v>129.96</v>
      </c>
      <c r="F389" s="1">
        <f ca="1">IFERROR(__xludf.DUMMYFUNCTION("""COMPUTED_VALUE"""),59820579)</f>
        <v>59820579</v>
      </c>
    </row>
    <row r="390" spans="1:6" ht="12.6">
      <c r="A390" s="2">
        <f ca="1">IFERROR(__xludf.DUMMYFUNCTION("""COMPUTED_VALUE"""),45128.6666666666)</f>
        <v>45128.666666666599</v>
      </c>
      <c r="B390" s="1">
        <f ca="1">IFERROR(__xludf.DUMMYFUNCTION("""COMPUTED_VALUE"""),131.34)</f>
        <v>131.34</v>
      </c>
      <c r="C390" s="1">
        <f ca="1">IFERROR(__xludf.DUMMYFUNCTION("""COMPUTED_VALUE"""),131.37)</f>
        <v>131.37</v>
      </c>
      <c r="D390" s="1">
        <f ca="1">IFERROR(__xludf.DUMMYFUNCTION("""COMPUTED_VALUE"""),128.42)</f>
        <v>128.41999999999999</v>
      </c>
      <c r="E390" s="1">
        <f ca="1">IFERROR(__xludf.DUMMYFUNCTION("""COMPUTED_VALUE"""),130)</f>
        <v>130</v>
      </c>
      <c r="F390" s="1">
        <f ca="1">IFERROR(__xludf.DUMMYFUNCTION("""COMPUTED_VALUE"""),133307294)</f>
        <v>133307294</v>
      </c>
    </row>
    <row r="391" spans="1:6" ht="12.6">
      <c r="A391" s="2">
        <f ca="1">IFERROR(__xludf.DUMMYFUNCTION("""COMPUTED_VALUE"""),45131.6666666666)</f>
        <v>45131.666666666599</v>
      </c>
      <c r="B391" s="1">
        <f ca="1">IFERROR(__xludf.DUMMYFUNCTION("""COMPUTED_VALUE"""),130.31)</f>
        <v>130.31</v>
      </c>
      <c r="C391" s="1">
        <f ca="1">IFERROR(__xludf.DUMMYFUNCTION("""COMPUTED_VALUE"""),131.66)</f>
        <v>131.66</v>
      </c>
      <c r="D391" s="1">
        <f ca="1">IFERROR(__xludf.DUMMYFUNCTION("""COMPUTED_VALUE"""),128.35)</f>
        <v>128.35</v>
      </c>
      <c r="E391" s="1">
        <f ca="1">IFERROR(__xludf.DUMMYFUNCTION("""COMPUTED_VALUE"""),128.8)</f>
        <v>128.80000000000001</v>
      </c>
      <c r="F391" s="1">
        <f ca="1">IFERROR(__xludf.DUMMYFUNCTION("""COMPUTED_VALUE"""),45671535)</f>
        <v>45671535</v>
      </c>
    </row>
    <row r="392" spans="1:6" ht="12.6">
      <c r="A392" s="2">
        <f ca="1">IFERROR(__xludf.DUMMYFUNCTION("""COMPUTED_VALUE"""),45132.6666666666)</f>
        <v>45132.666666666599</v>
      </c>
      <c r="B392" s="1">
        <f ca="1">IFERROR(__xludf.DUMMYFUNCTION("""COMPUTED_VALUE"""),129.31)</f>
        <v>129.31</v>
      </c>
      <c r="C392" s="1">
        <f ca="1">IFERROR(__xludf.DUMMYFUNCTION("""COMPUTED_VALUE"""),129.58)</f>
        <v>129.58000000000001</v>
      </c>
      <c r="D392" s="1">
        <f ca="1">IFERROR(__xludf.DUMMYFUNCTION("""COMPUTED_VALUE"""),128.53)</f>
        <v>128.53</v>
      </c>
      <c r="E392" s="1">
        <f ca="1">IFERROR(__xludf.DUMMYFUNCTION("""COMPUTED_VALUE"""),129.13)</f>
        <v>129.13</v>
      </c>
      <c r="F392" s="1">
        <f ca="1">IFERROR(__xludf.DUMMYFUNCTION("""COMPUTED_VALUE"""),39236663)</f>
        <v>39236663</v>
      </c>
    </row>
    <row r="393" spans="1:6" ht="12.6">
      <c r="A393" s="2">
        <f ca="1">IFERROR(__xludf.DUMMYFUNCTION("""COMPUTED_VALUE"""),45133.6666666666)</f>
        <v>45133.666666666599</v>
      </c>
      <c r="B393" s="1">
        <f ca="1">IFERROR(__xludf.DUMMYFUNCTION("""COMPUTED_VALUE"""),126.51)</f>
        <v>126.51</v>
      </c>
      <c r="C393" s="1">
        <f ca="1">IFERROR(__xludf.DUMMYFUNCTION("""COMPUTED_VALUE"""),129.08)</f>
        <v>129.08000000000001</v>
      </c>
      <c r="D393" s="1">
        <f ca="1">IFERROR(__xludf.DUMMYFUNCTION("""COMPUTED_VALUE"""),126.11)</f>
        <v>126.11</v>
      </c>
      <c r="E393" s="1">
        <f ca="1">IFERROR(__xludf.DUMMYFUNCTION("""COMPUTED_VALUE"""),128.15)</f>
        <v>128.15</v>
      </c>
      <c r="F393" s="1">
        <f ca="1">IFERROR(__xludf.DUMMYFUNCTION("""COMPUTED_VALUE"""),53910087)</f>
        <v>53910087</v>
      </c>
    </row>
    <row r="394" spans="1:6" ht="12.6">
      <c r="A394" s="2">
        <f ca="1">IFERROR(__xludf.DUMMYFUNCTION("""COMPUTED_VALUE"""),45134.6666666666)</f>
        <v>45134.666666666599</v>
      </c>
      <c r="B394" s="1">
        <f ca="1">IFERROR(__xludf.DUMMYFUNCTION("""COMPUTED_VALUE"""),131)</f>
        <v>131</v>
      </c>
      <c r="C394" s="1">
        <f ca="1">IFERROR(__xludf.DUMMYFUNCTION("""COMPUTED_VALUE"""),132.63)</f>
        <v>132.63</v>
      </c>
      <c r="D394" s="1">
        <f ca="1">IFERROR(__xludf.DUMMYFUNCTION("""COMPUTED_VALUE"""),127.79)</f>
        <v>127.79</v>
      </c>
      <c r="E394" s="1">
        <f ca="1">IFERROR(__xludf.DUMMYFUNCTION("""COMPUTED_VALUE"""),128.25)</f>
        <v>128.25</v>
      </c>
      <c r="F394" s="1">
        <f ca="1">IFERROR(__xludf.DUMMYFUNCTION("""COMPUTED_VALUE"""),52610661)</f>
        <v>52610661</v>
      </c>
    </row>
    <row r="395" spans="1:6" ht="12.6">
      <c r="A395" s="2">
        <f ca="1">IFERROR(__xludf.DUMMYFUNCTION("""COMPUTED_VALUE"""),45135.6666666666)</f>
        <v>45135.666666666599</v>
      </c>
      <c r="B395" s="1">
        <f ca="1">IFERROR(__xludf.DUMMYFUNCTION("""COMPUTED_VALUE"""),129.69)</f>
        <v>129.69</v>
      </c>
      <c r="C395" s="1">
        <f ca="1">IFERROR(__xludf.DUMMYFUNCTION("""COMPUTED_VALUE"""),133.01)</f>
        <v>133.01</v>
      </c>
      <c r="D395" s="1">
        <f ca="1">IFERROR(__xludf.DUMMYFUNCTION("""COMPUTED_VALUE"""),129.33)</f>
        <v>129.33000000000001</v>
      </c>
      <c r="E395" s="1">
        <f ca="1">IFERROR(__xludf.DUMMYFUNCTION("""COMPUTED_VALUE"""),132.21)</f>
        <v>132.21</v>
      </c>
      <c r="F395" s="1">
        <f ca="1">IFERROR(__xludf.DUMMYFUNCTION("""COMPUTED_VALUE"""),46317381)</f>
        <v>46317381</v>
      </c>
    </row>
    <row r="396" spans="1:6" ht="12.6">
      <c r="A396" s="2">
        <f ca="1">IFERROR(__xludf.DUMMYFUNCTION("""COMPUTED_VALUE"""),45138.6666666666)</f>
        <v>45138.666666666599</v>
      </c>
      <c r="B396" s="1">
        <f ca="1">IFERROR(__xludf.DUMMYFUNCTION("""COMPUTED_VALUE"""),133.2)</f>
        <v>133.19999999999999</v>
      </c>
      <c r="C396" s="1">
        <f ca="1">IFERROR(__xludf.DUMMYFUNCTION("""COMPUTED_VALUE"""),133.87)</f>
        <v>133.87</v>
      </c>
      <c r="D396" s="1">
        <f ca="1">IFERROR(__xludf.DUMMYFUNCTION("""COMPUTED_VALUE"""),132.38)</f>
        <v>132.38</v>
      </c>
      <c r="E396" s="1">
        <f ca="1">IFERROR(__xludf.DUMMYFUNCTION("""COMPUTED_VALUE"""),133.68)</f>
        <v>133.68</v>
      </c>
      <c r="F396" s="1">
        <f ca="1">IFERROR(__xludf.DUMMYFUNCTION("""COMPUTED_VALUE"""),41901516)</f>
        <v>41901516</v>
      </c>
    </row>
    <row r="397" spans="1:6" ht="12.6">
      <c r="A397" s="2">
        <f ca="1">IFERROR(__xludf.DUMMYFUNCTION("""COMPUTED_VALUE"""),45139.6666666666)</f>
        <v>45139.666666666599</v>
      </c>
      <c r="B397" s="1">
        <f ca="1">IFERROR(__xludf.DUMMYFUNCTION("""COMPUTED_VALUE"""),133.55)</f>
        <v>133.55000000000001</v>
      </c>
      <c r="C397" s="1">
        <f ca="1">IFERROR(__xludf.DUMMYFUNCTION("""COMPUTED_VALUE"""),133.69)</f>
        <v>133.69</v>
      </c>
      <c r="D397" s="1">
        <f ca="1">IFERROR(__xludf.DUMMYFUNCTION("""COMPUTED_VALUE"""),131.62)</f>
        <v>131.62</v>
      </c>
      <c r="E397" s="1">
        <f ca="1">IFERROR(__xludf.DUMMYFUNCTION("""COMPUTED_VALUE"""),131.69)</f>
        <v>131.69</v>
      </c>
      <c r="F397" s="1">
        <f ca="1">IFERROR(__xludf.DUMMYFUNCTION("""COMPUTED_VALUE"""),42298925)</f>
        <v>42298925</v>
      </c>
    </row>
    <row r="398" spans="1:6" ht="12.6">
      <c r="A398" s="2">
        <f ca="1">IFERROR(__xludf.DUMMYFUNCTION("""COMPUTED_VALUE"""),45140.6666666666)</f>
        <v>45140.666666666599</v>
      </c>
      <c r="B398" s="1">
        <f ca="1">IFERROR(__xludf.DUMMYFUNCTION("""COMPUTED_VALUE"""),130.15)</f>
        <v>130.15</v>
      </c>
      <c r="C398" s="1">
        <f ca="1">IFERROR(__xludf.DUMMYFUNCTION("""COMPUTED_VALUE"""),130.23)</f>
        <v>130.22999999999999</v>
      </c>
      <c r="D398" s="1">
        <f ca="1">IFERROR(__xludf.DUMMYFUNCTION("""COMPUTED_VALUE"""),126.82)</f>
        <v>126.82</v>
      </c>
      <c r="E398" s="1">
        <f ca="1">IFERROR(__xludf.DUMMYFUNCTION("""COMPUTED_VALUE"""),128.21)</f>
        <v>128.21</v>
      </c>
      <c r="F398" s="1">
        <f ca="1">IFERROR(__xludf.DUMMYFUNCTION("""COMPUTED_VALUE"""),51027614)</f>
        <v>51027614</v>
      </c>
    </row>
    <row r="399" spans="1:6" ht="12.6">
      <c r="A399" s="2">
        <f ca="1">IFERROR(__xludf.DUMMYFUNCTION("""COMPUTED_VALUE"""),45141.6666666666)</f>
        <v>45141.666666666599</v>
      </c>
      <c r="B399" s="1">
        <f ca="1">IFERROR(__xludf.DUMMYFUNCTION("""COMPUTED_VALUE"""),127.48)</f>
        <v>127.48</v>
      </c>
      <c r="C399" s="1">
        <f ca="1">IFERROR(__xludf.DUMMYFUNCTION("""COMPUTED_VALUE"""),129.84)</f>
        <v>129.84</v>
      </c>
      <c r="D399" s="1">
        <f ca="1">IFERROR(__xludf.DUMMYFUNCTION("""COMPUTED_VALUE"""),126.41)</f>
        <v>126.41</v>
      </c>
      <c r="E399" s="1">
        <f ca="1">IFERROR(__xludf.DUMMYFUNCTION("""COMPUTED_VALUE"""),128.91)</f>
        <v>128.91</v>
      </c>
      <c r="F399" s="1">
        <f ca="1">IFERROR(__xludf.DUMMYFUNCTION("""COMPUTED_VALUE"""),91163736)</f>
        <v>91163736</v>
      </c>
    </row>
    <row r="400" spans="1:6" ht="12.6">
      <c r="A400" s="2">
        <f ca="1">IFERROR(__xludf.DUMMYFUNCTION("""COMPUTED_VALUE"""),45142.6666666666)</f>
        <v>45142.666666666599</v>
      </c>
      <c r="B400" s="1">
        <f ca="1">IFERROR(__xludf.DUMMYFUNCTION("""COMPUTED_VALUE"""),141.06)</f>
        <v>141.06</v>
      </c>
      <c r="C400" s="1">
        <f ca="1">IFERROR(__xludf.DUMMYFUNCTION("""COMPUTED_VALUE"""),143.63)</f>
        <v>143.63</v>
      </c>
      <c r="D400" s="1">
        <f ca="1">IFERROR(__xludf.DUMMYFUNCTION("""COMPUTED_VALUE"""),139.32)</f>
        <v>139.32</v>
      </c>
      <c r="E400" s="1">
        <f ca="1">IFERROR(__xludf.DUMMYFUNCTION("""COMPUTED_VALUE"""),139.57)</f>
        <v>139.57</v>
      </c>
      <c r="F400" s="1">
        <f ca="1">IFERROR(__xludf.DUMMYFUNCTION("""COMPUTED_VALUE"""),153128470)</f>
        <v>153128470</v>
      </c>
    </row>
    <row r="401" spans="1:6" ht="12.6">
      <c r="A401" s="2">
        <f ca="1">IFERROR(__xludf.DUMMYFUNCTION("""COMPUTED_VALUE"""),45145.6666666666)</f>
        <v>45145.666666666599</v>
      </c>
      <c r="B401" s="1">
        <f ca="1">IFERROR(__xludf.DUMMYFUNCTION("""COMPUTED_VALUE"""),140.99)</f>
        <v>140.99</v>
      </c>
      <c r="C401" s="1">
        <f ca="1">IFERROR(__xludf.DUMMYFUNCTION("""COMPUTED_VALUE"""),142.54)</f>
        <v>142.54</v>
      </c>
      <c r="D401" s="1">
        <f ca="1">IFERROR(__xludf.DUMMYFUNCTION("""COMPUTED_VALUE"""),138.95)</f>
        <v>138.94999999999999</v>
      </c>
      <c r="E401" s="1">
        <f ca="1">IFERROR(__xludf.DUMMYFUNCTION("""COMPUTED_VALUE"""),142.22)</f>
        <v>142.22</v>
      </c>
      <c r="F401" s="1">
        <f ca="1">IFERROR(__xludf.DUMMYFUNCTION("""COMPUTED_VALUE"""),71213112)</f>
        <v>71213112</v>
      </c>
    </row>
    <row r="402" spans="1:6" ht="12.6">
      <c r="A402" s="2">
        <f ca="1">IFERROR(__xludf.DUMMYFUNCTION("""COMPUTED_VALUE"""),45146.6666666666)</f>
        <v>45146.666666666599</v>
      </c>
      <c r="B402" s="1">
        <f ca="1">IFERROR(__xludf.DUMMYFUNCTION("""COMPUTED_VALUE"""),140.62)</f>
        <v>140.62</v>
      </c>
      <c r="C402" s="1">
        <f ca="1">IFERROR(__xludf.DUMMYFUNCTION("""COMPUTED_VALUE"""),140.84)</f>
        <v>140.84</v>
      </c>
      <c r="D402" s="1">
        <f ca="1">IFERROR(__xludf.DUMMYFUNCTION("""COMPUTED_VALUE"""),138.42)</f>
        <v>138.41999999999999</v>
      </c>
      <c r="E402" s="1">
        <f ca="1">IFERROR(__xludf.DUMMYFUNCTION("""COMPUTED_VALUE"""),139.94)</f>
        <v>139.94</v>
      </c>
      <c r="F402" s="1">
        <f ca="1">IFERROR(__xludf.DUMMYFUNCTION("""COMPUTED_VALUE"""),51710497)</f>
        <v>51710497</v>
      </c>
    </row>
    <row r="403" spans="1:6" ht="12.6">
      <c r="A403" s="2">
        <f ca="1">IFERROR(__xludf.DUMMYFUNCTION("""COMPUTED_VALUE"""),45147.6666666666)</f>
        <v>45147.666666666599</v>
      </c>
      <c r="B403" s="1">
        <f ca="1">IFERROR(__xludf.DUMMYFUNCTION("""COMPUTED_VALUE"""),139.97)</f>
        <v>139.97</v>
      </c>
      <c r="C403" s="1">
        <f ca="1">IFERROR(__xludf.DUMMYFUNCTION("""COMPUTED_VALUE"""),140.32)</f>
        <v>140.32</v>
      </c>
      <c r="D403" s="1">
        <f ca="1">IFERROR(__xludf.DUMMYFUNCTION("""COMPUTED_VALUE"""),137.1)</f>
        <v>137.1</v>
      </c>
      <c r="E403" s="1">
        <f ca="1">IFERROR(__xludf.DUMMYFUNCTION("""COMPUTED_VALUE"""),137.85)</f>
        <v>137.85</v>
      </c>
      <c r="F403" s="1">
        <f ca="1">IFERROR(__xludf.DUMMYFUNCTION("""COMPUTED_VALUE"""),50017349)</f>
        <v>50017349</v>
      </c>
    </row>
    <row r="404" spans="1:6" ht="12.6">
      <c r="A404" s="2">
        <f ca="1">IFERROR(__xludf.DUMMYFUNCTION("""COMPUTED_VALUE"""),45148.6666666666)</f>
        <v>45148.666666666599</v>
      </c>
      <c r="B404" s="1">
        <f ca="1">IFERROR(__xludf.DUMMYFUNCTION("""COMPUTED_VALUE"""),139.07)</f>
        <v>139.07</v>
      </c>
      <c r="C404" s="1">
        <f ca="1">IFERROR(__xludf.DUMMYFUNCTION("""COMPUTED_VALUE"""),140.41)</f>
        <v>140.41</v>
      </c>
      <c r="D404" s="1">
        <f ca="1">IFERROR(__xludf.DUMMYFUNCTION("""COMPUTED_VALUE"""),137.49)</f>
        <v>137.49</v>
      </c>
      <c r="E404" s="1">
        <f ca="1">IFERROR(__xludf.DUMMYFUNCTION("""COMPUTED_VALUE"""),138.56)</f>
        <v>138.56</v>
      </c>
      <c r="F404" s="1">
        <f ca="1">IFERROR(__xludf.DUMMYFUNCTION("""COMPUTED_VALUE"""),58928402)</f>
        <v>58928402</v>
      </c>
    </row>
    <row r="405" spans="1:6" ht="12.6">
      <c r="A405" s="2">
        <f ca="1">IFERROR(__xludf.DUMMYFUNCTION("""COMPUTED_VALUE"""),45149.6666666666)</f>
        <v>45149.666666666599</v>
      </c>
      <c r="B405" s="1">
        <f ca="1">IFERROR(__xludf.DUMMYFUNCTION("""COMPUTED_VALUE"""),137.4)</f>
        <v>137.4</v>
      </c>
      <c r="C405" s="1">
        <f ca="1">IFERROR(__xludf.DUMMYFUNCTION("""COMPUTED_VALUE"""),139.33)</f>
        <v>139.33000000000001</v>
      </c>
      <c r="D405" s="1">
        <f ca="1">IFERROR(__xludf.DUMMYFUNCTION("""COMPUTED_VALUE"""),137)</f>
        <v>137</v>
      </c>
      <c r="E405" s="1">
        <f ca="1">IFERROR(__xludf.DUMMYFUNCTION("""COMPUTED_VALUE"""),138.41)</f>
        <v>138.41</v>
      </c>
      <c r="F405" s="1">
        <f ca="1">IFERROR(__xludf.DUMMYFUNCTION("""COMPUTED_VALUE"""),42905833)</f>
        <v>42905833</v>
      </c>
    </row>
    <row r="406" spans="1:6" ht="12.6">
      <c r="A406" s="2">
        <f ca="1">IFERROR(__xludf.DUMMYFUNCTION("""COMPUTED_VALUE"""),45152.6666666666)</f>
        <v>45152.666666666599</v>
      </c>
      <c r="B406" s="1">
        <f ca="1">IFERROR(__xludf.DUMMYFUNCTION("""COMPUTED_VALUE"""),138.3)</f>
        <v>138.30000000000001</v>
      </c>
      <c r="C406" s="1">
        <f ca="1">IFERROR(__xludf.DUMMYFUNCTION("""COMPUTED_VALUE"""),140.59)</f>
        <v>140.59</v>
      </c>
      <c r="D406" s="1">
        <f ca="1">IFERROR(__xludf.DUMMYFUNCTION("""COMPUTED_VALUE"""),137.75)</f>
        <v>137.75</v>
      </c>
      <c r="E406" s="1">
        <f ca="1">IFERROR(__xludf.DUMMYFUNCTION("""COMPUTED_VALUE"""),140.57)</f>
        <v>140.57</v>
      </c>
      <c r="F406" s="1">
        <f ca="1">IFERROR(__xludf.DUMMYFUNCTION("""COMPUTED_VALUE"""),47148699)</f>
        <v>47148699</v>
      </c>
    </row>
    <row r="407" spans="1:6" ht="12.6">
      <c r="A407" s="2">
        <f ca="1">IFERROR(__xludf.DUMMYFUNCTION("""COMPUTED_VALUE"""),45153.6666666666)</f>
        <v>45153.666666666599</v>
      </c>
      <c r="B407" s="1">
        <f ca="1">IFERROR(__xludf.DUMMYFUNCTION("""COMPUTED_VALUE"""),140.05)</f>
        <v>140.05000000000001</v>
      </c>
      <c r="C407" s="1">
        <f ca="1">IFERROR(__xludf.DUMMYFUNCTION("""COMPUTED_VALUE"""),141.28)</f>
        <v>141.28</v>
      </c>
      <c r="D407" s="1">
        <f ca="1">IFERROR(__xludf.DUMMYFUNCTION("""COMPUTED_VALUE"""),137.23)</f>
        <v>137.22999999999999</v>
      </c>
      <c r="E407" s="1">
        <f ca="1">IFERROR(__xludf.DUMMYFUNCTION("""COMPUTED_VALUE"""),137.67)</f>
        <v>137.66999999999999</v>
      </c>
      <c r="F407" s="1">
        <f ca="1">IFERROR(__xludf.DUMMYFUNCTION("""COMPUTED_VALUE"""),42781521)</f>
        <v>42781521</v>
      </c>
    </row>
    <row r="408" spans="1:6" ht="12.6">
      <c r="A408" s="2">
        <f ca="1">IFERROR(__xludf.DUMMYFUNCTION("""COMPUTED_VALUE"""),45154.6666666666)</f>
        <v>45154.666666666599</v>
      </c>
      <c r="B408" s="1">
        <f ca="1">IFERROR(__xludf.DUMMYFUNCTION("""COMPUTED_VALUE"""),137.19)</f>
        <v>137.19</v>
      </c>
      <c r="C408" s="1">
        <f ca="1">IFERROR(__xludf.DUMMYFUNCTION("""COMPUTED_VALUE"""),137.27)</f>
        <v>137.27000000000001</v>
      </c>
      <c r="D408" s="1">
        <f ca="1">IFERROR(__xludf.DUMMYFUNCTION("""COMPUTED_VALUE"""),135.01)</f>
        <v>135.01</v>
      </c>
      <c r="E408" s="1">
        <f ca="1">IFERROR(__xludf.DUMMYFUNCTION("""COMPUTED_VALUE"""),135.07)</f>
        <v>135.07</v>
      </c>
      <c r="F408" s="1">
        <f ca="1">IFERROR(__xludf.DUMMYFUNCTION("""COMPUTED_VALUE"""),41675903)</f>
        <v>41675903</v>
      </c>
    </row>
    <row r="409" spans="1:6" ht="12.6">
      <c r="A409" s="2">
        <f ca="1">IFERROR(__xludf.DUMMYFUNCTION("""COMPUTED_VALUE"""),45155.6666666666)</f>
        <v>45155.666666666599</v>
      </c>
      <c r="B409" s="1">
        <f ca="1">IFERROR(__xludf.DUMMYFUNCTION("""COMPUTED_VALUE"""),135.46)</f>
        <v>135.46</v>
      </c>
      <c r="C409" s="1">
        <f ca="1">IFERROR(__xludf.DUMMYFUNCTION("""COMPUTED_VALUE"""),136.09)</f>
        <v>136.09</v>
      </c>
      <c r="D409" s="1">
        <f ca="1">IFERROR(__xludf.DUMMYFUNCTION("""COMPUTED_VALUE"""),133.53)</f>
        <v>133.53</v>
      </c>
      <c r="E409" s="1">
        <f ca="1">IFERROR(__xludf.DUMMYFUNCTION("""COMPUTED_VALUE"""),133.98)</f>
        <v>133.97999999999999</v>
      </c>
      <c r="F409" s="1">
        <f ca="1">IFERROR(__xludf.DUMMYFUNCTION("""COMPUTED_VALUE"""),48354085)</f>
        <v>48354085</v>
      </c>
    </row>
    <row r="410" spans="1:6" ht="12.6">
      <c r="A410" s="2">
        <f ca="1">IFERROR(__xludf.DUMMYFUNCTION("""COMPUTED_VALUE"""),45156.6666666666)</f>
        <v>45156.666666666599</v>
      </c>
      <c r="B410" s="1">
        <f ca="1">IFERROR(__xludf.DUMMYFUNCTION("""COMPUTED_VALUE"""),131.62)</f>
        <v>131.62</v>
      </c>
      <c r="C410" s="1">
        <f ca="1">IFERROR(__xludf.DUMMYFUNCTION("""COMPUTED_VALUE"""),134.07)</f>
        <v>134.07</v>
      </c>
      <c r="D410" s="1">
        <f ca="1">IFERROR(__xludf.DUMMYFUNCTION("""COMPUTED_VALUE"""),131.15)</f>
        <v>131.15</v>
      </c>
      <c r="E410" s="1">
        <f ca="1">IFERROR(__xludf.DUMMYFUNCTION("""COMPUTED_VALUE"""),133.22)</f>
        <v>133.22</v>
      </c>
      <c r="F410" s="1">
        <f ca="1">IFERROR(__xludf.DUMMYFUNCTION("""COMPUTED_VALUE"""),48497698)</f>
        <v>48497698</v>
      </c>
    </row>
    <row r="411" spans="1:6" ht="12.6">
      <c r="A411" s="2">
        <f ca="1">IFERROR(__xludf.DUMMYFUNCTION("""COMPUTED_VALUE"""),45159.6666666666)</f>
        <v>45159.666666666599</v>
      </c>
      <c r="B411" s="1">
        <f ca="1">IFERROR(__xludf.DUMMYFUNCTION("""COMPUTED_VALUE"""),133.74)</f>
        <v>133.74</v>
      </c>
      <c r="C411" s="1">
        <f ca="1">IFERROR(__xludf.DUMMYFUNCTION("""COMPUTED_VALUE"""),135.19)</f>
        <v>135.19</v>
      </c>
      <c r="D411" s="1">
        <f ca="1">IFERROR(__xludf.DUMMYFUNCTION("""COMPUTED_VALUE"""),132.71)</f>
        <v>132.71</v>
      </c>
      <c r="E411" s="1">
        <f ca="1">IFERROR(__xludf.DUMMYFUNCTION("""COMPUTED_VALUE"""),134.68)</f>
        <v>134.68</v>
      </c>
      <c r="F411" s="1">
        <f ca="1">IFERROR(__xludf.DUMMYFUNCTION("""COMPUTED_VALUE"""),41442483)</f>
        <v>41442483</v>
      </c>
    </row>
    <row r="412" spans="1:6" ht="12.6">
      <c r="A412" s="2">
        <f ca="1">IFERROR(__xludf.DUMMYFUNCTION("""COMPUTED_VALUE"""),45160.6666666666)</f>
        <v>45160.666666666599</v>
      </c>
      <c r="B412" s="1">
        <f ca="1">IFERROR(__xludf.DUMMYFUNCTION("""COMPUTED_VALUE"""),135.08)</f>
        <v>135.08000000000001</v>
      </c>
      <c r="C412" s="1">
        <f ca="1">IFERROR(__xludf.DUMMYFUNCTION("""COMPUTED_VALUE"""),135.65)</f>
        <v>135.65</v>
      </c>
      <c r="D412" s="1">
        <f ca="1">IFERROR(__xludf.DUMMYFUNCTION("""COMPUTED_VALUE"""),133.73)</f>
        <v>133.72999999999999</v>
      </c>
      <c r="E412" s="1">
        <f ca="1">IFERROR(__xludf.DUMMYFUNCTION("""COMPUTED_VALUE"""),134.25)</f>
        <v>134.25</v>
      </c>
      <c r="F412" s="1">
        <f ca="1">IFERROR(__xludf.DUMMYFUNCTION("""COMPUTED_VALUE"""),32935104)</f>
        <v>32935104</v>
      </c>
    </row>
    <row r="413" spans="1:6" ht="12.6">
      <c r="A413" s="2">
        <f ca="1">IFERROR(__xludf.DUMMYFUNCTION("""COMPUTED_VALUE"""),45161.6666666666)</f>
        <v>45161.666666666599</v>
      </c>
      <c r="B413" s="1">
        <f ca="1">IFERROR(__xludf.DUMMYFUNCTION("""COMPUTED_VALUE"""),134.5)</f>
        <v>134.5</v>
      </c>
      <c r="C413" s="1">
        <f ca="1">IFERROR(__xludf.DUMMYFUNCTION("""COMPUTED_VALUE"""),135.95)</f>
        <v>135.94999999999999</v>
      </c>
      <c r="D413" s="1">
        <f ca="1">IFERROR(__xludf.DUMMYFUNCTION("""COMPUTED_VALUE"""),133.22)</f>
        <v>133.22</v>
      </c>
      <c r="E413" s="1">
        <f ca="1">IFERROR(__xludf.DUMMYFUNCTION("""COMPUTED_VALUE"""),135.52)</f>
        <v>135.52000000000001</v>
      </c>
      <c r="F413" s="1">
        <f ca="1">IFERROR(__xludf.DUMMYFUNCTION("""COMPUTED_VALUE"""),42801043)</f>
        <v>42801043</v>
      </c>
    </row>
    <row r="414" spans="1:6" ht="12.6">
      <c r="A414" s="2">
        <f ca="1">IFERROR(__xludf.DUMMYFUNCTION("""COMPUTED_VALUE"""),45162.6666666666)</f>
        <v>45162.666666666599</v>
      </c>
      <c r="B414" s="1">
        <f ca="1">IFERROR(__xludf.DUMMYFUNCTION("""COMPUTED_VALUE"""),136.4)</f>
        <v>136.4</v>
      </c>
      <c r="C414" s="1">
        <f ca="1">IFERROR(__xludf.DUMMYFUNCTION("""COMPUTED_VALUE"""),136.78)</f>
        <v>136.78</v>
      </c>
      <c r="D414" s="1">
        <f ca="1">IFERROR(__xludf.DUMMYFUNCTION("""COMPUTED_VALUE"""),131.83)</f>
        <v>131.83000000000001</v>
      </c>
      <c r="E414" s="1">
        <f ca="1">IFERROR(__xludf.DUMMYFUNCTION("""COMPUTED_VALUE"""),131.84)</f>
        <v>131.84</v>
      </c>
      <c r="F414" s="1">
        <f ca="1">IFERROR(__xludf.DUMMYFUNCTION("""COMPUTED_VALUE"""),43646250)</f>
        <v>43646250</v>
      </c>
    </row>
    <row r="415" spans="1:6" ht="12.6">
      <c r="A415" s="2">
        <f ca="1">IFERROR(__xludf.DUMMYFUNCTION("""COMPUTED_VALUE"""),45163.6666666666)</f>
        <v>45163.666666666599</v>
      </c>
      <c r="B415" s="1">
        <f ca="1">IFERROR(__xludf.DUMMYFUNCTION("""COMPUTED_VALUE"""),132.47)</f>
        <v>132.47</v>
      </c>
      <c r="C415" s="1">
        <f ca="1">IFERROR(__xludf.DUMMYFUNCTION("""COMPUTED_VALUE"""),133.87)</f>
        <v>133.87</v>
      </c>
      <c r="D415" s="1">
        <f ca="1">IFERROR(__xludf.DUMMYFUNCTION("""COMPUTED_VALUE"""),130.58)</f>
        <v>130.58000000000001</v>
      </c>
      <c r="E415" s="1">
        <f ca="1">IFERROR(__xludf.DUMMYFUNCTION("""COMPUTED_VALUE"""),133.26)</f>
        <v>133.26</v>
      </c>
      <c r="F415" s="1">
        <f ca="1">IFERROR(__xludf.DUMMYFUNCTION("""COMPUTED_VALUE"""),44147451)</f>
        <v>44147451</v>
      </c>
    </row>
    <row r="416" spans="1:6" ht="12.6">
      <c r="A416" s="2">
        <f ca="1">IFERROR(__xludf.DUMMYFUNCTION("""COMPUTED_VALUE"""),45166.6666666666)</f>
        <v>45166.666666666599</v>
      </c>
      <c r="B416" s="1">
        <f ca="1">IFERROR(__xludf.DUMMYFUNCTION("""COMPUTED_VALUE"""),133.78)</f>
        <v>133.78</v>
      </c>
      <c r="C416" s="1">
        <f ca="1">IFERROR(__xludf.DUMMYFUNCTION("""COMPUTED_VALUE"""),133.95)</f>
        <v>133.94999999999999</v>
      </c>
      <c r="D416" s="1">
        <f ca="1">IFERROR(__xludf.DUMMYFUNCTION("""COMPUTED_VALUE"""),131.85)</f>
        <v>131.85</v>
      </c>
      <c r="E416" s="1">
        <f ca="1">IFERROR(__xludf.DUMMYFUNCTION("""COMPUTED_VALUE"""),133.14)</f>
        <v>133.13999999999999</v>
      </c>
      <c r="F416" s="1">
        <f ca="1">IFERROR(__xludf.DUMMYFUNCTION("""COMPUTED_VALUE"""),34108410)</f>
        <v>34108410</v>
      </c>
    </row>
    <row r="417" spans="1:6" ht="12.6">
      <c r="A417" s="2">
        <f ca="1">IFERROR(__xludf.DUMMYFUNCTION("""COMPUTED_VALUE"""),45167.6666666666)</f>
        <v>45167.666666666599</v>
      </c>
      <c r="B417" s="1">
        <f ca="1">IFERROR(__xludf.DUMMYFUNCTION("""COMPUTED_VALUE"""),133.38)</f>
        <v>133.38</v>
      </c>
      <c r="C417" s="1">
        <f ca="1">IFERROR(__xludf.DUMMYFUNCTION("""COMPUTED_VALUE"""),135.14)</f>
        <v>135.13999999999999</v>
      </c>
      <c r="D417" s="1">
        <f ca="1">IFERROR(__xludf.DUMMYFUNCTION("""COMPUTED_VALUE"""),133.25)</f>
        <v>133.25</v>
      </c>
      <c r="E417" s="1">
        <f ca="1">IFERROR(__xludf.DUMMYFUNCTION("""COMPUTED_VALUE"""),134.91)</f>
        <v>134.91</v>
      </c>
      <c r="F417" s="1">
        <f ca="1">IFERROR(__xludf.DUMMYFUNCTION("""COMPUTED_VALUE"""),38646093)</f>
        <v>38646093</v>
      </c>
    </row>
    <row r="418" spans="1:6" ht="12.6">
      <c r="A418" s="2">
        <f ca="1">IFERROR(__xludf.DUMMYFUNCTION("""COMPUTED_VALUE"""),45168.6666666666)</f>
        <v>45168.666666666599</v>
      </c>
      <c r="B418" s="1">
        <f ca="1">IFERROR(__xludf.DUMMYFUNCTION("""COMPUTED_VALUE"""),134.93)</f>
        <v>134.93</v>
      </c>
      <c r="C418" s="1">
        <f ca="1">IFERROR(__xludf.DUMMYFUNCTION("""COMPUTED_VALUE"""),135.68)</f>
        <v>135.68</v>
      </c>
      <c r="D418" s="1">
        <f ca="1">IFERROR(__xludf.DUMMYFUNCTION("""COMPUTED_VALUE"""),133.92)</f>
        <v>133.91999999999999</v>
      </c>
      <c r="E418" s="1">
        <f ca="1">IFERROR(__xludf.DUMMYFUNCTION("""COMPUTED_VALUE"""),135.07)</f>
        <v>135.07</v>
      </c>
      <c r="F418" s="1">
        <f ca="1">IFERROR(__xludf.DUMMYFUNCTION("""COMPUTED_VALUE"""),36137015)</f>
        <v>36137015</v>
      </c>
    </row>
    <row r="419" spans="1:6" ht="12.6">
      <c r="A419" s="2">
        <f ca="1">IFERROR(__xludf.DUMMYFUNCTION("""COMPUTED_VALUE"""),45169.6666666666)</f>
        <v>45169.666666666599</v>
      </c>
      <c r="B419" s="1">
        <f ca="1">IFERROR(__xludf.DUMMYFUNCTION("""COMPUTED_VALUE"""),135.06)</f>
        <v>135.06</v>
      </c>
      <c r="C419" s="1">
        <f ca="1">IFERROR(__xludf.DUMMYFUNCTION("""COMPUTED_VALUE"""),138.79)</f>
        <v>138.79</v>
      </c>
      <c r="D419" s="1">
        <f ca="1">IFERROR(__xludf.DUMMYFUNCTION("""COMPUTED_VALUE"""),135)</f>
        <v>135</v>
      </c>
      <c r="E419" s="1">
        <f ca="1">IFERROR(__xludf.DUMMYFUNCTION("""COMPUTED_VALUE"""),138.01)</f>
        <v>138.01</v>
      </c>
      <c r="F419" s="1">
        <f ca="1">IFERROR(__xludf.DUMMYFUNCTION("""COMPUTED_VALUE"""),58781314)</f>
        <v>58781314</v>
      </c>
    </row>
    <row r="420" spans="1:6" ht="12.6">
      <c r="A420" s="2">
        <f ca="1">IFERROR(__xludf.DUMMYFUNCTION("""COMPUTED_VALUE"""),45170.6666666666)</f>
        <v>45170.666666666599</v>
      </c>
      <c r="B420" s="1">
        <f ca="1">IFERROR(__xludf.DUMMYFUNCTION("""COMPUTED_VALUE"""),139.46)</f>
        <v>139.46</v>
      </c>
      <c r="C420" s="1">
        <f ca="1">IFERROR(__xludf.DUMMYFUNCTION("""COMPUTED_VALUE"""),139.96)</f>
        <v>139.96</v>
      </c>
      <c r="D420" s="1">
        <f ca="1">IFERROR(__xludf.DUMMYFUNCTION("""COMPUTED_VALUE"""),136.88)</f>
        <v>136.88</v>
      </c>
      <c r="E420" s="1">
        <f ca="1">IFERROR(__xludf.DUMMYFUNCTION("""COMPUTED_VALUE"""),138.12)</f>
        <v>138.12</v>
      </c>
      <c r="F420" s="1">
        <f ca="1">IFERROR(__xludf.DUMMYFUNCTION("""COMPUTED_VALUE"""),40991536)</f>
        <v>40991536</v>
      </c>
    </row>
    <row r="421" spans="1:6" ht="12.6">
      <c r="A421" s="2">
        <f ca="1">IFERROR(__xludf.DUMMYFUNCTION("""COMPUTED_VALUE"""),45174.6666666666)</f>
        <v>45174.666666666599</v>
      </c>
      <c r="B421" s="1">
        <f ca="1">IFERROR(__xludf.DUMMYFUNCTION("""COMPUTED_VALUE"""),137.73)</f>
        <v>137.72999999999999</v>
      </c>
      <c r="C421" s="1">
        <f ca="1">IFERROR(__xludf.DUMMYFUNCTION("""COMPUTED_VALUE"""),137.8)</f>
        <v>137.80000000000001</v>
      </c>
      <c r="D421" s="1">
        <f ca="1">IFERROR(__xludf.DUMMYFUNCTION("""COMPUTED_VALUE"""),135.82)</f>
        <v>135.82</v>
      </c>
      <c r="E421" s="1">
        <f ca="1">IFERROR(__xludf.DUMMYFUNCTION("""COMPUTED_VALUE"""),137.27)</f>
        <v>137.27000000000001</v>
      </c>
      <c r="F421" s="1">
        <f ca="1">IFERROR(__xludf.DUMMYFUNCTION("""COMPUTED_VALUE"""),40636738)</f>
        <v>40636738</v>
      </c>
    </row>
    <row r="422" spans="1:6" ht="12.6">
      <c r="A422" s="2">
        <f ca="1">IFERROR(__xludf.DUMMYFUNCTION("""COMPUTED_VALUE"""),45175.6666666666)</f>
        <v>45175.666666666599</v>
      </c>
      <c r="B422" s="1">
        <f ca="1">IFERROR(__xludf.DUMMYFUNCTION("""COMPUTED_VALUE"""),136.32)</f>
        <v>136.32</v>
      </c>
      <c r="C422" s="1">
        <f ca="1">IFERROR(__xludf.DUMMYFUNCTION("""COMPUTED_VALUE"""),137.45)</f>
        <v>137.44999999999999</v>
      </c>
      <c r="D422" s="1">
        <f ca="1">IFERROR(__xludf.DUMMYFUNCTION("""COMPUTED_VALUE"""),134.61)</f>
        <v>134.61000000000001</v>
      </c>
      <c r="E422" s="1">
        <f ca="1">IFERROR(__xludf.DUMMYFUNCTION("""COMPUTED_VALUE"""),135.36)</f>
        <v>135.36000000000001</v>
      </c>
      <c r="F422" s="1">
        <f ca="1">IFERROR(__xludf.DUMMYFUNCTION("""COMPUTED_VALUE"""),41785507)</f>
        <v>41785507</v>
      </c>
    </row>
    <row r="423" spans="1:6" ht="12.6">
      <c r="A423" s="2">
        <f ca="1">IFERROR(__xludf.DUMMYFUNCTION("""COMPUTED_VALUE"""),45176.6666666666)</f>
        <v>45176.666666666599</v>
      </c>
      <c r="B423" s="1">
        <f ca="1">IFERROR(__xludf.DUMMYFUNCTION("""COMPUTED_VALUE"""),133.9)</f>
        <v>133.9</v>
      </c>
      <c r="C423" s="1">
        <f ca="1">IFERROR(__xludf.DUMMYFUNCTION("""COMPUTED_VALUE"""),138.03)</f>
        <v>138.03</v>
      </c>
      <c r="D423" s="1">
        <f ca="1">IFERROR(__xludf.DUMMYFUNCTION("""COMPUTED_VALUE"""),133.16)</f>
        <v>133.16</v>
      </c>
      <c r="E423" s="1">
        <f ca="1">IFERROR(__xludf.DUMMYFUNCTION("""COMPUTED_VALUE"""),137.85)</f>
        <v>137.85</v>
      </c>
      <c r="F423" s="1">
        <f ca="1">IFERROR(__xludf.DUMMYFUNCTION("""COMPUTED_VALUE"""),48498912)</f>
        <v>48498912</v>
      </c>
    </row>
    <row r="424" spans="1:6" ht="12.6">
      <c r="A424" s="2">
        <f ca="1">IFERROR(__xludf.DUMMYFUNCTION("""COMPUTED_VALUE"""),45177.6666666666)</f>
        <v>45177.666666666599</v>
      </c>
      <c r="B424" s="1">
        <f ca="1">IFERROR(__xludf.DUMMYFUNCTION("""COMPUTED_VALUE"""),136.86)</f>
        <v>136.86000000000001</v>
      </c>
      <c r="C424" s="1">
        <f ca="1">IFERROR(__xludf.DUMMYFUNCTION("""COMPUTED_VALUE"""),138.85)</f>
        <v>138.85</v>
      </c>
      <c r="D424" s="1">
        <f ca="1">IFERROR(__xludf.DUMMYFUNCTION("""COMPUTED_VALUE"""),136.75)</f>
        <v>136.75</v>
      </c>
      <c r="E424" s="1">
        <f ca="1">IFERROR(__xludf.DUMMYFUNCTION("""COMPUTED_VALUE"""),138.23)</f>
        <v>138.22999999999999</v>
      </c>
      <c r="F424" s="1">
        <f ca="1">IFERROR(__xludf.DUMMYFUNCTION("""COMPUTED_VALUE"""),38365929)</f>
        <v>38365929</v>
      </c>
    </row>
    <row r="425" spans="1:6" ht="12.6">
      <c r="A425" s="2">
        <f ca="1">IFERROR(__xludf.DUMMYFUNCTION("""COMPUTED_VALUE"""),45180.6666666666)</f>
        <v>45180.666666666599</v>
      </c>
      <c r="B425" s="1">
        <f ca="1">IFERROR(__xludf.DUMMYFUNCTION("""COMPUTED_VALUE"""),138.75)</f>
        <v>138.75</v>
      </c>
      <c r="C425" s="1">
        <f ca="1">IFERROR(__xludf.DUMMYFUNCTION("""COMPUTED_VALUE"""),143.62)</f>
        <v>143.62</v>
      </c>
      <c r="D425" s="1">
        <f ca="1">IFERROR(__xludf.DUMMYFUNCTION("""COMPUTED_VALUE"""),138.64)</f>
        <v>138.63999999999999</v>
      </c>
      <c r="E425" s="1">
        <f ca="1">IFERROR(__xludf.DUMMYFUNCTION("""COMPUTED_VALUE"""),143.1)</f>
        <v>143.1</v>
      </c>
      <c r="F425" s="1">
        <f ca="1">IFERROR(__xludf.DUMMYFUNCTION("""COMPUTED_VALUE"""),56764525)</f>
        <v>56764525</v>
      </c>
    </row>
    <row r="426" spans="1:6" ht="12.6">
      <c r="A426" s="2">
        <f ca="1">IFERROR(__xludf.DUMMYFUNCTION("""COMPUTED_VALUE"""),45181.6666666666)</f>
        <v>45181.666666666599</v>
      </c>
      <c r="B426" s="1">
        <f ca="1">IFERROR(__xludf.DUMMYFUNCTION("""COMPUTED_VALUE"""),142.32)</f>
        <v>142.32</v>
      </c>
      <c r="C426" s="1">
        <f ca="1">IFERROR(__xludf.DUMMYFUNCTION("""COMPUTED_VALUE"""),143)</f>
        <v>143</v>
      </c>
      <c r="D426" s="1">
        <f ca="1">IFERROR(__xludf.DUMMYFUNCTION("""COMPUTED_VALUE"""),140.61)</f>
        <v>140.61000000000001</v>
      </c>
      <c r="E426" s="1">
        <f ca="1">IFERROR(__xludf.DUMMYFUNCTION("""COMPUTED_VALUE"""),141.23)</f>
        <v>141.22999999999999</v>
      </c>
      <c r="F426" s="1">
        <f ca="1">IFERROR(__xludf.DUMMYFUNCTION("""COMPUTED_VALUE"""),42668452)</f>
        <v>42668452</v>
      </c>
    </row>
    <row r="427" spans="1:6" ht="12.6">
      <c r="A427" s="2">
        <f ca="1">IFERROR(__xludf.DUMMYFUNCTION("""COMPUTED_VALUE"""),45182.6666666666)</f>
        <v>45182.666666666599</v>
      </c>
      <c r="B427" s="1">
        <f ca="1">IFERROR(__xludf.DUMMYFUNCTION("""COMPUTED_VALUE"""),140.95)</f>
        <v>140.94999999999999</v>
      </c>
      <c r="C427" s="1">
        <f ca="1">IFERROR(__xludf.DUMMYFUNCTION("""COMPUTED_VALUE"""),144.98)</f>
        <v>144.97999999999999</v>
      </c>
      <c r="D427" s="1">
        <f ca="1">IFERROR(__xludf.DUMMYFUNCTION("""COMPUTED_VALUE"""),140.87)</f>
        <v>140.87</v>
      </c>
      <c r="E427" s="1">
        <f ca="1">IFERROR(__xludf.DUMMYFUNCTION("""COMPUTED_VALUE"""),144.85)</f>
        <v>144.85</v>
      </c>
      <c r="F427" s="1">
        <f ca="1">IFERROR(__xludf.DUMMYFUNCTION("""COMPUTED_VALUE"""),60465175)</f>
        <v>60465175</v>
      </c>
    </row>
    <row r="428" spans="1:6" ht="12.6">
      <c r="A428" s="2">
        <f ca="1">IFERROR(__xludf.DUMMYFUNCTION("""COMPUTED_VALUE"""),45183.6666666666)</f>
        <v>45183.666666666599</v>
      </c>
      <c r="B428" s="1">
        <f ca="1">IFERROR(__xludf.DUMMYFUNCTION("""COMPUTED_VALUE"""),145.08)</f>
        <v>145.08000000000001</v>
      </c>
      <c r="C428" s="1">
        <f ca="1">IFERROR(__xludf.DUMMYFUNCTION("""COMPUTED_VALUE"""),145.86)</f>
        <v>145.86000000000001</v>
      </c>
      <c r="D428" s="1">
        <f ca="1">IFERROR(__xludf.DUMMYFUNCTION("""COMPUTED_VALUE"""),142.95)</f>
        <v>142.94999999999999</v>
      </c>
      <c r="E428" s="1">
        <f ca="1">IFERROR(__xludf.DUMMYFUNCTION("""COMPUTED_VALUE"""),144.72)</f>
        <v>144.72</v>
      </c>
      <c r="F428" s="1">
        <f ca="1">IFERROR(__xludf.DUMMYFUNCTION("""COMPUTED_VALUE"""),64033607)</f>
        <v>64033607</v>
      </c>
    </row>
    <row r="429" spans="1:6" ht="12.6">
      <c r="A429" s="2">
        <f ca="1">IFERROR(__xludf.DUMMYFUNCTION("""COMPUTED_VALUE"""),45184.6666666666)</f>
        <v>45184.666666666599</v>
      </c>
      <c r="B429" s="1">
        <f ca="1">IFERROR(__xludf.DUMMYFUNCTION("""COMPUTED_VALUE"""),142.69)</f>
        <v>142.69</v>
      </c>
      <c r="C429" s="1">
        <f ca="1">IFERROR(__xludf.DUMMYFUNCTION("""COMPUTED_VALUE"""),143.57)</f>
        <v>143.57</v>
      </c>
      <c r="D429" s="1">
        <f ca="1">IFERROR(__xludf.DUMMYFUNCTION("""COMPUTED_VALUE"""),140.09)</f>
        <v>140.09</v>
      </c>
      <c r="E429" s="1">
        <f ca="1">IFERROR(__xludf.DUMMYFUNCTION("""COMPUTED_VALUE"""),140.39)</f>
        <v>140.38999999999999</v>
      </c>
      <c r="F429" s="1">
        <f ca="1">IFERROR(__xludf.DUMMYFUNCTION("""COMPUTED_VALUE"""),102909327)</f>
        <v>102909327</v>
      </c>
    </row>
    <row r="430" spans="1:6" ht="12.6">
      <c r="A430" s="2">
        <f ca="1">IFERROR(__xludf.DUMMYFUNCTION("""COMPUTED_VALUE"""),45187.6666666666)</f>
        <v>45187.666666666599</v>
      </c>
      <c r="B430" s="1">
        <f ca="1">IFERROR(__xludf.DUMMYFUNCTION("""COMPUTED_VALUE"""),140.48)</f>
        <v>140.47999999999999</v>
      </c>
      <c r="C430" s="1">
        <f ca="1">IFERROR(__xludf.DUMMYFUNCTION("""COMPUTED_VALUE"""),141.75)</f>
        <v>141.75</v>
      </c>
      <c r="D430" s="1">
        <f ca="1">IFERROR(__xludf.DUMMYFUNCTION("""COMPUTED_VALUE"""),139.22)</f>
        <v>139.22</v>
      </c>
      <c r="E430" s="1">
        <f ca="1">IFERROR(__xludf.DUMMYFUNCTION("""COMPUTED_VALUE"""),139.98)</f>
        <v>139.97999999999999</v>
      </c>
      <c r="F430" s="1">
        <f ca="1">IFERROR(__xludf.DUMMYFUNCTION("""COMPUTED_VALUE"""),42823480)</f>
        <v>42823480</v>
      </c>
    </row>
    <row r="431" spans="1:6" ht="12.6">
      <c r="A431" s="2">
        <f ca="1">IFERROR(__xludf.DUMMYFUNCTION("""COMPUTED_VALUE"""),45188.6666666666)</f>
        <v>45188.666666666599</v>
      </c>
      <c r="B431" s="1">
        <f ca="1">IFERROR(__xludf.DUMMYFUNCTION("""COMPUTED_VALUE"""),138.7)</f>
        <v>138.69999999999999</v>
      </c>
      <c r="C431" s="1">
        <f ca="1">IFERROR(__xludf.DUMMYFUNCTION("""COMPUTED_VALUE"""),138.84)</f>
        <v>138.84</v>
      </c>
      <c r="D431" s="1">
        <f ca="1">IFERROR(__xludf.DUMMYFUNCTION("""COMPUTED_VALUE"""),135.56)</f>
        <v>135.56</v>
      </c>
      <c r="E431" s="1">
        <f ca="1">IFERROR(__xludf.DUMMYFUNCTION("""COMPUTED_VALUE"""),137.63)</f>
        <v>137.63</v>
      </c>
      <c r="F431" s="1">
        <f ca="1">IFERROR(__xludf.DUMMYFUNCTION("""COMPUTED_VALUE"""),61482470)</f>
        <v>61482470</v>
      </c>
    </row>
    <row r="432" spans="1:6" ht="12.6">
      <c r="A432" s="2">
        <f ca="1">IFERROR(__xludf.DUMMYFUNCTION("""COMPUTED_VALUE"""),45189.6666666666)</f>
        <v>45189.666666666599</v>
      </c>
      <c r="B432" s="1">
        <f ca="1">IFERROR(__xludf.DUMMYFUNCTION("""COMPUTED_VALUE"""),138.55)</f>
        <v>138.55000000000001</v>
      </c>
      <c r="C432" s="1">
        <f ca="1">IFERROR(__xludf.DUMMYFUNCTION("""COMPUTED_VALUE"""),139.37)</f>
        <v>139.37</v>
      </c>
      <c r="D432" s="1">
        <f ca="1">IFERROR(__xludf.DUMMYFUNCTION("""COMPUTED_VALUE"""),135.2)</f>
        <v>135.19999999999999</v>
      </c>
      <c r="E432" s="1">
        <f ca="1">IFERROR(__xludf.DUMMYFUNCTION("""COMPUTED_VALUE"""),135.29)</f>
        <v>135.29</v>
      </c>
      <c r="F432" s="1">
        <f ca="1">IFERROR(__xludf.DUMMYFUNCTION("""COMPUTED_VALUE"""),46263716)</f>
        <v>46263716</v>
      </c>
    </row>
    <row r="433" spans="1:6" ht="12.6">
      <c r="A433" s="2">
        <f ca="1">IFERROR(__xludf.DUMMYFUNCTION("""COMPUTED_VALUE"""),45190.6666666666)</f>
        <v>45190.666666666599</v>
      </c>
      <c r="B433" s="1">
        <f ca="1">IFERROR(__xludf.DUMMYFUNCTION("""COMPUTED_VALUE"""),131.94)</f>
        <v>131.94</v>
      </c>
      <c r="C433" s="1">
        <f ca="1">IFERROR(__xludf.DUMMYFUNCTION("""COMPUTED_VALUE"""),132.24)</f>
        <v>132.24</v>
      </c>
      <c r="D433" s="1">
        <f ca="1">IFERROR(__xludf.DUMMYFUNCTION("""COMPUTED_VALUE"""),129.31)</f>
        <v>129.31</v>
      </c>
      <c r="E433" s="1">
        <f ca="1">IFERROR(__xludf.DUMMYFUNCTION("""COMPUTED_VALUE"""),129.33)</f>
        <v>129.33000000000001</v>
      </c>
      <c r="F433" s="1">
        <f ca="1">IFERROR(__xludf.DUMMYFUNCTION("""COMPUTED_VALUE"""),70343342)</f>
        <v>70343342</v>
      </c>
    </row>
    <row r="434" spans="1:6" ht="12.6">
      <c r="A434" s="2">
        <f ca="1">IFERROR(__xludf.DUMMYFUNCTION("""COMPUTED_VALUE"""),45191.6666666666)</f>
        <v>45191.666666666599</v>
      </c>
      <c r="B434" s="1">
        <f ca="1">IFERROR(__xludf.DUMMYFUNCTION("""COMPUTED_VALUE"""),131.11)</f>
        <v>131.11000000000001</v>
      </c>
      <c r="C434" s="1">
        <f ca="1">IFERROR(__xludf.DUMMYFUNCTION("""COMPUTED_VALUE"""),132.03)</f>
        <v>132.03</v>
      </c>
      <c r="D434" s="1">
        <f ca="1">IFERROR(__xludf.DUMMYFUNCTION("""COMPUTED_VALUE"""),128.52)</f>
        <v>128.52000000000001</v>
      </c>
      <c r="E434" s="1">
        <f ca="1">IFERROR(__xludf.DUMMYFUNCTION("""COMPUTED_VALUE"""),129.12)</f>
        <v>129.12</v>
      </c>
      <c r="F434" s="1">
        <f ca="1">IFERROR(__xludf.DUMMYFUNCTION("""COMPUTED_VALUE"""),59904348)</f>
        <v>59904348</v>
      </c>
    </row>
    <row r="435" spans="1:6" ht="12.6">
      <c r="A435" s="2">
        <f ca="1">IFERROR(__xludf.DUMMYFUNCTION("""COMPUTED_VALUE"""),45194.6666666666)</f>
        <v>45194.666666666599</v>
      </c>
      <c r="B435" s="1">
        <f ca="1">IFERROR(__xludf.DUMMYFUNCTION("""COMPUTED_VALUE"""),129.36)</f>
        <v>129.36000000000001</v>
      </c>
      <c r="C435" s="1">
        <f ca="1">IFERROR(__xludf.DUMMYFUNCTION("""COMPUTED_VALUE"""),131.78)</f>
        <v>131.78</v>
      </c>
      <c r="D435" s="1">
        <f ca="1">IFERROR(__xludf.DUMMYFUNCTION("""COMPUTED_VALUE"""),128.77)</f>
        <v>128.77000000000001</v>
      </c>
      <c r="E435" s="1">
        <f ca="1">IFERROR(__xludf.DUMMYFUNCTION("""COMPUTED_VALUE"""),131.27)</f>
        <v>131.27000000000001</v>
      </c>
      <c r="F435" s="1">
        <f ca="1">IFERROR(__xludf.DUMMYFUNCTION("""COMPUTED_VALUE"""),46017825)</f>
        <v>46017825</v>
      </c>
    </row>
    <row r="436" spans="1:6" ht="12.6">
      <c r="A436" s="2">
        <f ca="1">IFERROR(__xludf.DUMMYFUNCTION("""COMPUTED_VALUE"""),45195.6666666666)</f>
        <v>45195.666666666599</v>
      </c>
      <c r="B436" s="1">
        <f ca="1">IFERROR(__xludf.DUMMYFUNCTION("""COMPUTED_VALUE"""),130.12)</f>
        <v>130.12</v>
      </c>
      <c r="C436" s="1">
        <f ca="1">IFERROR(__xludf.DUMMYFUNCTION("""COMPUTED_VALUE"""),130.39)</f>
        <v>130.38999999999999</v>
      </c>
      <c r="D436" s="1">
        <f ca="1">IFERROR(__xludf.DUMMYFUNCTION("""COMPUTED_VALUE"""),125.28)</f>
        <v>125.28</v>
      </c>
      <c r="E436" s="1">
        <f ca="1">IFERROR(__xludf.DUMMYFUNCTION("""COMPUTED_VALUE"""),125.98)</f>
        <v>125.98</v>
      </c>
      <c r="F436" s="1">
        <f ca="1">IFERROR(__xludf.DUMMYFUNCTION("""COMPUTED_VALUE"""),73048207)</f>
        <v>73048207</v>
      </c>
    </row>
    <row r="437" spans="1:6" ht="12.6">
      <c r="A437" s="2">
        <f ca="1">IFERROR(__xludf.DUMMYFUNCTION("""COMPUTED_VALUE"""),45196.6666666666)</f>
        <v>45196.666666666599</v>
      </c>
      <c r="B437" s="1">
        <f ca="1">IFERROR(__xludf.DUMMYFUNCTION("""COMPUTED_VALUE"""),125.76)</f>
        <v>125.76</v>
      </c>
      <c r="C437" s="1">
        <f ca="1">IFERROR(__xludf.DUMMYFUNCTION("""COMPUTED_VALUE"""),127.48)</f>
        <v>127.48</v>
      </c>
      <c r="D437" s="1">
        <f ca="1">IFERROR(__xludf.DUMMYFUNCTION("""COMPUTED_VALUE"""),124.13)</f>
        <v>124.13</v>
      </c>
      <c r="E437" s="1">
        <f ca="1">IFERROR(__xludf.DUMMYFUNCTION("""COMPUTED_VALUE"""),125.98)</f>
        <v>125.98</v>
      </c>
      <c r="F437" s="1">
        <f ca="1">IFERROR(__xludf.DUMMYFUNCTION("""COMPUTED_VALUE"""),66553449)</f>
        <v>66553449</v>
      </c>
    </row>
    <row r="438" spans="1:6" ht="12.6">
      <c r="A438" s="2">
        <f ca="1">IFERROR(__xludf.DUMMYFUNCTION("""COMPUTED_VALUE"""),45197.6666666666)</f>
        <v>45197.666666666599</v>
      </c>
      <c r="B438" s="1">
        <f ca="1">IFERROR(__xludf.DUMMYFUNCTION("""COMPUTED_VALUE"""),124.04)</f>
        <v>124.04</v>
      </c>
      <c r="C438" s="1">
        <f ca="1">IFERROR(__xludf.DUMMYFUNCTION("""COMPUTED_VALUE"""),126.58)</f>
        <v>126.58</v>
      </c>
      <c r="D438" s="1">
        <f ca="1">IFERROR(__xludf.DUMMYFUNCTION("""COMPUTED_VALUE"""),123.04)</f>
        <v>123.04</v>
      </c>
      <c r="E438" s="1">
        <f ca="1">IFERROR(__xludf.DUMMYFUNCTION("""COMPUTED_VALUE"""),125.98)</f>
        <v>125.98</v>
      </c>
      <c r="F438" s="1">
        <f ca="1">IFERROR(__xludf.DUMMYFUNCTION("""COMPUTED_VALUE"""),54554968)</f>
        <v>54554968</v>
      </c>
    </row>
    <row r="439" spans="1:6" ht="12.6">
      <c r="A439" s="2">
        <f ca="1">IFERROR(__xludf.DUMMYFUNCTION("""COMPUTED_VALUE"""),45198.6666666666)</f>
        <v>45198.666666666599</v>
      </c>
      <c r="B439" s="1">
        <f ca="1">IFERROR(__xludf.DUMMYFUNCTION("""COMPUTED_VALUE"""),128.2)</f>
        <v>128.19999999999999</v>
      </c>
      <c r="C439" s="1">
        <f ca="1">IFERROR(__xludf.DUMMYFUNCTION("""COMPUTED_VALUE"""),129.15)</f>
        <v>129.15</v>
      </c>
      <c r="D439" s="1">
        <f ca="1">IFERROR(__xludf.DUMMYFUNCTION("""COMPUTED_VALUE"""),126.32)</f>
        <v>126.32</v>
      </c>
      <c r="E439" s="1">
        <f ca="1">IFERROR(__xludf.DUMMYFUNCTION("""COMPUTED_VALUE"""),127.12)</f>
        <v>127.12</v>
      </c>
      <c r="F439" s="1">
        <f ca="1">IFERROR(__xludf.DUMMYFUNCTION("""COMPUTED_VALUE"""),62411730)</f>
        <v>62411730</v>
      </c>
    </row>
    <row r="440" spans="1:6" ht="12.6">
      <c r="A440" s="2">
        <f ca="1">IFERROR(__xludf.DUMMYFUNCTION("""COMPUTED_VALUE"""),45201.6666666666)</f>
        <v>45201.666666666599</v>
      </c>
      <c r="B440" s="1">
        <f ca="1">IFERROR(__xludf.DUMMYFUNCTION("""COMPUTED_VALUE"""),127.28)</f>
        <v>127.28</v>
      </c>
      <c r="C440" s="1">
        <f ca="1">IFERROR(__xludf.DUMMYFUNCTION("""COMPUTED_VALUE"""),130.47)</f>
        <v>130.47</v>
      </c>
      <c r="D440" s="1">
        <f ca="1">IFERROR(__xludf.DUMMYFUNCTION("""COMPUTED_VALUE"""),126.54)</f>
        <v>126.54</v>
      </c>
      <c r="E440" s="1">
        <f ca="1">IFERROR(__xludf.DUMMYFUNCTION("""COMPUTED_VALUE"""),129.46)</f>
        <v>129.46</v>
      </c>
      <c r="F440" s="1">
        <f ca="1">IFERROR(__xludf.DUMMYFUNCTION("""COMPUTED_VALUE"""),48029744)</f>
        <v>48029744</v>
      </c>
    </row>
    <row r="441" spans="1:6" ht="12.6">
      <c r="A441" s="2">
        <f ca="1">IFERROR(__xludf.DUMMYFUNCTION("""COMPUTED_VALUE"""),45202.6666666666)</f>
        <v>45202.666666666599</v>
      </c>
      <c r="B441" s="1">
        <f ca="1">IFERROR(__xludf.DUMMYFUNCTION("""COMPUTED_VALUE"""),128.06)</f>
        <v>128.06</v>
      </c>
      <c r="C441" s="1">
        <f ca="1">IFERROR(__xludf.DUMMYFUNCTION("""COMPUTED_VALUE"""),128.52)</f>
        <v>128.52000000000001</v>
      </c>
      <c r="D441" s="1">
        <f ca="1">IFERROR(__xludf.DUMMYFUNCTION("""COMPUTED_VALUE"""),124.25)</f>
        <v>124.25</v>
      </c>
      <c r="E441" s="1">
        <f ca="1">IFERROR(__xludf.DUMMYFUNCTION("""COMPUTED_VALUE"""),124.72)</f>
        <v>124.72</v>
      </c>
      <c r="F441" s="1">
        <f ca="1">IFERROR(__xludf.DUMMYFUNCTION("""COMPUTED_VALUE"""),51564991)</f>
        <v>51564991</v>
      </c>
    </row>
    <row r="442" spans="1:6" ht="12.6">
      <c r="A442" s="2">
        <f ca="1">IFERROR(__xludf.DUMMYFUNCTION("""COMPUTED_VALUE"""),45203.6666666666)</f>
        <v>45203.666666666599</v>
      </c>
      <c r="B442" s="1">
        <f ca="1">IFERROR(__xludf.DUMMYFUNCTION("""COMPUTED_VALUE"""),126.06)</f>
        <v>126.06</v>
      </c>
      <c r="C442" s="1">
        <f ca="1">IFERROR(__xludf.DUMMYFUNCTION("""COMPUTED_VALUE"""),127.36)</f>
        <v>127.36</v>
      </c>
      <c r="D442" s="1">
        <f ca="1">IFERROR(__xludf.DUMMYFUNCTION("""COMPUTED_VALUE"""),125.68)</f>
        <v>125.68</v>
      </c>
      <c r="E442" s="1">
        <f ca="1">IFERROR(__xludf.DUMMYFUNCTION("""COMPUTED_VALUE"""),127)</f>
        <v>127</v>
      </c>
      <c r="F442" s="1">
        <f ca="1">IFERROR(__xludf.DUMMYFUNCTION("""COMPUTED_VALUE"""),44203870)</f>
        <v>44203870</v>
      </c>
    </row>
    <row r="443" spans="1:6" ht="12.6">
      <c r="A443" s="2">
        <f ca="1">IFERROR(__xludf.DUMMYFUNCTION("""COMPUTED_VALUE"""),45204.6666666666)</f>
        <v>45204.666666666599</v>
      </c>
      <c r="B443" s="1">
        <f ca="1">IFERROR(__xludf.DUMMYFUNCTION("""COMPUTED_VALUE"""),126.71)</f>
        <v>126.71</v>
      </c>
      <c r="C443" s="1">
        <f ca="1">IFERROR(__xludf.DUMMYFUNCTION("""COMPUTED_VALUE"""),126.73)</f>
        <v>126.73</v>
      </c>
      <c r="D443" s="1">
        <f ca="1">IFERROR(__xludf.DUMMYFUNCTION("""COMPUTED_VALUE"""),124.33)</f>
        <v>124.33</v>
      </c>
      <c r="E443" s="1">
        <f ca="1">IFERROR(__xludf.DUMMYFUNCTION("""COMPUTED_VALUE"""),125.96)</f>
        <v>125.96</v>
      </c>
      <c r="F443" s="1">
        <f ca="1">IFERROR(__xludf.DUMMYFUNCTION("""COMPUTED_VALUE"""),39660643)</f>
        <v>39660643</v>
      </c>
    </row>
    <row r="444" spans="1:6" ht="12.6">
      <c r="A444" s="2">
        <f ca="1">IFERROR(__xludf.DUMMYFUNCTION("""COMPUTED_VALUE"""),45205.6666666666)</f>
        <v>45205.666666666599</v>
      </c>
      <c r="B444" s="1">
        <f ca="1">IFERROR(__xludf.DUMMYFUNCTION("""COMPUTED_VALUE"""),124.16)</f>
        <v>124.16</v>
      </c>
      <c r="C444" s="1">
        <f ca="1">IFERROR(__xludf.DUMMYFUNCTION("""COMPUTED_VALUE"""),128.45)</f>
        <v>128.44999999999999</v>
      </c>
      <c r="D444" s="1">
        <f ca="1">IFERROR(__xludf.DUMMYFUNCTION("""COMPUTED_VALUE"""),124.13)</f>
        <v>124.13</v>
      </c>
      <c r="E444" s="1">
        <f ca="1">IFERROR(__xludf.DUMMYFUNCTION("""COMPUTED_VALUE"""),127.96)</f>
        <v>127.96</v>
      </c>
      <c r="F444" s="1">
        <f ca="1">IFERROR(__xludf.DUMMYFUNCTION("""COMPUTED_VALUE"""),46836698)</f>
        <v>46836698</v>
      </c>
    </row>
    <row r="445" spans="1:6" ht="12.6">
      <c r="A445" s="2">
        <f ca="1">IFERROR(__xludf.DUMMYFUNCTION("""COMPUTED_VALUE"""),45208.6666666666)</f>
        <v>45208.666666666599</v>
      </c>
      <c r="B445" s="1">
        <f ca="1">IFERROR(__xludf.DUMMYFUNCTION("""COMPUTED_VALUE"""),126.22)</f>
        <v>126.22</v>
      </c>
      <c r="C445" s="1">
        <f ca="1">IFERROR(__xludf.DUMMYFUNCTION("""COMPUTED_VALUE"""),128.79)</f>
        <v>128.79</v>
      </c>
      <c r="D445" s="1">
        <f ca="1">IFERROR(__xludf.DUMMYFUNCTION("""COMPUTED_VALUE"""),124.76)</f>
        <v>124.76</v>
      </c>
      <c r="E445" s="1">
        <f ca="1">IFERROR(__xludf.DUMMYFUNCTION("""COMPUTED_VALUE"""),128.26)</f>
        <v>128.26</v>
      </c>
      <c r="F445" s="1">
        <f ca="1">IFERROR(__xludf.DUMMYFUNCTION("""COMPUTED_VALUE"""),38773738)</f>
        <v>38773738</v>
      </c>
    </row>
    <row r="446" spans="1:6" ht="12.6">
      <c r="A446" s="2">
        <f ca="1">IFERROR(__xludf.DUMMYFUNCTION("""COMPUTED_VALUE"""),45209.6666666666)</f>
        <v>45209.666666666599</v>
      </c>
      <c r="B446" s="1">
        <f ca="1">IFERROR(__xludf.DUMMYFUNCTION("""COMPUTED_VALUE"""),128.82)</f>
        <v>128.82</v>
      </c>
      <c r="C446" s="1">
        <f ca="1">IFERROR(__xludf.DUMMYFUNCTION("""COMPUTED_VALUE"""),130.74)</f>
        <v>130.74</v>
      </c>
      <c r="D446" s="1">
        <f ca="1">IFERROR(__xludf.DUMMYFUNCTION("""COMPUTED_VALUE"""),128.05)</f>
        <v>128.05000000000001</v>
      </c>
      <c r="E446" s="1">
        <f ca="1">IFERROR(__xludf.DUMMYFUNCTION("""COMPUTED_VALUE"""),129.48)</f>
        <v>129.47999999999999</v>
      </c>
      <c r="F446" s="1">
        <f ca="1">IFERROR(__xludf.DUMMYFUNCTION("""COMPUTED_VALUE"""),42178619)</f>
        <v>42178619</v>
      </c>
    </row>
    <row r="447" spans="1:6" ht="12.6">
      <c r="A447" s="2">
        <f ca="1">IFERROR(__xludf.DUMMYFUNCTION("""COMPUTED_VALUE"""),45210.6666666666)</f>
        <v>45210.666666666599</v>
      </c>
      <c r="B447" s="1">
        <f ca="1">IFERROR(__xludf.DUMMYFUNCTION("""COMPUTED_VALUE"""),129.74)</f>
        <v>129.74</v>
      </c>
      <c r="C447" s="1">
        <f ca="1">IFERROR(__xludf.DUMMYFUNCTION("""COMPUTED_VALUE"""),132.05)</f>
        <v>132.05000000000001</v>
      </c>
      <c r="D447" s="1">
        <f ca="1">IFERROR(__xludf.DUMMYFUNCTION("""COMPUTED_VALUE"""),129.61)</f>
        <v>129.61000000000001</v>
      </c>
      <c r="E447" s="1">
        <f ca="1">IFERROR(__xludf.DUMMYFUNCTION("""COMPUTED_VALUE"""),131.83)</f>
        <v>131.83000000000001</v>
      </c>
      <c r="F447" s="1">
        <f ca="1">IFERROR(__xludf.DUMMYFUNCTION("""COMPUTED_VALUE"""),40741842)</f>
        <v>40741842</v>
      </c>
    </row>
    <row r="448" spans="1:6" ht="12.6">
      <c r="A448" s="2">
        <f ca="1">IFERROR(__xludf.DUMMYFUNCTION("""COMPUTED_VALUE"""),45211.6666666666)</f>
        <v>45211.666666666599</v>
      </c>
      <c r="B448" s="1">
        <f ca="1">IFERROR(__xludf.DUMMYFUNCTION("""COMPUTED_VALUE"""),132.17)</f>
        <v>132.16999999999999</v>
      </c>
      <c r="C448" s="1">
        <f ca="1">IFERROR(__xludf.DUMMYFUNCTION("""COMPUTED_VALUE"""),134.48)</f>
        <v>134.47999999999999</v>
      </c>
      <c r="D448" s="1">
        <f ca="1">IFERROR(__xludf.DUMMYFUNCTION("""COMPUTED_VALUE"""),131.23)</f>
        <v>131.22999999999999</v>
      </c>
      <c r="E448" s="1">
        <f ca="1">IFERROR(__xludf.DUMMYFUNCTION("""COMPUTED_VALUE"""),132.33)</f>
        <v>132.33000000000001</v>
      </c>
      <c r="F448" s="1">
        <f ca="1">IFERROR(__xludf.DUMMYFUNCTION("""COMPUTED_VALUE"""),55528581)</f>
        <v>55528581</v>
      </c>
    </row>
    <row r="449" spans="1:6" ht="12.6">
      <c r="A449" s="2">
        <f ca="1">IFERROR(__xludf.DUMMYFUNCTION("""COMPUTED_VALUE"""),45212.6666666666)</f>
        <v>45212.666666666599</v>
      </c>
      <c r="B449" s="1">
        <f ca="1">IFERROR(__xludf.DUMMYFUNCTION("""COMPUTED_VALUE"""),132.98)</f>
        <v>132.97999999999999</v>
      </c>
      <c r="C449" s="1">
        <f ca="1">IFERROR(__xludf.DUMMYFUNCTION("""COMPUTED_VALUE"""),133.31)</f>
        <v>133.31</v>
      </c>
      <c r="D449" s="1">
        <f ca="1">IFERROR(__xludf.DUMMYFUNCTION("""COMPUTED_VALUE"""),128.95)</f>
        <v>128.94999999999999</v>
      </c>
      <c r="E449" s="1">
        <f ca="1">IFERROR(__xludf.DUMMYFUNCTION("""COMPUTED_VALUE"""),129.79)</f>
        <v>129.79</v>
      </c>
      <c r="F449" s="1">
        <f ca="1">IFERROR(__xludf.DUMMYFUNCTION("""COMPUTED_VALUE"""),45824685)</f>
        <v>45824685</v>
      </c>
    </row>
    <row r="450" spans="1:6" ht="12.6">
      <c r="A450" s="2">
        <f ca="1">IFERROR(__xludf.DUMMYFUNCTION("""COMPUTED_VALUE"""),45215.6666666666)</f>
        <v>45215.666666666599</v>
      </c>
      <c r="B450" s="1">
        <f ca="1">IFERROR(__xludf.DUMMYFUNCTION("""COMPUTED_VALUE"""),130.69)</f>
        <v>130.69</v>
      </c>
      <c r="C450" s="1">
        <f ca="1">IFERROR(__xludf.DUMMYFUNCTION("""COMPUTED_VALUE"""),133.07)</f>
        <v>133.07</v>
      </c>
      <c r="D450" s="1">
        <f ca="1">IFERROR(__xludf.DUMMYFUNCTION("""COMPUTED_VALUE"""),130.43)</f>
        <v>130.43</v>
      </c>
      <c r="E450" s="1">
        <f ca="1">IFERROR(__xludf.DUMMYFUNCTION("""COMPUTED_VALUE"""),132.55)</f>
        <v>132.55000000000001</v>
      </c>
      <c r="F450" s="1">
        <f ca="1">IFERROR(__xludf.DUMMYFUNCTION("""COMPUTED_VALUE"""),42832918)</f>
        <v>42832918</v>
      </c>
    </row>
    <row r="451" spans="1:6" ht="12.6">
      <c r="A451" s="2">
        <f ca="1">IFERROR(__xludf.DUMMYFUNCTION("""COMPUTED_VALUE"""),45216.6666666666)</f>
        <v>45216.666666666599</v>
      </c>
      <c r="B451" s="1">
        <f ca="1">IFERROR(__xludf.DUMMYFUNCTION("""COMPUTED_VALUE"""),130.39)</f>
        <v>130.38999999999999</v>
      </c>
      <c r="C451" s="1">
        <f ca="1">IFERROR(__xludf.DUMMYFUNCTION("""COMPUTED_VALUE"""),132.58)</f>
        <v>132.58000000000001</v>
      </c>
      <c r="D451" s="1">
        <f ca="1">IFERROR(__xludf.DUMMYFUNCTION("""COMPUTED_VALUE"""),128.71)</f>
        <v>128.71</v>
      </c>
      <c r="E451" s="1">
        <f ca="1">IFERROR(__xludf.DUMMYFUNCTION("""COMPUTED_VALUE"""),131.47)</f>
        <v>131.47</v>
      </c>
      <c r="F451" s="1">
        <f ca="1">IFERROR(__xludf.DUMMYFUNCTION("""COMPUTED_VALUE"""),49344550)</f>
        <v>49344550</v>
      </c>
    </row>
    <row r="452" spans="1:6" ht="12.6">
      <c r="A452" s="2">
        <f ca="1">IFERROR(__xludf.DUMMYFUNCTION("""COMPUTED_VALUE"""),45217.6666666666)</f>
        <v>45217.666666666599</v>
      </c>
      <c r="B452" s="1">
        <f ca="1">IFERROR(__xludf.DUMMYFUNCTION("""COMPUTED_VALUE"""),129.9)</f>
        <v>129.9</v>
      </c>
      <c r="C452" s="1">
        <f ca="1">IFERROR(__xludf.DUMMYFUNCTION("""COMPUTED_VALUE"""),130.67)</f>
        <v>130.66999999999999</v>
      </c>
      <c r="D452" s="1">
        <f ca="1">IFERROR(__xludf.DUMMYFUNCTION("""COMPUTED_VALUE"""),127.51)</f>
        <v>127.51</v>
      </c>
      <c r="E452" s="1">
        <f ca="1">IFERROR(__xludf.DUMMYFUNCTION("""COMPUTED_VALUE"""),128.13)</f>
        <v>128.13</v>
      </c>
      <c r="F452" s="1">
        <f ca="1">IFERROR(__xludf.DUMMYFUNCTION("""COMPUTED_VALUE"""),42699479)</f>
        <v>42699479</v>
      </c>
    </row>
    <row r="453" spans="1:6" ht="12.6">
      <c r="A453" s="2">
        <f ca="1">IFERROR(__xludf.DUMMYFUNCTION("""COMPUTED_VALUE"""),45218.6666666666)</f>
        <v>45218.666666666599</v>
      </c>
      <c r="B453" s="1">
        <f ca="1">IFERROR(__xludf.DUMMYFUNCTION("""COMPUTED_VALUE"""),130.57)</f>
        <v>130.57</v>
      </c>
      <c r="C453" s="1">
        <f ca="1">IFERROR(__xludf.DUMMYFUNCTION("""COMPUTED_VALUE"""),132.24)</f>
        <v>132.24</v>
      </c>
      <c r="D453" s="1">
        <f ca="1">IFERROR(__xludf.DUMMYFUNCTION("""COMPUTED_VALUE"""),127.47)</f>
        <v>127.47</v>
      </c>
      <c r="E453" s="1">
        <f ca="1">IFERROR(__xludf.DUMMYFUNCTION("""COMPUTED_VALUE"""),128.4)</f>
        <v>128.4</v>
      </c>
      <c r="F453" s="1">
        <f ca="1">IFERROR(__xludf.DUMMYFUNCTION("""COMPUTED_VALUE"""),60961355)</f>
        <v>60961355</v>
      </c>
    </row>
    <row r="454" spans="1:6" ht="12.6">
      <c r="A454" s="2">
        <f ca="1">IFERROR(__xludf.DUMMYFUNCTION("""COMPUTED_VALUE"""),45219.6666666666)</f>
        <v>45219.666666666599</v>
      </c>
      <c r="B454" s="1">
        <f ca="1">IFERROR(__xludf.DUMMYFUNCTION("""COMPUTED_VALUE"""),128.05)</f>
        <v>128.05000000000001</v>
      </c>
      <c r="C454" s="1">
        <f ca="1">IFERROR(__xludf.DUMMYFUNCTION("""COMPUTED_VALUE"""),128.17)</f>
        <v>128.16999999999999</v>
      </c>
      <c r="D454" s="1">
        <f ca="1">IFERROR(__xludf.DUMMYFUNCTION("""COMPUTED_VALUE"""),124.97)</f>
        <v>124.97</v>
      </c>
      <c r="E454" s="1">
        <f ca="1">IFERROR(__xludf.DUMMYFUNCTION("""COMPUTED_VALUE"""),125.17)</f>
        <v>125.17</v>
      </c>
      <c r="F454" s="1">
        <f ca="1">IFERROR(__xludf.DUMMYFUNCTION("""COMPUTED_VALUE"""),56406410)</f>
        <v>56406410</v>
      </c>
    </row>
    <row r="455" spans="1:6" ht="12.6">
      <c r="A455" s="2">
        <f ca="1">IFERROR(__xludf.DUMMYFUNCTION("""COMPUTED_VALUE"""),45222.6666666666)</f>
        <v>45222.666666666599</v>
      </c>
      <c r="B455" s="1">
        <f ca="1">IFERROR(__xludf.DUMMYFUNCTION("""COMPUTED_VALUE"""),124.63)</f>
        <v>124.63</v>
      </c>
      <c r="C455" s="1">
        <f ca="1">IFERROR(__xludf.DUMMYFUNCTION("""COMPUTED_VALUE"""),127.88)</f>
        <v>127.88</v>
      </c>
      <c r="D455" s="1">
        <f ca="1">IFERROR(__xludf.DUMMYFUNCTION("""COMPUTED_VALUE"""),123.98)</f>
        <v>123.98</v>
      </c>
      <c r="E455" s="1">
        <f ca="1">IFERROR(__xludf.DUMMYFUNCTION("""COMPUTED_VALUE"""),126.56)</f>
        <v>126.56</v>
      </c>
      <c r="F455" s="1">
        <f ca="1">IFERROR(__xludf.DUMMYFUNCTION("""COMPUTED_VALUE"""),48259953)</f>
        <v>48259953</v>
      </c>
    </row>
    <row r="456" spans="1:6" ht="12.6">
      <c r="A456" s="2">
        <f ca="1">IFERROR(__xludf.DUMMYFUNCTION("""COMPUTED_VALUE"""),45223.6666666666)</f>
        <v>45223.666666666599</v>
      </c>
      <c r="B456" s="1">
        <f ca="1">IFERROR(__xludf.DUMMYFUNCTION("""COMPUTED_VALUE"""),127.74)</f>
        <v>127.74</v>
      </c>
      <c r="C456" s="1">
        <f ca="1">IFERROR(__xludf.DUMMYFUNCTION("""COMPUTED_VALUE"""),128.8)</f>
        <v>128.80000000000001</v>
      </c>
      <c r="D456" s="1">
        <f ca="1">IFERROR(__xludf.DUMMYFUNCTION("""COMPUTED_VALUE"""),126.34)</f>
        <v>126.34</v>
      </c>
      <c r="E456" s="1">
        <f ca="1">IFERROR(__xludf.DUMMYFUNCTION("""COMPUTED_VALUE"""),128.56)</f>
        <v>128.56</v>
      </c>
      <c r="F456" s="1">
        <f ca="1">IFERROR(__xludf.DUMMYFUNCTION("""COMPUTED_VALUE"""),46477355)</f>
        <v>46477355</v>
      </c>
    </row>
    <row r="457" spans="1:6" ht="12.6">
      <c r="A457" s="2">
        <f ca="1">IFERROR(__xludf.DUMMYFUNCTION("""COMPUTED_VALUE"""),45224.6666666666)</f>
        <v>45224.666666666599</v>
      </c>
      <c r="B457" s="1">
        <f ca="1">IFERROR(__xludf.DUMMYFUNCTION("""COMPUTED_VALUE"""),126.04)</f>
        <v>126.04</v>
      </c>
      <c r="C457" s="1">
        <f ca="1">IFERROR(__xludf.DUMMYFUNCTION("""COMPUTED_VALUE"""),126.34)</f>
        <v>126.34</v>
      </c>
      <c r="D457" s="1">
        <f ca="1">IFERROR(__xludf.DUMMYFUNCTION("""COMPUTED_VALUE"""),120.79)</f>
        <v>120.79</v>
      </c>
      <c r="E457" s="1">
        <f ca="1">IFERROR(__xludf.DUMMYFUNCTION("""COMPUTED_VALUE"""),121.39)</f>
        <v>121.39</v>
      </c>
      <c r="F457" s="1">
        <f ca="1">IFERROR(__xludf.DUMMYFUNCTION("""COMPUTED_VALUE"""),74577544)</f>
        <v>74577544</v>
      </c>
    </row>
    <row r="458" spans="1:6" ht="12.6">
      <c r="A458" s="2">
        <f ca="1">IFERROR(__xludf.DUMMYFUNCTION("""COMPUTED_VALUE"""),45225.6666666666)</f>
        <v>45225.666666666599</v>
      </c>
      <c r="B458" s="1">
        <f ca="1">IFERROR(__xludf.DUMMYFUNCTION("""COMPUTED_VALUE"""),120.63)</f>
        <v>120.63</v>
      </c>
      <c r="C458" s="1">
        <f ca="1">IFERROR(__xludf.DUMMYFUNCTION("""COMPUTED_VALUE"""),121.64)</f>
        <v>121.64</v>
      </c>
      <c r="D458" s="1">
        <f ca="1">IFERROR(__xludf.DUMMYFUNCTION("""COMPUTED_VALUE"""),118.35)</f>
        <v>118.35</v>
      </c>
      <c r="E458" s="1">
        <f ca="1">IFERROR(__xludf.DUMMYFUNCTION("""COMPUTED_VALUE"""),119.57)</f>
        <v>119.57</v>
      </c>
      <c r="F458" s="1">
        <f ca="1">IFERROR(__xludf.DUMMYFUNCTION("""COMPUTED_VALUE"""),100419516)</f>
        <v>100419516</v>
      </c>
    </row>
    <row r="459" spans="1:6" ht="12.6">
      <c r="A459" s="2">
        <f ca="1">IFERROR(__xludf.DUMMYFUNCTION("""COMPUTED_VALUE"""),45226.6666666666)</f>
        <v>45226.666666666599</v>
      </c>
      <c r="B459" s="1">
        <f ca="1">IFERROR(__xludf.DUMMYFUNCTION("""COMPUTED_VALUE"""),126.2)</f>
        <v>126.2</v>
      </c>
      <c r="C459" s="1">
        <f ca="1">IFERROR(__xludf.DUMMYFUNCTION("""COMPUTED_VALUE"""),130.02)</f>
        <v>130.02000000000001</v>
      </c>
      <c r="D459" s="1">
        <f ca="1">IFERROR(__xludf.DUMMYFUNCTION("""COMPUTED_VALUE"""),125.52)</f>
        <v>125.52</v>
      </c>
      <c r="E459" s="1">
        <f ca="1">IFERROR(__xludf.DUMMYFUNCTION("""COMPUTED_VALUE"""),127.74)</f>
        <v>127.74</v>
      </c>
      <c r="F459" s="1">
        <f ca="1">IFERROR(__xludf.DUMMYFUNCTION("""COMPUTED_VALUE"""),125309313)</f>
        <v>125309313</v>
      </c>
    </row>
    <row r="460" spans="1:6" ht="12.6">
      <c r="A460" s="2">
        <f ca="1">IFERROR(__xludf.DUMMYFUNCTION("""COMPUTED_VALUE"""),45229.6666666666)</f>
        <v>45229.666666666599</v>
      </c>
      <c r="B460" s="1">
        <f ca="1">IFERROR(__xludf.DUMMYFUNCTION("""COMPUTED_VALUE"""),129.72)</f>
        <v>129.72</v>
      </c>
      <c r="C460" s="1">
        <f ca="1">IFERROR(__xludf.DUMMYFUNCTION("""COMPUTED_VALUE"""),133)</f>
        <v>133</v>
      </c>
      <c r="D460" s="1">
        <f ca="1">IFERROR(__xludf.DUMMYFUNCTION("""COMPUTED_VALUE"""),128.56)</f>
        <v>128.56</v>
      </c>
      <c r="E460" s="1">
        <f ca="1">IFERROR(__xludf.DUMMYFUNCTION("""COMPUTED_VALUE"""),132.71)</f>
        <v>132.71</v>
      </c>
      <c r="F460" s="1">
        <f ca="1">IFERROR(__xludf.DUMMYFUNCTION("""COMPUTED_VALUE"""),72485542)</f>
        <v>72485542</v>
      </c>
    </row>
    <row r="461" spans="1:6" ht="12.6">
      <c r="A461" s="2">
        <f ca="1">IFERROR(__xludf.DUMMYFUNCTION("""COMPUTED_VALUE"""),45230.6666666666)</f>
        <v>45230.666666666599</v>
      </c>
      <c r="B461" s="1">
        <f ca="1">IFERROR(__xludf.DUMMYFUNCTION("""COMPUTED_VALUE"""),132.75)</f>
        <v>132.75</v>
      </c>
      <c r="C461" s="1">
        <f ca="1">IFERROR(__xludf.DUMMYFUNCTION("""COMPUTED_VALUE"""),133.57)</f>
        <v>133.57</v>
      </c>
      <c r="D461" s="1">
        <f ca="1">IFERROR(__xludf.DUMMYFUNCTION("""COMPUTED_VALUE"""),131.71)</f>
        <v>131.71</v>
      </c>
      <c r="E461" s="1">
        <f ca="1">IFERROR(__xludf.DUMMYFUNCTION("""COMPUTED_VALUE"""),133.09)</f>
        <v>133.09</v>
      </c>
      <c r="F461" s="1">
        <f ca="1">IFERROR(__xludf.DUMMYFUNCTION("""COMPUTED_VALUE"""),51589380)</f>
        <v>51589380</v>
      </c>
    </row>
    <row r="462" spans="1:6" ht="12.6">
      <c r="A462" s="2">
        <f ca="1">IFERROR(__xludf.DUMMYFUNCTION("""COMPUTED_VALUE"""),45231.6666666666)</f>
        <v>45231.666666666599</v>
      </c>
      <c r="B462" s="1">
        <f ca="1">IFERROR(__xludf.DUMMYFUNCTION("""COMPUTED_VALUE"""),133.96)</f>
        <v>133.96</v>
      </c>
      <c r="C462" s="1">
        <f ca="1">IFERROR(__xludf.DUMMYFUNCTION("""COMPUTED_VALUE"""),137.35)</f>
        <v>137.35</v>
      </c>
      <c r="D462" s="1">
        <f ca="1">IFERROR(__xludf.DUMMYFUNCTION("""COMPUTED_VALUE"""),133.71)</f>
        <v>133.71</v>
      </c>
      <c r="E462" s="1">
        <f ca="1">IFERROR(__xludf.DUMMYFUNCTION("""COMPUTED_VALUE"""),137)</f>
        <v>137</v>
      </c>
      <c r="F462" s="1">
        <f ca="1">IFERROR(__xludf.DUMMYFUNCTION("""COMPUTED_VALUE"""),61529409)</f>
        <v>61529409</v>
      </c>
    </row>
    <row r="463" spans="1:6" ht="12.6">
      <c r="A463" s="2">
        <f ca="1">IFERROR(__xludf.DUMMYFUNCTION("""COMPUTED_VALUE"""),45232.6666666666)</f>
        <v>45232.666666666599</v>
      </c>
      <c r="B463" s="1">
        <f ca="1">IFERROR(__xludf.DUMMYFUNCTION("""COMPUTED_VALUE"""),138.73)</f>
        <v>138.72999999999999</v>
      </c>
      <c r="C463" s="1">
        <f ca="1">IFERROR(__xludf.DUMMYFUNCTION("""COMPUTED_VALUE"""),138.81)</f>
        <v>138.81</v>
      </c>
      <c r="D463" s="1">
        <f ca="1">IFERROR(__xludf.DUMMYFUNCTION("""COMPUTED_VALUE"""),136.47)</f>
        <v>136.47</v>
      </c>
      <c r="E463" s="1">
        <f ca="1">IFERROR(__xludf.DUMMYFUNCTION("""COMPUTED_VALUE"""),138.07)</f>
        <v>138.07</v>
      </c>
      <c r="F463" s="1">
        <f ca="1">IFERROR(__xludf.DUMMYFUNCTION("""COMPUTED_VALUE"""),52236693)</f>
        <v>52236693</v>
      </c>
    </row>
    <row r="464" spans="1:6" ht="12.6">
      <c r="A464" s="2">
        <f ca="1">IFERROR(__xludf.DUMMYFUNCTION("""COMPUTED_VALUE"""),45233.6666666666)</f>
        <v>45233.666666666599</v>
      </c>
      <c r="B464" s="1">
        <f ca="1">IFERROR(__xludf.DUMMYFUNCTION("""COMPUTED_VALUE"""),138.99)</f>
        <v>138.99</v>
      </c>
      <c r="C464" s="1">
        <f ca="1">IFERROR(__xludf.DUMMYFUNCTION("""COMPUTED_VALUE"""),139.49)</f>
        <v>139.49</v>
      </c>
      <c r="D464" s="1">
        <f ca="1">IFERROR(__xludf.DUMMYFUNCTION("""COMPUTED_VALUE"""),137.45)</f>
        <v>137.44999999999999</v>
      </c>
      <c r="E464" s="1">
        <f ca="1">IFERROR(__xludf.DUMMYFUNCTION("""COMPUTED_VALUE"""),138.6)</f>
        <v>138.6</v>
      </c>
      <c r="F464" s="1">
        <f ca="1">IFERROR(__xludf.DUMMYFUNCTION("""COMPUTED_VALUE"""),44059805)</f>
        <v>44059805</v>
      </c>
    </row>
    <row r="465" spans="1:6" ht="12.6">
      <c r="A465" s="2">
        <f ca="1">IFERROR(__xludf.DUMMYFUNCTION("""COMPUTED_VALUE"""),45236.6666666666)</f>
        <v>45236.666666666599</v>
      </c>
      <c r="B465" s="1">
        <f ca="1">IFERROR(__xludf.DUMMYFUNCTION("""COMPUTED_VALUE"""),138.76)</f>
        <v>138.76</v>
      </c>
      <c r="C465" s="1">
        <f ca="1">IFERROR(__xludf.DUMMYFUNCTION("""COMPUTED_VALUE"""),140.73)</f>
        <v>140.72999999999999</v>
      </c>
      <c r="D465" s="1">
        <f ca="1">IFERROR(__xludf.DUMMYFUNCTION("""COMPUTED_VALUE"""),138.36)</f>
        <v>138.36000000000001</v>
      </c>
      <c r="E465" s="1">
        <f ca="1">IFERROR(__xludf.DUMMYFUNCTION("""COMPUTED_VALUE"""),139.74)</f>
        <v>139.74</v>
      </c>
      <c r="F465" s="1">
        <f ca="1">IFERROR(__xludf.DUMMYFUNCTION("""COMPUTED_VALUE"""),44970417)</f>
        <v>44970417</v>
      </c>
    </row>
    <row r="466" spans="1:6" ht="12.6">
      <c r="A466" s="2">
        <f ca="1">IFERROR(__xludf.DUMMYFUNCTION("""COMPUTED_VALUE"""),45237.6666666666)</f>
        <v>45237.666666666599</v>
      </c>
      <c r="B466" s="1">
        <f ca="1">IFERROR(__xludf.DUMMYFUNCTION("""COMPUTED_VALUE"""),140.55)</f>
        <v>140.55000000000001</v>
      </c>
      <c r="C466" s="1">
        <f ca="1">IFERROR(__xludf.DUMMYFUNCTION("""COMPUTED_VALUE"""),143.37)</f>
        <v>143.37</v>
      </c>
      <c r="D466" s="1">
        <f ca="1">IFERROR(__xludf.DUMMYFUNCTION("""COMPUTED_VALUE"""),140.5)</f>
        <v>140.5</v>
      </c>
      <c r="E466" s="1">
        <f ca="1">IFERROR(__xludf.DUMMYFUNCTION("""COMPUTED_VALUE"""),142.71)</f>
        <v>142.71</v>
      </c>
      <c r="F466" s="1">
        <f ca="1">IFERROR(__xludf.DUMMYFUNCTION("""COMPUTED_VALUE"""),53553537)</f>
        <v>53553537</v>
      </c>
    </row>
    <row r="467" spans="1:6" ht="12.6">
      <c r="A467" s="2">
        <f ca="1">IFERROR(__xludf.DUMMYFUNCTION("""COMPUTED_VALUE"""),45238.6666666666)</f>
        <v>45238.666666666599</v>
      </c>
      <c r="B467" s="1">
        <f ca="1">IFERROR(__xludf.DUMMYFUNCTION("""COMPUTED_VALUE"""),142.97)</f>
        <v>142.97</v>
      </c>
      <c r="C467" s="1">
        <f ca="1">IFERROR(__xludf.DUMMYFUNCTION("""COMPUTED_VALUE"""),143.12)</f>
        <v>143.12</v>
      </c>
      <c r="D467" s="1">
        <f ca="1">IFERROR(__xludf.DUMMYFUNCTION("""COMPUTED_VALUE"""),141.22)</f>
        <v>141.22</v>
      </c>
      <c r="E467" s="1">
        <f ca="1">IFERROR(__xludf.DUMMYFUNCTION("""COMPUTED_VALUE"""),142.08)</f>
        <v>142.08000000000001</v>
      </c>
      <c r="F467" s="1">
        <f ca="1">IFERROR(__xludf.DUMMYFUNCTION("""COMPUTED_VALUE"""),44521658)</f>
        <v>44521658</v>
      </c>
    </row>
    <row r="468" spans="1:6" ht="12.6">
      <c r="A468" s="2">
        <f ca="1">IFERROR(__xludf.DUMMYFUNCTION("""COMPUTED_VALUE"""),45239.6666666666)</f>
        <v>45239.666666666599</v>
      </c>
      <c r="B468" s="1">
        <f ca="1">IFERROR(__xludf.DUMMYFUNCTION("""COMPUTED_VALUE"""),142.02)</f>
        <v>142.02000000000001</v>
      </c>
      <c r="C468" s="1">
        <f ca="1">IFERROR(__xludf.DUMMYFUNCTION("""COMPUTED_VALUE"""),142.65)</f>
        <v>142.65</v>
      </c>
      <c r="D468" s="1">
        <f ca="1">IFERROR(__xludf.DUMMYFUNCTION("""COMPUTED_VALUE"""),139.84)</f>
        <v>139.84</v>
      </c>
      <c r="E468" s="1">
        <f ca="1">IFERROR(__xludf.DUMMYFUNCTION("""COMPUTED_VALUE"""),140.6)</f>
        <v>140.6</v>
      </c>
      <c r="F468" s="1">
        <f ca="1">IFERROR(__xludf.DUMMYFUNCTION("""COMPUTED_VALUE"""),36235367)</f>
        <v>36235367</v>
      </c>
    </row>
    <row r="469" spans="1:6" ht="12.6">
      <c r="A469" s="2">
        <f ca="1">IFERROR(__xludf.DUMMYFUNCTION("""COMPUTED_VALUE"""),45240.6666666666)</f>
        <v>45240.666666666599</v>
      </c>
      <c r="B469" s="1">
        <f ca="1">IFERROR(__xludf.DUMMYFUNCTION("""COMPUTED_VALUE"""),140.46)</f>
        <v>140.46</v>
      </c>
      <c r="C469" s="1">
        <f ca="1">IFERROR(__xludf.DUMMYFUNCTION("""COMPUTED_VALUE"""),143.65)</f>
        <v>143.65</v>
      </c>
      <c r="D469" s="1">
        <f ca="1">IFERROR(__xludf.DUMMYFUNCTION("""COMPUTED_VALUE"""),139.91)</f>
        <v>139.91</v>
      </c>
      <c r="E469" s="1">
        <f ca="1">IFERROR(__xludf.DUMMYFUNCTION("""COMPUTED_VALUE"""),143.56)</f>
        <v>143.56</v>
      </c>
      <c r="F469" s="1">
        <f ca="1">IFERROR(__xludf.DUMMYFUNCTION("""COMPUTED_VALUE"""),49349937)</f>
        <v>49349937</v>
      </c>
    </row>
    <row r="470" spans="1:6" ht="12.6">
      <c r="A470" s="2">
        <f ca="1">IFERROR(__xludf.DUMMYFUNCTION("""COMPUTED_VALUE"""),45243.6666666666)</f>
        <v>45243.666666666599</v>
      </c>
      <c r="B470" s="1">
        <f ca="1">IFERROR(__xludf.DUMMYFUNCTION("""COMPUTED_VALUE"""),142.08)</f>
        <v>142.08000000000001</v>
      </c>
      <c r="C470" s="1">
        <f ca="1">IFERROR(__xludf.DUMMYFUNCTION("""COMPUTED_VALUE"""),143.23)</f>
        <v>143.22999999999999</v>
      </c>
      <c r="D470" s="1">
        <f ca="1">IFERROR(__xludf.DUMMYFUNCTION("""COMPUTED_VALUE"""),140.67)</f>
        <v>140.66999999999999</v>
      </c>
      <c r="E470" s="1">
        <f ca="1">IFERROR(__xludf.DUMMYFUNCTION("""COMPUTED_VALUE"""),142.59)</f>
        <v>142.59</v>
      </c>
      <c r="F470" s="1">
        <f ca="1">IFERROR(__xludf.DUMMYFUNCTION("""COMPUTED_VALUE"""),35680570)</f>
        <v>35680570</v>
      </c>
    </row>
    <row r="471" spans="1:6" ht="12.6">
      <c r="A471" s="2">
        <f ca="1">IFERROR(__xludf.DUMMYFUNCTION("""COMPUTED_VALUE"""),45244.6666666666)</f>
        <v>45244.666666666599</v>
      </c>
      <c r="B471" s="1">
        <f ca="1">IFERROR(__xludf.DUMMYFUNCTION("""COMPUTED_VALUE"""),145)</f>
        <v>145</v>
      </c>
      <c r="C471" s="1">
        <f ca="1">IFERROR(__xludf.DUMMYFUNCTION("""COMPUTED_VALUE"""),147.26)</f>
        <v>147.26</v>
      </c>
      <c r="D471" s="1">
        <f ca="1">IFERROR(__xludf.DUMMYFUNCTION("""COMPUTED_VALUE"""),144.68)</f>
        <v>144.68</v>
      </c>
      <c r="E471" s="1">
        <f ca="1">IFERROR(__xludf.DUMMYFUNCTION("""COMPUTED_VALUE"""),145.8)</f>
        <v>145.80000000000001</v>
      </c>
      <c r="F471" s="1">
        <f ca="1">IFERROR(__xludf.DUMMYFUNCTION("""COMPUTED_VALUE"""),56674551)</f>
        <v>56674551</v>
      </c>
    </row>
    <row r="472" spans="1:6" ht="12.6">
      <c r="A472" s="2">
        <f ca="1">IFERROR(__xludf.DUMMYFUNCTION("""COMPUTED_VALUE"""),45245.6666666666)</f>
        <v>45245.666666666599</v>
      </c>
      <c r="B472" s="1">
        <f ca="1">IFERROR(__xludf.DUMMYFUNCTION("""COMPUTED_VALUE"""),147.06)</f>
        <v>147.06</v>
      </c>
      <c r="C472" s="1">
        <f ca="1">IFERROR(__xludf.DUMMYFUNCTION("""COMPUTED_VALUE"""),147.29)</f>
        <v>147.29</v>
      </c>
      <c r="D472" s="1">
        <f ca="1">IFERROR(__xludf.DUMMYFUNCTION("""COMPUTED_VALUE"""),142.59)</f>
        <v>142.59</v>
      </c>
      <c r="E472" s="1">
        <f ca="1">IFERROR(__xludf.DUMMYFUNCTION("""COMPUTED_VALUE"""),143.2)</f>
        <v>143.19999999999999</v>
      </c>
      <c r="F472" s="1">
        <f ca="1">IFERROR(__xludf.DUMMYFUNCTION("""COMPUTED_VALUE"""),63875720)</f>
        <v>63875720</v>
      </c>
    </row>
    <row r="473" spans="1:6" ht="12.6">
      <c r="A473" s="2">
        <f ca="1">IFERROR(__xludf.DUMMYFUNCTION("""COMPUTED_VALUE"""),45246.6666666666)</f>
        <v>45246.666666666599</v>
      </c>
      <c r="B473" s="1">
        <f ca="1">IFERROR(__xludf.DUMMYFUNCTION("""COMPUTED_VALUE"""),140.91)</f>
        <v>140.91</v>
      </c>
      <c r="C473" s="1">
        <f ca="1">IFERROR(__xludf.DUMMYFUNCTION("""COMPUTED_VALUE"""),143.32)</f>
        <v>143.32</v>
      </c>
      <c r="D473" s="1">
        <f ca="1">IFERROR(__xludf.DUMMYFUNCTION("""COMPUTED_VALUE"""),139.52)</f>
        <v>139.52000000000001</v>
      </c>
      <c r="E473" s="1">
        <f ca="1">IFERROR(__xludf.DUMMYFUNCTION("""COMPUTED_VALUE"""),142.83)</f>
        <v>142.83000000000001</v>
      </c>
      <c r="F473" s="1">
        <f ca="1">IFERROR(__xludf.DUMMYFUNCTION("""COMPUTED_VALUE"""),49653512)</f>
        <v>49653512</v>
      </c>
    </row>
    <row r="474" spans="1:6" ht="12.6">
      <c r="A474" s="2">
        <f ca="1">IFERROR(__xludf.DUMMYFUNCTION("""COMPUTED_VALUE"""),45247.6666666666)</f>
        <v>45247.666666666599</v>
      </c>
      <c r="B474" s="1">
        <f ca="1">IFERROR(__xludf.DUMMYFUNCTION("""COMPUTED_VALUE"""),142.66)</f>
        <v>142.66</v>
      </c>
      <c r="C474" s="1">
        <f ca="1">IFERROR(__xludf.DUMMYFUNCTION("""COMPUTED_VALUE"""),145.23)</f>
        <v>145.22999999999999</v>
      </c>
      <c r="D474" s="1">
        <f ca="1">IFERROR(__xludf.DUMMYFUNCTION("""COMPUTED_VALUE"""),142.54)</f>
        <v>142.54</v>
      </c>
      <c r="E474" s="1">
        <f ca="1">IFERROR(__xludf.DUMMYFUNCTION("""COMPUTED_VALUE"""),145.18)</f>
        <v>145.18</v>
      </c>
      <c r="F474" s="1">
        <f ca="1">IFERROR(__xludf.DUMMYFUNCTION("""COMPUTED_VALUE"""),49678437)</f>
        <v>49678437</v>
      </c>
    </row>
    <row r="475" spans="1:6" ht="12.6">
      <c r="A475" s="2">
        <f ca="1">IFERROR(__xludf.DUMMYFUNCTION("""COMPUTED_VALUE"""),45250.6666666666)</f>
        <v>45250.666666666599</v>
      </c>
      <c r="B475" s="1">
        <f ca="1">IFERROR(__xludf.DUMMYFUNCTION("""COMPUTED_VALUE"""),145.13)</f>
        <v>145.13</v>
      </c>
      <c r="C475" s="1">
        <f ca="1">IFERROR(__xludf.DUMMYFUNCTION("""COMPUTED_VALUE"""),146.63)</f>
        <v>146.63</v>
      </c>
      <c r="D475" s="1">
        <f ca="1">IFERROR(__xludf.DUMMYFUNCTION("""COMPUTED_VALUE"""),144.73)</f>
        <v>144.72999999999999</v>
      </c>
      <c r="E475" s="1">
        <f ca="1">IFERROR(__xludf.DUMMYFUNCTION("""COMPUTED_VALUE"""),146.13)</f>
        <v>146.13</v>
      </c>
      <c r="F475" s="1">
        <f ca="1">IFERROR(__xludf.DUMMYFUNCTION("""COMPUTED_VALUE"""),41978766)</f>
        <v>41978766</v>
      </c>
    </row>
    <row r="476" spans="1:6" ht="12.6">
      <c r="A476" s="2">
        <f ca="1">IFERROR(__xludf.DUMMYFUNCTION("""COMPUTED_VALUE"""),45251.6666666666)</f>
        <v>45251.666666666599</v>
      </c>
      <c r="B476" s="1">
        <f ca="1">IFERROR(__xludf.DUMMYFUNCTION("""COMPUTED_VALUE"""),143.91)</f>
        <v>143.91</v>
      </c>
      <c r="C476" s="1">
        <f ca="1">IFERROR(__xludf.DUMMYFUNCTION("""COMPUTED_VALUE"""),144.05)</f>
        <v>144.05000000000001</v>
      </c>
      <c r="D476" s="1">
        <f ca="1">IFERROR(__xludf.DUMMYFUNCTION("""COMPUTED_VALUE"""),141.5)</f>
        <v>141.5</v>
      </c>
      <c r="E476" s="1">
        <f ca="1">IFERROR(__xludf.DUMMYFUNCTION("""COMPUTED_VALUE"""),143.9)</f>
        <v>143.9</v>
      </c>
      <c r="F476" s="1">
        <f ca="1">IFERROR(__xludf.DUMMYFUNCTION("""COMPUTED_VALUE"""),71225992)</f>
        <v>71225992</v>
      </c>
    </row>
    <row r="477" spans="1:6" ht="12.6">
      <c r="A477" s="2">
        <f ca="1">IFERROR(__xludf.DUMMYFUNCTION("""COMPUTED_VALUE"""),45252.6666666666)</f>
        <v>45252.666666666599</v>
      </c>
      <c r="B477" s="1">
        <f ca="1">IFERROR(__xludf.DUMMYFUNCTION("""COMPUTED_VALUE"""),144.57)</f>
        <v>144.57</v>
      </c>
      <c r="C477" s="1">
        <f ca="1">IFERROR(__xludf.DUMMYFUNCTION("""COMPUTED_VALUE"""),147.74)</f>
        <v>147.74</v>
      </c>
      <c r="D477" s="1">
        <f ca="1">IFERROR(__xludf.DUMMYFUNCTION("""COMPUTED_VALUE"""),144.57)</f>
        <v>144.57</v>
      </c>
      <c r="E477" s="1">
        <f ca="1">IFERROR(__xludf.DUMMYFUNCTION("""COMPUTED_VALUE"""),146.71)</f>
        <v>146.71</v>
      </c>
      <c r="F477" s="1">
        <f ca="1">IFERROR(__xludf.DUMMYFUNCTION("""COMPUTED_VALUE"""),45700002)</f>
        <v>45700002</v>
      </c>
    </row>
    <row r="478" spans="1:6" ht="12.6">
      <c r="A478" s="2">
        <f ca="1">IFERROR(__xludf.DUMMYFUNCTION("""COMPUTED_VALUE"""),45254.5451388888)</f>
        <v>45254.545138888803</v>
      </c>
      <c r="B478" s="1">
        <f ca="1">IFERROR(__xludf.DUMMYFUNCTION("""COMPUTED_VALUE"""),146.7)</f>
        <v>146.69999999999999</v>
      </c>
      <c r="C478" s="1">
        <f ca="1">IFERROR(__xludf.DUMMYFUNCTION("""COMPUTED_VALUE"""),147.2)</f>
        <v>147.19999999999999</v>
      </c>
      <c r="D478" s="1">
        <f ca="1">IFERROR(__xludf.DUMMYFUNCTION("""COMPUTED_VALUE"""),145.32)</f>
        <v>145.32</v>
      </c>
      <c r="E478" s="1">
        <f ca="1">IFERROR(__xludf.DUMMYFUNCTION("""COMPUTED_VALUE"""),146.74)</f>
        <v>146.74</v>
      </c>
      <c r="F478" s="1">
        <f ca="1">IFERROR(__xludf.DUMMYFUNCTION("""COMPUTED_VALUE"""),22378379)</f>
        <v>22378379</v>
      </c>
    </row>
    <row r="479" spans="1:6" ht="12.6">
      <c r="A479" s="2">
        <f ca="1">IFERROR(__xludf.DUMMYFUNCTION("""COMPUTED_VALUE"""),45257.6666666666)</f>
        <v>45257.666666666599</v>
      </c>
      <c r="B479" s="1">
        <f ca="1">IFERROR(__xludf.DUMMYFUNCTION("""COMPUTED_VALUE"""),147.53)</f>
        <v>147.53</v>
      </c>
      <c r="C479" s="1">
        <f ca="1">IFERROR(__xludf.DUMMYFUNCTION("""COMPUTED_VALUE"""),149.26)</f>
        <v>149.26</v>
      </c>
      <c r="D479" s="1">
        <f ca="1">IFERROR(__xludf.DUMMYFUNCTION("""COMPUTED_VALUE"""),146.88)</f>
        <v>146.88</v>
      </c>
      <c r="E479" s="1">
        <f ca="1">IFERROR(__xludf.DUMMYFUNCTION("""COMPUTED_VALUE"""),147.73)</f>
        <v>147.72999999999999</v>
      </c>
      <c r="F479" s="1">
        <f ca="1">IFERROR(__xludf.DUMMYFUNCTION("""COMPUTED_VALUE"""),53762428)</f>
        <v>53762428</v>
      </c>
    </row>
    <row r="480" spans="1:6" ht="12.6">
      <c r="A480" s="2">
        <f ca="1">IFERROR(__xludf.DUMMYFUNCTION("""COMPUTED_VALUE"""),45258.6666666666)</f>
        <v>45258.666666666599</v>
      </c>
      <c r="B480" s="1">
        <f ca="1">IFERROR(__xludf.DUMMYFUNCTION("""COMPUTED_VALUE"""),146.98)</f>
        <v>146.97999999999999</v>
      </c>
      <c r="C480" s="1">
        <f ca="1">IFERROR(__xludf.DUMMYFUNCTION("""COMPUTED_VALUE"""),147.6)</f>
        <v>147.6</v>
      </c>
      <c r="D480" s="1">
        <f ca="1">IFERROR(__xludf.DUMMYFUNCTION("""COMPUTED_VALUE"""),145.53)</f>
        <v>145.53</v>
      </c>
      <c r="E480" s="1">
        <f ca="1">IFERROR(__xludf.DUMMYFUNCTION("""COMPUTED_VALUE"""),147.03)</f>
        <v>147.03</v>
      </c>
      <c r="F480" s="1">
        <f ca="1">IFERROR(__xludf.DUMMYFUNCTION("""COMPUTED_VALUE"""),42711682)</f>
        <v>42711682</v>
      </c>
    </row>
    <row r="481" spans="1:6" ht="12.6">
      <c r="A481" s="2">
        <f ca="1">IFERROR(__xludf.DUMMYFUNCTION("""COMPUTED_VALUE"""),45259.6666666666)</f>
        <v>45259.666666666599</v>
      </c>
      <c r="B481" s="1">
        <f ca="1">IFERROR(__xludf.DUMMYFUNCTION("""COMPUTED_VALUE"""),147.85)</f>
        <v>147.85</v>
      </c>
      <c r="C481" s="1">
        <f ca="1">IFERROR(__xludf.DUMMYFUNCTION("""COMPUTED_VALUE"""),148.54)</f>
        <v>148.54</v>
      </c>
      <c r="D481" s="1">
        <f ca="1">IFERROR(__xludf.DUMMYFUNCTION("""COMPUTED_VALUE"""),145.97)</f>
        <v>145.97</v>
      </c>
      <c r="E481" s="1">
        <f ca="1">IFERROR(__xludf.DUMMYFUNCTION("""COMPUTED_VALUE"""),146.32)</f>
        <v>146.32</v>
      </c>
      <c r="F481" s="1">
        <f ca="1">IFERROR(__xludf.DUMMYFUNCTION("""COMPUTED_VALUE"""),40610907)</f>
        <v>40610907</v>
      </c>
    </row>
    <row r="482" spans="1:6" ht="12.6">
      <c r="A482" s="2">
        <f ca="1">IFERROR(__xludf.DUMMYFUNCTION("""COMPUTED_VALUE"""),45260.6666666666)</f>
        <v>45260.666666666599</v>
      </c>
      <c r="B482" s="1">
        <f ca="1">IFERROR(__xludf.DUMMYFUNCTION("""COMPUTED_VALUE"""),144.76)</f>
        <v>144.76</v>
      </c>
      <c r="C482" s="1">
        <f ca="1">IFERROR(__xludf.DUMMYFUNCTION("""COMPUTED_VALUE"""),146.93)</f>
        <v>146.93</v>
      </c>
      <c r="D482" s="1">
        <f ca="1">IFERROR(__xludf.DUMMYFUNCTION("""COMPUTED_VALUE"""),144.33)</f>
        <v>144.33000000000001</v>
      </c>
      <c r="E482" s="1">
        <f ca="1">IFERROR(__xludf.DUMMYFUNCTION("""COMPUTED_VALUE"""),146.09)</f>
        <v>146.09</v>
      </c>
      <c r="F482" s="1">
        <f ca="1">IFERROR(__xludf.DUMMYFUNCTION("""COMPUTED_VALUE"""),65814022)</f>
        <v>65814022</v>
      </c>
    </row>
    <row r="483" spans="1:6" ht="12.6">
      <c r="A483" s="2">
        <f ca="1">IFERROR(__xludf.DUMMYFUNCTION("""COMPUTED_VALUE"""),45261.6666666666)</f>
        <v>45261.666666666599</v>
      </c>
      <c r="B483" s="1">
        <f ca="1">IFERROR(__xludf.DUMMYFUNCTION("""COMPUTED_VALUE"""),146)</f>
        <v>146</v>
      </c>
      <c r="C483" s="1">
        <f ca="1">IFERROR(__xludf.DUMMYFUNCTION("""COMPUTED_VALUE"""),147.25)</f>
        <v>147.25</v>
      </c>
      <c r="D483" s="1">
        <f ca="1">IFERROR(__xludf.DUMMYFUNCTION("""COMPUTED_VALUE"""),145.55)</f>
        <v>145.55000000000001</v>
      </c>
      <c r="E483" s="1">
        <f ca="1">IFERROR(__xludf.DUMMYFUNCTION("""COMPUTED_VALUE"""),147.03)</f>
        <v>147.03</v>
      </c>
      <c r="F483" s="1">
        <f ca="1">IFERROR(__xludf.DUMMYFUNCTION("""COMPUTED_VALUE"""),39951833)</f>
        <v>39951833</v>
      </c>
    </row>
    <row r="484" spans="1:6" ht="12.6">
      <c r="A484" s="2">
        <f ca="1">IFERROR(__xludf.DUMMYFUNCTION("""COMPUTED_VALUE"""),45264.6666666666)</f>
        <v>45264.666666666599</v>
      </c>
      <c r="B484" s="1">
        <f ca="1">IFERROR(__xludf.DUMMYFUNCTION("""COMPUTED_VALUE"""),145.25)</f>
        <v>145.25</v>
      </c>
      <c r="C484" s="1">
        <f ca="1">IFERROR(__xludf.DUMMYFUNCTION("""COMPUTED_VALUE"""),145.35)</f>
        <v>145.35</v>
      </c>
      <c r="D484" s="1">
        <f ca="1">IFERROR(__xludf.DUMMYFUNCTION("""COMPUTED_VALUE"""),142.81)</f>
        <v>142.81</v>
      </c>
      <c r="E484" s="1">
        <f ca="1">IFERROR(__xludf.DUMMYFUNCTION("""COMPUTED_VALUE"""),144.84)</f>
        <v>144.84</v>
      </c>
      <c r="F484" s="1">
        <f ca="1">IFERROR(__xludf.DUMMYFUNCTION("""COMPUTED_VALUE"""),48294244)</f>
        <v>48294244</v>
      </c>
    </row>
    <row r="485" spans="1:6" ht="12.6">
      <c r="A485" s="2">
        <f ca="1">IFERROR(__xludf.DUMMYFUNCTION("""COMPUTED_VALUE"""),45265.6666666666)</f>
        <v>45265.666666666599</v>
      </c>
      <c r="B485" s="1">
        <f ca="1">IFERROR(__xludf.DUMMYFUNCTION("""COMPUTED_VALUE"""),143.55)</f>
        <v>143.55000000000001</v>
      </c>
      <c r="C485" s="1">
        <f ca="1">IFERROR(__xludf.DUMMYFUNCTION("""COMPUTED_VALUE"""),148.57)</f>
        <v>148.57</v>
      </c>
      <c r="D485" s="1">
        <f ca="1">IFERROR(__xludf.DUMMYFUNCTION("""COMPUTED_VALUE"""),143.13)</f>
        <v>143.13</v>
      </c>
      <c r="E485" s="1">
        <f ca="1">IFERROR(__xludf.DUMMYFUNCTION("""COMPUTED_VALUE"""),146.88)</f>
        <v>146.88</v>
      </c>
      <c r="F485" s="1">
        <f ca="1">IFERROR(__xludf.DUMMYFUNCTION("""COMPUTED_VALUE"""),46822411)</f>
        <v>46822411</v>
      </c>
    </row>
    <row r="486" spans="1:6" ht="12.6">
      <c r="A486" s="2">
        <f ca="1">IFERROR(__xludf.DUMMYFUNCTION("""COMPUTED_VALUE"""),45266.6666666666)</f>
        <v>45266.666666666599</v>
      </c>
      <c r="B486" s="1">
        <f ca="1">IFERROR(__xludf.DUMMYFUNCTION("""COMPUTED_VALUE"""),147.58)</f>
        <v>147.58000000000001</v>
      </c>
      <c r="C486" s="1">
        <f ca="1">IFERROR(__xludf.DUMMYFUNCTION("""COMPUTED_VALUE"""),147.85)</f>
        <v>147.85</v>
      </c>
      <c r="D486" s="1">
        <f ca="1">IFERROR(__xludf.DUMMYFUNCTION("""COMPUTED_VALUE"""),144.28)</f>
        <v>144.28</v>
      </c>
      <c r="E486" s="1">
        <f ca="1">IFERROR(__xludf.DUMMYFUNCTION("""COMPUTED_VALUE"""),144.52)</f>
        <v>144.52000000000001</v>
      </c>
      <c r="F486" s="1">
        <f ca="1">IFERROR(__xludf.DUMMYFUNCTION("""COMPUTED_VALUE"""),39678960)</f>
        <v>39678960</v>
      </c>
    </row>
    <row r="487" spans="1:6" ht="12.6">
      <c r="A487" s="2">
        <f ca="1">IFERROR(__xludf.DUMMYFUNCTION("""COMPUTED_VALUE"""),45267.6666666666)</f>
        <v>45267.666666666599</v>
      </c>
      <c r="B487" s="1">
        <f ca="1">IFERROR(__xludf.DUMMYFUNCTION("""COMPUTED_VALUE"""),146.15)</f>
        <v>146.15</v>
      </c>
      <c r="C487" s="1">
        <f ca="1">IFERROR(__xludf.DUMMYFUNCTION("""COMPUTED_VALUE"""),147.92)</f>
        <v>147.91999999999999</v>
      </c>
      <c r="D487" s="1">
        <f ca="1">IFERROR(__xludf.DUMMYFUNCTION("""COMPUTED_VALUE"""),145.34)</f>
        <v>145.34</v>
      </c>
      <c r="E487" s="1">
        <f ca="1">IFERROR(__xludf.DUMMYFUNCTION("""COMPUTED_VALUE"""),146.88)</f>
        <v>146.88</v>
      </c>
      <c r="F487" s="1">
        <f ca="1">IFERROR(__xludf.DUMMYFUNCTION("""COMPUTED_VALUE"""),52352830)</f>
        <v>52352830</v>
      </c>
    </row>
    <row r="488" spans="1:6" ht="12.6">
      <c r="A488" s="2">
        <f ca="1">IFERROR(__xludf.DUMMYFUNCTION("""COMPUTED_VALUE"""),45268.6666666666)</f>
        <v>45268.666666666599</v>
      </c>
      <c r="B488" s="1">
        <f ca="1">IFERROR(__xludf.DUMMYFUNCTION("""COMPUTED_VALUE"""),145.48)</f>
        <v>145.47999999999999</v>
      </c>
      <c r="C488" s="1">
        <f ca="1">IFERROR(__xludf.DUMMYFUNCTION("""COMPUTED_VALUE"""),147.84)</f>
        <v>147.84</v>
      </c>
      <c r="D488" s="1">
        <f ca="1">IFERROR(__xludf.DUMMYFUNCTION("""COMPUTED_VALUE"""),145.4)</f>
        <v>145.4</v>
      </c>
      <c r="E488" s="1">
        <f ca="1">IFERROR(__xludf.DUMMYFUNCTION("""COMPUTED_VALUE"""),147.42)</f>
        <v>147.41999999999999</v>
      </c>
      <c r="F488" s="1">
        <f ca="1">IFERROR(__xludf.DUMMYFUNCTION("""COMPUTED_VALUE"""),41905965)</f>
        <v>41905965</v>
      </c>
    </row>
    <row r="489" spans="1:6" ht="12.6">
      <c r="A489" s="2">
        <f ca="1">IFERROR(__xludf.DUMMYFUNCTION("""COMPUTED_VALUE"""),45271.6666666666)</f>
        <v>45271.666666666599</v>
      </c>
      <c r="B489" s="1">
        <f ca="1">IFERROR(__xludf.DUMMYFUNCTION("""COMPUTED_VALUE"""),145.66)</f>
        <v>145.66</v>
      </c>
      <c r="C489" s="1">
        <f ca="1">IFERROR(__xludf.DUMMYFUNCTION("""COMPUTED_VALUE"""),146.19)</f>
        <v>146.19</v>
      </c>
      <c r="D489" s="1">
        <f ca="1">IFERROR(__xludf.DUMMYFUNCTION("""COMPUTED_VALUE"""),143.64)</f>
        <v>143.63999999999999</v>
      </c>
      <c r="E489" s="1">
        <f ca="1">IFERROR(__xludf.DUMMYFUNCTION("""COMPUTED_VALUE"""),145.89)</f>
        <v>145.88999999999999</v>
      </c>
      <c r="F489" s="1">
        <f ca="1">IFERROR(__xludf.DUMMYFUNCTION("""COMPUTED_VALUE"""),50907288)</f>
        <v>50907288</v>
      </c>
    </row>
    <row r="490" spans="1:6" ht="12.6">
      <c r="A490" s="2">
        <f ca="1">IFERROR(__xludf.DUMMYFUNCTION("""COMPUTED_VALUE"""),45272.6666666666)</f>
        <v>45272.666666666599</v>
      </c>
      <c r="B490" s="1">
        <f ca="1">IFERROR(__xludf.DUMMYFUNCTION("""COMPUTED_VALUE"""),145.52)</f>
        <v>145.52000000000001</v>
      </c>
      <c r="C490" s="1">
        <f ca="1">IFERROR(__xludf.DUMMYFUNCTION("""COMPUTED_VALUE"""),147.5)</f>
        <v>147.5</v>
      </c>
      <c r="D490" s="1">
        <f ca="1">IFERROR(__xludf.DUMMYFUNCTION("""COMPUTED_VALUE"""),145.3)</f>
        <v>145.30000000000001</v>
      </c>
      <c r="E490" s="1">
        <f ca="1">IFERROR(__xludf.DUMMYFUNCTION("""COMPUTED_VALUE"""),147.48)</f>
        <v>147.47999999999999</v>
      </c>
      <c r="F490" s="1">
        <f ca="1">IFERROR(__xludf.DUMMYFUNCTION("""COMPUTED_VALUE"""),44944264)</f>
        <v>44944264</v>
      </c>
    </row>
    <row r="491" spans="1:6" ht="12.6">
      <c r="A491" s="2">
        <f ca="1">IFERROR(__xludf.DUMMYFUNCTION("""COMPUTED_VALUE"""),45273.6666666666)</f>
        <v>45273.666666666599</v>
      </c>
      <c r="B491" s="1">
        <f ca="1">IFERROR(__xludf.DUMMYFUNCTION("""COMPUTED_VALUE"""),148.12)</f>
        <v>148.12</v>
      </c>
      <c r="C491" s="1">
        <f ca="1">IFERROR(__xludf.DUMMYFUNCTION("""COMPUTED_VALUE"""),149.46)</f>
        <v>149.46</v>
      </c>
      <c r="D491" s="1">
        <f ca="1">IFERROR(__xludf.DUMMYFUNCTION("""COMPUTED_VALUE"""),146.82)</f>
        <v>146.82</v>
      </c>
      <c r="E491" s="1">
        <f ca="1">IFERROR(__xludf.DUMMYFUNCTION("""COMPUTED_VALUE"""),148.84)</f>
        <v>148.84</v>
      </c>
      <c r="F491" s="1">
        <f ca="1">IFERROR(__xludf.DUMMYFUNCTION("""COMPUTED_VALUE"""),52766196)</f>
        <v>52766196</v>
      </c>
    </row>
    <row r="492" spans="1:6" ht="12.6">
      <c r="A492" s="2">
        <f ca="1">IFERROR(__xludf.DUMMYFUNCTION("""COMPUTED_VALUE"""),45274.6666666666)</f>
        <v>45274.666666666599</v>
      </c>
      <c r="B492" s="1">
        <f ca="1">IFERROR(__xludf.DUMMYFUNCTION("""COMPUTED_VALUE"""),149.93)</f>
        <v>149.93</v>
      </c>
      <c r="C492" s="1">
        <f ca="1">IFERROR(__xludf.DUMMYFUNCTION("""COMPUTED_VALUE"""),150.54)</f>
        <v>150.54</v>
      </c>
      <c r="D492" s="1">
        <f ca="1">IFERROR(__xludf.DUMMYFUNCTION("""COMPUTED_VALUE"""),145.52)</f>
        <v>145.52000000000001</v>
      </c>
      <c r="E492" s="1">
        <f ca="1">IFERROR(__xludf.DUMMYFUNCTION("""COMPUTED_VALUE"""),147.42)</f>
        <v>147.41999999999999</v>
      </c>
      <c r="F492" s="1">
        <f ca="1">IFERROR(__xludf.DUMMYFUNCTION("""COMPUTED_VALUE"""),58400848)</f>
        <v>58400848</v>
      </c>
    </row>
    <row r="493" spans="1:6" ht="12.6">
      <c r="A493" s="2">
        <f ca="1">IFERROR(__xludf.DUMMYFUNCTION("""COMPUTED_VALUE"""),45275.6666666666)</f>
        <v>45275.666666666599</v>
      </c>
      <c r="B493" s="1">
        <f ca="1">IFERROR(__xludf.DUMMYFUNCTION("""COMPUTED_VALUE"""),148.38)</f>
        <v>148.38</v>
      </c>
      <c r="C493" s="1">
        <f ca="1">IFERROR(__xludf.DUMMYFUNCTION("""COMPUTED_VALUE"""),150.57)</f>
        <v>150.57</v>
      </c>
      <c r="D493" s="1">
        <f ca="1">IFERROR(__xludf.DUMMYFUNCTION("""COMPUTED_VALUE"""),147.88)</f>
        <v>147.88</v>
      </c>
      <c r="E493" s="1">
        <f ca="1">IFERROR(__xludf.DUMMYFUNCTION("""COMPUTED_VALUE"""),149.97)</f>
        <v>149.97</v>
      </c>
      <c r="F493" s="1">
        <f ca="1">IFERROR(__xludf.DUMMYFUNCTION("""COMPUTED_VALUE"""),110089342)</f>
        <v>110089342</v>
      </c>
    </row>
    <row r="494" spans="1:6" ht="12.6">
      <c r="A494" s="2">
        <f ca="1">IFERROR(__xludf.DUMMYFUNCTION("""COMPUTED_VALUE"""),45278.6666666666)</f>
        <v>45278.666666666599</v>
      </c>
      <c r="B494" s="1">
        <f ca="1">IFERROR(__xludf.DUMMYFUNCTION("""COMPUTED_VALUE"""),150.56)</f>
        <v>150.56</v>
      </c>
      <c r="C494" s="1">
        <f ca="1">IFERROR(__xludf.DUMMYFUNCTION("""COMPUTED_VALUE"""),154.85)</f>
        <v>154.85</v>
      </c>
      <c r="D494" s="1">
        <f ca="1">IFERROR(__xludf.DUMMYFUNCTION("""COMPUTED_VALUE"""),150.05)</f>
        <v>150.05000000000001</v>
      </c>
      <c r="E494" s="1">
        <f ca="1">IFERROR(__xludf.DUMMYFUNCTION("""COMPUTED_VALUE"""),154.07)</f>
        <v>154.07</v>
      </c>
      <c r="F494" s="1">
        <f ca="1">IFERROR(__xludf.DUMMYFUNCTION("""COMPUTED_VALUE"""),62512828)</f>
        <v>62512828</v>
      </c>
    </row>
    <row r="495" spans="1:6" ht="12.6">
      <c r="A495" s="2">
        <f ca="1">IFERROR(__xludf.DUMMYFUNCTION("""COMPUTED_VALUE"""),45279.6666666666)</f>
        <v>45279.666666666599</v>
      </c>
      <c r="B495" s="1">
        <f ca="1">IFERROR(__xludf.DUMMYFUNCTION("""COMPUTED_VALUE"""),154.4)</f>
        <v>154.4</v>
      </c>
      <c r="C495" s="1">
        <f ca="1">IFERROR(__xludf.DUMMYFUNCTION("""COMPUTED_VALUE"""),155.12)</f>
        <v>155.12</v>
      </c>
      <c r="D495" s="1">
        <f ca="1">IFERROR(__xludf.DUMMYFUNCTION("""COMPUTED_VALUE"""),152.69)</f>
        <v>152.69</v>
      </c>
      <c r="E495" s="1">
        <f ca="1">IFERROR(__xludf.DUMMYFUNCTION("""COMPUTED_VALUE"""),153.79)</f>
        <v>153.79</v>
      </c>
      <c r="F495" s="1">
        <f ca="1">IFERROR(__xludf.DUMMYFUNCTION("""COMPUTED_VALUE"""),43171292)</f>
        <v>43171292</v>
      </c>
    </row>
    <row r="496" spans="1:6" ht="12.6">
      <c r="A496" s="2">
        <f ca="1">IFERROR(__xludf.DUMMYFUNCTION("""COMPUTED_VALUE"""),45280.6666666666)</f>
        <v>45280.666666666599</v>
      </c>
      <c r="B496" s="1">
        <f ca="1">IFERROR(__xludf.DUMMYFUNCTION("""COMPUTED_VALUE"""),152.9)</f>
        <v>152.9</v>
      </c>
      <c r="C496" s="1">
        <f ca="1">IFERROR(__xludf.DUMMYFUNCTION("""COMPUTED_VALUE"""),155.63)</f>
        <v>155.63</v>
      </c>
      <c r="D496" s="1">
        <f ca="1">IFERROR(__xludf.DUMMYFUNCTION("""COMPUTED_VALUE"""),151.56)</f>
        <v>151.56</v>
      </c>
      <c r="E496" s="1">
        <f ca="1">IFERROR(__xludf.DUMMYFUNCTION("""COMPUTED_VALUE"""),152.12)</f>
        <v>152.12</v>
      </c>
      <c r="F496" s="1">
        <f ca="1">IFERROR(__xludf.DUMMYFUNCTION("""COMPUTED_VALUE"""),50322106)</f>
        <v>50322106</v>
      </c>
    </row>
    <row r="497" spans="1:6" ht="12.6">
      <c r="A497" s="2">
        <f ca="1">IFERROR(__xludf.DUMMYFUNCTION("""COMPUTED_VALUE"""),45281.6666666666)</f>
        <v>45281.666666666599</v>
      </c>
      <c r="B497" s="1">
        <f ca="1">IFERROR(__xludf.DUMMYFUNCTION("""COMPUTED_VALUE"""),153.3)</f>
        <v>153.30000000000001</v>
      </c>
      <c r="C497" s="1">
        <f ca="1">IFERROR(__xludf.DUMMYFUNCTION("""COMPUTED_VALUE"""),153.97)</f>
        <v>153.97</v>
      </c>
      <c r="D497" s="1">
        <f ca="1">IFERROR(__xludf.DUMMYFUNCTION("""COMPUTED_VALUE"""),152.1)</f>
        <v>152.1</v>
      </c>
      <c r="E497" s="1">
        <f ca="1">IFERROR(__xludf.DUMMYFUNCTION("""COMPUTED_VALUE"""),153.84)</f>
        <v>153.84</v>
      </c>
      <c r="F497" s="1">
        <f ca="1">IFERROR(__xludf.DUMMYFUNCTION("""COMPUTED_VALUE"""),36305733)</f>
        <v>36305733</v>
      </c>
    </row>
    <row r="498" spans="1:6" ht="12.6">
      <c r="A498" s="2">
        <f ca="1">IFERROR(__xludf.DUMMYFUNCTION("""COMPUTED_VALUE"""),45282.6666666666)</f>
        <v>45282.666666666599</v>
      </c>
      <c r="B498" s="1">
        <f ca="1">IFERROR(__xludf.DUMMYFUNCTION("""COMPUTED_VALUE"""),153.77)</f>
        <v>153.77000000000001</v>
      </c>
      <c r="C498" s="1">
        <f ca="1">IFERROR(__xludf.DUMMYFUNCTION("""COMPUTED_VALUE"""),154.35)</f>
        <v>154.35</v>
      </c>
      <c r="D498" s="1">
        <f ca="1">IFERROR(__xludf.DUMMYFUNCTION("""COMPUTED_VALUE"""),152.71)</f>
        <v>152.71</v>
      </c>
      <c r="E498" s="1">
        <f ca="1">IFERROR(__xludf.DUMMYFUNCTION("""COMPUTED_VALUE"""),153.42)</f>
        <v>153.41999999999999</v>
      </c>
      <c r="F498" s="1">
        <f ca="1">IFERROR(__xludf.DUMMYFUNCTION("""COMPUTED_VALUE"""),29514093)</f>
        <v>29514093</v>
      </c>
    </row>
    <row r="499" spans="1:6" ht="12.6">
      <c r="A499" s="2">
        <f ca="1">IFERROR(__xludf.DUMMYFUNCTION("""COMPUTED_VALUE"""),45286.6666666666)</f>
        <v>45286.666666666599</v>
      </c>
      <c r="B499" s="1">
        <f ca="1">IFERROR(__xludf.DUMMYFUNCTION("""COMPUTED_VALUE"""),153.56)</f>
        <v>153.56</v>
      </c>
      <c r="C499" s="1">
        <f ca="1">IFERROR(__xludf.DUMMYFUNCTION("""COMPUTED_VALUE"""),153.98)</f>
        <v>153.97999999999999</v>
      </c>
      <c r="D499" s="1">
        <f ca="1">IFERROR(__xludf.DUMMYFUNCTION("""COMPUTED_VALUE"""),153.03)</f>
        <v>153.03</v>
      </c>
      <c r="E499" s="1">
        <f ca="1">IFERROR(__xludf.DUMMYFUNCTION("""COMPUTED_VALUE"""),153.41)</f>
        <v>153.41</v>
      </c>
      <c r="F499" s="1">
        <f ca="1">IFERROR(__xludf.DUMMYFUNCTION("""COMPUTED_VALUE"""),25067222)</f>
        <v>25067222</v>
      </c>
    </row>
    <row r="500" spans="1:6" ht="12.6">
      <c r="A500" s="2">
        <f ca="1">IFERROR(__xludf.DUMMYFUNCTION("""COMPUTED_VALUE"""),45287.6666666666)</f>
        <v>45287.666666666599</v>
      </c>
      <c r="B500" s="1">
        <f ca="1">IFERROR(__xludf.DUMMYFUNCTION("""COMPUTED_VALUE"""),153.56)</f>
        <v>153.56</v>
      </c>
      <c r="C500" s="1">
        <f ca="1">IFERROR(__xludf.DUMMYFUNCTION("""COMPUTED_VALUE"""),154.78)</f>
        <v>154.78</v>
      </c>
      <c r="D500" s="1">
        <f ca="1">IFERROR(__xludf.DUMMYFUNCTION("""COMPUTED_VALUE"""),153.12)</f>
        <v>153.12</v>
      </c>
      <c r="E500" s="1">
        <f ca="1">IFERROR(__xludf.DUMMYFUNCTION("""COMPUTED_VALUE"""),153.34)</f>
        <v>153.34</v>
      </c>
      <c r="F500" s="1">
        <f ca="1">IFERROR(__xludf.DUMMYFUNCTION("""COMPUTED_VALUE"""),31434733)</f>
        <v>31434733</v>
      </c>
    </row>
    <row r="501" spans="1:6" ht="12.6">
      <c r="A501" s="2">
        <f ca="1">IFERROR(__xludf.DUMMYFUNCTION("""COMPUTED_VALUE"""),45288.6666666666)</f>
        <v>45288.666666666599</v>
      </c>
      <c r="B501" s="1">
        <f ca="1">IFERROR(__xludf.DUMMYFUNCTION("""COMPUTED_VALUE"""),153.72)</f>
        <v>153.72</v>
      </c>
      <c r="C501" s="1">
        <f ca="1">IFERROR(__xludf.DUMMYFUNCTION("""COMPUTED_VALUE"""),154.08)</f>
        <v>154.08000000000001</v>
      </c>
      <c r="D501" s="1">
        <f ca="1">IFERROR(__xludf.DUMMYFUNCTION("""COMPUTED_VALUE"""),152.95)</f>
        <v>152.94999999999999</v>
      </c>
      <c r="E501" s="1">
        <f ca="1">IFERROR(__xludf.DUMMYFUNCTION("""COMPUTED_VALUE"""),153.38)</f>
        <v>153.38</v>
      </c>
      <c r="F501" s="1">
        <f ca="1">IFERROR(__xludf.DUMMYFUNCTION("""COMPUTED_VALUE"""),27057002)</f>
        <v>27057002</v>
      </c>
    </row>
    <row r="502" spans="1:6" ht="12.6">
      <c r="A502" s="2">
        <f ca="1">IFERROR(__xludf.DUMMYFUNCTION("""COMPUTED_VALUE"""),45289.6666666666)</f>
        <v>45289.666666666599</v>
      </c>
      <c r="B502" s="1">
        <f ca="1">IFERROR(__xludf.DUMMYFUNCTION("""COMPUTED_VALUE"""),153.1)</f>
        <v>153.1</v>
      </c>
      <c r="C502" s="1">
        <f ca="1">IFERROR(__xludf.DUMMYFUNCTION("""COMPUTED_VALUE"""),153.89)</f>
        <v>153.88999999999999</v>
      </c>
      <c r="D502" s="1">
        <f ca="1">IFERROR(__xludf.DUMMYFUNCTION("""COMPUTED_VALUE"""),151.03)</f>
        <v>151.03</v>
      </c>
      <c r="E502" s="1">
        <f ca="1">IFERROR(__xludf.DUMMYFUNCTION("""COMPUTED_VALUE"""),151.94)</f>
        <v>151.94</v>
      </c>
      <c r="F502" s="1">
        <f ca="1">IFERROR(__xludf.DUMMYFUNCTION("""COMPUTED_VALUE"""),39823204)</f>
        <v>39823204</v>
      </c>
    </row>
    <row r="503" spans="1:6" ht="12.6">
      <c r="A503" s="2">
        <f ca="1">IFERROR(__xludf.DUMMYFUNCTION("""COMPUTED_VALUE"""),45293.6666666666)</f>
        <v>45293.666666666599</v>
      </c>
      <c r="B503" s="1">
        <f ca="1">IFERROR(__xludf.DUMMYFUNCTION("""COMPUTED_VALUE"""),151.54)</f>
        <v>151.54</v>
      </c>
      <c r="C503" s="1">
        <f ca="1">IFERROR(__xludf.DUMMYFUNCTION("""COMPUTED_VALUE"""),152.38)</f>
        <v>152.38</v>
      </c>
      <c r="D503" s="1">
        <f ca="1">IFERROR(__xludf.DUMMYFUNCTION("""COMPUTED_VALUE"""),148.39)</f>
        <v>148.38999999999999</v>
      </c>
      <c r="E503" s="1">
        <f ca="1">IFERROR(__xludf.DUMMYFUNCTION("""COMPUTED_VALUE"""),149.93)</f>
        <v>149.93</v>
      </c>
      <c r="F503" s="1">
        <f ca="1">IFERROR(__xludf.DUMMYFUNCTION("""COMPUTED_VALUE"""),47339424)</f>
        <v>47339424</v>
      </c>
    </row>
    <row r="504" spans="1:6" ht="12.6">
      <c r="A504" s="2">
        <f ca="1">IFERROR(__xludf.DUMMYFUNCTION("""COMPUTED_VALUE"""),45294.6666666666)</f>
        <v>45294.666666666599</v>
      </c>
      <c r="B504" s="1">
        <f ca="1">IFERROR(__xludf.DUMMYFUNCTION("""COMPUTED_VALUE"""),149.2)</f>
        <v>149.19999999999999</v>
      </c>
      <c r="C504" s="1">
        <f ca="1">IFERROR(__xludf.DUMMYFUNCTION("""COMPUTED_VALUE"""),151.05)</f>
        <v>151.05000000000001</v>
      </c>
      <c r="D504" s="1">
        <f ca="1">IFERROR(__xludf.DUMMYFUNCTION("""COMPUTED_VALUE"""),148.33)</f>
        <v>148.33000000000001</v>
      </c>
      <c r="E504" s="1">
        <f ca="1">IFERROR(__xludf.DUMMYFUNCTION("""COMPUTED_VALUE"""),148.47)</f>
        <v>148.47</v>
      </c>
      <c r="F504" s="1">
        <f ca="1">IFERROR(__xludf.DUMMYFUNCTION("""COMPUTED_VALUE"""),49425495)</f>
        <v>49425495</v>
      </c>
    </row>
    <row r="505" spans="1:6" ht="12.6">
      <c r="A505" s="2">
        <f ca="1">IFERROR(__xludf.DUMMYFUNCTION("""COMPUTED_VALUE"""),45295.6666666666)</f>
        <v>45295.666666666599</v>
      </c>
      <c r="B505" s="1">
        <f ca="1">IFERROR(__xludf.DUMMYFUNCTION("""COMPUTED_VALUE"""),145.59)</f>
        <v>145.59</v>
      </c>
      <c r="C505" s="1">
        <f ca="1">IFERROR(__xludf.DUMMYFUNCTION("""COMPUTED_VALUE"""),147.38)</f>
        <v>147.38</v>
      </c>
      <c r="D505" s="1">
        <f ca="1">IFERROR(__xludf.DUMMYFUNCTION("""COMPUTED_VALUE"""),144.05)</f>
        <v>144.05000000000001</v>
      </c>
      <c r="E505" s="1">
        <f ca="1">IFERROR(__xludf.DUMMYFUNCTION("""COMPUTED_VALUE"""),144.57)</f>
        <v>144.57</v>
      </c>
      <c r="F505" s="1">
        <f ca="1">IFERROR(__xludf.DUMMYFUNCTION("""COMPUTED_VALUE"""),56039807)</f>
        <v>56039807</v>
      </c>
    </row>
    <row r="506" spans="1:6" ht="12.6">
      <c r="A506" s="2">
        <f ca="1">IFERROR(__xludf.DUMMYFUNCTION("""COMPUTED_VALUE"""),45296.6666666666)</f>
        <v>45296.666666666599</v>
      </c>
      <c r="B506" s="1">
        <f ca="1">IFERROR(__xludf.DUMMYFUNCTION("""COMPUTED_VALUE"""),144.69)</f>
        <v>144.69</v>
      </c>
      <c r="C506" s="1">
        <f ca="1">IFERROR(__xludf.DUMMYFUNCTION("""COMPUTED_VALUE"""),146.59)</f>
        <v>146.59</v>
      </c>
      <c r="D506" s="1">
        <f ca="1">IFERROR(__xludf.DUMMYFUNCTION("""COMPUTED_VALUE"""),144.53)</f>
        <v>144.53</v>
      </c>
      <c r="E506" s="1">
        <f ca="1">IFERROR(__xludf.DUMMYFUNCTION("""COMPUTED_VALUE"""),145.24)</f>
        <v>145.24</v>
      </c>
      <c r="F506" s="1">
        <f ca="1">IFERROR(__xludf.DUMMYFUNCTION("""COMPUTED_VALUE"""),45153147)</f>
        <v>45153147</v>
      </c>
    </row>
    <row r="507" spans="1:6" ht="12.6">
      <c r="A507" s="2">
        <f ca="1">IFERROR(__xludf.DUMMYFUNCTION("""COMPUTED_VALUE"""),45299.6666666666)</f>
        <v>45299.666666666599</v>
      </c>
      <c r="B507" s="1">
        <f ca="1">IFERROR(__xludf.DUMMYFUNCTION("""COMPUTED_VALUE"""),146.74)</f>
        <v>146.74</v>
      </c>
      <c r="C507" s="1">
        <f ca="1">IFERROR(__xludf.DUMMYFUNCTION("""COMPUTED_VALUE"""),149.4)</f>
        <v>149.4</v>
      </c>
      <c r="D507" s="1">
        <f ca="1">IFERROR(__xludf.DUMMYFUNCTION("""COMPUTED_VALUE"""),146.15)</f>
        <v>146.15</v>
      </c>
      <c r="E507" s="1">
        <f ca="1">IFERROR(__xludf.DUMMYFUNCTION("""COMPUTED_VALUE"""),149.1)</f>
        <v>149.1</v>
      </c>
      <c r="F507" s="1">
        <f ca="1">IFERROR(__xludf.DUMMYFUNCTION("""COMPUTED_VALUE"""),46757053)</f>
        <v>46757053</v>
      </c>
    </row>
    <row r="508" spans="1:6" ht="12.6">
      <c r="A508" s="2">
        <f ca="1">IFERROR(__xludf.DUMMYFUNCTION("""COMPUTED_VALUE"""),45300.6666666666)</f>
        <v>45300.666666666599</v>
      </c>
      <c r="B508" s="1">
        <f ca="1">IFERROR(__xludf.DUMMYFUNCTION("""COMPUTED_VALUE"""),148.33)</f>
        <v>148.33000000000001</v>
      </c>
      <c r="C508" s="1">
        <f ca="1">IFERROR(__xludf.DUMMYFUNCTION("""COMPUTED_VALUE"""),151.71)</f>
        <v>151.71</v>
      </c>
      <c r="D508" s="1">
        <f ca="1">IFERROR(__xludf.DUMMYFUNCTION("""COMPUTED_VALUE"""),148.21)</f>
        <v>148.21</v>
      </c>
      <c r="E508" s="1">
        <f ca="1">IFERROR(__xludf.DUMMYFUNCTION("""COMPUTED_VALUE"""),151.37)</f>
        <v>151.37</v>
      </c>
      <c r="F508" s="1">
        <f ca="1">IFERROR(__xludf.DUMMYFUNCTION("""COMPUTED_VALUE"""),43812567)</f>
        <v>43812567</v>
      </c>
    </row>
    <row r="509" spans="1:6" ht="12.6">
      <c r="A509" s="2">
        <f ca="1">IFERROR(__xludf.DUMMYFUNCTION("""COMPUTED_VALUE"""),45301.6666666666)</f>
        <v>45301.666666666599</v>
      </c>
      <c r="B509" s="1">
        <f ca="1">IFERROR(__xludf.DUMMYFUNCTION("""COMPUTED_VALUE"""),152.06)</f>
        <v>152.06</v>
      </c>
      <c r="C509" s="1">
        <f ca="1">IFERROR(__xludf.DUMMYFUNCTION("""COMPUTED_VALUE"""),154.42)</f>
        <v>154.41999999999999</v>
      </c>
      <c r="D509" s="1">
        <f ca="1">IFERROR(__xludf.DUMMYFUNCTION("""COMPUTED_VALUE"""),151.88)</f>
        <v>151.88</v>
      </c>
      <c r="E509" s="1">
        <f ca="1">IFERROR(__xludf.DUMMYFUNCTION("""COMPUTED_VALUE"""),153.73)</f>
        <v>153.72999999999999</v>
      </c>
      <c r="F509" s="1">
        <f ca="1">IFERROR(__xludf.DUMMYFUNCTION("""COMPUTED_VALUE"""),44421830)</f>
        <v>44421830</v>
      </c>
    </row>
    <row r="510" spans="1:6" ht="12.6">
      <c r="A510" s="2">
        <f ca="1">IFERROR(__xludf.DUMMYFUNCTION("""COMPUTED_VALUE"""),45302.6666666666)</f>
        <v>45302.666666666599</v>
      </c>
      <c r="B510" s="1">
        <f ca="1">IFERROR(__xludf.DUMMYFUNCTION("""COMPUTED_VALUE"""),155.04)</f>
        <v>155.04</v>
      </c>
      <c r="C510" s="1">
        <f ca="1">IFERROR(__xludf.DUMMYFUNCTION("""COMPUTED_VALUE"""),157.17)</f>
        <v>157.16999999999999</v>
      </c>
      <c r="D510" s="1">
        <f ca="1">IFERROR(__xludf.DUMMYFUNCTION("""COMPUTED_VALUE"""),153.12)</f>
        <v>153.12</v>
      </c>
      <c r="E510" s="1">
        <f ca="1">IFERROR(__xludf.DUMMYFUNCTION("""COMPUTED_VALUE"""),155.18)</f>
        <v>155.18</v>
      </c>
      <c r="F510" s="1">
        <f ca="1">IFERROR(__xludf.DUMMYFUNCTION("""COMPUTED_VALUE"""),49072691)</f>
        <v>49072691</v>
      </c>
    </row>
    <row r="511" spans="1:6" ht="12.6">
      <c r="A511" s="2">
        <f ca="1">IFERROR(__xludf.DUMMYFUNCTION("""COMPUTED_VALUE"""),45303.6666666666)</f>
        <v>45303.666666666599</v>
      </c>
      <c r="B511" s="1">
        <f ca="1">IFERROR(__xludf.DUMMYFUNCTION("""COMPUTED_VALUE"""),155.39)</f>
        <v>155.38999999999999</v>
      </c>
      <c r="C511" s="1">
        <f ca="1">IFERROR(__xludf.DUMMYFUNCTION("""COMPUTED_VALUE"""),156.2)</f>
        <v>156.19999999999999</v>
      </c>
      <c r="D511" s="1">
        <f ca="1">IFERROR(__xludf.DUMMYFUNCTION("""COMPUTED_VALUE"""),154.01)</f>
        <v>154.01</v>
      </c>
      <c r="E511" s="1">
        <f ca="1">IFERROR(__xludf.DUMMYFUNCTION("""COMPUTED_VALUE"""),154.62)</f>
        <v>154.62</v>
      </c>
      <c r="F511" s="1">
        <f ca="1">IFERROR(__xludf.DUMMYFUNCTION("""COMPUTED_VALUE"""),40484155)</f>
        <v>40484155</v>
      </c>
    </row>
    <row r="512" spans="1:6" ht="12.6">
      <c r="A512" s="2">
        <f ca="1">IFERROR(__xludf.DUMMYFUNCTION("""COMPUTED_VALUE"""),45307.6666666666)</f>
        <v>45307.666666666599</v>
      </c>
      <c r="B512" s="1">
        <f ca="1">IFERROR(__xludf.DUMMYFUNCTION("""COMPUTED_VALUE"""),153.53)</f>
        <v>153.53</v>
      </c>
      <c r="C512" s="1">
        <f ca="1">IFERROR(__xludf.DUMMYFUNCTION("""COMPUTED_VALUE"""),154.99)</f>
        <v>154.99</v>
      </c>
      <c r="D512" s="1">
        <f ca="1">IFERROR(__xludf.DUMMYFUNCTION("""COMPUTED_VALUE"""),152.15)</f>
        <v>152.15</v>
      </c>
      <c r="E512" s="1">
        <f ca="1">IFERROR(__xludf.DUMMYFUNCTION("""COMPUTED_VALUE"""),153.16)</f>
        <v>153.16</v>
      </c>
      <c r="F512" s="1">
        <f ca="1">IFERROR(__xludf.DUMMYFUNCTION("""COMPUTED_VALUE"""),41384636)</f>
        <v>41384636</v>
      </c>
    </row>
    <row r="513" spans="1:6" ht="12.6">
      <c r="A513" s="2">
        <f ca="1">IFERROR(__xludf.DUMMYFUNCTION("""COMPUTED_VALUE"""),45308.6666666666)</f>
        <v>45308.666666666599</v>
      </c>
      <c r="B513" s="1">
        <f ca="1">IFERROR(__xludf.DUMMYFUNCTION("""COMPUTED_VALUE"""),151.49)</f>
        <v>151.49</v>
      </c>
      <c r="C513" s="1">
        <f ca="1">IFERROR(__xludf.DUMMYFUNCTION("""COMPUTED_VALUE"""),152.15)</f>
        <v>152.15</v>
      </c>
      <c r="D513" s="1">
        <f ca="1">IFERROR(__xludf.DUMMYFUNCTION("""COMPUTED_VALUE"""),149.91)</f>
        <v>149.91</v>
      </c>
      <c r="E513" s="1">
        <f ca="1">IFERROR(__xludf.DUMMYFUNCTION("""COMPUTED_VALUE"""),151.71)</f>
        <v>151.71</v>
      </c>
      <c r="F513" s="1">
        <f ca="1">IFERROR(__xludf.DUMMYFUNCTION("""COMPUTED_VALUE"""),34953363)</f>
        <v>34953363</v>
      </c>
    </row>
    <row r="514" spans="1:6" ht="12.6">
      <c r="A514" s="2">
        <f ca="1">IFERROR(__xludf.DUMMYFUNCTION("""COMPUTED_VALUE"""),45309.6666666666)</f>
        <v>45309.666666666599</v>
      </c>
      <c r="B514" s="1">
        <f ca="1">IFERROR(__xludf.DUMMYFUNCTION("""COMPUTED_VALUE"""),152.77)</f>
        <v>152.77000000000001</v>
      </c>
      <c r="C514" s="1">
        <f ca="1">IFERROR(__xludf.DUMMYFUNCTION("""COMPUTED_VALUE"""),153.78)</f>
        <v>153.78</v>
      </c>
      <c r="D514" s="1">
        <f ca="1">IFERROR(__xludf.DUMMYFUNCTION("""COMPUTED_VALUE"""),151.82)</f>
        <v>151.82</v>
      </c>
      <c r="E514" s="1">
        <f ca="1">IFERROR(__xludf.DUMMYFUNCTION("""COMPUTED_VALUE"""),153.5)</f>
        <v>153.5</v>
      </c>
      <c r="F514" s="1">
        <f ca="1">IFERROR(__xludf.DUMMYFUNCTION("""COMPUTED_VALUE"""),37850245)</f>
        <v>37850245</v>
      </c>
    </row>
    <row r="515" spans="1:6" ht="12.6">
      <c r="A515" s="2">
        <f ca="1">IFERROR(__xludf.DUMMYFUNCTION("""COMPUTED_VALUE"""),45310.6666666666)</f>
        <v>45310.666666666599</v>
      </c>
      <c r="B515" s="1">
        <f ca="1">IFERROR(__xludf.DUMMYFUNCTION("""COMPUTED_VALUE"""),153.83)</f>
        <v>153.83000000000001</v>
      </c>
      <c r="C515" s="1">
        <f ca="1">IFERROR(__xludf.DUMMYFUNCTION("""COMPUTED_VALUE"""),155.76)</f>
        <v>155.76</v>
      </c>
      <c r="D515" s="1">
        <f ca="1">IFERROR(__xludf.DUMMYFUNCTION("""COMPUTED_VALUE"""),152.74)</f>
        <v>152.74</v>
      </c>
      <c r="E515" s="1">
        <f ca="1">IFERROR(__xludf.DUMMYFUNCTION("""COMPUTED_VALUE"""),155.34)</f>
        <v>155.34</v>
      </c>
      <c r="F515" s="1">
        <f ca="1">IFERROR(__xludf.DUMMYFUNCTION("""COMPUTED_VALUE"""),51651628)</f>
        <v>51651628</v>
      </c>
    </row>
    <row r="516" spans="1:6" ht="12.6">
      <c r="A516" s="2">
        <f ca="1">IFERROR(__xludf.DUMMYFUNCTION("""COMPUTED_VALUE"""),45313.6666666666)</f>
        <v>45313.666666666599</v>
      </c>
      <c r="B516" s="1">
        <f ca="1">IFERROR(__xludf.DUMMYFUNCTION("""COMPUTED_VALUE"""),156.89)</f>
        <v>156.88999999999999</v>
      </c>
      <c r="C516" s="1">
        <f ca="1">IFERROR(__xludf.DUMMYFUNCTION("""COMPUTED_VALUE"""),157.05)</f>
        <v>157.05000000000001</v>
      </c>
      <c r="D516" s="1">
        <f ca="1">IFERROR(__xludf.DUMMYFUNCTION("""COMPUTED_VALUE"""),153.9)</f>
        <v>153.9</v>
      </c>
      <c r="E516" s="1">
        <f ca="1">IFERROR(__xludf.DUMMYFUNCTION("""COMPUTED_VALUE"""),154.78)</f>
        <v>154.78</v>
      </c>
      <c r="F516" s="1">
        <f ca="1">IFERROR(__xludf.DUMMYFUNCTION("""COMPUTED_VALUE"""),43687468)</f>
        <v>43687468</v>
      </c>
    </row>
    <row r="517" spans="1:6" ht="12.6">
      <c r="A517" s="2">
        <f ca="1">IFERROR(__xludf.DUMMYFUNCTION("""COMPUTED_VALUE"""),45314.6666666666)</f>
        <v>45314.666666666599</v>
      </c>
      <c r="B517" s="1">
        <f ca="1">IFERROR(__xludf.DUMMYFUNCTION("""COMPUTED_VALUE"""),154.85)</f>
        <v>154.85</v>
      </c>
      <c r="C517" s="1">
        <f ca="1">IFERROR(__xludf.DUMMYFUNCTION("""COMPUTED_VALUE"""),156.21)</f>
        <v>156.21</v>
      </c>
      <c r="D517" s="1">
        <f ca="1">IFERROR(__xludf.DUMMYFUNCTION("""COMPUTED_VALUE"""),153.93)</f>
        <v>153.93</v>
      </c>
      <c r="E517" s="1">
        <f ca="1">IFERROR(__xludf.DUMMYFUNCTION("""COMPUTED_VALUE"""),156.02)</f>
        <v>156.02000000000001</v>
      </c>
      <c r="F517" s="1">
        <f ca="1">IFERROR(__xludf.DUMMYFUNCTION("""COMPUTED_VALUE"""),37986039)</f>
        <v>37986039</v>
      </c>
    </row>
    <row r="518" spans="1:6" ht="12.6">
      <c r="A518" s="2">
        <f ca="1">IFERROR(__xludf.DUMMYFUNCTION("""COMPUTED_VALUE"""),45315.6666666666)</f>
        <v>45315.666666666599</v>
      </c>
      <c r="B518" s="1">
        <f ca="1">IFERROR(__xludf.DUMMYFUNCTION("""COMPUTED_VALUE"""),157.8)</f>
        <v>157.80000000000001</v>
      </c>
      <c r="C518" s="1">
        <f ca="1">IFERROR(__xludf.DUMMYFUNCTION("""COMPUTED_VALUE"""),158.51)</f>
        <v>158.51</v>
      </c>
      <c r="D518" s="1">
        <f ca="1">IFERROR(__xludf.DUMMYFUNCTION("""COMPUTED_VALUE"""),156.48)</f>
        <v>156.47999999999999</v>
      </c>
      <c r="E518" s="1">
        <f ca="1">IFERROR(__xludf.DUMMYFUNCTION("""COMPUTED_VALUE"""),156.87)</f>
        <v>156.87</v>
      </c>
      <c r="F518" s="1">
        <f ca="1">IFERROR(__xludf.DUMMYFUNCTION("""COMPUTED_VALUE"""),48547315)</f>
        <v>48547315</v>
      </c>
    </row>
    <row r="519" spans="1:6" ht="12.6">
      <c r="A519" s="2">
        <f ca="1">IFERROR(__xludf.DUMMYFUNCTION("""COMPUTED_VALUE"""),45316.6666666666)</f>
        <v>45316.666666666599</v>
      </c>
      <c r="B519" s="1">
        <f ca="1">IFERROR(__xludf.DUMMYFUNCTION("""COMPUTED_VALUE"""),156.95)</f>
        <v>156.94999999999999</v>
      </c>
      <c r="C519" s="1">
        <f ca="1">IFERROR(__xludf.DUMMYFUNCTION("""COMPUTED_VALUE"""),158.51)</f>
        <v>158.51</v>
      </c>
      <c r="D519" s="1">
        <f ca="1">IFERROR(__xludf.DUMMYFUNCTION("""COMPUTED_VALUE"""),154.55)</f>
        <v>154.55000000000001</v>
      </c>
      <c r="E519" s="1">
        <f ca="1">IFERROR(__xludf.DUMMYFUNCTION("""COMPUTED_VALUE"""),157.75)</f>
        <v>157.75</v>
      </c>
      <c r="F519" s="1">
        <f ca="1">IFERROR(__xludf.DUMMYFUNCTION("""COMPUTED_VALUE"""),43638592)</f>
        <v>43638592</v>
      </c>
    </row>
    <row r="520" spans="1:6" ht="12.6">
      <c r="A520" s="2">
        <f ca="1">IFERROR(__xludf.DUMMYFUNCTION("""COMPUTED_VALUE"""),45317.6666666666)</f>
        <v>45317.666666666599</v>
      </c>
      <c r="B520" s="1">
        <f ca="1">IFERROR(__xludf.DUMMYFUNCTION("""COMPUTED_VALUE"""),158.42)</f>
        <v>158.41999999999999</v>
      </c>
      <c r="C520" s="1">
        <f ca="1">IFERROR(__xludf.DUMMYFUNCTION("""COMPUTED_VALUE"""),160.72)</f>
        <v>160.72</v>
      </c>
      <c r="D520" s="1">
        <f ca="1">IFERROR(__xludf.DUMMYFUNCTION("""COMPUTED_VALUE"""),157.91)</f>
        <v>157.91</v>
      </c>
      <c r="E520" s="1">
        <f ca="1">IFERROR(__xludf.DUMMYFUNCTION("""COMPUTED_VALUE"""),159.12)</f>
        <v>159.12</v>
      </c>
      <c r="F520" s="1">
        <f ca="1">IFERROR(__xludf.DUMMYFUNCTION("""COMPUTED_VALUE"""),51047353)</f>
        <v>51047353</v>
      </c>
    </row>
    <row r="521" spans="1:6" ht="12.6">
      <c r="A521" s="2">
        <f ca="1">IFERROR(__xludf.DUMMYFUNCTION("""COMPUTED_VALUE"""),45320.6666666666)</f>
        <v>45320.666666666599</v>
      </c>
      <c r="B521" s="1">
        <f ca="1">IFERROR(__xludf.DUMMYFUNCTION("""COMPUTED_VALUE"""),159.34)</f>
        <v>159.34</v>
      </c>
      <c r="C521" s="1">
        <f ca="1">IFERROR(__xludf.DUMMYFUNCTION("""COMPUTED_VALUE"""),161.29)</f>
        <v>161.29</v>
      </c>
      <c r="D521" s="1">
        <f ca="1">IFERROR(__xludf.DUMMYFUNCTION("""COMPUTED_VALUE"""),158.9)</f>
        <v>158.9</v>
      </c>
      <c r="E521" s="1">
        <f ca="1">IFERROR(__xludf.DUMMYFUNCTION("""COMPUTED_VALUE"""),161.26)</f>
        <v>161.26</v>
      </c>
      <c r="F521" s="1">
        <f ca="1">IFERROR(__xludf.DUMMYFUNCTION("""COMPUTED_VALUE"""),45270385)</f>
        <v>45270385</v>
      </c>
    </row>
    <row r="522" spans="1:6" ht="12.6">
      <c r="A522" s="2">
        <f ca="1">IFERROR(__xludf.DUMMYFUNCTION("""COMPUTED_VALUE"""),45321.6666666666)</f>
        <v>45321.666666666599</v>
      </c>
      <c r="B522" s="1">
        <f ca="1">IFERROR(__xludf.DUMMYFUNCTION("""COMPUTED_VALUE"""),160.7)</f>
        <v>160.69999999999999</v>
      </c>
      <c r="C522" s="1">
        <f ca="1">IFERROR(__xludf.DUMMYFUNCTION("""COMPUTED_VALUE"""),161.73)</f>
        <v>161.72999999999999</v>
      </c>
      <c r="D522" s="1">
        <f ca="1">IFERROR(__xludf.DUMMYFUNCTION("""COMPUTED_VALUE"""),158.49)</f>
        <v>158.49</v>
      </c>
      <c r="E522" s="1">
        <f ca="1">IFERROR(__xludf.DUMMYFUNCTION("""COMPUTED_VALUE"""),159)</f>
        <v>159</v>
      </c>
      <c r="F522" s="1">
        <f ca="1">IFERROR(__xludf.DUMMYFUNCTION("""COMPUTED_VALUE"""),45207430)</f>
        <v>45207430</v>
      </c>
    </row>
    <row r="523" spans="1:6" ht="12.6">
      <c r="A523" s="2">
        <f ca="1">IFERROR(__xludf.DUMMYFUNCTION("""COMPUTED_VALUE"""),45322.6666666666)</f>
        <v>45322.666666666599</v>
      </c>
      <c r="B523" s="1">
        <f ca="1">IFERROR(__xludf.DUMMYFUNCTION("""COMPUTED_VALUE"""),157)</f>
        <v>157</v>
      </c>
      <c r="C523" s="1">
        <f ca="1">IFERROR(__xludf.DUMMYFUNCTION("""COMPUTED_VALUE"""),159.01)</f>
        <v>159.01</v>
      </c>
      <c r="D523" s="1">
        <f ca="1">IFERROR(__xludf.DUMMYFUNCTION("""COMPUTED_VALUE"""),154.81)</f>
        <v>154.81</v>
      </c>
      <c r="E523" s="1">
        <f ca="1">IFERROR(__xludf.DUMMYFUNCTION("""COMPUTED_VALUE"""),155.2)</f>
        <v>155.19999999999999</v>
      </c>
      <c r="F523" s="1">
        <f ca="1">IFERROR(__xludf.DUMMYFUNCTION("""COMPUTED_VALUE"""),50284371)</f>
        <v>50284371</v>
      </c>
    </row>
    <row r="524" spans="1:6" ht="12.6">
      <c r="A524" s="2">
        <f ca="1">IFERROR(__xludf.DUMMYFUNCTION("""COMPUTED_VALUE"""),45323.6666666666)</f>
        <v>45323.666666666599</v>
      </c>
      <c r="B524" s="1">
        <f ca="1">IFERROR(__xludf.DUMMYFUNCTION("""COMPUTED_VALUE"""),155.87)</f>
        <v>155.87</v>
      </c>
      <c r="C524" s="1">
        <f ca="1">IFERROR(__xludf.DUMMYFUNCTION("""COMPUTED_VALUE"""),159.76)</f>
        <v>159.76</v>
      </c>
      <c r="D524" s="1">
        <f ca="1">IFERROR(__xludf.DUMMYFUNCTION("""COMPUTED_VALUE"""),155.62)</f>
        <v>155.62</v>
      </c>
      <c r="E524" s="1">
        <f ca="1">IFERROR(__xludf.DUMMYFUNCTION("""COMPUTED_VALUE"""),159.28)</f>
        <v>159.28</v>
      </c>
      <c r="F524" s="1">
        <f ca="1">IFERROR(__xludf.DUMMYFUNCTION("""COMPUTED_VALUE"""),76542419)</f>
        <v>76542419</v>
      </c>
    </row>
    <row r="525" spans="1:6" ht="12.6">
      <c r="A525" s="2">
        <f ca="1">IFERROR(__xludf.DUMMYFUNCTION("""COMPUTED_VALUE"""),45324.6666666666)</f>
        <v>45324.666666666599</v>
      </c>
      <c r="B525" s="1">
        <f ca="1">IFERROR(__xludf.DUMMYFUNCTION("""COMPUTED_VALUE"""),169.19)</f>
        <v>169.19</v>
      </c>
      <c r="C525" s="1">
        <f ca="1">IFERROR(__xludf.DUMMYFUNCTION("""COMPUTED_VALUE"""),172.5)</f>
        <v>172.5</v>
      </c>
      <c r="D525" s="1">
        <f ca="1">IFERROR(__xludf.DUMMYFUNCTION("""COMPUTED_VALUE"""),167.33)</f>
        <v>167.33</v>
      </c>
      <c r="E525" s="1">
        <f ca="1">IFERROR(__xludf.DUMMYFUNCTION("""COMPUTED_VALUE"""),171.81)</f>
        <v>171.81</v>
      </c>
      <c r="F525" s="1">
        <f ca="1">IFERROR(__xludf.DUMMYFUNCTION("""COMPUTED_VALUE"""),117218313)</f>
        <v>117218313</v>
      </c>
    </row>
    <row r="526" spans="1:6" ht="12.6">
      <c r="A526" s="2">
        <f ca="1">IFERROR(__xludf.DUMMYFUNCTION("""COMPUTED_VALUE"""),45327.6666666666)</f>
        <v>45327.666666666599</v>
      </c>
      <c r="B526" s="1">
        <f ca="1">IFERROR(__xludf.DUMMYFUNCTION("""COMPUTED_VALUE"""),170.2)</f>
        <v>170.2</v>
      </c>
      <c r="C526" s="1">
        <f ca="1">IFERROR(__xludf.DUMMYFUNCTION("""COMPUTED_VALUE"""),170.55)</f>
        <v>170.55</v>
      </c>
      <c r="D526" s="1">
        <f ca="1">IFERROR(__xludf.DUMMYFUNCTION("""COMPUTED_VALUE"""),167.7)</f>
        <v>167.7</v>
      </c>
      <c r="E526" s="1">
        <f ca="1">IFERROR(__xludf.DUMMYFUNCTION("""COMPUTED_VALUE"""),170.31)</f>
        <v>170.31</v>
      </c>
      <c r="F526" s="1">
        <f ca="1">IFERROR(__xludf.DUMMYFUNCTION("""COMPUTED_VALUE"""),55081297)</f>
        <v>55081297</v>
      </c>
    </row>
    <row r="527" spans="1:6" ht="12.6">
      <c r="A527" s="2">
        <f ca="1">IFERROR(__xludf.DUMMYFUNCTION("""COMPUTED_VALUE"""),45328.6666666666)</f>
        <v>45328.666666666599</v>
      </c>
      <c r="B527" s="1">
        <f ca="1">IFERROR(__xludf.DUMMYFUNCTION("""COMPUTED_VALUE"""),169.39)</f>
        <v>169.39</v>
      </c>
      <c r="C527" s="1">
        <f ca="1">IFERROR(__xludf.DUMMYFUNCTION("""COMPUTED_VALUE"""),170.71)</f>
        <v>170.71</v>
      </c>
      <c r="D527" s="1">
        <f ca="1">IFERROR(__xludf.DUMMYFUNCTION("""COMPUTED_VALUE"""),167.65)</f>
        <v>167.65</v>
      </c>
      <c r="E527" s="1">
        <f ca="1">IFERROR(__xludf.DUMMYFUNCTION("""COMPUTED_VALUE"""),169.15)</f>
        <v>169.15</v>
      </c>
      <c r="F527" s="1">
        <f ca="1">IFERROR(__xludf.DUMMYFUNCTION("""COMPUTED_VALUE"""),42505518)</f>
        <v>42505518</v>
      </c>
    </row>
    <row r="528" spans="1:6" ht="12.6">
      <c r="A528" s="2">
        <f ca="1">IFERROR(__xludf.DUMMYFUNCTION("""COMPUTED_VALUE"""),45329.6666666666)</f>
        <v>45329.666666666599</v>
      </c>
      <c r="B528" s="1">
        <f ca="1">IFERROR(__xludf.DUMMYFUNCTION("""COMPUTED_VALUE"""),169.48)</f>
        <v>169.48</v>
      </c>
      <c r="C528" s="1">
        <f ca="1">IFERROR(__xludf.DUMMYFUNCTION("""COMPUTED_VALUE"""),170.88)</f>
        <v>170.88</v>
      </c>
      <c r="D528" s="1">
        <f ca="1">IFERROR(__xludf.DUMMYFUNCTION("""COMPUTED_VALUE"""),168.94)</f>
        <v>168.94</v>
      </c>
      <c r="E528" s="1">
        <f ca="1">IFERROR(__xludf.DUMMYFUNCTION("""COMPUTED_VALUE"""),170.53)</f>
        <v>170.53</v>
      </c>
      <c r="F528" s="1">
        <f ca="1">IFERROR(__xludf.DUMMYFUNCTION("""COMPUTED_VALUE"""),47174060)</f>
        <v>47174060</v>
      </c>
    </row>
    <row r="529" spans="1:6" ht="12.6">
      <c r="A529" s="2">
        <f ca="1">IFERROR(__xludf.DUMMYFUNCTION("""COMPUTED_VALUE"""),45330.6666666666)</f>
        <v>45330.666666666599</v>
      </c>
      <c r="B529" s="1">
        <f ca="1">IFERROR(__xludf.DUMMYFUNCTION("""COMPUTED_VALUE"""),169.65)</f>
        <v>169.65</v>
      </c>
      <c r="C529" s="1">
        <f ca="1">IFERROR(__xludf.DUMMYFUNCTION("""COMPUTED_VALUE"""),171.43)</f>
        <v>171.43</v>
      </c>
      <c r="D529" s="1">
        <f ca="1">IFERROR(__xludf.DUMMYFUNCTION("""COMPUTED_VALUE"""),168.88)</f>
        <v>168.88</v>
      </c>
      <c r="E529" s="1">
        <f ca="1">IFERROR(__xludf.DUMMYFUNCTION("""COMPUTED_VALUE"""),169.84)</f>
        <v>169.84</v>
      </c>
      <c r="F529" s="1">
        <f ca="1">IFERROR(__xludf.DUMMYFUNCTION("""COMPUTED_VALUE"""),42316454)</f>
        <v>42316454</v>
      </c>
    </row>
    <row r="530" spans="1:6" ht="12.6">
      <c r="A530" s="2">
        <f ca="1">IFERROR(__xludf.DUMMYFUNCTION("""COMPUTED_VALUE"""),45331.6666666666)</f>
        <v>45331.666666666599</v>
      </c>
      <c r="B530" s="1">
        <f ca="1">IFERROR(__xludf.DUMMYFUNCTION("""COMPUTED_VALUE"""),170.9)</f>
        <v>170.9</v>
      </c>
      <c r="C530" s="1">
        <f ca="1">IFERROR(__xludf.DUMMYFUNCTION("""COMPUTED_VALUE"""),175)</f>
        <v>175</v>
      </c>
      <c r="D530" s="1">
        <f ca="1">IFERROR(__xludf.DUMMYFUNCTION("""COMPUTED_VALUE"""),170.58)</f>
        <v>170.58</v>
      </c>
      <c r="E530" s="1">
        <f ca="1">IFERROR(__xludf.DUMMYFUNCTION("""COMPUTED_VALUE"""),174.45)</f>
        <v>174.45</v>
      </c>
      <c r="F530" s="1">
        <f ca="1">IFERROR(__xludf.DUMMYFUNCTION("""COMPUTED_VALUE"""),56985986)</f>
        <v>56985986</v>
      </c>
    </row>
    <row r="531" spans="1:6" ht="12.6">
      <c r="A531" s="2">
        <f ca="1">IFERROR(__xludf.DUMMYFUNCTION("""COMPUTED_VALUE"""),45334.6666666666)</f>
        <v>45334.666666666599</v>
      </c>
      <c r="B531" s="1">
        <f ca="1">IFERROR(__xludf.DUMMYFUNCTION("""COMPUTED_VALUE"""),174.8)</f>
        <v>174.8</v>
      </c>
      <c r="C531" s="1">
        <f ca="1">IFERROR(__xludf.DUMMYFUNCTION("""COMPUTED_VALUE"""),175.39)</f>
        <v>175.39</v>
      </c>
      <c r="D531" s="1">
        <f ca="1">IFERROR(__xludf.DUMMYFUNCTION("""COMPUTED_VALUE"""),171.54)</f>
        <v>171.54</v>
      </c>
      <c r="E531" s="1">
        <f ca="1">IFERROR(__xludf.DUMMYFUNCTION("""COMPUTED_VALUE"""),172.34)</f>
        <v>172.34</v>
      </c>
      <c r="F531" s="1">
        <f ca="1">IFERROR(__xludf.DUMMYFUNCTION("""COMPUTED_VALUE"""),51050440)</f>
        <v>51050440</v>
      </c>
    </row>
    <row r="532" spans="1:6" ht="12.6">
      <c r="A532" s="2">
        <f ca="1">IFERROR(__xludf.DUMMYFUNCTION("""COMPUTED_VALUE"""),45335.6666666666)</f>
        <v>45335.666666666599</v>
      </c>
      <c r="B532" s="1">
        <f ca="1">IFERROR(__xludf.DUMMYFUNCTION("""COMPUTED_VALUE"""),167.73)</f>
        <v>167.73</v>
      </c>
      <c r="C532" s="1">
        <f ca="1">IFERROR(__xludf.DUMMYFUNCTION("""COMPUTED_VALUE"""),170.95)</f>
        <v>170.95</v>
      </c>
      <c r="D532" s="1">
        <f ca="1">IFERROR(__xludf.DUMMYFUNCTION("""COMPUTED_VALUE"""),165.75)</f>
        <v>165.75</v>
      </c>
      <c r="E532" s="1">
        <f ca="1">IFERROR(__xludf.DUMMYFUNCTION("""COMPUTED_VALUE"""),168.64)</f>
        <v>168.64</v>
      </c>
      <c r="F532" s="1">
        <f ca="1">IFERROR(__xludf.DUMMYFUNCTION("""COMPUTED_VALUE"""),56345122)</f>
        <v>56345122</v>
      </c>
    </row>
    <row r="533" spans="1:6" ht="12.6">
      <c r="A533" s="2">
        <f ca="1">IFERROR(__xludf.DUMMYFUNCTION("""COMPUTED_VALUE"""),45336.6666666666)</f>
        <v>45336.666666666599</v>
      </c>
      <c r="B533" s="1">
        <f ca="1">IFERROR(__xludf.DUMMYFUNCTION("""COMPUTED_VALUE"""),169.21)</f>
        <v>169.21</v>
      </c>
      <c r="C533" s="1">
        <f ca="1">IFERROR(__xludf.DUMMYFUNCTION("""COMPUTED_VALUE"""),171.21)</f>
        <v>171.21</v>
      </c>
      <c r="D533" s="1">
        <f ca="1">IFERROR(__xludf.DUMMYFUNCTION("""COMPUTED_VALUE"""),168.28)</f>
        <v>168.28</v>
      </c>
      <c r="E533" s="1">
        <f ca="1">IFERROR(__xludf.DUMMYFUNCTION("""COMPUTED_VALUE"""),170.98)</f>
        <v>170.98</v>
      </c>
      <c r="F533" s="1">
        <f ca="1">IFERROR(__xludf.DUMMYFUNCTION("""COMPUTED_VALUE"""),42815544)</f>
        <v>42815544</v>
      </c>
    </row>
    <row r="534" spans="1:6" ht="12.6">
      <c r="A534" s="2">
        <f ca="1">IFERROR(__xludf.DUMMYFUNCTION("""COMPUTED_VALUE"""),45337.6666666666)</f>
        <v>45337.666666666599</v>
      </c>
      <c r="B534" s="1">
        <f ca="1">IFERROR(__xludf.DUMMYFUNCTION("""COMPUTED_VALUE"""),170.58)</f>
        <v>170.58</v>
      </c>
      <c r="C534" s="1">
        <f ca="1">IFERROR(__xludf.DUMMYFUNCTION("""COMPUTED_VALUE"""),171.17)</f>
        <v>171.17</v>
      </c>
      <c r="D534" s="1">
        <f ca="1">IFERROR(__xludf.DUMMYFUNCTION("""COMPUTED_VALUE"""),167.59)</f>
        <v>167.59</v>
      </c>
      <c r="E534" s="1">
        <f ca="1">IFERROR(__xludf.DUMMYFUNCTION("""COMPUTED_VALUE"""),169.8)</f>
        <v>169.8</v>
      </c>
      <c r="F534" s="1">
        <f ca="1">IFERROR(__xludf.DUMMYFUNCTION("""COMPUTED_VALUE"""),49855196)</f>
        <v>49855196</v>
      </c>
    </row>
    <row r="535" spans="1:6" ht="12.6">
      <c r="A535" s="2">
        <f ca="1">IFERROR(__xludf.DUMMYFUNCTION("""COMPUTED_VALUE"""),45338.6666666666)</f>
        <v>45338.666666666599</v>
      </c>
      <c r="B535" s="1">
        <f ca="1">IFERROR(__xludf.DUMMYFUNCTION("""COMPUTED_VALUE"""),168.74)</f>
        <v>168.74</v>
      </c>
      <c r="C535" s="1">
        <f ca="1">IFERROR(__xludf.DUMMYFUNCTION("""COMPUTED_VALUE"""),170.42)</f>
        <v>170.42</v>
      </c>
      <c r="D535" s="1">
        <f ca="1">IFERROR(__xludf.DUMMYFUNCTION("""COMPUTED_VALUE"""),167.17)</f>
        <v>167.17</v>
      </c>
      <c r="E535" s="1">
        <f ca="1">IFERROR(__xludf.DUMMYFUNCTION("""COMPUTED_VALUE"""),169.51)</f>
        <v>169.51</v>
      </c>
      <c r="F535" s="1">
        <f ca="1">IFERROR(__xludf.DUMMYFUNCTION("""COMPUTED_VALUE"""),48107744)</f>
        <v>48107744</v>
      </c>
    </row>
    <row r="536" spans="1:6" ht="12.6">
      <c r="A536" s="2">
        <f ca="1">IFERROR(__xludf.DUMMYFUNCTION("""COMPUTED_VALUE"""),45342.6666666666)</f>
        <v>45342.666666666599</v>
      </c>
      <c r="B536" s="1">
        <f ca="1">IFERROR(__xludf.DUMMYFUNCTION("""COMPUTED_VALUE"""),167.83)</f>
        <v>167.83</v>
      </c>
      <c r="C536" s="1">
        <f ca="1">IFERROR(__xludf.DUMMYFUNCTION("""COMPUTED_VALUE"""),168.71)</f>
        <v>168.71</v>
      </c>
      <c r="D536" s="1">
        <f ca="1">IFERROR(__xludf.DUMMYFUNCTION("""COMPUTED_VALUE"""),165.74)</f>
        <v>165.74</v>
      </c>
      <c r="E536" s="1">
        <f ca="1">IFERROR(__xludf.DUMMYFUNCTION("""COMPUTED_VALUE"""),167.08)</f>
        <v>167.08</v>
      </c>
      <c r="F536" s="1">
        <f ca="1">IFERROR(__xludf.DUMMYFUNCTION("""COMPUTED_VALUE"""),41980326)</f>
        <v>41980326</v>
      </c>
    </row>
    <row r="537" spans="1:6" ht="12.6">
      <c r="A537" s="2">
        <f ca="1">IFERROR(__xludf.DUMMYFUNCTION("""COMPUTED_VALUE"""),45343.6666666666)</f>
        <v>45343.666666666599</v>
      </c>
      <c r="B537" s="1">
        <f ca="1">IFERROR(__xludf.DUMMYFUNCTION("""COMPUTED_VALUE"""),168.94)</f>
        <v>168.94</v>
      </c>
      <c r="C537" s="1">
        <f ca="1">IFERROR(__xludf.DUMMYFUNCTION("""COMPUTED_VALUE"""),170.23)</f>
        <v>170.23</v>
      </c>
      <c r="D537" s="1">
        <f ca="1">IFERROR(__xludf.DUMMYFUNCTION("""COMPUTED_VALUE"""),167.14)</f>
        <v>167.14</v>
      </c>
      <c r="E537" s="1">
        <f ca="1">IFERROR(__xludf.DUMMYFUNCTION("""COMPUTED_VALUE"""),168.59)</f>
        <v>168.59</v>
      </c>
      <c r="F537" s="1">
        <f ca="1">IFERROR(__xludf.DUMMYFUNCTION("""COMPUTED_VALUE"""),44575623)</f>
        <v>44575623</v>
      </c>
    </row>
    <row r="538" spans="1:6" ht="12.6">
      <c r="A538" s="2">
        <f ca="1">IFERROR(__xludf.DUMMYFUNCTION("""COMPUTED_VALUE"""),45344.6666666666)</f>
        <v>45344.666666666599</v>
      </c>
      <c r="B538" s="1">
        <f ca="1">IFERROR(__xludf.DUMMYFUNCTION("""COMPUTED_VALUE"""),173.1)</f>
        <v>173.1</v>
      </c>
      <c r="C538" s="1">
        <f ca="1">IFERROR(__xludf.DUMMYFUNCTION("""COMPUTED_VALUE"""),174.8)</f>
        <v>174.8</v>
      </c>
      <c r="D538" s="1">
        <f ca="1">IFERROR(__xludf.DUMMYFUNCTION("""COMPUTED_VALUE"""),171.77)</f>
        <v>171.77</v>
      </c>
      <c r="E538" s="1">
        <f ca="1">IFERROR(__xludf.DUMMYFUNCTION("""COMPUTED_VALUE"""),174.58)</f>
        <v>174.58</v>
      </c>
      <c r="F538" s="1">
        <f ca="1">IFERROR(__xludf.DUMMYFUNCTION("""COMPUTED_VALUE"""),55392354)</f>
        <v>55392354</v>
      </c>
    </row>
    <row r="539" spans="1:6" ht="12.6">
      <c r="A539" s="2">
        <f ca="1">IFERROR(__xludf.DUMMYFUNCTION("""COMPUTED_VALUE"""),45345.6666666666)</f>
        <v>45345.666666666599</v>
      </c>
      <c r="B539" s="1">
        <f ca="1">IFERROR(__xludf.DUMMYFUNCTION("""COMPUTED_VALUE"""),174.28)</f>
        <v>174.28</v>
      </c>
      <c r="C539" s="1">
        <f ca="1">IFERROR(__xludf.DUMMYFUNCTION("""COMPUTED_VALUE"""),175.75)</f>
        <v>175.75</v>
      </c>
      <c r="D539" s="1">
        <f ca="1">IFERROR(__xludf.DUMMYFUNCTION("""COMPUTED_VALUE"""),173.7)</f>
        <v>173.7</v>
      </c>
      <c r="E539" s="1">
        <f ca="1">IFERROR(__xludf.DUMMYFUNCTION("""COMPUTED_VALUE"""),174.99)</f>
        <v>174.99</v>
      </c>
      <c r="F539" s="1">
        <f ca="1">IFERROR(__xludf.DUMMYFUNCTION("""COMPUTED_VALUE"""),59715243)</f>
        <v>59715243</v>
      </c>
    </row>
    <row r="540" spans="1:6" ht="12.6">
      <c r="A540" s="2">
        <f ca="1">IFERROR(__xludf.DUMMYFUNCTION("""COMPUTED_VALUE"""),45348.6666666666)</f>
        <v>45348.666666666599</v>
      </c>
      <c r="B540" s="1">
        <f ca="1">IFERROR(__xludf.DUMMYFUNCTION("""COMPUTED_VALUE"""),175.7)</f>
        <v>175.7</v>
      </c>
      <c r="C540" s="1">
        <f ca="1">IFERROR(__xludf.DUMMYFUNCTION("""COMPUTED_VALUE"""),176.37)</f>
        <v>176.37</v>
      </c>
      <c r="D540" s="1">
        <f ca="1">IFERROR(__xludf.DUMMYFUNCTION("""COMPUTED_VALUE"""),174.26)</f>
        <v>174.26</v>
      </c>
      <c r="E540" s="1">
        <f ca="1">IFERROR(__xludf.DUMMYFUNCTION("""COMPUTED_VALUE"""),174.73)</f>
        <v>174.73</v>
      </c>
      <c r="F540" s="1">
        <f ca="1">IFERROR(__xludf.DUMMYFUNCTION("""COMPUTED_VALUE"""),44368614)</f>
        <v>44368614</v>
      </c>
    </row>
    <row r="541" spans="1:6" ht="12.6">
      <c r="A541" s="2">
        <f ca="1">IFERROR(__xludf.DUMMYFUNCTION("""COMPUTED_VALUE"""),45349.6666666666)</f>
        <v>45349.666666666599</v>
      </c>
      <c r="B541" s="1">
        <f ca="1">IFERROR(__xludf.DUMMYFUNCTION("""COMPUTED_VALUE"""),174.08)</f>
        <v>174.08</v>
      </c>
      <c r="C541" s="1">
        <f ca="1">IFERROR(__xludf.DUMMYFUNCTION("""COMPUTED_VALUE"""),174.62)</f>
        <v>174.62</v>
      </c>
      <c r="D541" s="1">
        <f ca="1">IFERROR(__xludf.DUMMYFUNCTION("""COMPUTED_VALUE"""),172.86)</f>
        <v>172.86</v>
      </c>
      <c r="E541" s="1">
        <f ca="1">IFERROR(__xludf.DUMMYFUNCTION("""COMPUTED_VALUE"""),173.54)</f>
        <v>173.54</v>
      </c>
      <c r="F541" s="1">
        <f ca="1">IFERROR(__xludf.DUMMYFUNCTION("""COMPUTED_VALUE"""),31141732)</f>
        <v>31141732</v>
      </c>
    </row>
    <row r="542" spans="1:6" ht="12.6">
      <c r="A542" s="2">
        <f ca="1">IFERROR(__xludf.DUMMYFUNCTION("""COMPUTED_VALUE"""),45350.6666666666)</f>
        <v>45350.666666666599</v>
      </c>
      <c r="B542" s="1">
        <f ca="1">IFERROR(__xludf.DUMMYFUNCTION("""COMPUTED_VALUE"""),172.44)</f>
        <v>172.44</v>
      </c>
      <c r="C542" s="1">
        <f ca="1">IFERROR(__xludf.DUMMYFUNCTION("""COMPUTED_VALUE"""),174.05)</f>
        <v>174.05</v>
      </c>
      <c r="D542" s="1">
        <f ca="1">IFERROR(__xludf.DUMMYFUNCTION("""COMPUTED_VALUE"""),172.27)</f>
        <v>172.27</v>
      </c>
      <c r="E542" s="1">
        <f ca="1">IFERROR(__xludf.DUMMYFUNCTION("""COMPUTED_VALUE"""),173.16)</f>
        <v>173.16</v>
      </c>
      <c r="F542" s="1">
        <f ca="1">IFERROR(__xludf.DUMMYFUNCTION("""COMPUTED_VALUE"""),28180482)</f>
        <v>28180482</v>
      </c>
    </row>
    <row r="543" spans="1:6" ht="12.6">
      <c r="A543" s="2">
        <f ca="1">IFERROR(__xludf.DUMMYFUNCTION("""COMPUTED_VALUE"""),45351.6666666666)</f>
        <v>45351.666666666599</v>
      </c>
      <c r="B543" s="1">
        <f ca="1">IFERROR(__xludf.DUMMYFUNCTION("""COMPUTED_VALUE"""),173.01)</f>
        <v>173.01</v>
      </c>
      <c r="C543" s="1">
        <f ca="1">IFERROR(__xludf.DUMMYFUNCTION("""COMPUTED_VALUE"""),177.22)</f>
        <v>177.22</v>
      </c>
      <c r="D543" s="1">
        <f ca="1">IFERROR(__xludf.DUMMYFUNCTION("""COMPUTED_VALUE"""),172.85)</f>
        <v>172.85</v>
      </c>
      <c r="E543" s="1">
        <f ca="1">IFERROR(__xludf.DUMMYFUNCTION("""COMPUTED_VALUE"""),176.76)</f>
        <v>176.76</v>
      </c>
      <c r="F543" s="1">
        <f ca="1">IFERROR(__xludf.DUMMYFUNCTION("""COMPUTED_VALUE"""),53805359)</f>
        <v>53805359</v>
      </c>
    </row>
    <row r="544" spans="1:6" ht="12.6">
      <c r="A544" s="2">
        <f ca="1">IFERROR(__xludf.DUMMYFUNCTION("""COMPUTED_VALUE"""),45352.6666666666)</f>
        <v>45352.666666666599</v>
      </c>
      <c r="B544" s="1">
        <f ca="1">IFERROR(__xludf.DUMMYFUNCTION("""COMPUTED_VALUE"""),176.75)</f>
        <v>176.75</v>
      </c>
      <c r="C544" s="1">
        <f ca="1">IFERROR(__xludf.DUMMYFUNCTION("""COMPUTED_VALUE"""),178.73)</f>
        <v>178.73</v>
      </c>
      <c r="D544" s="1">
        <f ca="1">IFERROR(__xludf.DUMMYFUNCTION("""COMPUTED_VALUE"""),176.07)</f>
        <v>176.07</v>
      </c>
      <c r="E544" s="1">
        <f ca="1">IFERROR(__xludf.DUMMYFUNCTION("""COMPUTED_VALUE"""),178.22)</f>
        <v>178.22</v>
      </c>
      <c r="F544" s="1">
        <f ca="1">IFERROR(__xludf.DUMMYFUNCTION("""COMPUTED_VALUE"""),31981152)</f>
        <v>31981152</v>
      </c>
    </row>
    <row r="545" spans="1:6" ht="12.6">
      <c r="A545" s="2">
        <f ca="1">IFERROR(__xludf.DUMMYFUNCTION("""COMPUTED_VALUE"""),45355.6666666666)</f>
        <v>45355.666666666599</v>
      </c>
      <c r="B545" s="1">
        <f ca="1">IFERROR(__xludf.DUMMYFUNCTION("""COMPUTED_VALUE"""),177.53)</f>
        <v>177.53</v>
      </c>
      <c r="C545" s="1">
        <f ca="1">IFERROR(__xludf.DUMMYFUNCTION("""COMPUTED_VALUE"""),180.14)</f>
        <v>180.14</v>
      </c>
      <c r="D545" s="1">
        <f ca="1">IFERROR(__xludf.DUMMYFUNCTION("""COMPUTED_VALUE"""),177.49)</f>
        <v>177.49</v>
      </c>
      <c r="E545" s="1">
        <f ca="1">IFERROR(__xludf.DUMMYFUNCTION("""COMPUTED_VALUE"""),177.58)</f>
        <v>177.58</v>
      </c>
      <c r="F545" s="1">
        <f ca="1">IFERROR(__xludf.DUMMYFUNCTION("""COMPUTED_VALUE"""),37381520)</f>
        <v>37381520</v>
      </c>
    </row>
    <row r="546" spans="1:6" ht="12.6">
      <c r="A546" s="2">
        <f ca="1">IFERROR(__xludf.DUMMYFUNCTION("""COMPUTED_VALUE"""),45356.6666666666)</f>
        <v>45356.666666666599</v>
      </c>
      <c r="B546" s="1">
        <f ca="1">IFERROR(__xludf.DUMMYFUNCTION("""COMPUTED_VALUE"""),176.93)</f>
        <v>176.93</v>
      </c>
      <c r="C546" s="1">
        <f ca="1">IFERROR(__xludf.DUMMYFUNCTION("""COMPUTED_VALUE"""),176.93)</f>
        <v>176.93</v>
      </c>
      <c r="D546" s="1">
        <f ca="1">IFERROR(__xludf.DUMMYFUNCTION("""COMPUTED_VALUE"""),173.3)</f>
        <v>173.3</v>
      </c>
      <c r="E546" s="1">
        <f ca="1">IFERROR(__xludf.DUMMYFUNCTION("""COMPUTED_VALUE"""),174.12)</f>
        <v>174.12</v>
      </c>
      <c r="F546" s="1">
        <f ca="1">IFERROR(__xludf.DUMMYFUNCTION("""COMPUTED_VALUE"""),37228343)</f>
        <v>37228343</v>
      </c>
    </row>
    <row r="547" spans="1:6" ht="12.6">
      <c r="A547" s="2">
        <f ca="1">IFERROR(__xludf.DUMMYFUNCTION("""COMPUTED_VALUE"""),45357.6666666666)</f>
        <v>45357.666666666599</v>
      </c>
      <c r="B547" s="1">
        <f ca="1">IFERROR(__xludf.DUMMYFUNCTION("""COMPUTED_VALUE"""),175.54)</f>
        <v>175.54</v>
      </c>
      <c r="C547" s="1">
        <f ca="1">IFERROR(__xludf.DUMMYFUNCTION("""COMPUTED_VALUE"""),176.46)</f>
        <v>176.46</v>
      </c>
      <c r="D547" s="1">
        <f ca="1">IFERROR(__xludf.DUMMYFUNCTION("""COMPUTED_VALUE"""),173.26)</f>
        <v>173.26</v>
      </c>
      <c r="E547" s="1">
        <f ca="1">IFERROR(__xludf.DUMMYFUNCTION("""COMPUTED_VALUE"""),173.51)</f>
        <v>173.51</v>
      </c>
      <c r="F547" s="1">
        <f ca="1">IFERROR(__xludf.DUMMYFUNCTION("""COMPUTED_VALUE"""),32090926)</f>
        <v>32090926</v>
      </c>
    </row>
    <row r="548" spans="1:6" ht="12.6">
      <c r="A548" s="2">
        <f ca="1">IFERROR(__xludf.DUMMYFUNCTION("""COMPUTED_VALUE"""),45358.6666666666)</f>
        <v>45358.666666666599</v>
      </c>
      <c r="B548" s="1">
        <f ca="1">IFERROR(__xludf.DUMMYFUNCTION("""COMPUTED_VALUE"""),174.83)</f>
        <v>174.83</v>
      </c>
      <c r="C548" s="1">
        <f ca="1">IFERROR(__xludf.DUMMYFUNCTION("""COMPUTED_VALUE"""),177.99)</f>
        <v>177.99</v>
      </c>
      <c r="D548" s="1">
        <f ca="1">IFERROR(__xludf.DUMMYFUNCTION("""COMPUTED_VALUE"""),173.72)</f>
        <v>173.72</v>
      </c>
      <c r="E548" s="1">
        <f ca="1">IFERROR(__xludf.DUMMYFUNCTION("""COMPUTED_VALUE"""),176.82)</f>
        <v>176.82</v>
      </c>
      <c r="F548" s="1">
        <f ca="1">IFERROR(__xludf.DUMMYFUNCTION("""COMPUTED_VALUE"""),34063283)</f>
        <v>34063283</v>
      </c>
    </row>
    <row r="549" spans="1:6" ht="12.6">
      <c r="A549" s="2">
        <f ca="1">IFERROR(__xludf.DUMMYFUNCTION("""COMPUTED_VALUE"""),45359.6666666666)</f>
        <v>45359.666666666599</v>
      </c>
      <c r="B549" s="1">
        <f ca="1">IFERROR(__xludf.DUMMYFUNCTION("""COMPUTED_VALUE"""),176.44)</f>
        <v>176.44</v>
      </c>
      <c r="C549" s="1">
        <f ca="1">IFERROR(__xludf.DUMMYFUNCTION("""COMPUTED_VALUE"""),178.79)</f>
        <v>178.79</v>
      </c>
      <c r="D549" s="1">
        <f ca="1">IFERROR(__xludf.DUMMYFUNCTION("""COMPUTED_VALUE"""),174.33)</f>
        <v>174.33</v>
      </c>
      <c r="E549" s="1">
        <f ca="1">IFERROR(__xludf.DUMMYFUNCTION("""COMPUTED_VALUE"""),175.35)</f>
        <v>175.35</v>
      </c>
      <c r="F549" s="1">
        <f ca="1">IFERROR(__xludf.DUMMYFUNCTION("""COMPUTED_VALUE"""),37893242)</f>
        <v>37893242</v>
      </c>
    </row>
    <row r="550" spans="1:6" ht="12.6">
      <c r="A550" s="2">
        <f ca="1">IFERROR(__xludf.DUMMYFUNCTION("""COMPUTED_VALUE"""),45362.6666666666)</f>
        <v>45362.666666666599</v>
      </c>
      <c r="B550" s="1">
        <f ca="1">IFERROR(__xludf.DUMMYFUNCTION("""COMPUTED_VALUE"""),174.31)</f>
        <v>174.31</v>
      </c>
      <c r="C550" s="1">
        <f ca="1">IFERROR(__xludf.DUMMYFUNCTION("""COMPUTED_VALUE"""),174.47)</f>
        <v>174.47</v>
      </c>
      <c r="D550" s="1">
        <f ca="1">IFERROR(__xludf.DUMMYFUNCTION("""COMPUTED_VALUE"""),171.47)</f>
        <v>171.47</v>
      </c>
      <c r="E550" s="1">
        <f ca="1">IFERROR(__xludf.DUMMYFUNCTION("""COMPUTED_VALUE"""),171.96)</f>
        <v>171.96</v>
      </c>
      <c r="F550" s="1">
        <f ca="1">IFERROR(__xludf.DUMMYFUNCTION("""COMPUTED_VALUE"""),28484777)</f>
        <v>28484777</v>
      </c>
    </row>
    <row r="551" spans="1:6" ht="12.6">
      <c r="A551" s="2">
        <f ca="1">IFERROR(__xludf.DUMMYFUNCTION("""COMPUTED_VALUE"""),45363.6666666666)</f>
        <v>45363.666666666599</v>
      </c>
      <c r="B551" s="1">
        <f ca="1">IFERROR(__xludf.DUMMYFUNCTION("""COMPUTED_VALUE"""),173.5)</f>
        <v>173.5</v>
      </c>
      <c r="C551" s="1">
        <f ca="1">IFERROR(__xludf.DUMMYFUNCTION("""COMPUTED_VALUE"""),176.76)</f>
        <v>176.76</v>
      </c>
      <c r="D551" s="1">
        <f ca="1">IFERROR(__xludf.DUMMYFUNCTION("""COMPUTED_VALUE"""),171.98)</f>
        <v>171.98</v>
      </c>
      <c r="E551" s="1">
        <f ca="1">IFERROR(__xludf.DUMMYFUNCTION("""COMPUTED_VALUE"""),175.39)</f>
        <v>175.39</v>
      </c>
      <c r="F551" s="1">
        <f ca="1">IFERROR(__xludf.DUMMYFUNCTION("""COMPUTED_VALUE"""),36610604)</f>
        <v>36610604</v>
      </c>
    </row>
    <row r="552" spans="1:6" ht="12.6">
      <c r="A552" s="2">
        <f ca="1">IFERROR(__xludf.DUMMYFUNCTION("""COMPUTED_VALUE"""),45364.6666666666)</f>
        <v>45364.666666666599</v>
      </c>
      <c r="B552" s="1">
        <f ca="1">IFERROR(__xludf.DUMMYFUNCTION("""COMPUTED_VALUE"""),175.9)</f>
        <v>175.9</v>
      </c>
      <c r="C552" s="1">
        <f ca="1">IFERROR(__xludf.DUMMYFUNCTION("""COMPUTED_VALUE"""),177.62)</f>
        <v>177.62</v>
      </c>
      <c r="D552" s="1">
        <f ca="1">IFERROR(__xludf.DUMMYFUNCTION("""COMPUTED_VALUE"""),175.55)</f>
        <v>175.55</v>
      </c>
      <c r="E552" s="1">
        <f ca="1">IFERROR(__xludf.DUMMYFUNCTION("""COMPUTED_VALUE"""),176.56)</f>
        <v>176.56</v>
      </c>
      <c r="F552" s="1">
        <f ca="1">IFERROR(__xludf.DUMMYFUNCTION("""COMPUTED_VALUE"""),30772600)</f>
        <v>30772600</v>
      </c>
    </row>
    <row r="553" spans="1:6" ht="12.6">
      <c r="A553" s="2">
        <f ca="1">IFERROR(__xludf.DUMMYFUNCTION("""COMPUTED_VALUE"""),45365.6666666666)</f>
        <v>45365.666666666599</v>
      </c>
      <c r="B553" s="1">
        <f ca="1">IFERROR(__xludf.DUMMYFUNCTION("""COMPUTED_VALUE"""),177.69)</f>
        <v>177.69</v>
      </c>
      <c r="C553" s="1">
        <f ca="1">IFERROR(__xludf.DUMMYFUNCTION("""COMPUTED_VALUE"""),179.53)</f>
        <v>179.53</v>
      </c>
      <c r="D553" s="1">
        <f ca="1">IFERROR(__xludf.DUMMYFUNCTION("""COMPUTED_VALUE"""),176.47)</f>
        <v>176.47</v>
      </c>
      <c r="E553" s="1">
        <f ca="1">IFERROR(__xludf.DUMMYFUNCTION("""COMPUTED_VALUE"""),178.75)</f>
        <v>178.75</v>
      </c>
      <c r="F553" s="1">
        <f ca="1">IFERROR(__xludf.DUMMYFUNCTION("""COMPUTED_VALUE"""),43705840)</f>
        <v>43705840</v>
      </c>
    </row>
    <row r="554" spans="1:6" ht="12.6">
      <c r="A554" s="2">
        <f ca="1">IFERROR(__xludf.DUMMYFUNCTION("""COMPUTED_VALUE"""),45366.6666666666)</f>
        <v>45366.666666666599</v>
      </c>
      <c r="B554" s="1">
        <f ca="1">IFERROR(__xludf.DUMMYFUNCTION("""COMPUTED_VALUE"""),176.64)</f>
        <v>176.64</v>
      </c>
      <c r="C554" s="1">
        <f ca="1">IFERROR(__xludf.DUMMYFUNCTION("""COMPUTED_VALUE"""),177.93)</f>
        <v>177.93</v>
      </c>
      <c r="D554" s="1">
        <f ca="1">IFERROR(__xludf.DUMMYFUNCTION("""COMPUTED_VALUE"""),173.9)</f>
        <v>173.9</v>
      </c>
      <c r="E554" s="1">
        <f ca="1">IFERROR(__xludf.DUMMYFUNCTION("""COMPUTED_VALUE"""),174.42)</f>
        <v>174.42</v>
      </c>
      <c r="F554" s="1">
        <f ca="1">IFERROR(__xludf.DUMMYFUNCTION("""COMPUTED_VALUE"""),72147390)</f>
        <v>72147390</v>
      </c>
    </row>
    <row r="555" spans="1:6" ht="12.6">
      <c r="A555" s="2">
        <f ca="1">IFERROR(__xludf.DUMMYFUNCTION("""COMPUTED_VALUE"""),45369.6666666666)</f>
        <v>45369.666666666599</v>
      </c>
      <c r="B555" s="1">
        <f ca="1">IFERROR(__xludf.DUMMYFUNCTION("""COMPUTED_VALUE"""),175.8)</f>
        <v>175.8</v>
      </c>
      <c r="C555" s="1">
        <f ca="1">IFERROR(__xludf.DUMMYFUNCTION("""COMPUTED_VALUE"""),176.69)</f>
        <v>176.69</v>
      </c>
      <c r="D555" s="1">
        <f ca="1">IFERROR(__xludf.DUMMYFUNCTION("""COMPUTED_VALUE"""),174.28)</f>
        <v>174.28</v>
      </c>
      <c r="E555" s="1">
        <f ca="1">IFERROR(__xludf.DUMMYFUNCTION("""COMPUTED_VALUE"""),174.48)</f>
        <v>174.48</v>
      </c>
      <c r="F555" s="1">
        <f ca="1">IFERROR(__xludf.DUMMYFUNCTION("""COMPUTED_VALUE"""),31250688)</f>
        <v>31250688</v>
      </c>
    </row>
    <row r="556" spans="1:6" ht="12.6">
      <c r="A556" s="2">
        <f ca="1">IFERROR(__xludf.DUMMYFUNCTION("""COMPUTED_VALUE"""),45370.6666666666)</f>
        <v>45370.666666666599</v>
      </c>
      <c r="B556" s="1">
        <f ca="1">IFERROR(__xludf.DUMMYFUNCTION("""COMPUTED_VALUE"""),174.22)</f>
        <v>174.22</v>
      </c>
      <c r="C556" s="1">
        <f ca="1">IFERROR(__xludf.DUMMYFUNCTION("""COMPUTED_VALUE"""),176.09)</f>
        <v>176.09</v>
      </c>
      <c r="D556" s="1">
        <f ca="1">IFERROR(__xludf.DUMMYFUNCTION("""COMPUTED_VALUE"""),173.52)</f>
        <v>173.52</v>
      </c>
      <c r="E556" s="1">
        <f ca="1">IFERROR(__xludf.DUMMYFUNCTION("""COMPUTED_VALUE"""),175.9)</f>
        <v>175.9</v>
      </c>
      <c r="F556" s="1">
        <f ca="1">IFERROR(__xludf.DUMMYFUNCTION("""COMPUTED_VALUE"""),26880893)</f>
        <v>26880893</v>
      </c>
    </row>
    <row r="557" spans="1:6" ht="12.6">
      <c r="A557" s="2">
        <f ca="1">IFERROR(__xludf.DUMMYFUNCTION("""COMPUTED_VALUE"""),45371.6666666666)</f>
        <v>45371.666666666599</v>
      </c>
      <c r="B557" s="1">
        <f ca="1">IFERROR(__xludf.DUMMYFUNCTION("""COMPUTED_VALUE"""),176.14)</f>
        <v>176.14</v>
      </c>
      <c r="C557" s="1">
        <f ca="1">IFERROR(__xludf.DUMMYFUNCTION("""COMPUTED_VALUE"""),178.53)</f>
        <v>178.53</v>
      </c>
      <c r="D557" s="1">
        <f ca="1">IFERROR(__xludf.DUMMYFUNCTION("""COMPUTED_VALUE"""),174.64)</f>
        <v>174.64</v>
      </c>
      <c r="E557" s="1">
        <f ca="1">IFERROR(__xludf.DUMMYFUNCTION("""COMPUTED_VALUE"""),178.15)</f>
        <v>178.15</v>
      </c>
      <c r="F557" s="1">
        <f ca="1">IFERROR(__xludf.DUMMYFUNCTION("""COMPUTED_VALUE"""),29947150)</f>
        <v>29947150</v>
      </c>
    </row>
    <row r="558" spans="1:6" ht="12.6">
      <c r="A558" s="2">
        <f ca="1">IFERROR(__xludf.DUMMYFUNCTION("""COMPUTED_VALUE"""),45372.6666666666)</f>
        <v>45372.666666666599</v>
      </c>
      <c r="B558" s="1">
        <f ca="1">IFERROR(__xludf.DUMMYFUNCTION("""COMPUTED_VALUE"""),179.99)</f>
        <v>179.99</v>
      </c>
      <c r="C558" s="1">
        <f ca="1">IFERROR(__xludf.DUMMYFUNCTION("""COMPUTED_VALUE"""),181.42)</f>
        <v>181.42</v>
      </c>
      <c r="D558" s="1">
        <f ca="1">IFERROR(__xludf.DUMMYFUNCTION("""COMPUTED_VALUE"""),178.15)</f>
        <v>178.15</v>
      </c>
      <c r="E558" s="1">
        <f ca="1">IFERROR(__xludf.DUMMYFUNCTION("""COMPUTED_VALUE"""),178.15)</f>
        <v>178.15</v>
      </c>
      <c r="F558" s="1">
        <f ca="1">IFERROR(__xludf.DUMMYFUNCTION("""COMPUTED_VALUE"""),32824320)</f>
        <v>32824320</v>
      </c>
    </row>
    <row r="559" spans="1:6" ht="12.6">
      <c r="A559" s="2">
        <f ca="1">IFERROR(__xludf.DUMMYFUNCTION("""COMPUTED_VALUE"""),45373.6666666666)</f>
        <v>45373.666666666599</v>
      </c>
      <c r="B559" s="1">
        <f ca="1">IFERROR(__xludf.DUMMYFUNCTION("""COMPUTED_VALUE"""),177.75)</f>
        <v>177.75</v>
      </c>
      <c r="C559" s="1">
        <f ca="1">IFERROR(__xludf.DUMMYFUNCTION("""COMPUTED_VALUE"""),179.26)</f>
        <v>179.26</v>
      </c>
      <c r="D559" s="1">
        <f ca="1">IFERROR(__xludf.DUMMYFUNCTION("""COMPUTED_VALUE"""),176.75)</f>
        <v>176.75</v>
      </c>
      <c r="E559" s="1">
        <f ca="1">IFERROR(__xludf.DUMMYFUNCTION("""COMPUTED_VALUE"""),178.87)</f>
        <v>178.87</v>
      </c>
      <c r="F559" s="1">
        <f ca="1">IFERROR(__xludf.DUMMYFUNCTION("""COMPUTED_VALUE"""),27995378)</f>
        <v>27995378</v>
      </c>
    </row>
    <row r="560" spans="1:6" ht="12.6">
      <c r="A560" s="2">
        <f ca="1">IFERROR(__xludf.DUMMYFUNCTION("""COMPUTED_VALUE"""),45376.6666666666)</f>
        <v>45376.666666666599</v>
      </c>
      <c r="B560" s="1">
        <f ca="1">IFERROR(__xludf.DUMMYFUNCTION("""COMPUTED_VALUE"""),178.01)</f>
        <v>178.01</v>
      </c>
      <c r="C560" s="1">
        <f ca="1">IFERROR(__xludf.DUMMYFUNCTION("""COMPUTED_VALUE"""),180.99)</f>
        <v>180.99</v>
      </c>
      <c r="D560" s="1">
        <f ca="1">IFERROR(__xludf.DUMMYFUNCTION("""COMPUTED_VALUE"""),177.24)</f>
        <v>177.24</v>
      </c>
      <c r="E560" s="1">
        <f ca="1">IFERROR(__xludf.DUMMYFUNCTION("""COMPUTED_VALUE"""),179.71)</f>
        <v>179.71</v>
      </c>
      <c r="F560" s="1">
        <f ca="1">IFERROR(__xludf.DUMMYFUNCTION("""COMPUTED_VALUE"""),29815464)</f>
        <v>29815464</v>
      </c>
    </row>
    <row r="561" spans="1:6" ht="12.6">
      <c r="A561" s="2">
        <f ca="1">IFERROR(__xludf.DUMMYFUNCTION("""COMPUTED_VALUE"""),45377.6666666666)</f>
        <v>45377.666666666599</v>
      </c>
      <c r="B561" s="1">
        <f ca="1">IFERROR(__xludf.DUMMYFUNCTION("""COMPUTED_VALUE"""),180.15)</f>
        <v>180.15</v>
      </c>
      <c r="C561" s="1">
        <f ca="1">IFERROR(__xludf.DUMMYFUNCTION("""COMPUTED_VALUE"""),180.45)</f>
        <v>180.45</v>
      </c>
      <c r="D561" s="1">
        <f ca="1">IFERROR(__xludf.DUMMYFUNCTION("""COMPUTED_VALUE"""),177.95)</f>
        <v>177.95</v>
      </c>
      <c r="E561" s="1">
        <f ca="1">IFERROR(__xludf.DUMMYFUNCTION("""COMPUTED_VALUE"""),178.3)</f>
        <v>178.3</v>
      </c>
      <c r="F561" s="1">
        <f ca="1">IFERROR(__xludf.DUMMYFUNCTION("""COMPUTED_VALUE"""),29658982)</f>
        <v>29658982</v>
      </c>
    </row>
    <row r="562" spans="1:6" ht="12.6">
      <c r="A562" s="2">
        <f ca="1">IFERROR(__xludf.DUMMYFUNCTION("""COMPUTED_VALUE"""),45378.6666666666)</f>
        <v>45378.666666666599</v>
      </c>
      <c r="B562" s="1">
        <f ca="1">IFERROR(__xludf.DUMMYFUNCTION("""COMPUTED_VALUE"""),179.88)</f>
        <v>179.88</v>
      </c>
      <c r="C562" s="1">
        <f ca="1">IFERROR(__xludf.DUMMYFUNCTION("""COMPUTED_VALUE"""),180)</f>
        <v>180</v>
      </c>
      <c r="D562" s="1">
        <f ca="1">IFERROR(__xludf.DUMMYFUNCTION("""COMPUTED_VALUE"""),177.31)</f>
        <v>177.31</v>
      </c>
      <c r="E562" s="1">
        <f ca="1">IFERROR(__xludf.DUMMYFUNCTION("""COMPUTED_VALUE"""),179.83)</f>
        <v>179.83</v>
      </c>
      <c r="F562" s="1">
        <f ca="1">IFERROR(__xludf.DUMMYFUNCTION("""COMPUTED_VALUE"""),33272551)</f>
        <v>33272551</v>
      </c>
    </row>
    <row r="563" spans="1:6" ht="12.6">
      <c r="A563" s="2">
        <f ca="1">IFERROR(__xludf.DUMMYFUNCTION("""COMPUTED_VALUE"""),45379.6666666666)</f>
        <v>45379.666666666599</v>
      </c>
      <c r="B563" s="1">
        <f ca="1">IFERROR(__xludf.DUMMYFUNCTION("""COMPUTED_VALUE"""),180.17)</f>
        <v>180.17</v>
      </c>
      <c r="C563" s="1">
        <f ca="1">IFERROR(__xludf.DUMMYFUNCTION("""COMPUTED_VALUE"""),181.7)</f>
        <v>181.7</v>
      </c>
      <c r="D563" s="1">
        <f ca="1">IFERROR(__xludf.DUMMYFUNCTION("""COMPUTED_VALUE"""),179.26)</f>
        <v>179.26</v>
      </c>
      <c r="E563" s="1">
        <f ca="1">IFERROR(__xludf.DUMMYFUNCTION("""COMPUTED_VALUE"""),180.38)</f>
        <v>180.38</v>
      </c>
      <c r="F563" s="1">
        <f ca="1">IFERROR(__xludf.DUMMYFUNCTION("""COMPUTED_VALUE"""),38051588)</f>
        <v>38051588</v>
      </c>
    </row>
    <row r="564" spans="1:6" ht="12.6">
      <c r="A564" s="2">
        <f ca="1">IFERROR(__xludf.DUMMYFUNCTION("""COMPUTED_VALUE"""),45383.6666666666)</f>
        <v>45383.666666666599</v>
      </c>
      <c r="B564" s="1">
        <f ca="1">IFERROR(__xludf.DUMMYFUNCTION("""COMPUTED_VALUE"""),180.79)</f>
        <v>180.79</v>
      </c>
      <c r="C564" s="1">
        <f ca="1">IFERROR(__xludf.DUMMYFUNCTION("""COMPUTED_VALUE"""),183)</f>
        <v>183</v>
      </c>
      <c r="D564" s="1">
        <f ca="1">IFERROR(__xludf.DUMMYFUNCTION("""COMPUTED_VALUE"""),179.95)</f>
        <v>179.95</v>
      </c>
      <c r="E564" s="1">
        <f ca="1">IFERROR(__xludf.DUMMYFUNCTION("""COMPUTED_VALUE"""),180.97)</f>
        <v>180.97</v>
      </c>
      <c r="F564" s="1">
        <f ca="1">IFERROR(__xludf.DUMMYFUNCTION("""COMPUTED_VALUE"""),29174521)</f>
        <v>29174521</v>
      </c>
    </row>
    <row r="565" spans="1:6" ht="12.6">
      <c r="A565" s="2">
        <f ca="1">IFERROR(__xludf.DUMMYFUNCTION("""COMPUTED_VALUE"""),45384.6666666666)</f>
        <v>45384.666666666599</v>
      </c>
      <c r="B565" s="1">
        <f ca="1">IFERROR(__xludf.DUMMYFUNCTION("""COMPUTED_VALUE"""),179.07)</f>
        <v>179.07</v>
      </c>
      <c r="C565" s="1">
        <f ca="1">IFERROR(__xludf.DUMMYFUNCTION("""COMPUTED_VALUE"""),180.79)</f>
        <v>180.79</v>
      </c>
      <c r="D565" s="1">
        <f ca="1">IFERROR(__xludf.DUMMYFUNCTION("""COMPUTED_VALUE"""),178.38)</f>
        <v>178.38</v>
      </c>
      <c r="E565" s="1">
        <f ca="1">IFERROR(__xludf.DUMMYFUNCTION("""COMPUTED_VALUE"""),180.69)</f>
        <v>180.69</v>
      </c>
      <c r="F565" s="1">
        <f ca="1">IFERROR(__xludf.DUMMYFUNCTION("""COMPUTED_VALUE"""),32611546)</f>
        <v>32611546</v>
      </c>
    </row>
    <row r="566" spans="1:6" ht="12.6">
      <c r="A566" s="2">
        <f ca="1">IFERROR(__xludf.DUMMYFUNCTION("""COMPUTED_VALUE"""),45385.6666666666)</f>
        <v>45385.666666666599</v>
      </c>
      <c r="B566" s="1">
        <f ca="1">IFERROR(__xludf.DUMMYFUNCTION("""COMPUTED_VALUE"""),179.9)</f>
        <v>179.9</v>
      </c>
      <c r="C566" s="1">
        <f ca="1">IFERROR(__xludf.DUMMYFUNCTION("""COMPUTED_VALUE"""),182.87)</f>
        <v>182.87</v>
      </c>
      <c r="D566" s="1">
        <f ca="1">IFERROR(__xludf.DUMMYFUNCTION("""COMPUTED_VALUE"""),179.8)</f>
        <v>179.8</v>
      </c>
      <c r="E566" s="1">
        <f ca="1">IFERROR(__xludf.DUMMYFUNCTION("""COMPUTED_VALUE"""),182.41)</f>
        <v>182.41</v>
      </c>
      <c r="F566" s="1">
        <f ca="1">IFERROR(__xludf.DUMMYFUNCTION("""COMPUTED_VALUE"""),31046638)</f>
        <v>31046638</v>
      </c>
    </row>
    <row r="567" spans="1:6" ht="12.6">
      <c r="A567" s="2">
        <f ca="1">IFERROR(__xludf.DUMMYFUNCTION("""COMPUTED_VALUE"""),45386.6666666666)</f>
        <v>45386.666666666599</v>
      </c>
      <c r="B567" s="1">
        <f ca="1">IFERROR(__xludf.DUMMYFUNCTION("""COMPUTED_VALUE"""),184)</f>
        <v>184</v>
      </c>
      <c r="C567" s="1">
        <f ca="1">IFERROR(__xludf.DUMMYFUNCTION("""COMPUTED_VALUE"""),185.1)</f>
        <v>185.1</v>
      </c>
      <c r="D567" s="1">
        <f ca="1">IFERROR(__xludf.DUMMYFUNCTION("""COMPUTED_VALUE"""),180)</f>
        <v>180</v>
      </c>
      <c r="E567" s="1">
        <f ca="1">IFERROR(__xludf.DUMMYFUNCTION("""COMPUTED_VALUE"""),180)</f>
        <v>180</v>
      </c>
      <c r="F567" s="1">
        <f ca="1">IFERROR(__xludf.DUMMYFUNCTION("""COMPUTED_VALUE"""),41624261)</f>
        <v>41624261</v>
      </c>
    </row>
    <row r="568" spans="1:6" ht="12.6">
      <c r="A568" s="2">
        <f ca="1">IFERROR(__xludf.DUMMYFUNCTION("""COMPUTED_VALUE"""),45387.6666666666)</f>
        <v>45387.666666666599</v>
      </c>
      <c r="B568" s="1">
        <f ca="1">IFERROR(__xludf.DUMMYFUNCTION("""COMPUTED_VALUE"""),182.38)</f>
        <v>182.38</v>
      </c>
      <c r="C568" s="1">
        <f ca="1">IFERROR(__xludf.DUMMYFUNCTION("""COMPUTED_VALUE"""),186.27)</f>
        <v>186.27</v>
      </c>
      <c r="D568" s="1">
        <f ca="1">IFERROR(__xludf.DUMMYFUNCTION("""COMPUTED_VALUE"""),181.97)</f>
        <v>181.97</v>
      </c>
      <c r="E568" s="1">
        <f ca="1">IFERROR(__xludf.DUMMYFUNCTION("""COMPUTED_VALUE"""),185.07)</f>
        <v>185.07</v>
      </c>
      <c r="F568" s="1">
        <f ca="1">IFERROR(__xludf.DUMMYFUNCTION("""COMPUTED_VALUE"""),42373992)</f>
        <v>42373992</v>
      </c>
    </row>
    <row r="569" spans="1:6" ht="12.6">
      <c r="A569" s="2">
        <f ca="1">IFERROR(__xludf.DUMMYFUNCTION("""COMPUTED_VALUE"""),45390.6666666666)</f>
        <v>45390.666666666599</v>
      </c>
      <c r="B569" s="1">
        <f ca="1">IFERROR(__xludf.DUMMYFUNCTION("""COMPUTED_VALUE"""),186.9)</f>
        <v>186.9</v>
      </c>
      <c r="C569" s="1">
        <f ca="1">IFERROR(__xludf.DUMMYFUNCTION("""COMPUTED_VALUE"""),187.29)</f>
        <v>187.29</v>
      </c>
      <c r="D569" s="1">
        <f ca="1">IFERROR(__xludf.DUMMYFUNCTION("""COMPUTED_VALUE"""),184.81)</f>
        <v>184.81</v>
      </c>
      <c r="E569" s="1">
        <f ca="1">IFERROR(__xludf.DUMMYFUNCTION("""COMPUTED_VALUE"""),185.19)</f>
        <v>185.19</v>
      </c>
      <c r="F569" s="1">
        <f ca="1">IFERROR(__xludf.DUMMYFUNCTION("""COMPUTED_VALUE"""),39221282)</f>
        <v>39221282</v>
      </c>
    </row>
    <row r="570" spans="1:6" ht="12.6">
      <c r="A570" s="2">
        <f ca="1">IFERROR(__xludf.DUMMYFUNCTION("""COMPUTED_VALUE"""),45391.6666666666)</f>
        <v>45391.666666666599</v>
      </c>
      <c r="B570" s="1">
        <f ca="1">IFERROR(__xludf.DUMMYFUNCTION("""COMPUTED_VALUE"""),187.24)</f>
        <v>187.24</v>
      </c>
      <c r="C570" s="1">
        <f ca="1">IFERROR(__xludf.DUMMYFUNCTION("""COMPUTED_VALUE"""),187.34)</f>
        <v>187.34</v>
      </c>
      <c r="D570" s="1">
        <f ca="1">IFERROR(__xludf.DUMMYFUNCTION("""COMPUTED_VALUE"""),184.2)</f>
        <v>184.2</v>
      </c>
      <c r="E570" s="1">
        <f ca="1">IFERROR(__xludf.DUMMYFUNCTION("""COMPUTED_VALUE"""),185.67)</f>
        <v>185.67</v>
      </c>
      <c r="F570" s="1">
        <f ca="1">IFERROR(__xludf.DUMMYFUNCTION("""COMPUTED_VALUE"""),36546946)</f>
        <v>36546946</v>
      </c>
    </row>
    <row r="571" spans="1:6" ht="12.6">
      <c r="A571" s="2">
        <f ca="1">IFERROR(__xludf.DUMMYFUNCTION("""COMPUTED_VALUE"""),45392.6666666666)</f>
        <v>45392.666666666599</v>
      </c>
      <c r="B571" s="1">
        <f ca="1">IFERROR(__xludf.DUMMYFUNCTION("""COMPUTED_VALUE"""),182.77)</f>
        <v>182.77</v>
      </c>
      <c r="C571" s="1">
        <f ca="1">IFERROR(__xludf.DUMMYFUNCTION("""COMPUTED_VALUE"""),186.27)</f>
        <v>186.27</v>
      </c>
      <c r="D571" s="1">
        <f ca="1">IFERROR(__xludf.DUMMYFUNCTION("""COMPUTED_VALUE"""),182.67)</f>
        <v>182.67</v>
      </c>
      <c r="E571" s="1">
        <f ca="1">IFERROR(__xludf.DUMMYFUNCTION("""COMPUTED_VALUE"""),185.95)</f>
        <v>185.95</v>
      </c>
      <c r="F571" s="1">
        <f ca="1">IFERROR(__xludf.DUMMYFUNCTION("""COMPUTED_VALUE"""),35879151)</f>
        <v>35879151</v>
      </c>
    </row>
    <row r="572" spans="1:6" ht="12.6">
      <c r="A572" s="2">
        <f ca="1">IFERROR(__xludf.DUMMYFUNCTION("""COMPUTED_VALUE"""),45393.6666666666)</f>
        <v>45393.666666666599</v>
      </c>
      <c r="B572" s="1">
        <f ca="1">IFERROR(__xludf.DUMMYFUNCTION("""COMPUTED_VALUE"""),186.74)</f>
        <v>186.74</v>
      </c>
      <c r="C572" s="1">
        <f ca="1">IFERROR(__xludf.DUMMYFUNCTION("""COMPUTED_VALUE"""),189.77)</f>
        <v>189.77</v>
      </c>
      <c r="D572" s="1">
        <f ca="1">IFERROR(__xludf.DUMMYFUNCTION("""COMPUTED_VALUE"""),185.51)</f>
        <v>185.51</v>
      </c>
      <c r="E572" s="1">
        <f ca="1">IFERROR(__xludf.DUMMYFUNCTION("""COMPUTED_VALUE"""),189.05)</f>
        <v>189.05</v>
      </c>
      <c r="F572" s="1">
        <f ca="1">IFERROR(__xludf.DUMMYFUNCTION("""COMPUTED_VALUE"""),40020742)</f>
        <v>40020742</v>
      </c>
    </row>
    <row r="573" spans="1:6" ht="12.6">
      <c r="A573" s="2">
        <f ca="1">IFERROR(__xludf.DUMMYFUNCTION("""COMPUTED_VALUE"""),45394.6666666666)</f>
        <v>45394.666666666599</v>
      </c>
      <c r="B573" s="1">
        <f ca="1">IFERROR(__xludf.DUMMYFUNCTION("""COMPUTED_VALUE"""),187.72)</f>
        <v>187.72</v>
      </c>
      <c r="C573" s="1">
        <f ca="1">IFERROR(__xludf.DUMMYFUNCTION("""COMPUTED_VALUE"""),188.38)</f>
        <v>188.38</v>
      </c>
      <c r="D573" s="1">
        <f ca="1">IFERROR(__xludf.DUMMYFUNCTION("""COMPUTED_VALUE"""),185.08)</f>
        <v>185.08</v>
      </c>
      <c r="E573" s="1">
        <f ca="1">IFERROR(__xludf.DUMMYFUNCTION("""COMPUTED_VALUE"""),186.13)</f>
        <v>186.13</v>
      </c>
      <c r="F573" s="1">
        <f ca="1">IFERROR(__xludf.DUMMYFUNCTION("""COMPUTED_VALUE"""),38608849)</f>
        <v>38608849</v>
      </c>
    </row>
    <row r="574" spans="1:6" ht="12.6">
      <c r="A574" s="2">
        <f ca="1">IFERROR(__xludf.DUMMYFUNCTION("""COMPUTED_VALUE"""),45397.6666666666)</f>
        <v>45397.666666666599</v>
      </c>
      <c r="B574" s="1">
        <f ca="1">IFERROR(__xludf.DUMMYFUNCTION("""COMPUTED_VALUE"""),187.43)</f>
        <v>187.43</v>
      </c>
      <c r="C574" s="1">
        <f ca="1">IFERROR(__xludf.DUMMYFUNCTION("""COMPUTED_VALUE"""),188.69)</f>
        <v>188.69</v>
      </c>
      <c r="D574" s="1">
        <f ca="1">IFERROR(__xludf.DUMMYFUNCTION("""COMPUTED_VALUE"""),183)</f>
        <v>183</v>
      </c>
      <c r="E574" s="1">
        <f ca="1">IFERROR(__xludf.DUMMYFUNCTION("""COMPUTED_VALUE"""),183.62)</f>
        <v>183.62</v>
      </c>
      <c r="F574" s="1">
        <f ca="1">IFERROR(__xludf.DUMMYFUNCTION("""COMPUTED_VALUE"""),48052395)</f>
        <v>48052395</v>
      </c>
    </row>
    <row r="575" spans="1:6" ht="12.6">
      <c r="A575" s="2">
        <f ca="1">IFERROR(__xludf.DUMMYFUNCTION("""COMPUTED_VALUE"""),45398.6666666666)</f>
        <v>45398.666666666599</v>
      </c>
      <c r="B575" s="1">
        <f ca="1">IFERROR(__xludf.DUMMYFUNCTION("""COMPUTED_VALUE"""),183.27)</f>
        <v>183.27</v>
      </c>
      <c r="C575" s="1">
        <f ca="1">IFERROR(__xludf.DUMMYFUNCTION("""COMPUTED_VALUE"""),184.83)</f>
        <v>184.83</v>
      </c>
      <c r="D575" s="1">
        <f ca="1">IFERROR(__xludf.DUMMYFUNCTION("""COMPUTED_VALUE"""),182.26)</f>
        <v>182.26</v>
      </c>
      <c r="E575" s="1">
        <f ca="1">IFERROR(__xludf.DUMMYFUNCTION("""COMPUTED_VALUE"""),183.32)</f>
        <v>183.32</v>
      </c>
      <c r="F575" s="1">
        <f ca="1">IFERROR(__xludf.DUMMYFUNCTION("""COMPUTED_VALUE"""),32891265)</f>
        <v>32891265</v>
      </c>
    </row>
    <row r="576" spans="1:6" ht="12.6">
      <c r="A576" s="2">
        <f ca="1">IFERROR(__xludf.DUMMYFUNCTION("""COMPUTED_VALUE"""),45399.6666666666)</f>
        <v>45399.666666666599</v>
      </c>
      <c r="B576" s="1">
        <f ca="1">IFERROR(__xludf.DUMMYFUNCTION("""COMPUTED_VALUE"""),184.31)</f>
        <v>184.31</v>
      </c>
      <c r="C576" s="1">
        <f ca="1">IFERROR(__xludf.DUMMYFUNCTION("""COMPUTED_VALUE"""),184.57)</f>
        <v>184.57</v>
      </c>
      <c r="D576" s="1">
        <f ca="1">IFERROR(__xludf.DUMMYFUNCTION("""COMPUTED_VALUE"""),179.82)</f>
        <v>179.82</v>
      </c>
      <c r="E576" s="1">
        <f ca="1">IFERROR(__xludf.DUMMYFUNCTION("""COMPUTED_VALUE"""),181.28)</f>
        <v>181.28</v>
      </c>
      <c r="F576" s="1">
        <f ca="1">IFERROR(__xludf.DUMMYFUNCTION("""COMPUTED_VALUE"""),31359673)</f>
        <v>31359673</v>
      </c>
    </row>
    <row r="577" spans="1:6" ht="12.6">
      <c r="A577" s="2">
        <f ca="1">IFERROR(__xludf.DUMMYFUNCTION("""COMPUTED_VALUE"""),45400.6666666666)</f>
        <v>45400.666666666599</v>
      </c>
      <c r="B577" s="1">
        <f ca="1">IFERROR(__xludf.DUMMYFUNCTION("""COMPUTED_VALUE"""),181.47)</f>
        <v>181.47</v>
      </c>
      <c r="C577" s="1">
        <f ca="1">IFERROR(__xludf.DUMMYFUNCTION("""COMPUTED_VALUE"""),182.39)</f>
        <v>182.39</v>
      </c>
      <c r="D577" s="1">
        <f ca="1">IFERROR(__xludf.DUMMYFUNCTION("""COMPUTED_VALUE"""),178.65)</f>
        <v>178.65</v>
      </c>
      <c r="E577" s="1">
        <f ca="1">IFERROR(__xludf.DUMMYFUNCTION("""COMPUTED_VALUE"""),179.22)</f>
        <v>179.22</v>
      </c>
      <c r="F577" s="1">
        <f ca="1">IFERROR(__xludf.DUMMYFUNCTION("""COMPUTED_VALUE"""),30723793)</f>
        <v>30723793</v>
      </c>
    </row>
    <row r="578" spans="1:6" ht="12.6">
      <c r="A578" s="2">
        <f ca="1">IFERROR(__xludf.DUMMYFUNCTION("""COMPUTED_VALUE"""),45401.6666666666)</f>
        <v>45401.666666666599</v>
      </c>
      <c r="B578" s="1">
        <f ca="1">IFERROR(__xludf.DUMMYFUNCTION("""COMPUTED_VALUE"""),178.74)</f>
        <v>178.74</v>
      </c>
      <c r="C578" s="1">
        <f ca="1">IFERROR(__xludf.DUMMYFUNCTION("""COMPUTED_VALUE"""),179)</f>
        <v>179</v>
      </c>
      <c r="D578" s="1">
        <f ca="1">IFERROR(__xludf.DUMMYFUNCTION("""COMPUTED_VALUE"""),173.44)</f>
        <v>173.44</v>
      </c>
      <c r="E578" s="1">
        <f ca="1">IFERROR(__xludf.DUMMYFUNCTION("""COMPUTED_VALUE"""),174.63)</f>
        <v>174.63</v>
      </c>
      <c r="F578" s="1">
        <f ca="1">IFERROR(__xludf.DUMMYFUNCTION("""COMPUTED_VALUE"""),56000729)</f>
        <v>56000729</v>
      </c>
    </row>
    <row r="579" spans="1:6" ht="12.6">
      <c r="A579" s="2">
        <f ca="1">IFERROR(__xludf.DUMMYFUNCTION("""COMPUTED_VALUE"""),45404.6666666666)</f>
        <v>45404.666666666599</v>
      </c>
      <c r="B579" s="1">
        <f ca="1">IFERROR(__xludf.DUMMYFUNCTION("""COMPUTED_VALUE"""),176.94)</f>
        <v>176.94</v>
      </c>
      <c r="C579" s="1">
        <f ca="1">IFERROR(__xludf.DUMMYFUNCTION("""COMPUTED_VALUE"""),178.87)</f>
        <v>178.87</v>
      </c>
      <c r="D579" s="1">
        <f ca="1">IFERROR(__xludf.DUMMYFUNCTION("""COMPUTED_VALUE"""),174.56)</f>
        <v>174.56</v>
      </c>
      <c r="E579" s="1">
        <f ca="1">IFERROR(__xludf.DUMMYFUNCTION("""COMPUTED_VALUE"""),177.23)</f>
        <v>177.23</v>
      </c>
      <c r="F579" s="1">
        <f ca="1">IFERROR(__xludf.DUMMYFUNCTION("""COMPUTED_VALUE"""),37924890)</f>
        <v>37924890</v>
      </c>
    </row>
    <row r="580" spans="1:6" ht="12.6">
      <c r="A580" s="2">
        <f ca="1">IFERROR(__xludf.DUMMYFUNCTION("""COMPUTED_VALUE"""),45405.6666666666)</f>
        <v>45405.666666666599</v>
      </c>
      <c r="B580" s="1">
        <f ca="1">IFERROR(__xludf.DUMMYFUNCTION("""COMPUTED_VALUE"""),178.08)</f>
        <v>178.08</v>
      </c>
      <c r="C580" s="1">
        <f ca="1">IFERROR(__xludf.DUMMYFUNCTION("""COMPUTED_VALUE"""),179.93)</f>
        <v>179.93</v>
      </c>
      <c r="D580" s="1">
        <f ca="1">IFERROR(__xludf.DUMMYFUNCTION("""COMPUTED_VALUE"""),175.98)</f>
        <v>175.98</v>
      </c>
      <c r="E580" s="1">
        <f ca="1">IFERROR(__xludf.DUMMYFUNCTION("""COMPUTED_VALUE"""),179.54)</f>
        <v>179.54</v>
      </c>
      <c r="F580" s="1">
        <f ca="1">IFERROR(__xludf.DUMMYFUNCTION("""COMPUTED_VALUE"""),37046519)</f>
        <v>37046519</v>
      </c>
    </row>
    <row r="581" spans="1:6" ht="12.6">
      <c r="A581" s="2">
        <f ca="1">IFERROR(__xludf.DUMMYFUNCTION("""COMPUTED_VALUE"""),45406.6666666666)</f>
        <v>45406.666666666599</v>
      </c>
      <c r="B581" s="1">
        <f ca="1">IFERROR(__xludf.DUMMYFUNCTION("""COMPUTED_VALUE"""),179.94)</f>
        <v>179.94</v>
      </c>
      <c r="C581" s="1">
        <f ca="1">IFERROR(__xludf.DUMMYFUNCTION("""COMPUTED_VALUE"""),180.32)</f>
        <v>180.32</v>
      </c>
      <c r="D581" s="1">
        <f ca="1">IFERROR(__xludf.DUMMYFUNCTION("""COMPUTED_VALUE"""),176.18)</f>
        <v>176.18</v>
      </c>
      <c r="E581" s="1">
        <f ca="1">IFERROR(__xludf.DUMMYFUNCTION("""COMPUTED_VALUE"""),176.59)</f>
        <v>176.59</v>
      </c>
      <c r="F581" s="1">
        <f ca="1">IFERROR(__xludf.DUMMYFUNCTION("""COMPUTED_VALUE"""),34185109)</f>
        <v>34185109</v>
      </c>
    </row>
    <row r="582" spans="1:6" ht="12.6">
      <c r="A582" s="2">
        <f ca="1">IFERROR(__xludf.DUMMYFUNCTION("""COMPUTED_VALUE"""),45407.6666666666)</f>
        <v>45407.666666666599</v>
      </c>
      <c r="B582" s="1">
        <f ca="1">IFERROR(__xludf.DUMMYFUNCTION("""COMPUTED_VALUE"""),169.68)</f>
        <v>169.68</v>
      </c>
      <c r="C582" s="1">
        <f ca="1">IFERROR(__xludf.DUMMYFUNCTION("""COMPUTED_VALUE"""),173.92)</f>
        <v>173.92</v>
      </c>
      <c r="D582" s="1">
        <f ca="1">IFERROR(__xludf.DUMMYFUNCTION("""COMPUTED_VALUE"""),166.32)</f>
        <v>166.32</v>
      </c>
      <c r="E582" s="1">
        <f ca="1">IFERROR(__xludf.DUMMYFUNCTION("""COMPUTED_VALUE"""),173.67)</f>
        <v>173.67</v>
      </c>
      <c r="F582" s="1">
        <f ca="1">IFERROR(__xludf.DUMMYFUNCTION("""COMPUTED_VALUE"""),49249390)</f>
        <v>49249390</v>
      </c>
    </row>
    <row r="583" spans="1:6" ht="12.6">
      <c r="A583" s="2">
        <f ca="1">IFERROR(__xludf.DUMMYFUNCTION("""COMPUTED_VALUE"""),45408.6666666666)</f>
        <v>45408.666666666599</v>
      </c>
      <c r="B583" s="1">
        <f ca="1">IFERROR(__xludf.DUMMYFUNCTION("""COMPUTED_VALUE"""),177.8)</f>
        <v>177.8</v>
      </c>
      <c r="C583" s="1">
        <f ca="1">IFERROR(__xludf.DUMMYFUNCTION("""COMPUTED_VALUE"""),180.82)</f>
        <v>180.82</v>
      </c>
      <c r="D583" s="1">
        <f ca="1">IFERROR(__xludf.DUMMYFUNCTION("""COMPUTED_VALUE"""),176.13)</f>
        <v>176.13</v>
      </c>
      <c r="E583" s="1">
        <f ca="1">IFERROR(__xludf.DUMMYFUNCTION("""COMPUTED_VALUE"""),179.62)</f>
        <v>179.62</v>
      </c>
      <c r="F583" s="1">
        <f ca="1">IFERROR(__xludf.DUMMYFUNCTION("""COMPUTED_VALUE"""),43919765)</f>
        <v>43919765</v>
      </c>
    </row>
    <row r="584" spans="1:6" ht="12.6">
      <c r="A584" s="2">
        <f ca="1">IFERROR(__xludf.DUMMYFUNCTION("""COMPUTED_VALUE"""),45411.6666666666)</f>
        <v>45411.666666666599</v>
      </c>
      <c r="B584" s="1">
        <f ca="1">IFERROR(__xludf.DUMMYFUNCTION("""COMPUTED_VALUE"""),182.75)</f>
        <v>182.75</v>
      </c>
      <c r="C584" s="1">
        <f ca="1">IFERROR(__xludf.DUMMYFUNCTION("""COMPUTED_VALUE"""),183.53)</f>
        <v>183.53</v>
      </c>
      <c r="D584" s="1">
        <f ca="1">IFERROR(__xludf.DUMMYFUNCTION("""COMPUTED_VALUE"""),179.39)</f>
        <v>179.39</v>
      </c>
      <c r="E584" s="1">
        <f ca="1">IFERROR(__xludf.DUMMYFUNCTION("""COMPUTED_VALUE"""),180.96)</f>
        <v>180.96</v>
      </c>
      <c r="F584" s="1">
        <f ca="1">IFERROR(__xludf.DUMMYFUNCTION("""COMPUTED_VALUE"""),54063937)</f>
        <v>54063937</v>
      </c>
    </row>
    <row r="585" spans="1:6" ht="12.6">
      <c r="A585" s="2">
        <f ca="1">IFERROR(__xludf.DUMMYFUNCTION("""COMPUTED_VALUE"""),45412.6666666666)</f>
        <v>45412.666666666599</v>
      </c>
      <c r="B585" s="1">
        <f ca="1">IFERROR(__xludf.DUMMYFUNCTION("""COMPUTED_VALUE"""),181.09)</f>
        <v>181.09</v>
      </c>
      <c r="C585" s="1">
        <f ca="1">IFERROR(__xludf.DUMMYFUNCTION("""COMPUTED_VALUE"""),182.99)</f>
        <v>182.99</v>
      </c>
      <c r="D585" s="1">
        <f ca="1">IFERROR(__xludf.DUMMYFUNCTION("""COMPUTED_VALUE"""),174.8)</f>
        <v>174.8</v>
      </c>
      <c r="E585" s="1">
        <f ca="1">IFERROR(__xludf.DUMMYFUNCTION("""COMPUTED_VALUE"""),175)</f>
        <v>175</v>
      </c>
      <c r="F585" s="1">
        <f ca="1">IFERROR(__xludf.DUMMYFUNCTION("""COMPUTED_VALUE"""),94639786)</f>
        <v>94639786</v>
      </c>
    </row>
    <row r="586" spans="1:6" ht="12.6">
      <c r="A586" s="2">
        <f ca="1">IFERROR(__xludf.DUMMYFUNCTION("""COMPUTED_VALUE"""),45413.6666666666)</f>
        <v>45413.666666666599</v>
      </c>
      <c r="B586" s="1">
        <f ca="1">IFERROR(__xludf.DUMMYFUNCTION("""COMPUTED_VALUE"""),181.64)</f>
        <v>181.64</v>
      </c>
      <c r="C586" s="1">
        <f ca="1">IFERROR(__xludf.DUMMYFUNCTION("""COMPUTED_VALUE"""),185.15)</f>
        <v>185.15</v>
      </c>
      <c r="D586" s="1">
        <f ca="1">IFERROR(__xludf.DUMMYFUNCTION("""COMPUTED_VALUE"""),176.56)</f>
        <v>176.56</v>
      </c>
      <c r="E586" s="1">
        <f ca="1">IFERROR(__xludf.DUMMYFUNCTION("""COMPUTED_VALUE"""),179)</f>
        <v>179</v>
      </c>
      <c r="F586" s="1">
        <f ca="1">IFERROR(__xludf.DUMMYFUNCTION("""COMPUTED_VALUE"""),94645148)</f>
        <v>94645148</v>
      </c>
    </row>
    <row r="587" spans="1:6" ht="12.6">
      <c r="A587" s="2">
        <f ca="1">IFERROR(__xludf.DUMMYFUNCTION("""COMPUTED_VALUE"""),45414.6666666666)</f>
        <v>45414.666666666599</v>
      </c>
      <c r="B587" s="1">
        <f ca="1">IFERROR(__xludf.DUMMYFUNCTION("""COMPUTED_VALUE"""),180.85)</f>
        <v>180.85</v>
      </c>
      <c r="C587" s="1">
        <f ca="1">IFERROR(__xludf.DUMMYFUNCTION("""COMPUTED_VALUE"""),185.1)</f>
        <v>185.1</v>
      </c>
      <c r="D587" s="1">
        <f ca="1">IFERROR(__xludf.DUMMYFUNCTION("""COMPUTED_VALUE"""),179.91)</f>
        <v>179.91</v>
      </c>
      <c r="E587" s="1">
        <f ca="1">IFERROR(__xludf.DUMMYFUNCTION("""COMPUTED_VALUE"""),184.72)</f>
        <v>184.72</v>
      </c>
      <c r="F587" s="1">
        <f ca="1">IFERROR(__xludf.DUMMYFUNCTION("""COMPUTED_VALUE"""),54303510)</f>
        <v>54303510</v>
      </c>
    </row>
    <row r="588" spans="1:6" ht="12.6">
      <c r="A588" s="2">
        <f ca="1">IFERROR(__xludf.DUMMYFUNCTION("""COMPUTED_VALUE"""),45415.6666666666)</f>
        <v>45415.666666666599</v>
      </c>
      <c r="B588" s="1">
        <f ca="1">IFERROR(__xludf.DUMMYFUNCTION("""COMPUTED_VALUE"""),186.99)</f>
        <v>186.99</v>
      </c>
      <c r="C588" s="1">
        <f ca="1">IFERROR(__xludf.DUMMYFUNCTION("""COMPUTED_VALUE"""),187.87)</f>
        <v>187.87</v>
      </c>
      <c r="D588" s="1">
        <f ca="1">IFERROR(__xludf.DUMMYFUNCTION("""COMPUTED_VALUE"""),185.42)</f>
        <v>185.42</v>
      </c>
      <c r="E588" s="1">
        <f ca="1">IFERROR(__xludf.DUMMYFUNCTION("""COMPUTED_VALUE"""),186.21)</f>
        <v>186.21</v>
      </c>
      <c r="F588" s="1">
        <f ca="1">IFERROR(__xludf.DUMMYFUNCTION("""COMPUTED_VALUE"""),39172004)</f>
        <v>39172004</v>
      </c>
    </row>
    <row r="589" spans="1:6" ht="12.6">
      <c r="A589" s="2">
        <f ca="1">IFERROR(__xludf.DUMMYFUNCTION("""COMPUTED_VALUE"""),45418.6666666666)</f>
        <v>45418.666666666599</v>
      </c>
      <c r="B589" s="1">
        <f ca="1">IFERROR(__xludf.DUMMYFUNCTION("""COMPUTED_VALUE"""),186.28)</f>
        <v>186.28</v>
      </c>
      <c r="C589" s="1">
        <f ca="1">IFERROR(__xludf.DUMMYFUNCTION("""COMPUTED_VALUE"""),188.75)</f>
        <v>188.75</v>
      </c>
      <c r="D589" s="1">
        <f ca="1">IFERROR(__xludf.DUMMYFUNCTION("""COMPUTED_VALUE"""),184.8)</f>
        <v>184.8</v>
      </c>
      <c r="E589" s="1">
        <f ca="1">IFERROR(__xludf.DUMMYFUNCTION("""COMPUTED_VALUE"""),188.7)</f>
        <v>188.7</v>
      </c>
      <c r="F589" s="1">
        <f ca="1">IFERROR(__xludf.DUMMYFUNCTION("""COMPUTED_VALUE"""),34725295)</f>
        <v>34725295</v>
      </c>
    </row>
    <row r="590" spans="1:6" ht="12.6">
      <c r="A590" s="2">
        <f ca="1">IFERROR(__xludf.DUMMYFUNCTION("""COMPUTED_VALUE"""),45419.6666666666)</f>
        <v>45419.666666666599</v>
      </c>
      <c r="B590" s="1">
        <f ca="1">IFERROR(__xludf.DUMMYFUNCTION("""COMPUTED_VALUE"""),188.92)</f>
        <v>188.92</v>
      </c>
      <c r="C590" s="1">
        <f ca="1">IFERROR(__xludf.DUMMYFUNCTION("""COMPUTED_VALUE"""),189.94)</f>
        <v>189.94</v>
      </c>
      <c r="D590" s="1">
        <f ca="1">IFERROR(__xludf.DUMMYFUNCTION("""COMPUTED_VALUE"""),187.31)</f>
        <v>187.31</v>
      </c>
      <c r="E590" s="1">
        <f ca="1">IFERROR(__xludf.DUMMYFUNCTION("""COMPUTED_VALUE"""),188.76)</f>
        <v>188.76</v>
      </c>
      <c r="F590" s="1">
        <f ca="1">IFERROR(__xludf.DUMMYFUNCTION("""COMPUTED_VALUE"""),34048902)</f>
        <v>34048902</v>
      </c>
    </row>
    <row r="591" spans="1:6" ht="12.6">
      <c r="A591" s="2">
        <f ca="1">IFERROR(__xludf.DUMMYFUNCTION("""COMPUTED_VALUE"""),45420.6666666666)</f>
        <v>45420.666666666599</v>
      </c>
      <c r="B591" s="1">
        <f ca="1">IFERROR(__xludf.DUMMYFUNCTION("""COMPUTED_VALUE"""),187.44)</f>
        <v>187.44</v>
      </c>
      <c r="C591" s="1">
        <f ca="1">IFERROR(__xludf.DUMMYFUNCTION("""COMPUTED_VALUE"""),188.43)</f>
        <v>188.43</v>
      </c>
      <c r="D591" s="1">
        <f ca="1">IFERROR(__xludf.DUMMYFUNCTION("""COMPUTED_VALUE"""),186.39)</f>
        <v>186.39</v>
      </c>
      <c r="E591" s="1">
        <f ca="1">IFERROR(__xludf.DUMMYFUNCTION("""COMPUTED_VALUE"""),188)</f>
        <v>188</v>
      </c>
      <c r="F591" s="1">
        <f ca="1">IFERROR(__xludf.DUMMYFUNCTION("""COMPUTED_VALUE"""),26136350)</f>
        <v>26136350</v>
      </c>
    </row>
    <row r="592" spans="1:6" ht="12.6">
      <c r="A592" s="2">
        <f ca="1">IFERROR(__xludf.DUMMYFUNCTION("""COMPUTED_VALUE"""),45421.6666666666)</f>
        <v>45421.666666666599</v>
      </c>
      <c r="B592" s="1">
        <f ca="1">IFERROR(__xludf.DUMMYFUNCTION("""COMPUTED_VALUE"""),188.88)</f>
        <v>188.88</v>
      </c>
      <c r="C592" s="1">
        <f ca="1">IFERROR(__xludf.DUMMYFUNCTION("""COMPUTED_VALUE"""),191.7)</f>
        <v>191.7</v>
      </c>
      <c r="D592" s="1">
        <f ca="1">IFERROR(__xludf.DUMMYFUNCTION("""COMPUTED_VALUE"""),187.44)</f>
        <v>187.44</v>
      </c>
      <c r="E592" s="1">
        <f ca="1">IFERROR(__xludf.DUMMYFUNCTION("""COMPUTED_VALUE"""),189.5)</f>
        <v>189.5</v>
      </c>
      <c r="F592" s="1">
        <f ca="1">IFERROR(__xludf.DUMMYFUNCTION("""COMPUTED_VALUE"""),43368377)</f>
        <v>43368377</v>
      </c>
    </row>
    <row r="593" spans="1:6" ht="12.6">
      <c r="A593" s="2">
        <f ca="1">IFERROR(__xludf.DUMMYFUNCTION("""COMPUTED_VALUE"""),45422.6666666666)</f>
        <v>45422.666666666599</v>
      </c>
      <c r="B593" s="1">
        <f ca="1">IFERROR(__xludf.DUMMYFUNCTION("""COMPUTED_VALUE"""),189.16)</f>
        <v>189.16</v>
      </c>
      <c r="C593" s="1">
        <f ca="1">IFERROR(__xludf.DUMMYFUNCTION("""COMPUTED_VALUE"""),189.89)</f>
        <v>189.89</v>
      </c>
      <c r="D593" s="1">
        <f ca="1">IFERROR(__xludf.DUMMYFUNCTION("""COMPUTED_VALUE"""),186.93)</f>
        <v>186.93</v>
      </c>
      <c r="E593" s="1">
        <f ca="1">IFERROR(__xludf.DUMMYFUNCTION("""COMPUTED_VALUE"""),187.48)</f>
        <v>187.48</v>
      </c>
      <c r="F593" s="1">
        <f ca="1">IFERROR(__xludf.DUMMYFUNCTION("""COMPUTED_VALUE"""),34141771)</f>
        <v>34141771</v>
      </c>
    </row>
    <row r="594" spans="1:6" ht="12.6">
      <c r="A594" s="2">
        <f ca="1">IFERROR(__xludf.DUMMYFUNCTION("""COMPUTED_VALUE"""),45425.6666666666)</f>
        <v>45425.666666666599</v>
      </c>
      <c r="B594" s="1">
        <f ca="1">IFERROR(__xludf.DUMMYFUNCTION("""COMPUTED_VALUE"""),188)</f>
        <v>188</v>
      </c>
      <c r="C594" s="1">
        <f ca="1">IFERROR(__xludf.DUMMYFUNCTION("""COMPUTED_VALUE"""),188.31)</f>
        <v>188.31</v>
      </c>
      <c r="D594" s="1">
        <f ca="1">IFERROR(__xludf.DUMMYFUNCTION("""COMPUTED_VALUE"""),185.36)</f>
        <v>185.36</v>
      </c>
      <c r="E594" s="1">
        <f ca="1">IFERROR(__xludf.DUMMYFUNCTION("""COMPUTED_VALUE"""),186.57)</f>
        <v>186.57</v>
      </c>
      <c r="F594" s="1">
        <f ca="1">IFERROR(__xludf.DUMMYFUNCTION("""COMPUTED_VALUE"""),24898613)</f>
        <v>24898613</v>
      </c>
    </row>
    <row r="595" spans="1:6" ht="12.6">
      <c r="A595" s="2">
        <f ca="1">IFERROR(__xludf.DUMMYFUNCTION("""COMPUTED_VALUE"""),45426.6666666666)</f>
        <v>45426.666666666599</v>
      </c>
      <c r="B595" s="1">
        <f ca="1">IFERROR(__xludf.DUMMYFUNCTION("""COMPUTED_VALUE"""),183.82)</f>
        <v>183.82</v>
      </c>
      <c r="C595" s="1">
        <f ca="1">IFERROR(__xludf.DUMMYFUNCTION("""COMPUTED_VALUE"""),187.72)</f>
        <v>187.72</v>
      </c>
      <c r="D595" s="1">
        <f ca="1">IFERROR(__xludf.DUMMYFUNCTION("""COMPUTED_VALUE"""),183.45)</f>
        <v>183.45</v>
      </c>
      <c r="E595" s="1">
        <f ca="1">IFERROR(__xludf.DUMMYFUNCTION("""COMPUTED_VALUE"""),187.07)</f>
        <v>187.07</v>
      </c>
      <c r="F595" s="1">
        <f ca="1">IFERROR(__xludf.DUMMYFUNCTION("""COMPUTED_VALUE"""),38698155)</f>
        <v>38698155</v>
      </c>
    </row>
    <row r="596" spans="1:6" ht="12.6">
      <c r="A596" s="2">
        <f ca="1">IFERROR(__xludf.DUMMYFUNCTION("""COMPUTED_VALUE"""),45427.6666666666)</f>
        <v>45427.666666666599</v>
      </c>
      <c r="B596" s="1">
        <f ca="1">IFERROR(__xludf.DUMMYFUNCTION("""COMPUTED_VALUE"""),185.97)</f>
        <v>185.97</v>
      </c>
      <c r="C596" s="1">
        <f ca="1">IFERROR(__xludf.DUMMYFUNCTION("""COMPUTED_VALUE"""),186.72)</f>
        <v>186.72</v>
      </c>
      <c r="D596" s="1">
        <f ca="1">IFERROR(__xludf.DUMMYFUNCTION("""COMPUTED_VALUE"""),182.73)</f>
        <v>182.73</v>
      </c>
      <c r="E596" s="1">
        <f ca="1">IFERROR(__xludf.DUMMYFUNCTION("""COMPUTED_VALUE"""),185.99)</f>
        <v>185.99</v>
      </c>
      <c r="F596" s="1">
        <f ca="1">IFERROR(__xludf.DUMMYFUNCTION("""COMPUTED_VALUE"""),75459927)</f>
        <v>75459927</v>
      </c>
    </row>
    <row r="597" spans="1:6" ht="12.6">
      <c r="A597" s="2">
        <f ca="1">IFERROR(__xludf.DUMMYFUNCTION("""COMPUTED_VALUE"""),45428.6666666666)</f>
        <v>45428.666666666599</v>
      </c>
      <c r="B597" s="1">
        <f ca="1">IFERROR(__xludf.DUMMYFUNCTION("""COMPUTED_VALUE"""),185.6)</f>
        <v>185.6</v>
      </c>
      <c r="C597" s="1">
        <f ca="1">IFERROR(__xludf.DUMMYFUNCTION("""COMPUTED_VALUE"""),187.31)</f>
        <v>187.31</v>
      </c>
      <c r="D597" s="1">
        <f ca="1">IFERROR(__xludf.DUMMYFUNCTION("""COMPUTED_VALUE"""),183.46)</f>
        <v>183.46</v>
      </c>
      <c r="E597" s="1">
        <f ca="1">IFERROR(__xludf.DUMMYFUNCTION("""COMPUTED_VALUE"""),183.63)</f>
        <v>183.63</v>
      </c>
      <c r="F597" s="1">
        <f ca="1">IFERROR(__xludf.DUMMYFUNCTION("""COMPUTED_VALUE"""),38834450)</f>
        <v>38834450</v>
      </c>
    </row>
    <row r="598" spans="1:6" ht="12.6">
      <c r="A598" s="2">
        <f ca="1">IFERROR(__xludf.DUMMYFUNCTION("""COMPUTED_VALUE"""),45429.6666666666)</f>
        <v>45429.666666666599</v>
      </c>
      <c r="B598" s="1">
        <f ca="1">IFERROR(__xludf.DUMMYFUNCTION("""COMPUTED_VALUE"""),183.76)</f>
        <v>183.76</v>
      </c>
      <c r="C598" s="1">
        <f ca="1">IFERROR(__xludf.DUMMYFUNCTION("""COMPUTED_VALUE"""),185.3)</f>
        <v>185.3</v>
      </c>
      <c r="D598" s="1">
        <f ca="1">IFERROR(__xludf.DUMMYFUNCTION("""COMPUTED_VALUE"""),183.35)</f>
        <v>183.35</v>
      </c>
      <c r="E598" s="1">
        <f ca="1">IFERROR(__xludf.DUMMYFUNCTION("""COMPUTED_VALUE"""),184.7)</f>
        <v>184.7</v>
      </c>
      <c r="F598" s="1">
        <f ca="1">IFERROR(__xludf.DUMMYFUNCTION("""COMPUTED_VALUE"""),33175655)</f>
        <v>33175655</v>
      </c>
    </row>
    <row r="599" spans="1:6" ht="12.6">
      <c r="A599" s="2">
        <f ca="1">IFERROR(__xludf.DUMMYFUNCTION("""COMPUTED_VALUE"""),45432.6666666666)</f>
        <v>45432.666666666599</v>
      </c>
      <c r="B599" s="1">
        <f ca="1">IFERROR(__xludf.DUMMYFUNCTION("""COMPUTED_VALUE"""),184.34)</f>
        <v>184.34</v>
      </c>
      <c r="C599" s="1">
        <f ca="1">IFERROR(__xludf.DUMMYFUNCTION("""COMPUTED_VALUE"""),186.67)</f>
        <v>186.67</v>
      </c>
      <c r="D599" s="1">
        <f ca="1">IFERROR(__xludf.DUMMYFUNCTION("""COMPUTED_VALUE"""),183.28)</f>
        <v>183.28</v>
      </c>
      <c r="E599" s="1">
        <f ca="1">IFERROR(__xludf.DUMMYFUNCTION("""COMPUTED_VALUE"""),183.54)</f>
        <v>183.54</v>
      </c>
      <c r="F599" s="1">
        <f ca="1">IFERROR(__xludf.DUMMYFUNCTION("""COMPUTED_VALUE"""),30511768)</f>
        <v>30511768</v>
      </c>
    </row>
    <row r="600" spans="1:6" ht="12.6">
      <c r="A600" s="2">
        <f ca="1">IFERROR(__xludf.DUMMYFUNCTION("""COMPUTED_VALUE"""),45433.6666666666)</f>
        <v>45433.666666666599</v>
      </c>
      <c r="B600" s="1">
        <f ca="1">IFERROR(__xludf.DUMMYFUNCTION("""COMPUTED_VALUE"""),182.3)</f>
        <v>182.3</v>
      </c>
      <c r="C600" s="1">
        <f ca="1">IFERROR(__xludf.DUMMYFUNCTION("""COMPUTED_VALUE"""),183.26)</f>
        <v>183.26</v>
      </c>
      <c r="D600" s="1">
        <f ca="1">IFERROR(__xludf.DUMMYFUNCTION("""COMPUTED_VALUE"""),180.75)</f>
        <v>180.75</v>
      </c>
      <c r="E600" s="1">
        <f ca="1">IFERROR(__xludf.DUMMYFUNCTION("""COMPUTED_VALUE"""),183.15)</f>
        <v>183.15</v>
      </c>
      <c r="F600" s="1">
        <f ca="1">IFERROR(__xludf.DUMMYFUNCTION("""COMPUTED_VALUE"""),50839129)</f>
        <v>50839129</v>
      </c>
    </row>
    <row r="601" spans="1:6" ht="12.6">
      <c r="A601" s="2">
        <f ca="1">IFERROR(__xludf.DUMMYFUNCTION("""COMPUTED_VALUE"""),45434.6666666666)</f>
        <v>45434.666666666599</v>
      </c>
      <c r="B601" s="1">
        <f ca="1">IFERROR(__xludf.DUMMYFUNCTION("""COMPUTED_VALUE"""),183.88)</f>
        <v>183.88</v>
      </c>
      <c r="C601" s="1">
        <f ca="1">IFERROR(__xludf.DUMMYFUNCTION("""COMPUTED_VALUE"""),185.22)</f>
        <v>185.22</v>
      </c>
      <c r="D601" s="1">
        <f ca="1">IFERROR(__xludf.DUMMYFUNCTION("""COMPUTED_VALUE"""),181.97)</f>
        <v>181.97</v>
      </c>
      <c r="E601" s="1">
        <f ca="1">IFERROR(__xludf.DUMMYFUNCTION("""COMPUTED_VALUE"""),183.13)</f>
        <v>183.13</v>
      </c>
      <c r="F601" s="1">
        <f ca="1">IFERROR(__xludf.DUMMYFUNCTION("""COMPUTED_VALUE"""),28148784)</f>
        <v>28148784</v>
      </c>
    </row>
    <row r="602" spans="1:6" ht="12.6">
      <c r="A602" s="2">
        <f ca="1">IFERROR(__xludf.DUMMYFUNCTION("""COMPUTED_VALUE"""),45435.6666666666)</f>
        <v>45435.666666666599</v>
      </c>
      <c r="B602" s="1">
        <f ca="1">IFERROR(__xludf.DUMMYFUNCTION("""COMPUTED_VALUE"""),183.66)</f>
        <v>183.66</v>
      </c>
      <c r="C602" s="1">
        <f ca="1">IFERROR(__xludf.DUMMYFUNCTION("""COMPUTED_VALUE"""),184.76)</f>
        <v>184.76</v>
      </c>
      <c r="D602" s="1">
        <f ca="1">IFERROR(__xludf.DUMMYFUNCTION("""COMPUTED_VALUE"""),180.08)</f>
        <v>180.08</v>
      </c>
      <c r="E602" s="1">
        <f ca="1">IFERROR(__xludf.DUMMYFUNCTION("""COMPUTED_VALUE"""),181.05)</f>
        <v>181.05</v>
      </c>
      <c r="F602" s="1">
        <f ca="1">IFERROR(__xludf.DUMMYFUNCTION("""COMPUTED_VALUE"""),33670173)</f>
        <v>33670173</v>
      </c>
    </row>
    <row r="603" spans="1:6" ht="12.6">
      <c r="A603" s="2">
        <f ca="1">IFERROR(__xludf.DUMMYFUNCTION("""COMPUTED_VALUE"""),45436.6666666666)</f>
        <v>45436.666666666599</v>
      </c>
      <c r="B603" s="1">
        <f ca="1">IFERROR(__xludf.DUMMYFUNCTION("""COMPUTED_VALUE"""),181.65)</f>
        <v>181.65</v>
      </c>
      <c r="C603" s="1">
        <f ca="1">IFERROR(__xludf.DUMMYFUNCTION("""COMPUTED_VALUE"""),182.44)</f>
        <v>182.44</v>
      </c>
      <c r="D603" s="1">
        <f ca="1">IFERROR(__xludf.DUMMYFUNCTION("""COMPUTED_VALUE"""),180.3)</f>
        <v>180.3</v>
      </c>
      <c r="E603" s="1">
        <f ca="1">IFERROR(__xludf.DUMMYFUNCTION("""COMPUTED_VALUE"""),180.75)</f>
        <v>180.75</v>
      </c>
      <c r="F603" s="1">
        <f ca="1">IFERROR(__xludf.DUMMYFUNCTION("""COMPUTED_VALUE"""),27471640)</f>
        <v>27471640</v>
      </c>
    </row>
    <row r="604" spans="1:6" ht="12.6">
      <c r="A604" s="2">
        <f ca="1">IFERROR(__xludf.DUMMYFUNCTION("""COMPUTED_VALUE"""),45440.6666666666)</f>
        <v>45440.666666666599</v>
      </c>
      <c r="B604" s="1">
        <f ca="1">IFERROR(__xludf.DUMMYFUNCTION("""COMPUTED_VALUE"""),179.93)</f>
        <v>179.93</v>
      </c>
      <c r="C604" s="1">
        <f ca="1">IFERROR(__xludf.DUMMYFUNCTION("""COMPUTED_VALUE"""),182.24)</f>
        <v>182.24</v>
      </c>
      <c r="D604" s="1">
        <f ca="1">IFERROR(__xludf.DUMMYFUNCTION("""COMPUTED_VALUE"""),179.49)</f>
        <v>179.49</v>
      </c>
      <c r="E604" s="1">
        <f ca="1">IFERROR(__xludf.DUMMYFUNCTION("""COMPUTED_VALUE"""),182.15)</f>
        <v>182.15</v>
      </c>
      <c r="F604" s="1">
        <f ca="1">IFERROR(__xludf.DUMMYFUNCTION("""COMPUTED_VALUE"""),29926963)</f>
        <v>29926963</v>
      </c>
    </row>
    <row r="605" spans="1:6" ht="12.6">
      <c r="A605" s="2">
        <f ca="1">IFERROR(__xludf.DUMMYFUNCTION("""COMPUTED_VALUE"""),45441.6666666666)</f>
        <v>45441.666666666599</v>
      </c>
      <c r="B605" s="1">
        <f ca="1">IFERROR(__xludf.DUMMYFUNCTION("""COMPUTED_VALUE"""),181.7)</f>
        <v>181.7</v>
      </c>
      <c r="C605" s="1">
        <f ca="1">IFERROR(__xludf.DUMMYFUNCTION("""COMPUTED_VALUE"""),184.08)</f>
        <v>184.08</v>
      </c>
      <c r="D605" s="1">
        <f ca="1">IFERROR(__xludf.DUMMYFUNCTION("""COMPUTED_VALUE"""),181.55)</f>
        <v>181.55</v>
      </c>
      <c r="E605" s="1">
        <f ca="1">IFERROR(__xludf.DUMMYFUNCTION("""COMPUTED_VALUE"""),182.02)</f>
        <v>182.02</v>
      </c>
      <c r="F605" s="1">
        <f ca="1">IFERROR(__xludf.DUMMYFUNCTION("""COMPUTED_VALUE"""),32009294)</f>
        <v>32009294</v>
      </c>
    </row>
    <row r="606" spans="1:6" ht="12.6">
      <c r="A606" s="2">
        <f ca="1">IFERROR(__xludf.DUMMYFUNCTION("""COMPUTED_VALUE"""),45442.6666666666)</f>
        <v>45442.666666666599</v>
      </c>
      <c r="B606" s="1">
        <f ca="1">IFERROR(__xludf.DUMMYFUNCTION("""COMPUTED_VALUE"""),181.31)</f>
        <v>181.31</v>
      </c>
      <c r="C606" s="1">
        <f ca="1">IFERROR(__xludf.DUMMYFUNCTION("""COMPUTED_VALUE"""),181.34)</f>
        <v>181.34</v>
      </c>
      <c r="D606" s="1">
        <f ca="1">IFERROR(__xludf.DUMMYFUNCTION("""COMPUTED_VALUE"""),178.36)</f>
        <v>178.36</v>
      </c>
      <c r="E606" s="1">
        <f ca="1">IFERROR(__xludf.DUMMYFUNCTION("""COMPUTED_VALUE"""),179.32)</f>
        <v>179.32</v>
      </c>
      <c r="F606" s="1">
        <f ca="1">IFERROR(__xludf.DUMMYFUNCTION("""COMPUTED_VALUE"""),29249229)</f>
        <v>29249229</v>
      </c>
    </row>
    <row r="607" spans="1:6" ht="12.6">
      <c r="A607" s="2">
        <f ca="1">IFERROR(__xludf.DUMMYFUNCTION("""COMPUTED_VALUE"""),45443.6666666666)</f>
        <v>45443.666666666599</v>
      </c>
      <c r="B607" s="1">
        <f ca="1">IFERROR(__xludf.DUMMYFUNCTION("""COMPUTED_VALUE"""),178.3)</f>
        <v>178.3</v>
      </c>
      <c r="C607" s="1">
        <f ca="1">IFERROR(__xludf.DUMMYFUNCTION("""COMPUTED_VALUE"""),179.21)</f>
        <v>179.21</v>
      </c>
      <c r="D607" s="1">
        <f ca="1">IFERROR(__xludf.DUMMYFUNCTION("""COMPUTED_VALUE"""),173.87)</f>
        <v>173.87</v>
      </c>
      <c r="E607" s="1">
        <f ca="1">IFERROR(__xludf.DUMMYFUNCTION("""COMPUTED_VALUE"""),176.44)</f>
        <v>176.44</v>
      </c>
      <c r="F607" s="1">
        <f ca="1">IFERROR(__xludf.DUMMYFUNCTION("""COMPUTED_VALUE"""),58903939)</f>
        <v>58903939</v>
      </c>
    </row>
    <row r="608" spans="1:6" ht="12.6">
      <c r="A608" s="2">
        <f ca="1">IFERROR(__xludf.DUMMYFUNCTION("""COMPUTED_VALUE"""),45446.6666666666)</f>
        <v>45446.666666666599</v>
      </c>
      <c r="B608" s="1">
        <f ca="1">IFERROR(__xludf.DUMMYFUNCTION("""COMPUTED_VALUE"""),177.7)</f>
        <v>177.7</v>
      </c>
      <c r="C608" s="1">
        <f ca="1">IFERROR(__xludf.DUMMYFUNCTION("""COMPUTED_VALUE"""),178.7)</f>
        <v>178.7</v>
      </c>
      <c r="D608" s="1">
        <f ca="1">IFERROR(__xludf.DUMMYFUNCTION("""COMPUTED_VALUE"""),175.92)</f>
        <v>175.92</v>
      </c>
      <c r="E608" s="1">
        <f ca="1">IFERROR(__xludf.DUMMYFUNCTION("""COMPUTED_VALUE"""),178.34)</f>
        <v>178.34</v>
      </c>
      <c r="F608" s="1">
        <f ca="1">IFERROR(__xludf.DUMMYFUNCTION("""COMPUTED_VALUE"""),30786640)</f>
        <v>30786640</v>
      </c>
    </row>
    <row r="609" spans="1:6" ht="12.6">
      <c r="A609" s="2">
        <f ca="1">IFERROR(__xludf.DUMMYFUNCTION("""COMPUTED_VALUE"""),45447.6666666666)</f>
        <v>45447.666666666599</v>
      </c>
      <c r="B609" s="1">
        <f ca="1">IFERROR(__xludf.DUMMYFUNCTION("""COMPUTED_VALUE"""),177.64)</f>
        <v>177.64</v>
      </c>
      <c r="C609" s="1">
        <f ca="1">IFERROR(__xludf.DUMMYFUNCTION("""COMPUTED_VALUE"""),179.82)</f>
        <v>179.82</v>
      </c>
      <c r="D609" s="1">
        <f ca="1">IFERROR(__xludf.DUMMYFUNCTION("""COMPUTED_VALUE"""),176.44)</f>
        <v>176.44</v>
      </c>
      <c r="E609" s="1">
        <f ca="1">IFERROR(__xludf.DUMMYFUNCTION("""COMPUTED_VALUE"""),179.34)</f>
        <v>179.34</v>
      </c>
      <c r="F609" s="1">
        <f ca="1">IFERROR(__xludf.DUMMYFUNCTION("""COMPUTED_VALUE"""),27198388)</f>
        <v>27198388</v>
      </c>
    </row>
    <row r="610" spans="1:6" ht="12.6">
      <c r="A610" s="2">
        <f ca="1">IFERROR(__xludf.DUMMYFUNCTION("""COMPUTED_VALUE"""),45448.6666666666)</f>
        <v>45448.666666666599</v>
      </c>
      <c r="B610" s="1">
        <f ca="1">IFERROR(__xludf.DUMMYFUNCTION("""COMPUTED_VALUE"""),180.1)</f>
        <v>180.1</v>
      </c>
      <c r="C610" s="1">
        <f ca="1">IFERROR(__xludf.DUMMYFUNCTION("""COMPUTED_VALUE"""),181.5)</f>
        <v>181.5</v>
      </c>
      <c r="D610" s="1">
        <f ca="1">IFERROR(__xludf.DUMMYFUNCTION("""COMPUTED_VALUE"""),178.75)</f>
        <v>178.75</v>
      </c>
      <c r="E610" s="1">
        <f ca="1">IFERROR(__xludf.DUMMYFUNCTION("""COMPUTED_VALUE"""),181.28)</f>
        <v>181.28</v>
      </c>
      <c r="F610" s="1">
        <f ca="1">IFERROR(__xludf.DUMMYFUNCTION("""COMPUTED_VALUE"""),32116394)</f>
        <v>32116394</v>
      </c>
    </row>
    <row r="611" spans="1:6" ht="12.6">
      <c r="A611" s="2">
        <f ca="1">IFERROR(__xludf.DUMMYFUNCTION("""COMPUTED_VALUE"""),45449.6666666666)</f>
        <v>45449.666666666599</v>
      </c>
      <c r="B611" s="1">
        <f ca="1">IFERROR(__xludf.DUMMYFUNCTION("""COMPUTED_VALUE"""),181.75)</f>
        <v>181.75</v>
      </c>
      <c r="C611" s="1">
        <f ca="1">IFERROR(__xludf.DUMMYFUNCTION("""COMPUTED_VALUE"""),185)</f>
        <v>185</v>
      </c>
      <c r="D611" s="1">
        <f ca="1">IFERROR(__xludf.DUMMYFUNCTION("""COMPUTED_VALUE"""),181.49)</f>
        <v>181.49</v>
      </c>
      <c r="E611" s="1">
        <f ca="1">IFERROR(__xludf.DUMMYFUNCTION("""COMPUTED_VALUE"""),185)</f>
        <v>185</v>
      </c>
      <c r="F611" s="1">
        <f ca="1">IFERROR(__xludf.DUMMYFUNCTION("""COMPUTED_VALUE"""),31371151)</f>
        <v>31371151</v>
      </c>
    </row>
    <row r="612" spans="1:6" ht="12.6">
      <c r="A612" s="2">
        <f ca="1">IFERROR(__xludf.DUMMYFUNCTION("""COMPUTED_VALUE"""),45450.6666666666)</f>
        <v>45450.666666666599</v>
      </c>
      <c r="B612" s="1">
        <f ca="1">IFERROR(__xludf.DUMMYFUNCTION("""COMPUTED_VALUE"""),184.9)</f>
        <v>184.9</v>
      </c>
      <c r="C612" s="1">
        <f ca="1">IFERROR(__xludf.DUMMYFUNCTION("""COMPUTED_VALUE"""),186.29)</f>
        <v>186.29</v>
      </c>
      <c r="D612" s="1">
        <f ca="1">IFERROR(__xludf.DUMMYFUNCTION("""COMPUTED_VALUE"""),183.36)</f>
        <v>183.36</v>
      </c>
      <c r="E612" s="1">
        <f ca="1">IFERROR(__xludf.DUMMYFUNCTION("""COMPUTED_VALUE"""),184.3)</f>
        <v>184.3</v>
      </c>
      <c r="F612" s="1">
        <f ca="1">IFERROR(__xludf.DUMMYFUNCTION("""COMPUTED_VALUE"""),28021473)</f>
        <v>28021473</v>
      </c>
    </row>
    <row r="613" spans="1:6" ht="12.6">
      <c r="A613" s="2">
        <f ca="1">IFERROR(__xludf.DUMMYFUNCTION("""COMPUTED_VALUE"""),45453.6666666666)</f>
        <v>45453.666666666599</v>
      </c>
      <c r="B613" s="1">
        <f ca="1">IFERROR(__xludf.DUMMYFUNCTION("""COMPUTED_VALUE"""),184.07)</f>
        <v>184.07</v>
      </c>
      <c r="C613" s="1">
        <f ca="1">IFERROR(__xludf.DUMMYFUNCTION("""COMPUTED_VALUE"""),187.23)</f>
        <v>187.23</v>
      </c>
      <c r="D613" s="1">
        <f ca="1">IFERROR(__xludf.DUMMYFUNCTION("""COMPUTED_VALUE"""),183.79)</f>
        <v>183.79</v>
      </c>
      <c r="E613" s="1">
        <f ca="1">IFERROR(__xludf.DUMMYFUNCTION("""COMPUTED_VALUE"""),187.06)</f>
        <v>187.06</v>
      </c>
      <c r="F613" s="1">
        <f ca="1">IFERROR(__xludf.DUMMYFUNCTION("""COMPUTED_VALUE"""),34494498)</f>
        <v>34494498</v>
      </c>
    </row>
    <row r="614" spans="1:6" ht="12.6">
      <c r="A614" s="2">
        <f ca="1">IFERROR(__xludf.DUMMYFUNCTION("""COMPUTED_VALUE"""),45454.6666666666)</f>
        <v>45454.666666666599</v>
      </c>
      <c r="B614" s="1">
        <f ca="1">IFERROR(__xludf.DUMMYFUNCTION("""COMPUTED_VALUE"""),187.06)</f>
        <v>187.06</v>
      </c>
      <c r="C614" s="1">
        <f ca="1">IFERROR(__xludf.DUMMYFUNCTION("""COMPUTED_VALUE"""),187.77)</f>
        <v>187.77</v>
      </c>
      <c r="D614" s="1">
        <f ca="1">IFERROR(__xludf.DUMMYFUNCTION("""COMPUTED_VALUE"""),184.54)</f>
        <v>184.54</v>
      </c>
      <c r="E614" s="1">
        <f ca="1">IFERROR(__xludf.DUMMYFUNCTION("""COMPUTED_VALUE"""),187.23)</f>
        <v>187.23</v>
      </c>
      <c r="F614" s="1">
        <f ca="1">IFERROR(__xludf.DUMMYFUNCTION("""COMPUTED_VALUE"""),27265108)</f>
        <v>27265108</v>
      </c>
    </row>
    <row r="615" spans="1:6" ht="12.6">
      <c r="A615" s="2">
        <f ca="1">IFERROR(__xludf.DUMMYFUNCTION("""COMPUTED_VALUE"""),45455.6666666666)</f>
        <v>45455.666666666599</v>
      </c>
      <c r="B615" s="1">
        <f ca="1">IFERROR(__xludf.DUMMYFUNCTION("""COMPUTED_VALUE"""),188.02)</f>
        <v>188.02</v>
      </c>
      <c r="C615" s="1">
        <f ca="1">IFERROR(__xludf.DUMMYFUNCTION("""COMPUTED_VALUE"""),188.35)</f>
        <v>188.35</v>
      </c>
      <c r="D615" s="1">
        <f ca="1">IFERROR(__xludf.DUMMYFUNCTION("""COMPUTED_VALUE"""),185.43)</f>
        <v>185.43</v>
      </c>
      <c r="E615" s="1">
        <f ca="1">IFERROR(__xludf.DUMMYFUNCTION("""COMPUTED_VALUE"""),186.89)</f>
        <v>186.89</v>
      </c>
      <c r="F615" s="1">
        <f ca="1">IFERROR(__xludf.DUMMYFUNCTION("""COMPUTED_VALUE"""),33984216)</f>
        <v>33984216</v>
      </c>
    </row>
    <row r="616" spans="1:6" ht="12.6">
      <c r="A616" s="2">
        <f ca="1">IFERROR(__xludf.DUMMYFUNCTION("""COMPUTED_VALUE"""),45456.6666666666)</f>
        <v>45456.666666666599</v>
      </c>
      <c r="B616" s="1">
        <f ca="1">IFERROR(__xludf.DUMMYFUNCTION("""COMPUTED_VALUE"""),186.09)</f>
        <v>186.09</v>
      </c>
      <c r="C616" s="1">
        <f ca="1">IFERROR(__xludf.DUMMYFUNCTION("""COMPUTED_VALUE"""),187.67)</f>
        <v>187.67</v>
      </c>
      <c r="D616" s="1">
        <f ca="1">IFERROR(__xludf.DUMMYFUNCTION("""COMPUTED_VALUE"""),182.67)</f>
        <v>182.67</v>
      </c>
      <c r="E616" s="1">
        <f ca="1">IFERROR(__xludf.DUMMYFUNCTION("""COMPUTED_VALUE"""),183.83)</f>
        <v>183.83</v>
      </c>
      <c r="F616" s="1">
        <f ca="1">IFERROR(__xludf.DUMMYFUNCTION("""COMPUTED_VALUE"""),39721545)</f>
        <v>39721545</v>
      </c>
    </row>
    <row r="617" spans="1:6" ht="12.6">
      <c r="A617" s="2">
        <f ca="1">IFERROR(__xludf.DUMMYFUNCTION("""COMPUTED_VALUE"""),45457.6666666666)</f>
        <v>45457.666666666599</v>
      </c>
      <c r="B617" s="1">
        <f ca="1">IFERROR(__xludf.DUMMYFUNCTION("""COMPUTED_VALUE"""),183.08)</f>
        <v>183.08</v>
      </c>
      <c r="C617" s="1">
        <f ca="1">IFERROR(__xludf.DUMMYFUNCTION("""COMPUTED_VALUE"""),183.72)</f>
        <v>183.72</v>
      </c>
      <c r="D617" s="1">
        <f ca="1">IFERROR(__xludf.DUMMYFUNCTION("""COMPUTED_VALUE"""),182.23)</f>
        <v>182.23</v>
      </c>
      <c r="E617" s="1">
        <f ca="1">IFERROR(__xludf.DUMMYFUNCTION("""COMPUTED_VALUE"""),183.66)</f>
        <v>183.66</v>
      </c>
      <c r="F617" s="1">
        <f ca="1">IFERROR(__xludf.DUMMYFUNCTION("""COMPUTED_VALUE"""),25456410)</f>
        <v>25456410</v>
      </c>
    </row>
    <row r="618" spans="1:6" ht="12.6">
      <c r="A618" s="2">
        <f ca="1">IFERROR(__xludf.DUMMYFUNCTION("""COMPUTED_VALUE"""),45460.6666666666)</f>
        <v>45460.666666666599</v>
      </c>
      <c r="B618" s="1">
        <f ca="1">IFERROR(__xludf.DUMMYFUNCTION("""COMPUTED_VALUE"""),182.52)</f>
        <v>182.52</v>
      </c>
      <c r="C618" s="1">
        <f ca="1">IFERROR(__xludf.DUMMYFUNCTION("""COMPUTED_VALUE"""),185)</f>
        <v>185</v>
      </c>
      <c r="D618" s="1">
        <f ca="1">IFERROR(__xludf.DUMMYFUNCTION("""COMPUTED_VALUE"""),181.22)</f>
        <v>181.22</v>
      </c>
      <c r="E618" s="1">
        <f ca="1">IFERROR(__xludf.DUMMYFUNCTION("""COMPUTED_VALUE"""),184.06)</f>
        <v>184.06</v>
      </c>
      <c r="F618" s="1">
        <f ca="1">IFERROR(__xludf.DUMMYFUNCTION("""COMPUTED_VALUE"""),35601907)</f>
        <v>35601907</v>
      </c>
    </row>
    <row r="619" spans="1:6" ht="12.6">
      <c r="A619" s="2">
        <f ca="1">IFERROR(__xludf.DUMMYFUNCTION("""COMPUTED_VALUE"""),45461.6666666666)</f>
        <v>45461.666666666599</v>
      </c>
      <c r="B619" s="1">
        <f ca="1">IFERROR(__xludf.DUMMYFUNCTION("""COMPUTED_VALUE"""),183.74)</f>
        <v>183.74</v>
      </c>
      <c r="C619" s="1">
        <f ca="1">IFERROR(__xludf.DUMMYFUNCTION("""COMPUTED_VALUE"""),184.29)</f>
        <v>184.29</v>
      </c>
      <c r="D619" s="1">
        <f ca="1">IFERROR(__xludf.DUMMYFUNCTION("""COMPUTED_VALUE"""),181.43)</f>
        <v>181.43</v>
      </c>
      <c r="E619" s="1">
        <f ca="1">IFERROR(__xludf.DUMMYFUNCTION("""COMPUTED_VALUE"""),182.81)</f>
        <v>182.81</v>
      </c>
      <c r="F619" s="1">
        <f ca="1">IFERROR(__xludf.DUMMYFUNCTION("""COMPUTED_VALUE"""),36659157)</f>
        <v>36659157</v>
      </c>
    </row>
    <row r="620" spans="1:6" ht="12.6">
      <c r="A620" s="2">
        <f ca="1">IFERROR(__xludf.DUMMYFUNCTION("""COMPUTED_VALUE"""),45463.6666666666)</f>
        <v>45463.666666666599</v>
      </c>
      <c r="B620" s="1">
        <f ca="1">IFERROR(__xludf.DUMMYFUNCTION("""COMPUTED_VALUE"""),182.91)</f>
        <v>182.91</v>
      </c>
      <c r="C620" s="1">
        <f ca="1">IFERROR(__xludf.DUMMYFUNCTION("""COMPUTED_VALUE"""),186.51)</f>
        <v>186.51</v>
      </c>
      <c r="D620" s="1">
        <f ca="1">IFERROR(__xludf.DUMMYFUNCTION("""COMPUTED_VALUE"""),182.72)</f>
        <v>182.72</v>
      </c>
      <c r="E620" s="1">
        <f ca="1">IFERROR(__xludf.DUMMYFUNCTION("""COMPUTED_VALUE"""),186.1)</f>
        <v>186.1</v>
      </c>
      <c r="F620" s="1">
        <f ca="1">IFERROR(__xludf.DUMMYFUNCTION("""COMPUTED_VALUE"""),44726779)</f>
        <v>44726779</v>
      </c>
    </row>
    <row r="621" spans="1:6" ht="12.6">
      <c r="A621" s="2">
        <f ca="1">IFERROR(__xludf.DUMMYFUNCTION("""COMPUTED_VALUE"""),45464.6666666666)</f>
        <v>45464.666666666599</v>
      </c>
      <c r="B621" s="1">
        <f ca="1">IFERROR(__xludf.DUMMYFUNCTION("""COMPUTED_VALUE"""),187.8)</f>
        <v>187.8</v>
      </c>
      <c r="C621" s="1">
        <f ca="1">IFERROR(__xludf.DUMMYFUNCTION("""COMPUTED_VALUE"""),189.28)</f>
        <v>189.28</v>
      </c>
      <c r="D621" s="1">
        <f ca="1">IFERROR(__xludf.DUMMYFUNCTION("""COMPUTED_VALUE"""),185.86)</f>
        <v>185.86</v>
      </c>
      <c r="E621" s="1">
        <f ca="1">IFERROR(__xludf.DUMMYFUNCTION("""COMPUTED_VALUE"""),189.08)</f>
        <v>189.08</v>
      </c>
      <c r="F621" s="1">
        <f ca="1">IFERROR(__xludf.DUMMYFUNCTION("""COMPUTED_VALUE"""),72931754)</f>
        <v>72931754</v>
      </c>
    </row>
    <row r="622" spans="1:6" ht="12.6">
      <c r="A622" s="2">
        <f ca="1">IFERROR(__xludf.DUMMYFUNCTION("""COMPUTED_VALUE"""),45467.6666666666)</f>
        <v>45467.666666666599</v>
      </c>
      <c r="B622" s="1">
        <f ca="1">IFERROR(__xludf.DUMMYFUNCTION("""COMPUTED_VALUE"""),189.33)</f>
        <v>189.33</v>
      </c>
      <c r="C622" s="1">
        <f ca="1">IFERROR(__xludf.DUMMYFUNCTION("""COMPUTED_VALUE"""),191)</f>
        <v>191</v>
      </c>
      <c r="D622" s="1">
        <f ca="1">IFERROR(__xludf.DUMMYFUNCTION("""COMPUTED_VALUE"""),185.33)</f>
        <v>185.33</v>
      </c>
      <c r="E622" s="1">
        <f ca="1">IFERROR(__xludf.DUMMYFUNCTION("""COMPUTED_VALUE"""),185.57)</f>
        <v>185.57</v>
      </c>
      <c r="F622" s="1">
        <f ca="1">IFERROR(__xludf.DUMMYFUNCTION("""COMPUTED_VALUE"""),50610379)</f>
        <v>50610379</v>
      </c>
    </row>
    <row r="623" spans="1:6" ht="12.6">
      <c r="A623" s="2">
        <f ca="1">IFERROR(__xludf.DUMMYFUNCTION("""COMPUTED_VALUE"""),45468.6666666666)</f>
        <v>45468.666666666599</v>
      </c>
      <c r="B623" s="1">
        <f ca="1">IFERROR(__xludf.DUMMYFUNCTION("""COMPUTED_VALUE"""),186.81)</f>
        <v>186.81</v>
      </c>
      <c r="C623" s="1">
        <f ca="1">IFERROR(__xludf.DUMMYFUNCTION("""COMPUTED_VALUE"""),188.84)</f>
        <v>188.84</v>
      </c>
      <c r="D623" s="1">
        <f ca="1">IFERROR(__xludf.DUMMYFUNCTION("""COMPUTED_VALUE"""),185.42)</f>
        <v>185.42</v>
      </c>
      <c r="E623" s="1">
        <f ca="1">IFERROR(__xludf.DUMMYFUNCTION("""COMPUTED_VALUE"""),186.34)</f>
        <v>186.34</v>
      </c>
      <c r="F623" s="1">
        <f ca="1">IFERROR(__xludf.DUMMYFUNCTION("""COMPUTED_VALUE"""),45898475)</f>
        <v>45898475</v>
      </c>
    </row>
    <row r="624" spans="1:6" ht="12.6">
      <c r="A624" s="2">
        <f ca="1">IFERROR(__xludf.DUMMYFUNCTION("""COMPUTED_VALUE"""),45469.6666666666)</f>
        <v>45469.666666666599</v>
      </c>
      <c r="B624" s="1">
        <f ca="1">IFERROR(__xludf.DUMMYFUNCTION("""COMPUTED_VALUE"""),186.92)</f>
        <v>186.92</v>
      </c>
      <c r="C624" s="1">
        <f ca="1">IFERROR(__xludf.DUMMYFUNCTION("""COMPUTED_VALUE"""),194.8)</f>
        <v>194.8</v>
      </c>
      <c r="D624" s="1">
        <f ca="1">IFERROR(__xludf.DUMMYFUNCTION("""COMPUTED_VALUE"""),186.26)</f>
        <v>186.26</v>
      </c>
      <c r="E624" s="1">
        <f ca="1">IFERROR(__xludf.DUMMYFUNCTION("""COMPUTED_VALUE"""),193.61)</f>
        <v>193.61</v>
      </c>
      <c r="F624" s="1">
        <f ca="1">IFERROR(__xludf.DUMMYFUNCTION("""COMPUTED_VALUE"""),65103893)</f>
        <v>65103893</v>
      </c>
    </row>
    <row r="625" spans="1:6" ht="12.6">
      <c r="A625" s="2">
        <f ca="1">IFERROR(__xludf.DUMMYFUNCTION("""COMPUTED_VALUE"""),45470.6666666666)</f>
        <v>45470.666666666599</v>
      </c>
      <c r="B625" s="1">
        <f ca="1">IFERROR(__xludf.DUMMYFUNCTION("""COMPUTED_VALUE"""),195.01)</f>
        <v>195.01</v>
      </c>
      <c r="C625" s="1">
        <f ca="1">IFERROR(__xludf.DUMMYFUNCTION("""COMPUTED_VALUE"""),199.84)</f>
        <v>199.84</v>
      </c>
      <c r="D625" s="1">
        <f ca="1">IFERROR(__xludf.DUMMYFUNCTION("""COMPUTED_VALUE"""),194.2)</f>
        <v>194.2</v>
      </c>
      <c r="E625" s="1">
        <f ca="1">IFERROR(__xludf.DUMMYFUNCTION("""COMPUTED_VALUE"""),197.85)</f>
        <v>197.85</v>
      </c>
      <c r="F625" s="1">
        <f ca="1">IFERROR(__xludf.DUMMYFUNCTION("""COMPUTED_VALUE"""),74397491)</f>
        <v>74397491</v>
      </c>
    </row>
    <row r="626" spans="1:6" ht="12.6">
      <c r="A626" s="2">
        <f ca="1">IFERROR(__xludf.DUMMYFUNCTION("""COMPUTED_VALUE"""),45471.6666666666)</f>
        <v>45471.666666666599</v>
      </c>
      <c r="B626" s="1">
        <f ca="1">IFERROR(__xludf.DUMMYFUNCTION("""COMPUTED_VALUE"""),197.73)</f>
        <v>197.73</v>
      </c>
      <c r="C626" s="1">
        <f ca="1">IFERROR(__xludf.DUMMYFUNCTION("""COMPUTED_VALUE"""),198.85)</f>
        <v>198.85</v>
      </c>
      <c r="D626" s="1">
        <f ca="1">IFERROR(__xludf.DUMMYFUNCTION("""COMPUTED_VALUE"""),192.5)</f>
        <v>192.5</v>
      </c>
      <c r="E626" s="1">
        <f ca="1">IFERROR(__xludf.DUMMYFUNCTION("""COMPUTED_VALUE"""),193.25)</f>
        <v>193.25</v>
      </c>
      <c r="F626" s="1">
        <f ca="1">IFERROR(__xludf.DUMMYFUNCTION("""COMPUTED_VALUE"""),76930192)</f>
        <v>76930192</v>
      </c>
    </row>
    <row r="627" spans="1:6" ht="12.6">
      <c r="A627" s="2">
        <f ca="1">IFERROR(__xludf.DUMMYFUNCTION("""COMPUTED_VALUE"""),45474.6666666666)</f>
        <v>45474.666666666599</v>
      </c>
      <c r="B627" s="1">
        <f ca="1">IFERROR(__xludf.DUMMYFUNCTION("""COMPUTED_VALUE"""),193.49)</f>
        <v>193.49</v>
      </c>
      <c r="C627" s="1">
        <f ca="1">IFERROR(__xludf.DUMMYFUNCTION("""COMPUTED_VALUE"""),198.3)</f>
        <v>198.3</v>
      </c>
      <c r="D627" s="1">
        <f ca="1">IFERROR(__xludf.DUMMYFUNCTION("""COMPUTED_VALUE"""),192.82)</f>
        <v>192.82</v>
      </c>
      <c r="E627" s="1">
        <f ca="1">IFERROR(__xludf.DUMMYFUNCTION("""COMPUTED_VALUE"""),197.2)</f>
        <v>197.2</v>
      </c>
      <c r="F627" s="1">
        <f ca="1">IFERROR(__xludf.DUMMYFUNCTION("""COMPUTED_VALUE"""),41192011)</f>
        <v>41192011</v>
      </c>
    </row>
    <row r="628" spans="1:6" ht="12.6">
      <c r="A628" s="2">
        <f ca="1">IFERROR(__xludf.DUMMYFUNCTION("""COMPUTED_VALUE"""),45475.6666666666)</f>
        <v>45475.666666666599</v>
      </c>
      <c r="B628" s="1">
        <f ca="1">IFERROR(__xludf.DUMMYFUNCTION("""COMPUTED_VALUE"""),197.28)</f>
        <v>197.28</v>
      </c>
      <c r="C628" s="1">
        <f ca="1">IFERROR(__xludf.DUMMYFUNCTION("""COMPUTED_VALUE"""),200.43)</f>
        <v>200.43</v>
      </c>
      <c r="D628" s="1">
        <f ca="1">IFERROR(__xludf.DUMMYFUNCTION("""COMPUTED_VALUE"""),195.93)</f>
        <v>195.93</v>
      </c>
      <c r="E628" s="1">
        <f ca="1">IFERROR(__xludf.DUMMYFUNCTION("""COMPUTED_VALUE"""),200)</f>
        <v>200</v>
      </c>
      <c r="F628" s="1">
        <f ca="1">IFERROR(__xludf.DUMMYFUNCTION("""COMPUTED_VALUE"""),45600013)</f>
        <v>45600013</v>
      </c>
    </row>
    <row r="629" spans="1:6" ht="12.6">
      <c r="A629" s="2">
        <f ca="1">IFERROR(__xludf.DUMMYFUNCTION("""COMPUTED_VALUE"""),45476.5451388888)</f>
        <v>45476.545138888803</v>
      </c>
      <c r="B629" s="1">
        <f ca="1">IFERROR(__xludf.DUMMYFUNCTION("""COMPUTED_VALUE"""),199.94)</f>
        <v>199.94</v>
      </c>
      <c r="C629" s="1">
        <f ca="1">IFERROR(__xludf.DUMMYFUNCTION("""COMPUTED_VALUE"""),200.03)</f>
        <v>200.03</v>
      </c>
      <c r="D629" s="1">
        <f ca="1">IFERROR(__xludf.DUMMYFUNCTION("""COMPUTED_VALUE"""),196.76)</f>
        <v>196.76</v>
      </c>
      <c r="E629" s="1">
        <f ca="1">IFERROR(__xludf.DUMMYFUNCTION("""COMPUTED_VALUE"""),197.59)</f>
        <v>197.59</v>
      </c>
      <c r="F629" s="1">
        <f ca="1">IFERROR(__xludf.DUMMYFUNCTION("""COMPUTED_VALUE"""),31597926)</f>
        <v>31597926</v>
      </c>
    </row>
    <row r="630" spans="1:6" ht="12.6">
      <c r="A630" s="2">
        <f ca="1">IFERROR(__xludf.DUMMYFUNCTION("""COMPUTED_VALUE"""),45478.6666666666)</f>
        <v>45478.666666666599</v>
      </c>
      <c r="B630" s="1">
        <f ca="1">IFERROR(__xludf.DUMMYFUNCTION("""COMPUTED_VALUE"""),198.65)</f>
        <v>198.65</v>
      </c>
      <c r="C630" s="1">
        <f ca="1">IFERROR(__xludf.DUMMYFUNCTION("""COMPUTED_VALUE"""),200.55)</f>
        <v>200.55</v>
      </c>
      <c r="D630" s="1">
        <f ca="1">IFERROR(__xludf.DUMMYFUNCTION("""COMPUTED_VALUE"""),198.17)</f>
        <v>198.17</v>
      </c>
      <c r="E630" s="1">
        <f ca="1">IFERROR(__xludf.DUMMYFUNCTION("""COMPUTED_VALUE"""),200)</f>
        <v>200</v>
      </c>
      <c r="F630" s="1">
        <f ca="1">IFERROR(__xludf.DUMMYFUNCTION("""COMPUTED_VALUE"""),39858885)</f>
        <v>39858885</v>
      </c>
    </row>
    <row r="631" spans="1:6" ht="12.6">
      <c r="A631" s="2">
        <f ca="1">IFERROR(__xludf.DUMMYFUNCTION("""COMPUTED_VALUE"""),45481.6666666666)</f>
        <v>45481.666666666599</v>
      </c>
      <c r="B631" s="1">
        <f ca="1">IFERROR(__xludf.DUMMYFUNCTION("""COMPUTED_VALUE"""),200.04)</f>
        <v>200.04</v>
      </c>
      <c r="C631" s="1">
        <f ca="1">IFERROR(__xludf.DUMMYFUNCTION("""COMPUTED_VALUE"""),201.2)</f>
        <v>201.2</v>
      </c>
      <c r="D631" s="1">
        <f ca="1">IFERROR(__xludf.DUMMYFUNCTION("""COMPUTED_VALUE"""),197.96)</f>
        <v>197.96</v>
      </c>
      <c r="E631" s="1">
        <f ca="1">IFERROR(__xludf.DUMMYFUNCTION("""COMPUTED_VALUE"""),199.29)</f>
        <v>199.29</v>
      </c>
      <c r="F631" s="1">
        <f ca="1">IFERROR(__xludf.DUMMYFUNCTION("""COMPUTED_VALUE"""),34767261)</f>
        <v>34767261</v>
      </c>
    </row>
    <row r="632" spans="1:6" ht="12.6">
      <c r="A632" s="2">
        <f ca="1">IFERROR(__xludf.DUMMYFUNCTION("""COMPUTED_VALUE"""),45482.6666666666)</f>
        <v>45482.666666666599</v>
      </c>
      <c r="B632" s="1">
        <f ca="1">IFERROR(__xludf.DUMMYFUNCTION("""COMPUTED_VALUE"""),199.4)</f>
        <v>199.4</v>
      </c>
      <c r="C632" s="1">
        <f ca="1">IFERROR(__xludf.DUMMYFUNCTION("""COMPUTED_VALUE"""),200.57)</f>
        <v>200.57</v>
      </c>
      <c r="D632" s="1">
        <f ca="1">IFERROR(__xludf.DUMMYFUNCTION("""COMPUTED_VALUE"""),199.05)</f>
        <v>199.05</v>
      </c>
      <c r="E632" s="1">
        <f ca="1">IFERROR(__xludf.DUMMYFUNCTION("""COMPUTED_VALUE"""),199.34)</f>
        <v>199.34</v>
      </c>
      <c r="F632" s="1">
        <f ca="1">IFERROR(__xludf.DUMMYFUNCTION("""COMPUTED_VALUE"""),32756736)</f>
        <v>32756736</v>
      </c>
    </row>
    <row r="633" spans="1:6" ht="12.6">
      <c r="A633" s="2">
        <f ca="1">IFERROR(__xludf.DUMMYFUNCTION("""COMPUTED_VALUE"""),45483.6666666666)</f>
        <v>45483.666666666599</v>
      </c>
      <c r="B633" s="1">
        <f ca="1">IFERROR(__xludf.DUMMYFUNCTION("""COMPUTED_VALUE"""),200)</f>
        <v>200</v>
      </c>
      <c r="C633" s="1">
        <f ca="1">IFERROR(__xludf.DUMMYFUNCTION("""COMPUTED_VALUE"""),200.11)</f>
        <v>200.11</v>
      </c>
      <c r="D633" s="1">
        <f ca="1">IFERROR(__xludf.DUMMYFUNCTION("""COMPUTED_VALUE"""),197.69)</f>
        <v>197.69</v>
      </c>
      <c r="E633" s="1">
        <f ca="1">IFERROR(__xludf.DUMMYFUNCTION("""COMPUTED_VALUE"""),199.79)</f>
        <v>199.79</v>
      </c>
      <c r="F633" s="1">
        <f ca="1">IFERROR(__xludf.DUMMYFUNCTION("""COMPUTED_VALUE"""),32883753)</f>
        <v>32883753</v>
      </c>
    </row>
    <row r="634" spans="1:6" ht="12.6">
      <c r="A634" s="2">
        <f ca="1">IFERROR(__xludf.DUMMYFUNCTION("""COMPUTED_VALUE"""),45484.6666666666)</f>
        <v>45484.666666666599</v>
      </c>
      <c r="B634" s="1">
        <f ca="1">IFERROR(__xludf.DUMMYFUNCTION("""COMPUTED_VALUE"""),200.09)</f>
        <v>200.09</v>
      </c>
      <c r="C634" s="1">
        <f ca="1">IFERROR(__xludf.DUMMYFUNCTION("""COMPUTED_VALUE"""),200.27)</f>
        <v>200.27</v>
      </c>
      <c r="D634" s="1">
        <f ca="1">IFERROR(__xludf.DUMMYFUNCTION("""COMPUTED_VALUE"""),192.86)</f>
        <v>192.86</v>
      </c>
      <c r="E634" s="1">
        <f ca="1">IFERROR(__xludf.DUMMYFUNCTION("""COMPUTED_VALUE"""),195.05)</f>
        <v>195.05</v>
      </c>
      <c r="F634" s="1">
        <f ca="1">IFERROR(__xludf.DUMMYFUNCTION("""COMPUTED_VALUE"""),44565041)</f>
        <v>44565041</v>
      </c>
    </row>
    <row r="635" spans="1:6" ht="12.6">
      <c r="A635" s="2">
        <f ca="1">IFERROR(__xludf.DUMMYFUNCTION("""COMPUTED_VALUE"""),45485.6666666666)</f>
        <v>45485.666666666599</v>
      </c>
      <c r="B635" s="1">
        <f ca="1">IFERROR(__xludf.DUMMYFUNCTION("""COMPUTED_VALUE"""),194.8)</f>
        <v>194.8</v>
      </c>
      <c r="C635" s="1">
        <f ca="1">IFERROR(__xludf.DUMMYFUNCTION("""COMPUTED_VALUE"""),196.47)</f>
        <v>196.47</v>
      </c>
      <c r="D635" s="1">
        <f ca="1">IFERROR(__xludf.DUMMYFUNCTION("""COMPUTED_VALUE"""),193.83)</f>
        <v>193.83</v>
      </c>
      <c r="E635" s="1">
        <f ca="1">IFERROR(__xludf.DUMMYFUNCTION("""COMPUTED_VALUE"""),194.49)</f>
        <v>194.49</v>
      </c>
      <c r="F635" s="1">
        <f ca="1">IFERROR(__xludf.DUMMYFUNCTION("""COMPUTED_VALUE"""),30598525)</f>
        <v>30598525</v>
      </c>
    </row>
    <row r="636" spans="1:6" ht="12.6">
      <c r="A636" s="2">
        <f ca="1">IFERROR(__xludf.DUMMYFUNCTION("""COMPUTED_VALUE"""),45488.6666666666)</f>
        <v>45488.666666666599</v>
      </c>
      <c r="B636" s="1">
        <f ca="1">IFERROR(__xludf.DUMMYFUNCTION("""COMPUTED_VALUE"""),194.56)</f>
        <v>194.56</v>
      </c>
      <c r="C636" s="1">
        <f ca="1">IFERROR(__xludf.DUMMYFUNCTION("""COMPUTED_VALUE"""),196.19)</f>
        <v>196.19</v>
      </c>
      <c r="D636" s="1">
        <f ca="1">IFERROR(__xludf.DUMMYFUNCTION("""COMPUTED_VALUE"""),190.83)</f>
        <v>190.83</v>
      </c>
      <c r="E636" s="1">
        <f ca="1">IFERROR(__xludf.DUMMYFUNCTION("""COMPUTED_VALUE"""),192.72)</f>
        <v>192.72</v>
      </c>
      <c r="F636" s="1">
        <f ca="1">IFERROR(__xludf.DUMMYFUNCTION("""COMPUTED_VALUE"""),40683227)</f>
        <v>40683227</v>
      </c>
    </row>
    <row r="637" spans="1:6" ht="12.6">
      <c r="A637" s="2">
        <f ca="1">IFERROR(__xludf.DUMMYFUNCTION("""COMPUTED_VALUE"""),45489.6666666666)</f>
        <v>45489.666666666599</v>
      </c>
      <c r="B637" s="1">
        <f ca="1">IFERROR(__xludf.DUMMYFUNCTION("""COMPUTED_VALUE"""),195.59)</f>
        <v>195.59</v>
      </c>
      <c r="C637" s="1">
        <f ca="1">IFERROR(__xludf.DUMMYFUNCTION("""COMPUTED_VALUE"""),196.62)</f>
        <v>196.62</v>
      </c>
      <c r="D637" s="1">
        <f ca="1">IFERROR(__xludf.DUMMYFUNCTION("""COMPUTED_VALUE"""),192.24)</f>
        <v>192.24</v>
      </c>
      <c r="E637" s="1">
        <f ca="1">IFERROR(__xludf.DUMMYFUNCTION("""COMPUTED_VALUE"""),193.02)</f>
        <v>193.02</v>
      </c>
      <c r="F637" s="1">
        <f ca="1">IFERROR(__xludf.DUMMYFUNCTION("""COMPUTED_VALUE"""),33994714)</f>
        <v>33994714</v>
      </c>
    </row>
    <row r="638" spans="1:6" ht="12.6">
      <c r="A638" s="2">
        <f ca="1">IFERROR(__xludf.DUMMYFUNCTION("""COMPUTED_VALUE"""),45490.6666666666)</f>
        <v>45490.666666666599</v>
      </c>
      <c r="B638" s="1">
        <f ca="1">IFERROR(__xludf.DUMMYFUNCTION("""COMPUTED_VALUE"""),191.35)</f>
        <v>191.35</v>
      </c>
      <c r="C638" s="1">
        <f ca="1">IFERROR(__xludf.DUMMYFUNCTION("""COMPUTED_VALUE"""),191.58)</f>
        <v>191.58</v>
      </c>
      <c r="D638" s="1">
        <f ca="1">IFERROR(__xludf.DUMMYFUNCTION("""COMPUTED_VALUE"""),185.99)</f>
        <v>185.99</v>
      </c>
      <c r="E638" s="1">
        <f ca="1">IFERROR(__xludf.DUMMYFUNCTION("""COMPUTED_VALUE"""),187.93)</f>
        <v>187.93</v>
      </c>
      <c r="F638" s="1">
        <f ca="1">IFERROR(__xludf.DUMMYFUNCTION("""COMPUTED_VALUE"""),48076139)</f>
        <v>48076139</v>
      </c>
    </row>
    <row r="639" spans="1:6" ht="12.6">
      <c r="A639" s="2">
        <f ca="1">IFERROR(__xludf.DUMMYFUNCTION("""COMPUTED_VALUE"""),45491.6666666666)</f>
        <v>45491.666666666599</v>
      </c>
      <c r="B639" s="1">
        <f ca="1">IFERROR(__xludf.DUMMYFUNCTION("""COMPUTED_VALUE"""),189.59)</f>
        <v>189.59</v>
      </c>
      <c r="C639" s="1">
        <f ca="1">IFERROR(__xludf.DUMMYFUNCTION("""COMPUTED_VALUE"""),189.68)</f>
        <v>189.68</v>
      </c>
      <c r="D639" s="1">
        <f ca="1">IFERROR(__xludf.DUMMYFUNCTION("""COMPUTED_VALUE"""),181.45)</f>
        <v>181.45</v>
      </c>
      <c r="E639" s="1">
        <f ca="1">IFERROR(__xludf.DUMMYFUNCTION("""COMPUTED_VALUE"""),183.75)</f>
        <v>183.75</v>
      </c>
      <c r="F639" s="1">
        <f ca="1">IFERROR(__xludf.DUMMYFUNCTION("""COMPUTED_VALUE"""),51043626)</f>
        <v>51043626</v>
      </c>
    </row>
    <row r="640" spans="1:6" ht="12.6">
      <c r="A640" s="2">
        <f ca="1">IFERROR(__xludf.DUMMYFUNCTION("""COMPUTED_VALUE"""),45492.6666666666)</f>
        <v>45492.666666666599</v>
      </c>
      <c r="B640" s="1">
        <f ca="1">IFERROR(__xludf.DUMMYFUNCTION("""COMPUTED_VALUE"""),181.14)</f>
        <v>181.14</v>
      </c>
      <c r="C640" s="1">
        <f ca="1">IFERROR(__xludf.DUMMYFUNCTION("""COMPUTED_VALUE"""),184.93)</f>
        <v>184.93</v>
      </c>
      <c r="D640" s="1">
        <f ca="1">IFERROR(__xludf.DUMMYFUNCTION("""COMPUTED_VALUE"""),180.11)</f>
        <v>180.11</v>
      </c>
      <c r="E640" s="1">
        <f ca="1">IFERROR(__xludf.DUMMYFUNCTION("""COMPUTED_VALUE"""),183.13)</f>
        <v>183.13</v>
      </c>
      <c r="F640" s="1">
        <f ca="1">IFERROR(__xludf.DUMMYFUNCTION("""COMPUTED_VALUE"""),43081829)</f>
        <v>43081829</v>
      </c>
    </row>
    <row r="641" spans="1:6" ht="12.6">
      <c r="A641" s="2">
        <f ca="1">IFERROR(__xludf.DUMMYFUNCTION("""COMPUTED_VALUE"""),45495.6666666666)</f>
        <v>45495.666666666599</v>
      </c>
      <c r="B641" s="1">
        <f ca="1">IFERROR(__xludf.DUMMYFUNCTION("""COMPUTED_VALUE"""),185)</f>
        <v>185</v>
      </c>
      <c r="C641" s="1">
        <f ca="1">IFERROR(__xludf.DUMMYFUNCTION("""COMPUTED_VALUE"""),185.06)</f>
        <v>185.06</v>
      </c>
      <c r="D641" s="1">
        <f ca="1">IFERROR(__xludf.DUMMYFUNCTION("""COMPUTED_VALUE"""),182.48)</f>
        <v>182.48</v>
      </c>
      <c r="E641" s="1">
        <f ca="1">IFERROR(__xludf.DUMMYFUNCTION("""COMPUTED_VALUE"""),182.55)</f>
        <v>182.55</v>
      </c>
      <c r="F641" s="1">
        <f ca="1">IFERROR(__xludf.DUMMYFUNCTION("""COMPUTED_VALUE"""),39931923)</f>
        <v>39931923</v>
      </c>
    </row>
    <row r="642" spans="1:6" ht="12.6">
      <c r="A642" s="2">
        <f ca="1">IFERROR(__xludf.DUMMYFUNCTION("""COMPUTED_VALUE"""),45496.6666666666)</f>
        <v>45496.666666666599</v>
      </c>
      <c r="B642" s="1">
        <f ca="1">IFERROR(__xludf.DUMMYFUNCTION("""COMPUTED_VALUE"""),184.1)</f>
        <v>184.1</v>
      </c>
      <c r="C642" s="1">
        <f ca="1">IFERROR(__xludf.DUMMYFUNCTION("""COMPUTED_VALUE"""),189.39)</f>
        <v>189.39</v>
      </c>
      <c r="D642" s="1">
        <f ca="1">IFERROR(__xludf.DUMMYFUNCTION("""COMPUTED_VALUE"""),183.56)</f>
        <v>183.56</v>
      </c>
      <c r="E642" s="1">
        <f ca="1">IFERROR(__xludf.DUMMYFUNCTION("""COMPUTED_VALUE"""),186.41)</f>
        <v>186.41</v>
      </c>
      <c r="F642" s="1">
        <f ca="1">IFERROR(__xludf.DUMMYFUNCTION("""COMPUTED_VALUE"""),47537670)</f>
        <v>47537670</v>
      </c>
    </row>
    <row r="643" spans="1:6" ht="12.6">
      <c r="A643" s="2">
        <f ca="1">IFERROR(__xludf.DUMMYFUNCTION("""COMPUTED_VALUE"""),45497.6666666666)</f>
        <v>45497.666666666599</v>
      </c>
      <c r="B643" s="1">
        <f ca="1">IFERROR(__xludf.DUMMYFUNCTION("""COMPUTED_VALUE"""),183.2)</f>
        <v>183.2</v>
      </c>
      <c r="C643" s="1">
        <f ca="1">IFERROR(__xludf.DUMMYFUNCTION("""COMPUTED_VALUE"""),185.45)</f>
        <v>185.45</v>
      </c>
      <c r="D643" s="1">
        <f ca="1">IFERROR(__xludf.DUMMYFUNCTION("""COMPUTED_VALUE"""),180.41)</f>
        <v>180.41</v>
      </c>
      <c r="E643" s="1">
        <f ca="1">IFERROR(__xludf.DUMMYFUNCTION("""COMPUTED_VALUE"""),180.83)</f>
        <v>180.83</v>
      </c>
      <c r="F643" s="1">
        <f ca="1">IFERROR(__xludf.DUMMYFUNCTION("""COMPUTED_VALUE"""),41532360)</f>
        <v>41532360</v>
      </c>
    </row>
    <row r="644" spans="1:6" ht="12.6">
      <c r="A644" s="2">
        <f ca="1">IFERROR(__xludf.DUMMYFUNCTION("""COMPUTED_VALUE"""),45498.6666666666)</f>
        <v>45498.666666666599</v>
      </c>
      <c r="B644" s="1">
        <f ca="1">IFERROR(__xludf.DUMMYFUNCTION("""COMPUTED_VALUE"""),182.91)</f>
        <v>182.91</v>
      </c>
      <c r="C644" s="1">
        <f ca="1">IFERROR(__xludf.DUMMYFUNCTION("""COMPUTED_VALUE"""),183.9)</f>
        <v>183.9</v>
      </c>
      <c r="D644" s="1">
        <f ca="1">IFERROR(__xludf.DUMMYFUNCTION("""COMPUTED_VALUE"""),176.8)</f>
        <v>176.8</v>
      </c>
      <c r="E644" s="1">
        <f ca="1">IFERROR(__xludf.DUMMYFUNCTION("""COMPUTED_VALUE"""),179.85)</f>
        <v>179.85</v>
      </c>
      <c r="F644" s="1">
        <f ca="1">IFERROR(__xludf.DUMMYFUNCTION("""COMPUTED_VALUE"""),44464163)</f>
        <v>44464163</v>
      </c>
    </row>
    <row r="645" spans="1:6" ht="12.6">
      <c r="A645" s="2">
        <f ca="1">IFERROR(__xludf.DUMMYFUNCTION("""COMPUTED_VALUE"""),45499.6666666666)</f>
        <v>45499.666666666599</v>
      </c>
      <c r="B645" s="1">
        <f ca="1">IFERROR(__xludf.DUMMYFUNCTION("""COMPUTED_VALUE"""),180.39)</f>
        <v>180.39</v>
      </c>
      <c r="C645" s="1">
        <f ca="1">IFERROR(__xludf.DUMMYFUNCTION("""COMPUTED_VALUE"""),183.19)</f>
        <v>183.19</v>
      </c>
      <c r="D645" s="1">
        <f ca="1">IFERROR(__xludf.DUMMYFUNCTION("""COMPUTED_VALUE"""),180.24)</f>
        <v>180.24</v>
      </c>
      <c r="E645" s="1">
        <f ca="1">IFERROR(__xludf.DUMMYFUNCTION("""COMPUTED_VALUE"""),182.5)</f>
        <v>182.5</v>
      </c>
      <c r="F645" s="1">
        <f ca="1">IFERROR(__xludf.DUMMYFUNCTION("""COMPUTED_VALUE"""),29505964)</f>
        <v>29505964</v>
      </c>
    </row>
    <row r="646" spans="1:6" ht="12.6">
      <c r="A646" s="2">
        <f ca="1">IFERROR(__xludf.DUMMYFUNCTION("""COMPUTED_VALUE"""),45502.6666666666)</f>
        <v>45502.666666666599</v>
      </c>
      <c r="B646" s="1">
        <f ca="1">IFERROR(__xludf.DUMMYFUNCTION("""COMPUTED_VALUE"""),183.84)</f>
        <v>183.84</v>
      </c>
      <c r="C646" s="1">
        <f ca="1">IFERROR(__xludf.DUMMYFUNCTION("""COMPUTED_VALUE"""),184.75)</f>
        <v>184.75</v>
      </c>
      <c r="D646" s="1">
        <f ca="1">IFERROR(__xludf.DUMMYFUNCTION("""COMPUTED_VALUE"""),182.38)</f>
        <v>182.38</v>
      </c>
      <c r="E646" s="1">
        <f ca="1">IFERROR(__xludf.DUMMYFUNCTION("""COMPUTED_VALUE"""),183.2)</f>
        <v>183.2</v>
      </c>
      <c r="F646" s="1">
        <f ca="1">IFERROR(__xludf.DUMMYFUNCTION("""COMPUTED_VALUE"""),33270123)</f>
        <v>33270123</v>
      </c>
    </row>
    <row r="647" spans="1:6" ht="12.6">
      <c r="A647" s="2">
        <f ca="1">IFERROR(__xludf.DUMMYFUNCTION("""COMPUTED_VALUE"""),45503.6666666666)</f>
        <v>45503.666666666599</v>
      </c>
      <c r="B647" s="1">
        <f ca="1">IFERROR(__xludf.DUMMYFUNCTION("""COMPUTED_VALUE"""),184.72)</f>
        <v>184.72</v>
      </c>
      <c r="C647" s="1">
        <f ca="1">IFERROR(__xludf.DUMMYFUNCTION("""COMPUTED_VALUE"""),185.86)</f>
        <v>185.86</v>
      </c>
      <c r="D647" s="1">
        <f ca="1">IFERROR(__xludf.DUMMYFUNCTION("""COMPUTED_VALUE"""),179.38)</f>
        <v>179.38</v>
      </c>
      <c r="E647" s="1">
        <f ca="1">IFERROR(__xludf.DUMMYFUNCTION("""COMPUTED_VALUE"""),181.71)</f>
        <v>181.71</v>
      </c>
      <c r="F647" s="1">
        <f ca="1">IFERROR(__xludf.DUMMYFUNCTION("""COMPUTED_VALUE"""),39508574)</f>
        <v>39508574</v>
      </c>
    </row>
    <row r="648" spans="1:6" ht="12.6">
      <c r="A648" s="2">
        <f ca="1">IFERROR(__xludf.DUMMYFUNCTION("""COMPUTED_VALUE"""),45504.6666666666)</f>
        <v>45504.666666666599</v>
      </c>
      <c r="B648" s="1">
        <f ca="1">IFERROR(__xludf.DUMMYFUNCTION("""COMPUTED_VALUE"""),185.05)</f>
        <v>185.05</v>
      </c>
      <c r="C648" s="1">
        <f ca="1">IFERROR(__xludf.DUMMYFUNCTION("""COMPUTED_VALUE"""),187.94)</f>
        <v>187.94</v>
      </c>
      <c r="D648" s="1">
        <f ca="1">IFERROR(__xludf.DUMMYFUNCTION("""COMPUTED_VALUE"""),184.46)</f>
        <v>184.46</v>
      </c>
      <c r="E648" s="1">
        <f ca="1">IFERROR(__xludf.DUMMYFUNCTION("""COMPUTED_VALUE"""),186.98)</f>
        <v>186.98</v>
      </c>
      <c r="F648" s="1">
        <f ca="1">IFERROR(__xludf.DUMMYFUNCTION("""COMPUTED_VALUE"""),41667326)</f>
        <v>41667326</v>
      </c>
    </row>
    <row r="649" spans="1:6" ht="12.6">
      <c r="A649" s="2">
        <f ca="1">IFERROR(__xludf.DUMMYFUNCTION("""COMPUTED_VALUE"""),45505.6666666666)</f>
        <v>45505.666666666599</v>
      </c>
      <c r="B649" s="1">
        <f ca="1">IFERROR(__xludf.DUMMYFUNCTION("""COMPUTED_VALUE"""),189.29)</f>
        <v>189.29</v>
      </c>
      <c r="C649" s="1">
        <f ca="1">IFERROR(__xludf.DUMMYFUNCTION("""COMPUTED_VALUE"""),190.6)</f>
        <v>190.6</v>
      </c>
      <c r="D649" s="1">
        <f ca="1">IFERROR(__xludf.DUMMYFUNCTION("""COMPUTED_VALUE"""),181.87)</f>
        <v>181.87</v>
      </c>
      <c r="E649" s="1">
        <f ca="1">IFERROR(__xludf.DUMMYFUNCTION("""COMPUTED_VALUE"""),184.07)</f>
        <v>184.07</v>
      </c>
      <c r="F649" s="1">
        <f ca="1">IFERROR(__xludf.DUMMYFUNCTION("""COMPUTED_VALUE"""),70435635)</f>
        <v>70435635</v>
      </c>
    </row>
    <row r="650" spans="1:6" ht="12.6">
      <c r="A650" s="2">
        <f ca="1">IFERROR(__xludf.DUMMYFUNCTION("""COMPUTED_VALUE"""),45506.6666666666)</f>
        <v>45506.666666666599</v>
      </c>
      <c r="B650" s="1">
        <f ca="1">IFERROR(__xludf.DUMMYFUNCTION("""COMPUTED_VALUE"""),166.75)</f>
        <v>166.75</v>
      </c>
      <c r="C650" s="1">
        <f ca="1">IFERROR(__xludf.DUMMYFUNCTION("""COMPUTED_VALUE"""),168.77)</f>
        <v>168.77</v>
      </c>
      <c r="D650" s="1">
        <f ca="1">IFERROR(__xludf.DUMMYFUNCTION("""COMPUTED_VALUE"""),160.55)</f>
        <v>160.55000000000001</v>
      </c>
      <c r="E650" s="1">
        <f ca="1">IFERROR(__xludf.DUMMYFUNCTION("""COMPUTED_VALUE"""),167.9)</f>
        <v>167.9</v>
      </c>
      <c r="F650" s="1">
        <f ca="1">IFERROR(__xludf.DUMMYFUNCTION("""COMPUTED_VALUE"""),141448365)</f>
        <v>141448365</v>
      </c>
    </row>
    <row r="651" spans="1:6" ht="12.6">
      <c r="A651" s="2">
        <f ca="1">IFERROR(__xludf.DUMMYFUNCTION("""COMPUTED_VALUE"""),45509.6666666666)</f>
        <v>45509.666666666599</v>
      </c>
      <c r="B651" s="1">
        <f ca="1">IFERROR(__xludf.DUMMYFUNCTION("""COMPUTED_VALUE"""),154.21)</f>
        <v>154.21</v>
      </c>
      <c r="C651" s="1">
        <f ca="1">IFERROR(__xludf.DUMMYFUNCTION("""COMPUTED_VALUE"""),162.96)</f>
        <v>162.96</v>
      </c>
      <c r="D651" s="1">
        <f ca="1">IFERROR(__xludf.DUMMYFUNCTION("""COMPUTED_VALUE"""),151.61)</f>
        <v>151.61000000000001</v>
      </c>
      <c r="E651" s="1">
        <f ca="1">IFERROR(__xludf.DUMMYFUNCTION("""COMPUTED_VALUE"""),161.02)</f>
        <v>161.02000000000001</v>
      </c>
      <c r="F651" s="1">
        <f ca="1">IFERROR(__xludf.DUMMYFUNCTION("""COMPUTED_VALUE"""),83149437)</f>
        <v>83149437</v>
      </c>
    </row>
    <row r="652" spans="1:6" ht="12.6">
      <c r="A652" s="2">
        <f ca="1">IFERROR(__xludf.DUMMYFUNCTION("""COMPUTED_VALUE"""),45510.6666666666)</f>
        <v>45510.666666666599</v>
      </c>
      <c r="B652" s="1">
        <f ca="1">IFERROR(__xludf.DUMMYFUNCTION("""COMPUTED_VALUE"""),161.71)</f>
        <v>161.71</v>
      </c>
      <c r="C652" s="1">
        <f ca="1">IFERROR(__xludf.DUMMYFUNCTION("""COMPUTED_VALUE"""),165.08)</f>
        <v>165.08</v>
      </c>
      <c r="D652" s="1">
        <f ca="1">IFERROR(__xludf.DUMMYFUNCTION("""COMPUTED_VALUE"""),158.54)</f>
        <v>158.54</v>
      </c>
      <c r="E652" s="1">
        <f ca="1">IFERROR(__xludf.DUMMYFUNCTION("""COMPUTED_VALUE"""),161.93)</f>
        <v>161.93</v>
      </c>
      <c r="F652" s="1">
        <f ca="1">IFERROR(__xludf.DUMMYFUNCTION("""COMPUTED_VALUE"""),59950830)</f>
        <v>59950830</v>
      </c>
    </row>
    <row r="653" spans="1:6" ht="12.6">
      <c r="A653" s="2">
        <f ca="1">IFERROR(__xludf.DUMMYFUNCTION("""COMPUTED_VALUE"""),45511.6666666666)</f>
        <v>45511.666666666599</v>
      </c>
      <c r="B653" s="1">
        <f ca="1">IFERROR(__xludf.DUMMYFUNCTION("""COMPUTED_VALUE"""),166.55)</f>
        <v>166.55</v>
      </c>
      <c r="C653" s="1">
        <f ca="1">IFERROR(__xludf.DUMMYFUNCTION("""COMPUTED_VALUE"""),167.58)</f>
        <v>167.58</v>
      </c>
      <c r="D653" s="1">
        <f ca="1">IFERROR(__xludf.DUMMYFUNCTION("""COMPUTED_VALUE"""),161.43)</f>
        <v>161.43</v>
      </c>
      <c r="E653" s="1">
        <f ca="1">IFERROR(__xludf.DUMMYFUNCTION("""COMPUTED_VALUE"""),162.77)</f>
        <v>162.77000000000001</v>
      </c>
      <c r="F653" s="1">
        <f ca="1">IFERROR(__xludf.DUMMYFUNCTION("""COMPUTED_VALUE"""),48408240)</f>
        <v>48408240</v>
      </c>
    </row>
    <row r="654" spans="1:6" ht="12.6">
      <c r="A654" s="2">
        <f ca="1">IFERROR(__xludf.DUMMYFUNCTION("""COMPUTED_VALUE"""),45512.6666666666)</f>
        <v>45512.666666666599</v>
      </c>
      <c r="B654" s="1">
        <f ca="1">IFERROR(__xludf.DUMMYFUNCTION("""COMPUTED_VALUE"""),165.17)</f>
        <v>165.17</v>
      </c>
      <c r="C654" s="1">
        <f ca="1">IFERROR(__xludf.DUMMYFUNCTION("""COMPUTED_VALUE"""),166.69)</f>
        <v>166.69</v>
      </c>
      <c r="D654" s="1">
        <f ca="1">IFERROR(__xludf.DUMMYFUNCTION("""COMPUTED_VALUE"""),162.55)</f>
        <v>162.55000000000001</v>
      </c>
      <c r="E654" s="1">
        <f ca="1">IFERROR(__xludf.DUMMYFUNCTION("""COMPUTED_VALUE"""),165.8)</f>
        <v>165.8</v>
      </c>
      <c r="F654" s="1">
        <f ca="1">IFERROR(__xludf.DUMMYFUNCTION("""COMPUTED_VALUE"""),44616206)</f>
        <v>44616206</v>
      </c>
    </row>
    <row r="655" spans="1:6" ht="12.6">
      <c r="A655" s="2">
        <f ca="1">IFERROR(__xludf.DUMMYFUNCTION("""COMPUTED_VALUE"""),45513.6666666666)</f>
        <v>45513.666666666599</v>
      </c>
      <c r="B655" s="1">
        <f ca="1">IFERROR(__xludf.DUMMYFUNCTION("""COMPUTED_VALUE"""),166.4)</f>
        <v>166.4</v>
      </c>
      <c r="C655" s="1">
        <f ca="1">IFERROR(__xludf.DUMMYFUNCTION("""COMPUTED_VALUE"""),168.55)</f>
        <v>168.55</v>
      </c>
      <c r="D655" s="1">
        <f ca="1">IFERROR(__xludf.DUMMYFUNCTION("""COMPUTED_VALUE"""),165.85)</f>
        <v>165.85</v>
      </c>
      <c r="E655" s="1">
        <f ca="1">IFERROR(__xludf.DUMMYFUNCTION("""COMPUTED_VALUE"""),166.94)</f>
        <v>166.94</v>
      </c>
      <c r="F655" s="1">
        <f ca="1">IFERROR(__xludf.DUMMYFUNCTION("""COMPUTED_VALUE"""),36401049)</f>
        <v>36401049</v>
      </c>
    </row>
    <row r="656" spans="1:6" ht="12.6">
      <c r="A656" s="2">
        <f ca="1">IFERROR(__xludf.DUMMYFUNCTION("""COMPUTED_VALUE"""),45516.6666666666)</f>
        <v>45516.666666666599</v>
      </c>
      <c r="B656" s="1">
        <f ca="1">IFERROR(__xludf.DUMMYFUNCTION("""COMPUTED_VALUE"""),168.14)</f>
        <v>168.14</v>
      </c>
      <c r="C656" s="1">
        <f ca="1">IFERROR(__xludf.DUMMYFUNCTION("""COMPUTED_VALUE"""),168.55)</f>
        <v>168.55</v>
      </c>
      <c r="D656" s="1">
        <f ca="1">IFERROR(__xludf.DUMMYFUNCTION("""COMPUTED_VALUE"""),166.11)</f>
        <v>166.11</v>
      </c>
      <c r="E656" s="1">
        <f ca="1">IFERROR(__xludf.DUMMYFUNCTION("""COMPUTED_VALUE"""),166.8)</f>
        <v>166.8</v>
      </c>
      <c r="F656" s="1">
        <f ca="1">IFERROR(__xludf.DUMMYFUNCTION("""COMPUTED_VALUE"""),30072788)</f>
        <v>30072788</v>
      </c>
    </row>
    <row r="657" spans="1:6" ht="12.6">
      <c r="A657" s="2">
        <f ca="1">IFERROR(__xludf.DUMMYFUNCTION("""COMPUTED_VALUE"""),45517.6666666666)</f>
        <v>45517.666666666599</v>
      </c>
      <c r="B657" s="1">
        <f ca="1">IFERROR(__xludf.DUMMYFUNCTION("""COMPUTED_VALUE"""),167.81)</f>
        <v>167.81</v>
      </c>
      <c r="C657" s="1">
        <f ca="1">IFERROR(__xludf.DUMMYFUNCTION("""COMPUTED_VALUE"""),171.04)</f>
        <v>171.04</v>
      </c>
      <c r="D657" s="1">
        <f ca="1">IFERROR(__xludf.DUMMYFUNCTION("""COMPUTED_VALUE"""),167.1)</f>
        <v>167.1</v>
      </c>
      <c r="E657" s="1">
        <f ca="1">IFERROR(__xludf.DUMMYFUNCTION("""COMPUTED_VALUE"""),170.23)</f>
        <v>170.23</v>
      </c>
      <c r="F657" s="1">
        <f ca="1">IFERROR(__xludf.DUMMYFUNCTION("""COMPUTED_VALUE"""),39237915)</f>
        <v>39237915</v>
      </c>
    </row>
    <row r="658" spans="1:6" ht="12.6">
      <c r="A658" s="2">
        <f ca="1">IFERROR(__xludf.DUMMYFUNCTION("""COMPUTED_VALUE"""),45518.6666666666)</f>
        <v>45518.666666666599</v>
      </c>
      <c r="B658" s="1">
        <f ca="1">IFERROR(__xludf.DUMMYFUNCTION("""COMPUTED_VALUE"""),172.11)</f>
        <v>172.11</v>
      </c>
      <c r="C658" s="1">
        <f ca="1">IFERROR(__xludf.DUMMYFUNCTION("""COMPUTED_VALUE"""),172.28)</f>
        <v>172.28</v>
      </c>
      <c r="D658" s="1">
        <f ca="1">IFERROR(__xludf.DUMMYFUNCTION("""COMPUTED_VALUE"""),168.86)</f>
        <v>168.86</v>
      </c>
      <c r="E658" s="1">
        <f ca="1">IFERROR(__xludf.DUMMYFUNCTION("""COMPUTED_VALUE"""),170.1)</f>
        <v>170.1</v>
      </c>
      <c r="F658" s="1">
        <f ca="1">IFERROR(__xludf.DUMMYFUNCTION("""COMPUTED_VALUE"""),28843804)</f>
        <v>28843804</v>
      </c>
    </row>
    <row r="659" spans="1:6" ht="12.6">
      <c r="A659" s="2">
        <f ca="1">IFERROR(__xludf.DUMMYFUNCTION("""COMPUTED_VALUE"""),45519.6666666666)</f>
        <v>45519.666666666599</v>
      </c>
      <c r="B659" s="1">
        <f ca="1">IFERROR(__xludf.DUMMYFUNCTION("""COMPUTED_VALUE"""),174.86)</f>
        <v>174.86</v>
      </c>
      <c r="C659" s="1">
        <f ca="1">IFERROR(__xludf.DUMMYFUNCTION("""COMPUTED_VALUE"""),177.91)</f>
        <v>177.91</v>
      </c>
      <c r="D659" s="1">
        <f ca="1">IFERROR(__xludf.DUMMYFUNCTION("""COMPUTED_VALUE"""),173.99)</f>
        <v>173.99</v>
      </c>
      <c r="E659" s="1">
        <f ca="1">IFERROR(__xludf.DUMMYFUNCTION("""COMPUTED_VALUE"""),177.59)</f>
        <v>177.59</v>
      </c>
      <c r="F659" s="1">
        <f ca="1">IFERROR(__xludf.DUMMYFUNCTION("""COMPUTED_VALUE"""),51698513)</f>
        <v>51698513</v>
      </c>
    </row>
    <row r="660" spans="1:6" ht="12.6">
      <c r="A660" s="2">
        <f ca="1">IFERROR(__xludf.DUMMYFUNCTION("""COMPUTED_VALUE"""),45520.6666666666)</f>
        <v>45520.666666666599</v>
      </c>
      <c r="B660" s="1">
        <f ca="1">IFERROR(__xludf.DUMMYFUNCTION("""COMPUTED_VALUE"""),177.04)</f>
        <v>177.04</v>
      </c>
      <c r="C660" s="1">
        <f ca="1">IFERROR(__xludf.DUMMYFUNCTION("""COMPUTED_VALUE"""),178.34)</f>
        <v>178.34</v>
      </c>
      <c r="D660" s="1">
        <f ca="1">IFERROR(__xludf.DUMMYFUNCTION("""COMPUTED_VALUE"""),176.26)</f>
        <v>176.26</v>
      </c>
      <c r="E660" s="1">
        <f ca="1">IFERROR(__xludf.DUMMYFUNCTION("""COMPUTED_VALUE"""),177.06)</f>
        <v>177.06</v>
      </c>
      <c r="F660" s="1">
        <f ca="1">IFERROR(__xludf.DUMMYFUNCTION("""COMPUTED_VALUE"""),31489175)</f>
        <v>31489175</v>
      </c>
    </row>
    <row r="661" spans="1:6" ht="12.6">
      <c r="A661" s="2">
        <f ca="1">IFERROR(__xludf.DUMMYFUNCTION("""COMPUTED_VALUE"""),45523.6666666666)</f>
        <v>45523.666666666599</v>
      </c>
      <c r="B661" s="1">
        <f ca="1">IFERROR(__xludf.DUMMYFUNCTION("""COMPUTED_VALUE"""),177.64)</f>
        <v>177.64</v>
      </c>
      <c r="C661" s="1">
        <f ca="1">IFERROR(__xludf.DUMMYFUNCTION("""COMPUTED_VALUE"""),178.3)</f>
        <v>178.3</v>
      </c>
      <c r="D661" s="1">
        <f ca="1">IFERROR(__xludf.DUMMYFUNCTION("""COMPUTED_VALUE"""),176.16)</f>
        <v>176.16</v>
      </c>
      <c r="E661" s="1">
        <f ca="1">IFERROR(__xludf.DUMMYFUNCTION("""COMPUTED_VALUE"""),178.22)</f>
        <v>178.22</v>
      </c>
      <c r="F661" s="1">
        <f ca="1">IFERROR(__xludf.DUMMYFUNCTION("""COMPUTED_VALUE"""),31129807)</f>
        <v>31129807</v>
      </c>
    </row>
    <row r="662" spans="1:6" ht="12.6">
      <c r="A662" s="2">
        <f ca="1">IFERROR(__xludf.DUMMYFUNCTION("""COMPUTED_VALUE"""),45524.6666666666)</f>
        <v>45524.666666666599</v>
      </c>
      <c r="B662" s="1">
        <f ca="1">IFERROR(__xludf.DUMMYFUNCTION("""COMPUTED_VALUE"""),177.92)</f>
        <v>177.92</v>
      </c>
      <c r="C662" s="1">
        <f ca="1">IFERROR(__xludf.DUMMYFUNCTION("""COMPUTED_VALUE"""),179.01)</f>
        <v>179.01</v>
      </c>
      <c r="D662" s="1">
        <f ca="1">IFERROR(__xludf.DUMMYFUNCTION("""COMPUTED_VALUE"""),177.43)</f>
        <v>177.43</v>
      </c>
      <c r="E662" s="1">
        <f ca="1">IFERROR(__xludf.DUMMYFUNCTION("""COMPUTED_VALUE"""),178.88)</f>
        <v>178.88</v>
      </c>
      <c r="F662" s="1">
        <f ca="1">IFERROR(__xludf.DUMMYFUNCTION("""COMPUTED_VALUE"""),26255204)</f>
        <v>26255204</v>
      </c>
    </row>
    <row r="663" spans="1:6" ht="12.6">
      <c r="A663" s="2">
        <f ca="1">IFERROR(__xludf.DUMMYFUNCTION("""COMPUTED_VALUE"""),45525.6666666666)</f>
        <v>45525.666666666599</v>
      </c>
      <c r="B663" s="1">
        <f ca="1">IFERROR(__xludf.DUMMYFUNCTION("""COMPUTED_VALUE"""),179.92)</f>
        <v>179.92</v>
      </c>
      <c r="C663" s="1">
        <f ca="1">IFERROR(__xludf.DUMMYFUNCTION("""COMPUTED_VALUE"""),182.39)</f>
        <v>182.39</v>
      </c>
      <c r="D663" s="1">
        <f ca="1">IFERROR(__xludf.DUMMYFUNCTION("""COMPUTED_VALUE"""),178.89)</f>
        <v>178.89</v>
      </c>
      <c r="E663" s="1">
        <f ca="1">IFERROR(__xludf.DUMMYFUNCTION("""COMPUTED_VALUE"""),180.11)</f>
        <v>180.11</v>
      </c>
      <c r="F663" s="1">
        <f ca="1">IFERROR(__xludf.DUMMYFUNCTION("""COMPUTED_VALUE"""),35599120)</f>
        <v>35599120</v>
      </c>
    </row>
    <row r="664" spans="1:6" ht="12.6">
      <c r="A664" s="2">
        <f ca="1">IFERROR(__xludf.DUMMYFUNCTION("""COMPUTED_VALUE"""),45526.6666666666)</f>
        <v>45526.666666666599</v>
      </c>
      <c r="B664" s="1">
        <f ca="1">IFERROR(__xludf.DUMMYFUNCTION("""COMPUTED_VALUE"""),181.38)</f>
        <v>181.38</v>
      </c>
      <c r="C664" s="1">
        <f ca="1">IFERROR(__xludf.DUMMYFUNCTION("""COMPUTED_VALUE"""),181.47)</f>
        <v>181.47</v>
      </c>
      <c r="D664" s="1">
        <f ca="1">IFERROR(__xludf.DUMMYFUNCTION("""COMPUTED_VALUE"""),175.68)</f>
        <v>175.68</v>
      </c>
      <c r="E664" s="1">
        <f ca="1">IFERROR(__xludf.DUMMYFUNCTION("""COMPUTED_VALUE"""),176.13)</f>
        <v>176.13</v>
      </c>
      <c r="F664" s="1">
        <f ca="1">IFERROR(__xludf.DUMMYFUNCTION("""COMPUTED_VALUE"""),32047482)</f>
        <v>32047482</v>
      </c>
    </row>
    <row r="665" spans="1:6" ht="12.6">
      <c r="A665" s="2">
        <f ca="1">IFERROR(__xludf.DUMMYFUNCTION("""COMPUTED_VALUE"""),45527.6666666666)</f>
        <v>45527.666666666599</v>
      </c>
      <c r="B665" s="1">
        <f ca="1">IFERROR(__xludf.DUMMYFUNCTION("""COMPUTED_VALUE"""),177.34)</f>
        <v>177.34</v>
      </c>
      <c r="C665" s="1">
        <f ca="1">IFERROR(__xludf.DUMMYFUNCTION("""COMPUTED_VALUE"""),178.97)</f>
        <v>178.97</v>
      </c>
      <c r="D665" s="1">
        <f ca="1">IFERROR(__xludf.DUMMYFUNCTION("""COMPUTED_VALUE"""),175.24)</f>
        <v>175.24</v>
      </c>
      <c r="E665" s="1">
        <f ca="1">IFERROR(__xludf.DUMMYFUNCTION("""COMPUTED_VALUE"""),177.04)</f>
        <v>177.04</v>
      </c>
      <c r="F665" s="1">
        <f ca="1">IFERROR(__xludf.DUMMYFUNCTION("""COMPUTED_VALUE"""),29150091)</f>
        <v>29150091</v>
      </c>
    </row>
    <row r="666" spans="1:6" ht="12.6">
      <c r="A666" s="2">
        <f ca="1">IFERROR(__xludf.DUMMYFUNCTION("""COMPUTED_VALUE"""),45530.6666666666)</f>
        <v>45530.666666666599</v>
      </c>
      <c r="B666" s="1">
        <f ca="1">IFERROR(__xludf.DUMMYFUNCTION("""COMPUTED_VALUE"""),176.7)</f>
        <v>176.7</v>
      </c>
      <c r="C666" s="1">
        <f ca="1">IFERROR(__xludf.DUMMYFUNCTION("""COMPUTED_VALUE"""),177.47)</f>
        <v>177.47</v>
      </c>
      <c r="D666" s="1">
        <f ca="1">IFERROR(__xludf.DUMMYFUNCTION("""COMPUTED_VALUE"""),174.3)</f>
        <v>174.3</v>
      </c>
      <c r="E666" s="1">
        <f ca="1">IFERROR(__xludf.DUMMYFUNCTION("""COMPUTED_VALUE"""),175.5)</f>
        <v>175.5</v>
      </c>
      <c r="F666" s="1">
        <f ca="1">IFERROR(__xludf.DUMMYFUNCTION("""COMPUTED_VALUE"""),22366236)</f>
        <v>22366236</v>
      </c>
    </row>
    <row r="667" spans="1:6" ht="12.6">
      <c r="A667" s="2">
        <f ca="1">IFERROR(__xludf.DUMMYFUNCTION("""COMPUTED_VALUE"""),45531.6666666666)</f>
        <v>45531.666666666599</v>
      </c>
      <c r="B667" s="1">
        <f ca="1">IFERROR(__xludf.DUMMYFUNCTION("""COMPUTED_VALUE"""),174.15)</f>
        <v>174.15</v>
      </c>
      <c r="C667" s="1">
        <f ca="1">IFERROR(__xludf.DUMMYFUNCTION("""COMPUTED_VALUE"""),174.89)</f>
        <v>174.89</v>
      </c>
      <c r="D667" s="1">
        <f ca="1">IFERROR(__xludf.DUMMYFUNCTION("""COMPUTED_VALUE"""),172.25)</f>
        <v>172.25</v>
      </c>
      <c r="E667" s="1">
        <f ca="1">IFERROR(__xludf.DUMMYFUNCTION("""COMPUTED_VALUE"""),173.12)</f>
        <v>173.12</v>
      </c>
      <c r="F667" s="1">
        <f ca="1">IFERROR(__xludf.DUMMYFUNCTION("""COMPUTED_VALUE"""),29841979)</f>
        <v>29841979</v>
      </c>
    </row>
    <row r="668" spans="1:6" ht="12.6">
      <c r="A668" s="2">
        <f ca="1">IFERROR(__xludf.DUMMYFUNCTION("""COMPUTED_VALUE"""),45532.6666666666)</f>
        <v>45532.666666666599</v>
      </c>
      <c r="B668" s="1">
        <f ca="1">IFERROR(__xludf.DUMMYFUNCTION("""COMPUTED_VALUE"""),173.69)</f>
        <v>173.69</v>
      </c>
      <c r="C668" s="1">
        <f ca="1">IFERROR(__xludf.DUMMYFUNCTION("""COMPUTED_VALUE"""),173.69)</f>
        <v>173.69</v>
      </c>
      <c r="D668" s="1">
        <f ca="1">IFERROR(__xludf.DUMMYFUNCTION("""COMPUTED_VALUE"""),168.92)</f>
        <v>168.92</v>
      </c>
      <c r="E668" s="1">
        <f ca="1">IFERROR(__xludf.DUMMYFUNCTION("""COMPUTED_VALUE"""),170.8)</f>
        <v>170.8</v>
      </c>
      <c r="F668" s="1">
        <f ca="1">IFERROR(__xludf.DUMMYFUNCTION("""COMPUTED_VALUE"""),29045025)</f>
        <v>29045025</v>
      </c>
    </row>
    <row r="669" spans="1:6" ht="12.6">
      <c r="A669" s="2">
        <f ca="1">IFERROR(__xludf.DUMMYFUNCTION("""COMPUTED_VALUE"""),45533.6666666666)</f>
        <v>45533.666666666599</v>
      </c>
      <c r="B669" s="1">
        <f ca="1">IFERROR(__xludf.DUMMYFUNCTION("""COMPUTED_VALUE"""),173.22)</f>
        <v>173.22</v>
      </c>
      <c r="C669" s="1">
        <f ca="1">IFERROR(__xludf.DUMMYFUNCTION("""COMPUTED_VALUE"""),174.29)</f>
        <v>174.29</v>
      </c>
      <c r="D669" s="1">
        <f ca="1">IFERROR(__xludf.DUMMYFUNCTION("""COMPUTED_VALUE"""),170.81)</f>
        <v>170.81</v>
      </c>
      <c r="E669" s="1">
        <f ca="1">IFERROR(__xludf.DUMMYFUNCTION("""COMPUTED_VALUE"""),172.12)</f>
        <v>172.12</v>
      </c>
      <c r="F669" s="1">
        <f ca="1">IFERROR(__xludf.DUMMYFUNCTION("""COMPUTED_VALUE"""),26407815)</f>
        <v>26407815</v>
      </c>
    </row>
    <row r="670" spans="1:6" ht="12.6">
      <c r="A670" s="2">
        <f ca="1">IFERROR(__xludf.DUMMYFUNCTION("""COMPUTED_VALUE"""),45534.6666666666)</f>
        <v>45534.666666666599</v>
      </c>
      <c r="B670" s="1">
        <f ca="1">IFERROR(__xludf.DUMMYFUNCTION("""COMPUTED_VALUE"""),172.78)</f>
        <v>172.78</v>
      </c>
      <c r="C670" s="1">
        <f ca="1">IFERROR(__xludf.DUMMYFUNCTION("""COMPUTED_VALUE"""),178.9)</f>
        <v>178.9</v>
      </c>
      <c r="D670" s="1">
        <f ca="1">IFERROR(__xludf.DUMMYFUNCTION("""COMPUTED_VALUE"""),172.6)</f>
        <v>172.6</v>
      </c>
      <c r="E670" s="1">
        <f ca="1">IFERROR(__xludf.DUMMYFUNCTION("""COMPUTED_VALUE"""),178.5)</f>
        <v>178.5</v>
      </c>
      <c r="F670" s="1">
        <f ca="1">IFERROR(__xludf.DUMMYFUNCTION("""COMPUTED_VALUE"""),43429355)</f>
        <v>43429355</v>
      </c>
    </row>
    <row r="671" spans="1:6" ht="12.6">
      <c r="A671" s="2">
        <f ca="1">IFERROR(__xludf.DUMMYFUNCTION("""COMPUTED_VALUE"""),45538.6666666666)</f>
        <v>45538.666666666599</v>
      </c>
      <c r="B671" s="1">
        <f ca="1">IFERROR(__xludf.DUMMYFUNCTION("""COMPUTED_VALUE"""),177.55)</f>
        <v>177.55</v>
      </c>
      <c r="C671" s="1">
        <f ca="1">IFERROR(__xludf.DUMMYFUNCTION("""COMPUTED_VALUE"""),178.26)</f>
        <v>178.26</v>
      </c>
      <c r="D671" s="1">
        <f ca="1">IFERROR(__xludf.DUMMYFUNCTION("""COMPUTED_VALUE"""),175.26)</f>
        <v>175.26</v>
      </c>
      <c r="E671" s="1">
        <f ca="1">IFERROR(__xludf.DUMMYFUNCTION("""COMPUTED_VALUE"""),176.25)</f>
        <v>176.25</v>
      </c>
      <c r="F671" s="1">
        <f ca="1">IFERROR(__xludf.DUMMYFUNCTION("""COMPUTED_VALUE"""),37817511)</f>
        <v>37817511</v>
      </c>
    </row>
    <row r="672" spans="1:6" ht="12.6">
      <c r="A672" s="2">
        <f ca="1">IFERROR(__xludf.DUMMYFUNCTION("""COMPUTED_VALUE"""),45539.6666666666)</f>
        <v>45539.666666666599</v>
      </c>
      <c r="B672" s="1">
        <f ca="1">IFERROR(__xludf.DUMMYFUNCTION("""COMPUTED_VALUE"""),174.48)</f>
        <v>174.48</v>
      </c>
      <c r="C672" s="1">
        <f ca="1">IFERROR(__xludf.DUMMYFUNCTION("""COMPUTED_VALUE"""),175.98)</f>
        <v>175.98</v>
      </c>
      <c r="D672" s="1">
        <f ca="1">IFERROR(__xludf.DUMMYFUNCTION("""COMPUTED_VALUE"""),172.54)</f>
        <v>172.54</v>
      </c>
      <c r="E672" s="1">
        <f ca="1">IFERROR(__xludf.DUMMYFUNCTION("""COMPUTED_VALUE"""),173.33)</f>
        <v>173.33</v>
      </c>
      <c r="F672" s="1">
        <f ca="1">IFERROR(__xludf.DUMMYFUNCTION("""COMPUTED_VALUE"""),30309225)</f>
        <v>30309225</v>
      </c>
    </row>
    <row r="673" spans="1:6" ht="12.6">
      <c r="A673" s="2">
        <f ca="1">IFERROR(__xludf.DUMMYFUNCTION("""COMPUTED_VALUE"""),45540.6666666666)</f>
        <v>45540.666666666599</v>
      </c>
      <c r="B673" s="1">
        <f ca="1">IFERROR(__xludf.DUMMYFUNCTION("""COMPUTED_VALUE"""),175)</f>
        <v>175</v>
      </c>
      <c r="C673" s="1">
        <f ca="1">IFERROR(__xludf.DUMMYFUNCTION("""COMPUTED_VALUE"""),179.88)</f>
        <v>179.88</v>
      </c>
      <c r="D673" s="1">
        <f ca="1">IFERROR(__xludf.DUMMYFUNCTION("""COMPUTED_VALUE"""),175)</f>
        <v>175</v>
      </c>
      <c r="E673" s="1">
        <f ca="1">IFERROR(__xludf.DUMMYFUNCTION("""COMPUTED_VALUE"""),177.89)</f>
        <v>177.89</v>
      </c>
      <c r="F673" s="1">
        <f ca="1">IFERROR(__xludf.DUMMYFUNCTION("""COMPUTED_VALUE"""),40170526)</f>
        <v>40170526</v>
      </c>
    </row>
    <row r="674" spans="1:6" ht="12.6">
      <c r="A674" s="2">
        <f ca="1">IFERROR(__xludf.DUMMYFUNCTION("""COMPUTED_VALUE"""),45541.6666666666)</f>
        <v>45541.666666666599</v>
      </c>
      <c r="B674" s="1">
        <f ca="1">IFERROR(__xludf.DUMMYFUNCTION("""COMPUTED_VALUE"""),177.24)</f>
        <v>177.24</v>
      </c>
      <c r="C674" s="1">
        <f ca="1">IFERROR(__xludf.DUMMYFUNCTION("""COMPUTED_VALUE"""),178.38)</f>
        <v>178.38</v>
      </c>
      <c r="D674" s="1">
        <f ca="1">IFERROR(__xludf.DUMMYFUNCTION("""COMPUTED_VALUE"""),171.16)</f>
        <v>171.16</v>
      </c>
      <c r="E674" s="1">
        <f ca="1">IFERROR(__xludf.DUMMYFUNCTION("""COMPUTED_VALUE"""),171.39)</f>
        <v>171.39</v>
      </c>
      <c r="F674" s="1">
        <f ca="1">IFERROR(__xludf.DUMMYFUNCTION("""COMPUTED_VALUE"""),41466537)</f>
        <v>41466537</v>
      </c>
    </row>
    <row r="675" spans="1:6" ht="12.6">
      <c r="A675" s="2">
        <f ca="1">IFERROR(__xludf.DUMMYFUNCTION("""COMPUTED_VALUE"""),45544.6666666666)</f>
        <v>45544.666666666599</v>
      </c>
      <c r="B675" s="1">
        <f ca="1">IFERROR(__xludf.DUMMYFUNCTION("""COMPUTED_VALUE"""),174.53)</f>
        <v>174.53</v>
      </c>
      <c r="C675" s="1">
        <f ca="1">IFERROR(__xludf.DUMMYFUNCTION("""COMPUTED_VALUE"""),175.85)</f>
        <v>175.85</v>
      </c>
      <c r="D675" s="1">
        <f ca="1">IFERROR(__xludf.DUMMYFUNCTION("""COMPUTED_VALUE"""),173.51)</f>
        <v>173.51</v>
      </c>
      <c r="E675" s="1">
        <f ca="1">IFERROR(__xludf.DUMMYFUNCTION("""COMPUTED_VALUE"""),175.4)</f>
        <v>175.4</v>
      </c>
      <c r="F675" s="1">
        <f ca="1">IFERROR(__xludf.DUMMYFUNCTION("""COMPUTED_VALUE"""),29037362)</f>
        <v>29037362</v>
      </c>
    </row>
    <row r="676" spans="1:6" ht="12.6">
      <c r="A676" s="2">
        <f ca="1">IFERROR(__xludf.DUMMYFUNCTION("""COMPUTED_VALUE"""),45545.6666666666)</f>
        <v>45545.666666666599</v>
      </c>
      <c r="B676" s="1">
        <f ca="1">IFERROR(__xludf.DUMMYFUNCTION("""COMPUTED_VALUE"""),177.49)</f>
        <v>177.49</v>
      </c>
      <c r="C676" s="1">
        <f ca="1">IFERROR(__xludf.DUMMYFUNCTION("""COMPUTED_VALUE"""),180.5)</f>
        <v>180.5</v>
      </c>
      <c r="D676" s="1">
        <f ca="1">IFERROR(__xludf.DUMMYFUNCTION("""COMPUTED_VALUE"""),176.79)</f>
        <v>176.79</v>
      </c>
      <c r="E676" s="1">
        <f ca="1">IFERROR(__xludf.DUMMYFUNCTION("""COMPUTED_VALUE"""),179.55)</f>
        <v>179.55</v>
      </c>
      <c r="F676" s="1">
        <f ca="1">IFERROR(__xludf.DUMMYFUNCTION("""COMPUTED_VALUE"""),36233796)</f>
        <v>36233796</v>
      </c>
    </row>
    <row r="677" spans="1:6" ht="12.6">
      <c r="A677" s="2">
        <f ca="1">IFERROR(__xludf.DUMMYFUNCTION("""COMPUTED_VALUE"""),45546.6666666666)</f>
        <v>45546.666666666599</v>
      </c>
      <c r="B677" s="1">
        <f ca="1">IFERROR(__xludf.DUMMYFUNCTION("""COMPUTED_VALUE"""),180.1)</f>
        <v>180.1</v>
      </c>
      <c r="C677" s="1">
        <f ca="1">IFERROR(__xludf.DUMMYFUNCTION("""COMPUTED_VALUE"""),184.99)</f>
        <v>184.99</v>
      </c>
      <c r="D677" s="1">
        <f ca="1">IFERROR(__xludf.DUMMYFUNCTION("""COMPUTED_VALUE"""),175.73)</f>
        <v>175.73</v>
      </c>
      <c r="E677" s="1">
        <f ca="1">IFERROR(__xludf.DUMMYFUNCTION("""COMPUTED_VALUE"""),184.52)</f>
        <v>184.52</v>
      </c>
      <c r="F677" s="1">
        <f ca="1">IFERROR(__xludf.DUMMYFUNCTION("""COMPUTED_VALUE"""),42564698)</f>
        <v>42564698</v>
      </c>
    </row>
    <row r="678" spans="1:6" ht="12.6">
      <c r="A678" s="2">
        <f ca="1">IFERROR(__xludf.DUMMYFUNCTION("""COMPUTED_VALUE"""),45547.6666666666)</f>
        <v>45547.666666666599</v>
      </c>
      <c r="B678" s="1">
        <f ca="1">IFERROR(__xludf.DUMMYFUNCTION("""COMPUTED_VALUE"""),184.8)</f>
        <v>184.8</v>
      </c>
      <c r="C678" s="1">
        <f ca="1">IFERROR(__xludf.DUMMYFUNCTION("""COMPUTED_VALUE"""),187.41)</f>
        <v>187.41</v>
      </c>
      <c r="D678" s="1">
        <f ca="1">IFERROR(__xludf.DUMMYFUNCTION("""COMPUTED_VALUE"""),183.54)</f>
        <v>183.54</v>
      </c>
      <c r="E678" s="1">
        <f ca="1">IFERROR(__xludf.DUMMYFUNCTION("""COMPUTED_VALUE"""),187)</f>
        <v>187</v>
      </c>
      <c r="F678" s="1">
        <f ca="1">IFERROR(__xludf.DUMMYFUNCTION("""COMPUTED_VALUE"""),33622483)</f>
        <v>33622483</v>
      </c>
    </row>
    <row r="679" spans="1:6" ht="12.6">
      <c r="A679" s="2">
        <f ca="1">IFERROR(__xludf.DUMMYFUNCTION("""COMPUTED_VALUE"""),45548.6666666666)</f>
        <v>45548.666666666599</v>
      </c>
      <c r="B679" s="1">
        <f ca="1">IFERROR(__xludf.DUMMYFUNCTION("""COMPUTED_VALUE"""),187)</f>
        <v>187</v>
      </c>
      <c r="C679" s="1">
        <f ca="1">IFERROR(__xludf.DUMMYFUNCTION("""COMPUTED_VALUE"""),188.5)</f>
        <v>188.5</v>
      </c>
      <c r="D679" s="1">
        <f ca="1">IFERROR(__xludf.DUMMYFUNCTION("""COMPUTED_VALUE"""),185.91)</f>
        <v>185.91</v>
      </c>
      <c r="E679" s="1">
        <f ca="1">IFERROR(__xludf.DUMMYFUNCTION("""COMPUTED_VALUE"""),186.49)</f>
        <v>186.49</v>
      </c>
      <c r="F679" s="1">
        <f ca="1">IFERROR(__xludf.DUMMYFUNCTION("""COMPUTED_VALUE"""),26495351)</f>
        <v>26495351</v>
      </c>
    </row>
    <row r="680" spans="1:6" ht="12.6">
      <c r="A680" s="2">
        <f ca="1">IFERROR(__xludf.DUMMYFUNCTION("""COMPUTED_VALUE"""),45551.6666666666)</f>
        <v>45551.666666666599</v>
      </c>
      <c r="B680" s="1">
        <f ca="1">IFERROR(__xludf.DUMMYFUNCTION("""COMPUTED_VALUE"""),185.29)</f>
        <v>185.29</v>
      </c>
      <c r="C680" s="1">
        <f ca="1">IFERROR(__xludf.DUMMYFUNCTION("""COMPUTED_VALUE"""),185.81)</f>
        <v>185.81</v>
      </c>
      <c r="D680" s="1">
        <f ca="1">IFERROR(__xludf.DUMMYFUNCTION("""COMPUTED_VALUE"""),183.36)</f>
        <v>183.36</v>
      </c>
      <c r="E680" s="1">
        <f ca="1">IFERROR(__xludf.DUMMYFUNCTION("""COMPUTED_VALUE"""),184.89)</f>
        <v>184.89</v>
      </c>
      <c r="F680" s="1">
        <f ca="1">IFERROR(__xludf.DUMMYFUNCTION("""COMPUTED_VALUE"""),26065485)</f>
        <v>26065485</v>
      </c>
    </row>
    <row r="681" spans="1:6" ht="12.6">
      <c r="A681" s="2">
        <f ca="1">IFERROR(__xludf.DUMMYFUNCTION("""COMPUTED_VALUE"""),45552.6666666666)</f>
        <v>45552.666666666599</v>
      </c>
      <c r="B681" s="1">
        <f ca="1">IFERROR(__xludf.DUMMYFUNCTION("""COMPUTED_VALUE"""),186.85)</f>
        <v>186.85</v>
      </c>
      <c r="C681" s="1">
        <f ca="1">IFERROR(__xludf.DUMMYFUNCTION("""COMPUTED_VALUE"""),189.45)</f>
        <v>189.45</v>
      </c>
      <c r="D681" s="1">
        <f ca="1">IFERROR(__xludf.DUMMYFUNCTION("""COMPUTED_VALUE"""),186.14)</f>
        <v>186.14</v>
      </c>
      <c r="E681" s="1">
        <f ca="1">IFERROR(__xludf.DUMMYFUNCTION("""COMPUTED_VALUE"""),186.88)</f>
        <v>186.88</v>
      </c>
      <c r="F681" s="1">
        <f ca="1">IFERROR(__xludf.DUMMYFUNCTION("""COMPUTED_VALUE"""),26091682)</f>
        <v>26091682</v>
      </c>
    </row>
    <row r="682" spans="1:6" ht="12.6">
      <c r="A682" s="2">
        <f ca="1">IFERROR(__xludf.DUMMYFUNCTION("""COMPUTED_VALUE"""),45553.6666666666)</f>
        <v>45553.666666666599</v>
      </c>
      <c r="B682" s="1">
        <f ca="1">IFERROR(__xludf.DUMMYFUNCTION("""COMPUTED_VALUE"""),186.45)</f>
        <v>186.45</v>
      </c>
      <c r="C682" s="1">
        <f ca="1">IFERROR(__xludf.DUMMYFUNCTION("""COMPUTED_VALUE"""),188.8)</f>
        <v>188.8</v>
      </c>
      <c r="D682" s="1">
        <f ca="1">IFERROR(__xludf.DUMMYFUNCTION("""COMPUTED_VALUE"""),185.06)</f>
        <v>185.06</v>
      </c>
      <c r="E682" s="1">
        <f ca="1">IFERROR(__xludf.DUMMYFUNCTION("""COMPUTED_VALUE"""),186.43)</f>
        <v>186.43</v>
      </c>
      <c r="F682" s="1">
        <f ca="1">IFERROR(__xludf.DUMMYFUNCTION("""COMPUTED_VALUE"""),34448130)</f>
        <v>34448130</v>
      </c>
    </row>
    <row r="683" spans="1:6" ht="12.6">
      <c r="A683" s="2">
        <f ca="1">IFERROR(__xludf.DUMMYFUNCTION("""COMPUTED_VALUE"""),45554.6666666666)</f>
        <v>45554.666666666599</v>
      </c>
      <c r="B683" s="1">
        <f ca="1">IFERROR(__xludf.DUMMYFUNCTION("""COMPUTED_VALUE"""),190.04)</f>
        <v>190.04</v>
      </c>
      <c r="C683" s="1">
        <f ca="1">IFERROR(__xludf.DUMMYFUNCTION("""COMPUTED_VALUE"""),190.99)</f>
        <v>190.99</v>
      </c>
      <c r="D683" s="1">
        <f ca="1">IFERROR(__xludf.DUMMYFUNCTION("""COMPUTED_VALUE"""),188.47)</f>
        <v>188.47</v>
      </c>
      <c r="E683" s="1">
        <f ca="1">IFERROR(__xludf.DUMMYFUNCTION("""COMPUTED_VALUE"""),189.87)</f>
        <v>189.87</v>
      </c>
      <c r="F683" s="1">
        <f ca="1">IFERROR(__xludf.DUMMYFUNCTION("""COMPUTED_VALUE"""),39543168)</f>
        <v>39543168</v>
      </c>
    </row>
    <row r="684" spans="1:6" ht="12.6">
      <c r="A684" s="2">
        <f ca="1">IFERROR(__xludf.DUMMYFUNCTION("""COMPUTED_VALUE"""),45555.6666666666)</f>
        <v>45555.666666666599</v>
      </c>
      <c r="B684" s="1">
        <f ca="1">IFERROR(__xludf.DUMMYFUNCTION("""COMPUTED_VALUE"""),190.23)</f>
        <v>190.23</v>
      </c>
      <c r="C684" s="1">
        <f ca="1">IFERROR(__xludf.DUMMYFUNCTION("""COMPUTED_VALUE"""),191.84)</f>
        <v>191.84</v>
      </c>
      <c r="D684" s="1">
        <f ca="1">IFERROR(__xludf.DUMMYFUNCTION("""COMPUTED_VALUE"""),187.41)</f>
        <v>187.41</v>
      </c>
      <c r="E684" s="1">
        <f ca="1">IFERROR(__xludf.DUMMYFUNCTION("""COMPUTED_VALUE"""),191.6)</f>
        <v>191.6</v>
      </c>
      <c r="F684" s="1">
        <f ca="1">IFERROR(__xludf.DUMMYFUNCTION("""COMPUTED_VALUE"""),100378553)</f>
        <v>100378553</v>
      </c>
    </row>
    <row r="685" spans="1:6" ht="12.6">
      <c r="A685" s="2">
        <f ca="1">IFERROR(__xludf.DUMMYFUNCTION("""COMPUTED_VALUE"""),45558.6666666666)</f>
        <v>45558.666666666599</v>
      </c>
      <c r="B685" s="1">
        <f ca="1">IFERROR(__xludf.DUMMYFUNCTION("""COMPUTED_VALUE"""),191.64)</f>
        <v>191.64</v>
      </c>
      <c r="C685" s="1">
        <f ca="1">IFERROR(__xludf.DUMMYFUNCTION("""COMPUTED_VALUE"""),194.45)</f>
        <v>194.45</v>
      </c>
      <c r="D685" s="1">
        <f ca="1">IFERROR(__xludf.DUMMYFUNCTION("""COMPUTED_VALUE"""),190.57)</f>
        <v>190.57</v>
      </c>
      <c r="E685" s="1">
        <f ca="1">IFERROR(__xludf.DUMMYFUNCTION("""COMPUTED_VALUE"""),193.88)</f>
        <v>193.88</v>
      </c>
      <c r="F685" s="1">
        <f ca="1">IFERROR(__xludf.DUMMYFUNCTION("""COMPUTED_VALUE"""),36993111)</f>
        <v>36993111</v>
      </c>
    </row>
    <row r="686" spans="1:6" ht="12.6">
      <c r="A686" s="2">
        <f ca="1">IFERROR(__xludf.DUMMYFUNCTION("""COMPUTED_VALUE"""),45559.6666666666)</f>
        <v>45559.666666666599</v>
      </c>
      <c r="B686" s="1">
        <f ca="1">IFERROR(__xludf.DUMMYFUNCTION("""COMPUTED_VALUE"""),194.27)</f>
        <v>194.27</v>
      </c>
      <c r="C686" s="1">
        <f ca="1">IFERROR(__xludf.DUMMYFUNCTION("""COMPUTED_VALUE"""),195.37)</f>
        <v>195.37</v>
      </c>
      <c r="D686" s="1">
        <f ca="1">IFERROR(__xludf.DUMMYFUNCTION("""COMPUTED_VALUE"""),190.13)</f>
        <v>190.13</v>
      </c>
      <c r="E686" s="1">
        <f ca="1">IFERROR(__xludf.DUMMYFUNCTION("""COMPUTED_VALUE"""),193.96)</f>
        <v>193.96</v>
      </c>
      <c r="F686" s="1">
        <f ca="1">IFERROR(__xludf.DUMMYFUNCTION("""COMPUTED_VALUE"""),43478926)</f>
        <v>43478926</v>
      </c>
    </row>
    <row r="687" spans="1:6" ht="12.6">
      <c r="A687" s="2">
        <f ca="1">IFERROR(__xludf.DUMMYFUNCTION("""COMPUTED_VALUE"""),45560.6666666666)</f>
        <v>45560.666666666599</v>
      </c>
      <c r="B687" s="1">
        <f ca="1">IFERROR(__xludf.DUMMYFUNCTION("""COMPUTED_VALUE"""),193.75)</f>
        <v>193.75</v>
      </c>
      <c r="C687" s="1">
        <f ca="1">IFERROR(__xludf.DUMMYFUNCTION("""COMPUTED_VALUE"""),193.95)</f>
        <v>193.95</v>
      </c>
      <c r="D687" s="1">
        <f ca="1">IFERROR(__xludf.DUMMYFUNCTION("""COMPUTED_VALUE"""),192.16)</f>
        <v>192.16</v>
      </c>
      <c r="E687" s="1">
        <f ca="1">IFERROR(__xludf.DUMMYFUNCTION("""COMPUTED_VALUE"""),192.53)</f>
        <v>192.53</v>
      </c>
      <c r="F687" s="1">
        <f ca="1">IFERROR(__xludf.DUMMYFUNCTION("""COMPUTED_VALUE"""),26391144)</f>
        <v>26391144</v>
      </c>
    </row>
    <row r="688" spans="1:6" ht="12.6">
      <c r="A688" s="2">
        <f ca="1">IFERROR(__xludf.DUMMYFUNCTION("""COMPUTED_VALUE"""),45561.6666666666)</f>
        <v>45561.666666666599</v>
      </c>
      <c r="B688" s="1">
        <f ca="1">IFERROR(__xludf.DUMMYFUNCTION("""COMPUTED_VALUE"""),194.31)</f>
        <v>194.31</v>
      </c>
      <c r="C688" s="1">
        <f ca="1">IFERROR(__xludf.DUMMYFUNCTION("""COMPUTED_VALUE"""),194.53)</f>
        <v>194.53</v>
      </c>
      <c r="D688" s="1">
        <f ca="1">IFERROR(__xludf.DUMMYFUNCTION("""COMPUTED_VALUE"""),189.54)</f>
        <v>189.54</v>
      </c>
      <c r="E688" s="1">
        <f ca="1">IFERROR(__xludf.DUMMYFUNCTION("""COMPUTED_VALUE"""),191.16)</f>
        <v>191.16</v>
      </c>
      <c r="F688" s="1">
        <f ca="1">IFERROR(__xludf.DUMMYFUNCTION("""COMPUTED_VALUE"""),36334854)</f>
        <v>36334854</v>
      </c>
    </row>
    <row r="689" spans="1:6" ht="12.6">
      <c r="A689" s="2">
        <f ca="1">IFERROR(__xludf.DUMMYFUNCTION("""COMPUTED_VALUE"""),45562.6666666666)</f>
        <v>45562.666666666599</v>
      </c>
      <c r="B689" s="1">
        <f ca="1">IFERROR(__xludf.DUMMYFUNCTION("""COMPUTED_VALUE"""),190.68)</f>
        <v>190.68</v>
      </c>
      <c r="C689" s="1">
        <f ca="1">IFERROR(__xludf.DUMMYFUNCTION("""COMPUTED_VALUE"""),190.9)</f>
        <v>190.9</v>
      </c>
      <c r="D689" s="1">
        <f ca="1">IFERROR(__xludf.DUMMYFUNCTION("""COMPUTED_VALUE"""),187.34)</f>
        <v>187.34</v>
      </c>
      <c r="E689" s="1">
        <f ca="1">IFERROR(__xludf.DUMMYFUNCTION("""COMPUTED_VALUE"""),187.97)</f>
        <v>187.97</v>
      </c>
      <c r="F689" s="1">
        <f ca="1">IFERROR(__xludf.DUMMYFUNCTION("""COMPUTED_VALUE"""),36002316)</f>
        <v>36002316</v>
      </c>
    </row>
    <row r="690" spans="1:6" ht="12.6">
      <c r="A690" s="2">
        <f ca="1">IFERROR(__xludf.DUMMYFUNCTION("""COMPUTED_VALUE"""),45565.6666666666)</f>
        <v>45565.666666666599</v>
      </c>
      <c r="B690" s="1">
        <f ca="1">IFERROR(__xludf.DUMMYFUNCTION("""COMPUTED_VALUE"""),187.14)</f>
        <v>187.14</v>
      </c>
      <c r="C690" s="1">
        <f ca="1">IFERROR(__xludf.DUMMYFUNCTION("""COMPUTED_VALUE"""),188.49)</f>
        <v>188.49</v>
      </c>
      <c r="D690" s="1">
        <f ca="1">IFERROR(__xludf.DUMMYFUNCTION("""COMPUTED_VALUE"""),184.65)</f>
        <v>184.65</v>
      </c>
      <c r="E690" s="1">
        <f ca="1">IFERROR(__xludf.DUMMYFUNCTION("""COMPUTED_VALUE"""),186.33)</f>
        <v>186.33</v>
      </c>
      <c r="F690" s="1">
        <f ca="1">IFERROR(__xludf.DUMMYFUNCTION("""COMPUTED_VALUE"""),41680400)</f>
        <v>41680400</v>
      </c>
    </row>
    <row r="691" spans="1:6" ht="12.6">
      <c r="A691" s="2">
        <f ca="1">IFERROR(__xludf.DUMMYFUNCTION("""COMPUTED_VALUE"""),45566.6666666666)</f>
        <v>45566.666666666599</v>
      </c>
      <c r="B691" s="1">
        <f ca="1">IFERROR(__xludf.DUMMYFUNCTION("""COMPUTED_VALUE"""),184.9)</f>
        <v>184.9</v>
      </c>
      <c r="C691" s="1">
        <f ca="1">IFERROR(__xludf.DUMMYFUNCTION("""COMPUTED_VALUE"""),186.19)</f>
        <v>186.19</v>
      </c>
      <c r="D691" s="1">
        <f ca="1">IFERROR(__xludf.DUMMYFUNCTION("""COMPUTED_VALUE"""),183.45)</f>
        <v>183.45</v>
      </c>
      <c r="E691" s="1">
        <f ca="1">IFERROR(__xludf.DUMMYFUNCTION("""COMPUTED_VALUE"""),185.13)</f>
        <v>185.13</v>
      </c>
      <c r="F691" s="1">
        <f ca="1">IFERROR(__xludf.DUMMYFUNCTION("""COMPUTED_VALUE"""),36044906)</f>
        <v>36044906</v>
      </c>
    </row>
    <row r="692" spans="1:6" ht="12.6">
      <c r="A692" s="2">
        <f ca="1">IFERROR(__xludf.DUMMYFUNCTION("""COMPUTED_VALUE"""),45567.6666666666)</f>
        <v>45567.666666666599</v>
      </c>
      <c r="B692" s="1">
        <f ca="1">IFERROR(__xludf.DUMMYFUNCTION("""COMPUTED_VALUE"""),184.44)</f>
        <v>184.44</v>
      </c>
      <c r="C692" s="1">
        <f ca="1">IFERROR(__xludf.DUMMYFUNCTION("""COMPUTED_VALUE"""),186.6)</f>
        <v>186.6</v>
      </c>
      <c r="D692" s="1">
        <f ca="1">IFERROR(__xludf.DUMMYFUNCTION("""COMPUTED_VALUE"""),184.04)</f>
        <v>184.04</v>
      </c>
      <c r="E692" s="1">
        <f ca="1">IFERROR(__xludf.DUMMYFUNCTION("""COMPUTED_VALUE"""),184.76)</f>
        <v>184.76</v>
      </c>
      <c r="F692" s="1">
        <f ca="1">IFERROR(__xludf.DUMMYFUNCTION("""COMPUTED_VALUE"""),23704056)</f>
        <v>23704056</v>
      </c>
    </row>
    <row r="693" spans="1:6" ht="12.6">
      <c r="A693" s="2">
        <f ca="1">IFERROR(__xludf.DUMMYFUNCTION("""COMPUTED_VALUE"""),45568.6666666666)</f>
        <v>45568.666666666599</v>
      </c>
      <c r="B693" s="1">
        <f ca="1">IFERROR(__xludf.DUMMYFUNCTION("""COMPUTED_VALUE"""),183.05)</f>
        <v>183.05</v>
      </c>
      <c r="C693" s="1">
        <f ca="1">IFERROR(__xludf.DUMMYFUNCTION("""COMPUTED_VALUE"""),183.44)</f>
        <v>183.44</v>
      </c>
      <c r="D693" s="1">
        <f ca="1">IFERROR(__xludf.DUMMYFUNCTION("""COMPUTED_VALUE"""),180.88)</f>
        <v>180.88</v>
      </c>
      <c r="E693" s="1">
        <f ca="1">IFERROR(__xludf.DUMMYFUNCTION("""COMPUTED_VALUE"""),181.96)</f>
        <v>181.96</v>
      </c>
      <c r="F693" s="1">
        <f ca="1">IFERROR(__xludf.DUMMYFUNCTION("""COMPUTED_VALUE"""),30204302)</f>
        <v>30204302</v>
      </c>
    </row>
    <row r="694" spans="1:6" ht="12.6">
      <c r="A694" s="2">
        <f ca="1">IFERROR(__xludf.DUMMYFUNCTION("""COMPUTED_VALUE"""),45569.6666666666)</f>
        <v>45569.666666666599</v>
      </c>
      <c r="B694" s="1">
        <f ca="1">IFERROR(__xludf.DUMMYFUNCTION("""COMPUTED_VALUE"""),185.75)</f>
        <v>185.75</v>
      </c>
      <c r="C694" s="1">
        <f ca="1">IFERROR(__xludf.DUMMYFUNCTION("""COMPUTED_VALUE"""),187.6)</f>
        <v>187.6</v>
      </c>
      <c r="D694" s="1">
        <f ca="1">IFERROR(__xludf.DUMMYFUNCTION("""COMPUTED_VALUE"""),183.6)</f>
        <v>183.6</v>
      </c>
      <c r="E694" s="1">
        <f ca="1">IFERROR(__xludf.DUMMYFUNCTION("""COMPUTED_VALUE"""),186.51)</f>
        <v>186.51</v>
      </c>
      <c r="F694" s="1">
        <f ca="1">IFERROR(__xludf.DUMMYFUNCTION("""COMPUTED_VALUE"""),41079011)</f>
        <v>41079011</v>
      </c>
    </row>
    <row r="695" spans="1:6" ht="12.6">
      <c r="A695" s="2">
        <f ca="1">IFERROR(__xludf.DUMMYFUNCTION("""COMPUTED_VALUE"""),45572.6666666666)</f>
        <v>45572.666666666599</v>
      </c>
      <c r="B695" s="1">
        <f ca="1">IFERROR(__xludf.DUMMYFUNCTION("""COMPUTED_VALUE"""),182.95)</f>
        <v>182.95</v>
      </c>
      <c r="C695" s="1">
        <f ca="1">IFERROR(__xludf.DUMMYFUNCTION("""COMPUTED_VALUE"""),183.6)</f>
        <v>183.6</v>
      </c>
      <c r="D695" s="1">
        <f ca="1">IFERROR(__xludf.DUMMYFUNCTION("""COMPUTED_VALUE"""),180.25)</f>
        <v>180.25</v>
      </c>
      <c r="E695" s="1">
        <f ca="1">IFERROR(__xludf.DUMMYFUNCTION("""COMPUTED_VALUE"""),180.8)</f>
        <v>180.8</v>
      </c>
      <c r="F695" s="1">
        <f ca="1">IFERROR(__xludf.DUMMYFUNCTION("""COMPUTED_VALUE"""),42364201)</f>
        <v>42364201</v>
      </c>
    </row>
    <row r="696" spans="1:6" ht="12.6">
      <c r="A696" s="2">
        <f ca="1">IFERROR(__xludf.DUMMYFUNCTION("""COMPUTED_VALUE"""),45573.6666666666)</f>
        <v>45573.666666666599</v>
      </c>
      <c r="B696" s="1">
        <f ca="1">IFERROR(__xludf.DUMMYFUNCTION("""COMPUTED_VALUE"""),181.92)</f>
        <v>181.92</v>
      </c>
      <c r="C696" s="1">
        <f ca="1">IFERROR(__xludf.DUMMYFUNCTION("""COMPUTED_VALUE"""),183.09)</f>
        <v>183.09</v>
      </c>
      <c r="D696" s="1">
        <f ca="1">IFERROR(__xludf.DUMMYFUNCTION("""COMPUTED_VALUE"""),180.92)</f>
        <v>180.92</v>
      </c>
      <c r="E696" s="1">
        <f ca="1">IFERROR(__xludf.DUMMYFUNCTION("""COMPUTED_VALUE"""),182.72)</f>
        <v>182.72</v>
      </c>
      <c r="F696" s="1">
        <f ca="1">IFERROR(__xludf.DUMMYFUNCTION("""COMPUTED_VALUE"""),26372086)</f>
        <v>26372086</v>
      </c>
    </row>
    <row r="697" spans="1:6" ht="12.6">
      <c r="A697" s="2">
        <f ca="1">IFERROR(__xludf.DUMMYFUNCTION("""COMPUTED_VALUE"""),45574.6666666666)</f>
        <v>45574.666666666599</v>
      </c>
      <c r="B697" s="1">
        <f ca="1">IFERROR(__xludf.DUMMYFUNCTION("""COMPUTED_VALUE"""),182.82)</f>
        <v>182.82</v>
      </c>
      <c r="C697" s="1">
        <f ca="1">IFERROR(__xludf.DUMMYFUNCTION("""COMPUTED_VALUE"""),185.85)</f>
        <v>185.85</v>
      </c>
      <c r="D697" s="1">
        <f ca="1">IFERROR(__xludf.DUMMYFUNCTION("""COMPUTED_VALUE"""),182.05)</f>
        <v>182.05</v>
      </c>
      <c r="E697" s="1">
        <f ca="1">IFERROR(__xludf.DUMMYFUNCTION("""COMPUTED_VALUE"""),185.17)</f>
        <v>185.17</v>
      </c>
      <c r="F697" s="1">
        <f ca="1">IFERROR(__xludf.DUMMYFUNCTION("""COMPUTED_VALUE"""),26343117)</f>
        <v>26343117</v>
      </c>
    </row>
    <row r="698" spans="1:6" ht="12.6">
      <c r="A698" s="2">
        <f ca="1">IFERROR(__xludf.DUMMYFUNCTION("""COMPUTED_VALUE"""),45575.6666666666)</f>
        <v>45575.666666666599</v>
      </c>
      <c r="B698" s="1">
        <f ca="1">IFERROR(__xludf.DUMMYFUNCTION("""COMPUTED_VALUE"""),187.13)</f>
        <v>187.13</v>
      </c>
      <c r="C698" s="1">
        <f ca="1">IFERROR(__xludf.DUMMYFUNCTION("""COMPUTED_VALUE"""),188.13)</f>
        <v>188.13</v>
      </c>
      <c r="D698" s="1">
        <f ca="1">IFERROR(__xludf.DUMMYFUNCTION("""COMPUTED_VALUE"""),185.83)</f>
        <v>185.83</v>
      </c>
      <c r="E698" s="1">
        <f ca="1">IFERROR(__xludf.DUMMYFUNCTION("""COMPUTED_VALUE"""),186.65)</f>
        <v>186.65</v>
      </c>
      <c r="F698" s="1">
        <f ca="1">IFERROR(__xludf.DUMMYFUNCTION("""COMPUTED_VALUE"""),27785043)</f>
        <v>27785043</v>
      </c>
    </row>
    <row r="699" spans="1:6" ht="12.6">
      <c r="A699" s="2">
        <f ca="1">IFERROR(__xludf.DUMMYFUNCTION("""COMPUTED_VALUE"""),45576.6666666666)</f>
        <v>45576.666666666599</v>
      </c>
      <c r="B699" s="1">
        <f ca="1">IFERROR(__xludf.DUMMYFUNCTION("""COMPUTED_VALUE"""),186.63)</f>
        <v>186.63</v>
      </c>
      <c r="C699" s="1">
        <f ca="1">IFERROR(__xludf.DUMMYFUNCTION("""COMPUTED_VALUE"""),189.93)</f>
        <v>189.93</v>
      </c>
      <c r="D699" s="1">
        <f ca="1">IFERROR(__xludf.DUMMYFUNCTION("""COMPUTED_VALUE"""),186.3)</f>
        <v>186.3</v>
      </c>
      <c r="E699" s="1">
        <f ca="1">IFERROR(__xludf.DUMMYFUNCTION("""COMPUTED_VALUE"""),188.82)</f>
        <v>188.82</v>
      </c>
      <c r="F699" s="1">
        <f ca="1">IFERROR(__xludf.DUMMYFUNCTION("""COMPUTED_VALUE"""),25751557)</f>
        <v>25751557</v>
      </c>
    </row>
    <row r="700" spans="1:6" ht="12.6">
      <c r="A700" s="2">
        <f ca="1">IFERROR(__xludf.DUMMYFUNCTION("""COMPUTED_VALUE"""),45579.6666666666)</f>
        <v>45579.666666666599</v>
      </c>
      <c r="B700" s="1">
        <f ca="1">IFERROR(__xludf.DUMMYFUNCTION("""COMPUTED_VALUE"""),189.78)</f>
        <v>189.78</v>
      </c>
      <c r="C700" s="1">
        <f ca="1">IFERROR(__xludf.DUMMYFUNCTION("""COMPUTED_VALUE"""),189.83)</f>
        <v>189.83</v>
      </c>
      <c r="D700" s="1">
        <f ca="1">IFERROR(__xludf.DUMMYFUNCTION("""COMPUTED_VALUE"""),187.36)</f>
        <v>187.36</v>
      </c>
      <c r="E700" s="1">
        <f ca="1">IFERROR(__xludf.DUMMYFUNCTION("""COMPUTED_VALUE"""),187.54)</f>
        <v>187.54</v>
      </c>
      <c r="F700" s="1">
        <f ca="1">IFERROR(__xludf.DUMMYFUNCTION("""COMPUTED_VALUE"""),22614407)</f>
        <v>22614407</v>
      </c>
    </row>
    <row r="701" spans="1:6" ht="12.6">
      <c r="A701" s="2">
        <f ca="1">IFERROR(__xludf.DUMMYFUNCTION("""COMPUTED_VALUE"""),45580.6666666666)</f>
        <v>45580.666666666599</v>
      </c>
      <c r="B701" s="1">
        <f ca="1">IFERROR(__xludf.DUMMYFUNCTION("""COMPUTED_VALUE"""),187.63)</f>
        <v>187.63</v>
      </c>
      <c r="C701" s="1">
        <f ca="1">IFERROR(__xludf.DUMMYFUNCTION("""COMPUTED_VALUE"""),188.41)</f>
        <v>188.41</v>
      </c>
      <c r="D701" s="1">
        <f ca="1">IFERROR(__xludf.DUMMYFUNCTION("""COMPUTED_VALUE"""),184.58)</f>
        <v>184.58</v>
      </c>
      <c r="E701" s="1">
        <f ca="1">IFERROR(__xludf.DUMMYFUNCTION("""COMPUTED_VALUE"""),187.69)</f>
        <v>187.69</v>
      </c>
      <c r="F701" s="1">
        <f ca="1">IFERROR(__xludf.DUMMYFUNCTION("""COMPUTED_VALUE"""),32178925)</f>
        <v>32178925</v>
      </c>
    </row>
    <row r="702" spans="1:6" ht="12.6">
      <c r="A702" s="2">
        <f ca="1">IFERROR(__xludf.DUMMYFUNCTION("""COMPUTED_VALUE"""),45581.6666666666)</f>
        <v>45581.666666666599</v>
      </c>
      <c r="B702" s="1">
        <f ca="1">IFERROR(__xludf.DUMMYFUNCTION("""COMPUTED_VALUE"""),187.05)</f>
        <v>187.05</v>
      </c>
      <c r="C702" s="1">
        <f ca="1">IFERROR(__xludf.DUMMYFUNCTION("""COMPUTED_VALUE"""),187.78)</f>
        <v>187.78</v>
      </c>
      <c r="D702" s="1">
        <f ca="1">IFERROR(__xludf.DUMMYFUNCTION("""COMPUTED_VALUE"""),185.61)</f>
        <v>185.61</v>
      </c>
      <c r="E702" s="1">
        <f ca="1">IFERROR(__xludf.DUMMYFUNCTION("""COMPUTED_VALUE"""),186.89)</f>
        <v>186.89</v>
      </c>
      <c r="F702" s="1">
        <f ca="1">IFERROR(__xludf.DUMMYFUNCTION("""COMPUTED_VALUE"""),23456812)</f>
        <v>23456812</v>
      </c>
    </row>
    <row r="703" spans="1:6" ht="12.6">
      <c r="A703" s="2">
        <f ca="1">IFERROR(__xludf.DUMMYFUNCTION("""COMPUTED_VALUE"""),45582.6666666666)</f>
        <v>45582.666666666599</v>
      </c>
      <c r="B703" s="1">
        <f ca="1">IFERROR(__xludf.DUMMYFUNCTION("""COMPUTED_VALUE"""),188.22)</f>
        <v>188.22</v>
      </c>
      <c r="C703" s="1">
        <f ca="1">IFERROR(__xludf.DUMMYFUNCTION("""COMPUTED_VALUE"""),188.94)</f>
        <v>188.94</v>
      </c>
      <c r="D703" s="1">
        <f ca="1">IFERROR(__xludf.DUMMYFUNCTION("""COMPUTED_VALUE"""),186)</f>
        <v>186</v>
      </c>
      <c r="E703" s="1">
        <f ca="1">IFERROR(__xludf.DUMMYFUNCTION("""COMPUTED_VALUE"""),187.53)</f>
        <v>187.53</v>
      </c>
      <c r="F703" s="1">
        <f ca="1">IFERROR(__xludf.DUMMYFUNCTION("""COMPUTED_VALUE"""),25039414)</f>
        <v>25039414</v>
      </c>
    </row>
    <row r="704" spans="1:6" ht="12.6">
      <c r="A704" s="2">
        <f ca="1">IFERROR(__xludf.DUMMYFUNCTION("""COMPUTED_VALUE"""),45583.6666666666)</f>
        <v>45583.666666666599</v>
      </c>
      <c r="B704" s="1">
        <f ca="1">IFERROR(__xludf.DUMMYFUNCTION("""COMPUTED_VALUE"""),187.15)</f>
        <v>187.15</v>
      </c>
      <c r="C704" s="1">
        <f ca="1">IFERROR(__xludf.DUMMYFUNCTION("""COMPUTED_VALUE"""),190.74)</f>
        <v>190.74</v>
      </c>
      <c r="D704" s="1">
        <f ca="1">IFERROR(__xludf.DUMMYFUNCTION("""COMPUTED_VALUE"""),186.28)</f>
        <v>186.28</v>
      </c>
      <c r="E704" s="1">
        <f ca="1">IFERROR(__xludf.DUMMYFUNCTION("""COMPUTED_VALUE"""),188.99)</f>
        <v>188.99</v>
      </c>
      <c r="F704" s="1">
        <f ca="1">IFERROR(__xludf.DUMMYFUNCTION("""COMPUTED_VALUE"""),37417670)</f>
        <v>37417670</v>
      </c>
    </row>
    <row r="705" spans="1:6" ht="12.6">
      <c r="A705" s="2">
        <f ca="1">IFERROR(__xludf.DUMMYFUNCTION("""COMPUTED_VALUE"""),45586.6666666666)</f>
        <v>45586.666666666599</v>
      </c>
      <c r="B705" s="1">
        <f ca="1">IFERROR(__xludf.DUMMYFUNCTION("""COMPUTED_VALUE"""),188.05)</f>
        <v>188.05</v>
      </c>
      <c r="C705" s="1">
        <f ca="1">IFERROR(__xludf.DUMMYFUNCTION("""COMPUTED_VALUE"""),189.46)</f>
        <v>189.46</v>
      </c>
      <c r="D705" s="1">
        <f ca="1">IFERROR(__xludf.DUMMYFUNCTION("""COMPUTED_VALUE"""),186.4)</f>
        <v>186.4</v>
      </c>
      <c r="E705" s="1">
        <f ca="1">IFERROR(__xludf.DUMMYFUNCTION("""COMPUTED_VALUE"""),189.07)</f>
        <v>189.07</v>
      </c>
      <c r="F705" s="1">
        <f ca="1">IFERROR(__xludf.DUMMYFUNCTION("""COMPUTED_VALUE"""),24639393)</f>
        <v>24639393</v>
      </c>
    </row>
    <row r="706" spans="1:6" ht="12.6">
      <c r="A706" s="2">
        <f ca="1">IFERROR(__xludf.DUMMYFUNCTION("""COMPUTED_VALUE"""),45587.6666666666)</f>
        <v>45587.666666666599</v>
      </c>
      <c r="B706" s="1">
        <f ca="1">IFERROR(__xludf.DUMMYFUNCTION("""COMPUTED_VALUE"""),188.35)</f>
        <v>188.35</v>
      </c>
      <c r="C706" s="1">
        <f ca="1">IFERROR(__xludf.DUMMYFUNCTION("""COMPUTED_VALUE"""),191.52)</f>
        <v>191.52</v>
      </c>
      <c r="D706" s="1">
        <f ca="1">IFERROR(__xludf.DUMMYFUNCTION("""COMPUTED_VALUE"""),186.98)</f>
        <v>186.98</v>
      </c>
      <c r="E706" s="1">
        <f ca="1">IFERROR(__xludf.DUMMYFUNCTION("""COMPUTED_VALUE"""),189.7)</f>
        <v>189.7</v>
      </c>
      <c r="F706" s="1">
        <f ca="1">IFERROR(__xludf.DUMMYFUNCTION("""COMPUTED_VALUE"""),29650593)</f>
        <v>29650593</v>
      </c>
    </row>
    <row r="707" spans="1:6" ht="12.6">
      <c r="A707" s="2">
        <f ca="1">IFERROR(__xludf.DUMMYFUNCTION("""COMPUTED_VALUE"""),45588.6666666666)</f>
        <v>45588.666666666599</v>
      </c>
      <c r="B707" s="1">
        <f ca="1">IFERROR(__xludf.DUMMYFUNCTION("""COMPUTED_VALUE"""),188.85)</f>
        <v>188.85</v>
      </c>
      <c r="C707" s="1">
        <f ca="1">IFERROR(__xludf.DUMMYFUNCTION("""COMPUTED_VALUE"""),189.16)</f>
        <v>189.16</v>
      </c>
      <c r="D707" s="1">
        <f ca="1">IFERROR(__xludf.DUMMYFUNCTION("""COMPUTED_VALUE"""),183.69)</f>
        <v>183.69</v>
      </c>
      <c r="E707" s="1">
        <f ca="1">IFERROR(__xludf.DUMMYFUNCTION("""COMPUTED_VALUE"""),184.71)</f>
        <v>184.71</v>
      </c>
      <c r="F707" s="1">
        <f ca="1">IFERROR(__xludf.DUMMYFUNCTION("""COMPUTED_VALUE"""),31937089)</f>
        <v>31937089</v>
      </c>
    </row>
    <row r="708" spans="1:6" ht="12.6">
      <c r="A708" s="2">
        <f ca="1">IFERROR(__xludf.DUMMYFUNCTION("""COMPUTED_VALUE"""),45589.6666666666)</f>
        <v>45589.666666666599</v>
      </c>
      <c r="B708" s="1">
        <f ca="1">IFERROR(__xludf.DUMMYFUNCTION("""COMPUTED_VALUE"""),185.25)</f>
        <v>185.25</v>
      </c>
      <c r="C708" s="1">
        <f ca="1">IFERROR(__xludf.DUMMYFUNCTION("""COMPUTED_VALUE"""),187.11)</f>
        <v>187.11</v>
      </c>
      <c r="D708" s="1">
        <f ca="1">IFERROR(__xludf.DUMMYFUNCTION("""COMPUTED_VALUE"""),183.86)</f>
        <v>183.86</v>
      </c>
      <c r="E708" s="1">
        <f ca="1">IFERROR(__xludf.DUMMYFUNCTION("""COMPUTED_VALUE"""),186.38)</f>
        <v>186.38</v>
      </c>
      <c r="F708" s="1">
        <f ca="1">IFERROR(__xludf.DUMMYFUNCTION("""COMPUTED_VALUE"""),21647395)</f>
        <v>21647395</v>
      </c>
    </row>
    <row r="709" spans="1:6" ht="12.6">
      <c r="A709" s="2">
        <f ca="1">IFERROR(__xludf.DUMMYFUNCTION("""COMPUTED_VALUE"""),45590.6666666666)</f>
        <v>45590.666666666599</v>
      </c>
      <c r="B709" s="1">
        <f ca="1">IFERROR(__xludf.DUMMYFUNCTION("""COMPUTED_VALUE"""),187.85)</f>
        <v>187.85</v>
      </c>
      <c r="C709" s="1">
        <f ca="1">IFERROR(__xludf.DUMMYFUNCTION("""COMPUTED_VALUE"""),190.45)</f>
        <v>190.45</v>
      </c>
      <c r="D709" s="1">
        <f ca="1">IFERROR(__xludf.DUMMYFUNCTION("""COMPUTED_VALUE"""),187.53)</f>
        <v>187.53</v>
      </c>
      <c r="E709" s="1">
        <f ca="1">IFERROR(__xludf.DUMMYFUNCTION("""COMPUTED_VALUE"""),187.83)</f>
        <v>187.83</v>
      </c>
      <c r="F709" s="1">
        <f ca="1">IFERROR(__xludf.DUMMYFUNCTION("""COMPUTED_VALUE"""),29362060)</f>
        <v>29362060</v>
      </c>
    </row>
    <row r="710" spans="1:6" ht="12.6">
      <c r="A710" s="2">
        <f ca="1">IFERROR(__xludf.DUMMYFUNCTION("""COMPUTED_VALUE"""),45593.6666666666)</f>
        <v>45593.666666666599</v>
      </c>
      <c r="B710" s="1">
        <f ca="1">IFERROR(__xludf.DUMMYFUNCTION("""COMPUTED_VALUE"""),189.57)</f>
        <v>189.57</v>
      </c>
      <c r="C710" s="1">
        <f ca="1">IFERROR(__xludf.DUMMYFUNCTION("""COMPUTED_VALUE"""),190.21)</f>
        <v>190.21</v>
      </c>
      <c r="D710" s="1">
        <f ca="1">IFERROR(__xludf.DUMMYFUNCTION("""COMPUTED_VALUE"""),188.21)</f>
        <v>188.21</v>
      </c>
      <c r="E710" s="1">
        <f ca="1">IFERROR(__xludf.DUMMYFUNCTION("""COMPUTED_VALUE"""),188.39)</f>
        <v>188.39</v>
      </c>
      <c r="F710" s="1">
        <f ca="1">IFERROR(__xludf.DUMMYFUNCTION("""COMPUTED_VALUE"""),27930836)</f>
        <v>27930836</v>
      </c>
    </row>
    <row r="711" spans="1:6" ht="12.6">
      <c r="A711" s="2">
        <f ca="1">IFERROR(__xludf.DUMMYFUNCTION("""COMPUTED_VALUE"""),45594.6666666666)</f>
        <v>45594.666666666599</v>
      </c>
      <c r="B711" s="1">
        <f ca="1">IFERROR(__xludf.DUMMYFUNCTION("""COMPUTED_VALUE"""),188.58)</f>
        <v>188.58</v>
      </c>
      <c r="C711" s="1">
        <f ca="1">IFERROR(__xludf.DUMMYFUNCTION("""COMPUTED_VALUE"""),191.46)</f>
        <v>191.46</v>
      </c>
      <c r="D711" s="1">
        <f ca="1">IFERROR(__xludf.DUMMYFUNCTION("""COMPUTED_VALUE"""),187.82)</f>
        <v>187.82</v>
      </c>
      <c r="E711" s="1">
        <f ca="1">IFERROR(__xludf.DUMMYFUNCTION("""COMPUTED_VALUE"""),190.83)</f>
        <v>190.83</v>
      </c>
      <c r="F711" s="1">
        <f ca="1">IFERROR(__xludf.DUMMYFUNCTION("""COMPUTED_VALUE"""),35690158)</f>
        <v>35690158</v>
      </c>
    </row>
    <row r="712" spans="1:6" ht="12.6">
      <c r="A712" s="2">
        <f ca="1">IFERROR(__xludf.DUMMYFUNCTION("""COMPUTED_VALUE"""),45595.6666666666)</f>
        <v>45595.666666666599</v>
      </c>
      <c r="B712" s="1">
        <f ca="1">IFERROR(__xludf.DUMMYFUNCTION("""COMPUTED_VALUE"""),194.7)</f>
        <v>194.7</v>
      </c>
      <c r="C712" s="1">
        <f ca="1">IFERROR(__xludf.DUMMYFUNCTION("""COMPUTED_VALUE"""),195.61)</f>
        <v>195.61</v>
      </c>
      <c r="D712" s="1">
        <f ca="1">IFERROR(__xludf.DUMMYFUNCTION("""COMPUTED_VALUE"""),192.42)</f>
        <v>192.42</v>
      </c>
      <c r="E712" s="1">
        <f ca="1">IFERROR(__xludf.DUMMYFUNCTION("""COMPUTED_VALUE"""),192.73)</f>
        <v>192.73</v>
      </c>
      <c r="F712" s="1">
        <f ca="1">IFERROR(__xludf.DUMMYFUNCTION("""COMPUTED_VALUE"""),37707550)</f>
        <v>37707550</v>
      </c>
    </row>
    <row r="713" spans="1:6" ht="12.6">
      <c r="A713" s="2">
        <f ca="1">IFERROR(__xludf.DUMMYFUNCTION("""COMPUTED_VALUE"""),45596.6666666666)</f>
        <v>45596.666666666599</v>
      </c>
      <c r="B713" s="1">
        <f ca="1">IFERROR(__xludf.DUMMYFUNCTION("""COMPUTED_VALUE"""),190.51)</f>
        <v>190.51</v>
      </c>
      <c r="C713" s="1">
        <f ca="1">IFERROR(__xludf.DUMMYFUNCTION("""COMPUTED_VALUE"""),190.6)</f>
        <v>190.6</v>
      </c>
      <c r="D713" s="1">
        <f ca="1">IFERROR(__xludf.DUMMYFUNCTION("""COMPUTED_VALUE"""),185.23)</f>
        <v>185.23</v>
      </c>
      <c r="E713" s="1">
        <f ca="1">IFERROR(__xludf.DUMMYFUNCTION("""COMPUTED_VALUE"""),186.4)</f>
        <v>186.4</v>
      </c>
      <c r="F713" s="1">
        <f ca="1">IFERROR(__xludf.DUMMYFUNCTION("""COMPUTED_VALUE"""),75146759)</f>
        <v>75146759</v>
      </c>
    </row>
    <row r="714" spans="1:6" ht="12.6">
      <c r="A714" s="2">
        <f ca="1">IFERROR(__xludf.DUMMYFUNCTION("""COMPUTED_VALUE"""),45597.6666666666)</f>
        <v>45597.666666666599</v>
      </c>
      <c r="B714" s="1">
        <f ca="1">IFERROR(__xludf.DUMMYFUNCTION("""COMPUTED_VALUE"""),199)</f>
        <v>199</v>
      </c>
      <c r="C714" s="1">
        <f ca="1">IFERROR(__xludf.DUMMYFUNCTION("""COMPUTED_VALUE"""),200.5)</f>
        <v>200.5</v>
      </c>
      <c r="D714" s="1">
        <f ca="1">IFERROR(__xludf.DUMMYFUNCTION("""COMPUTED_VALUE"""),197.02)</f>
        <v>197.02</v>
      </c>
      <c r="E714" s="1">
        <f ca="1">IFERROR(__xludf.DUMMYFUNCTION("""COMPUTED_VALUE"""),197.93)</f>
        <v>197.93</v>
      </c>
      <c r="F714" s="1">
        <f ca="1">IFERROR(__xludf.DUMMYFUNCTION("""COMPUTED_VALUE"""),99687847)</f>
        <v>99687847</v>
      </c>
    </row>
    <row r="715" spans="1:6" ht="12.6">
      <c r="A715" s="2">
        <f ca="1">IFERROR(__xludf.DUMMYFUNCTION("""COMPUTED_VALUE"""),45600.6666666666)</f>
        <v>45600.666666666599</v>
      </c>
      <c r="B715" s="1">
        <f ca="1">IFERROR(__xludf.DUMMYFUNCTION("""COMPUTED_VALUE"""),196.45)</f>
        <v>196.45</v>
      </c>
      <c r="C715" s="1">
        <f ca="1">IFERROR(__xludf.DUMMYFUNCTION("""COMPUTED_VALUE"""),197.33)</f>
        <v>197.33</v>
      </c>
      <c r="D715" s="1">
        <f ca="1">IFERROR(__xludf.DUMMYFUNCTION("""COMPUTED_VALUE"""),194.31)</f>
        <v>194.31</v>
      </c>
      <c r="E715" s="1">
        <f ca="1">IFERROR(__xludf.DUMMYFUNCTION("""COMPUTED_VALUE"""),195.78)</f>
        <v>195.78</v>
      </c>
      <c r="F715" s="1">
        <f ca="1">IFERROR(__xludf.DUMMYFUNCTION("""COMPUTED_VALUE"""),38492062)</f>
        <v>38492062</v>
      </c>
    </row>
    <row r="716" spans="1:6" ht="12.6">
      <c r="A716" s="2">
        <f ca="1">IFERROR(__xludf.DUMMYFUNCTION("""COMPUTED_VALUE"""),45601.6666666666)</f>
        <v>45601.666666666599</v>
      </c>
      <c r="B716" s="1">
        <f ca="1">IFERROR(__xludf.DUMMYFUNCTION("""COMPUTED_VALUE"""),196.04)</f>
        <v>196.04</v>
      </c>
      <c r="C716" s="1">
        <f ca="1">IFERROR(__xludf.DUMMYFUNCTION("""COMPUTED_VALUE"""),199.82)</f>
        <v>199.82</v>
      </c>
      <c r="D716" s="1">
        <f ca="1">IFERROR(__xludf.DUMMYFUNCTION("""COMPUTED_VALUE"""),195.99)</f>
        <v>195.99</v>
      </c>
      <c r="E716" s="1">
        <f ca="1">IFERROR(__xludf.DUMMYFUNCTION("""COMPUTED_VALUE"""),199.5)</f>
        <v>199.5</v>
      </c>
      <c r="F716" s="1">
        <f ca="1">IFERROR(__xludf.DUMMYFUNCTION("""COMPUTED_VALUE"""),30564784)</f>
        <v>30564784</v>
      </c>
    </row>
    <row r="717" spans="1:6" ht="12.6">
      <c r="A717" s="2">
        <f ca="1">IFERROR(__xludf.DUMMYFUNCTION("""COMPUTED_VALUE"""),45602.6666666666)</f>
        <v>45602.666666666599</v>
      </c>
      <c r="B717" s="1">
        <f ca="1">IFERROR(__xludf.DUMMYFUNCTION("""COMPUTED_VALUE"""),200.01)</f>
        <v>200.01</v>
      </c>
      <c r="C717" s="1">
        <f ca="1">IFERROR(__xludf.DUMMYFUNCTION("""COMPUTED_VALUE"""),207.55)</f>
        <v>207.55</v>
      </c>
      <c r="D717" s="1">
        <f ca="1">IFERROR(__xludf.DUMMYFUNCTION("""COMPUTED_VALUE"""),199.14)</f>
        <v>199.14</v>
      </c>
      <c r="E717" s="1">
        <f ca="1">IFERROR(__xludf.DUMMYFUNCTION("""COMPUTED_VALUE"""),207.09)</f>
        <v>207.09</v>
      </c>
      <c r="F717" s="1">
        <f ca="1">IFERROR(__xludf.DUMMYFUNCTION("""COMPUTED_VALUE"""),72292167)</f>
        <v>72292167</v>
      </c>
    </row>
    <row r="718" spans="1:6" ht="12.6">
      <c r="A718" s="2">
        <f ca="1">IFERROR(__xludf.DUMMYFUNCTION("""COMPUTED_VALUE"""),45603.6666666666)</f>
        <v>45603.666666666599</v>
      </c>
      <c r="B718" s="1">
        <f ca="1">IFERROR(__xludf.DUMMYFUNCTION("""COMPUTED_VALUE"""),207.44)</f>
        <v>207.44</v>
      </c>
      <c r="C718" s="1">
        <f ca="1">IFERROR(__xludf.DUMMYFUNCTION("""COMPUTED_VALUE"""),212.25)</f>
        <v>212.25</v>
      </c>
      <c r="D718" s="1">
        <f ca="1">IFERROR(__xludf.DUMMYFUNCTION("""COMPUTED_VALUE"""),207.19)</f>
        <v>207.19</v>
      </c>
      <c r="E718" s="1">
        <f ca="1">IFERROR(__xludf.DUMMYFUNCTION("""COMPUTED_VALUE"""),210.05)</f>
        <v>210.05</v>
      </c>
      <c r="F718" s="1">
        <f ca="1">IFERROR(__xludf.DUMMYFUNCTION("""COMPUTED_VALUE"""),52878383)</f>
        <v>52878383</v>
      </c>
    </row>
    <row r="719" spans="1:6" ht="12.6">
      <c r="A719" s="2">
        <f ca="1">IFERROR(__xludf.DUMMYFUNCTION("""COMPUTED_VALUE"""),45604.6666666666)</f>
        <v>45604.666666666599</v>
      </c>
      <c r="B719" s="1">
        <f ca="1">IFERROR(__xludf.DUMMYFUNCTION("""COMPUTED_VALUE"""),209.72)</f>
        <v>209.72</v>
      </c>
      <c r="C719" s="1">
        <f ca="1">IFERROR(__xludf.DUMMYFUNCTION("""COMPUTED_VALUE"""),209.96)</f>
        <v>209.96</v>
      </c>
      <c r="D719" s="1">
        <f ca="1">IFERROR(__xludf.DUMMYFUNCTION("""COMPUTED_VALUE"""),207.44)</f>
        <v>207.44</v>
      </c>
      <c r="E719" s="1">
        <f ca="1">IFERROR(__xludf.DUMMYFUNCTION("""COMPUTED_VALUE"""),208.18)</f>
        <v>208.18</v>
      </c>
      <c r="F719" s="1">
        <f ca="1">IFERROR(__xludf.DUMMYFUNCTION("""COMPUTED_VALUE"""),36075846)</f>
        <v>36075846</v>
      </c>
    </row>
    <row r="720" spans="1:6" ht="12.6">
      <c r="A720" s="2">
        <f ca="1">IFERROR(__xludf.DUMMYFUNCTION("""COMPUTED_VALUE"""),45607.6666666666)</f>
        <v>45607.666666666599</v>
      </c>
      <c r="B720" s="1">
        <f ca="1">IFERROR(__xludf.DUMMYFUNCTION("""COMPUTED_VALUE"""),208.5)</f>
        <v>208.5</v>
      </c>
      <c r="C720" s="1">
        <f ca="1">IFERROR(__xludf.DUMMYFUNCTION("""COMPUTED_VALUE"""),209.65)</f>
        <v>209.65</v>
      </c>
      <c r="D720" s="1">
        <f ca="1">IFERROR(__xludf.DUMMYFUNCTION("""COMPUTED_VALUE"""),205.59)</f>
        <v>205.59</v>
      </c>
      <c r="E720" s="1">
        <f ca="1">IFERROR(__xludf.DUMMYFUNCTION("""COMPUTED_VALUE"""),206.84)</f>
        <v>206.84</v>
      </c>
      <c r="F720" s="1">
        <f ca="1">IFERROR(__xludf.DUMMYFUNCTION("""COMPUTED_VALUE"""),35456012)</f>
        <v>35456012</v>
      </c>
    </row>
    <row r="721" spans="1:6" ht="12.6">
      <c r="A721" s="2">
        <f ca="1">IFERROR(__xludf.DUMMYFUNCTION("""COMPUTED_VALUE"""),45608.6666666666)</f>
        <v>45608.666666666599</v>
      </c>
      <c r="B721" s="1">
        <f ca="1">IFERROR(__xludf.DUMMYFUNCTION("""COMPUTED_VALUE"""),208.37)</f>
        <v>208.37</v>
      </c>
      <c r="C721" s="1">
        <f ca="1">IFERROR(__xludf.DUMMYFUNCTION("""COMPUTED_VALUE"""),209.54)</f>
        <v>209.54</v>
      </c>
      <c r="D721" s="1">
        <f ca="1">IFERROR(__xludf.DUMMYFUNCTION("""COMPUTED_VALUE"""),206.01)</f>
        <v>206.01</v>
      </c>
      <c r="E721" s="1">
        <f ca="1">IFERROR(__xludf.DUMMYFUNCTION("""COMPUTED_VALUE"""),208.91)</f>
        <v>208.91</v>
      </c>
      <c r="F721" s="1">
        <f ca="1">IFERROR(__xludf.DUMMYFUNCTION("""COMPUTED_VALUE"""),38942918)</f>
        <v>38942918</v>
      </c>
    </row>
    <row r="722" spans="1:6" ht="12.6">
      <c r="A722" s="2">
        <f ca="1">IFERROR(__xludf.DUMMYFUNCTION("""COMPUTED_VALUE"""),45609.6666666666)</f>
        <v>45609.666666666599</v>
      </c>
      <c r="B722" s="1">
        <f ca="1">IFERROR(__xludf.DUMMYFUNCTION("""COMPUTED_VALUE"""),209.4)</f>
        <v>209.4</v>
      </c>
      <c r="C722" s="1">
        <f ca="1">IFERROR(__xludf.DUMMYFUNCTION("""COMPUTED_VALUE"""),215.09)</f>
        <v>215.09</v>
      </c>
      <c r="D722" s="1">
        <f ca="1">IFERROR(__xludf.DUMMYFUNCTION("""COMPUTED_VALUE"""),209.14)</f>
        <v>209.14</v>
      </c>
      <c r="E722" s="1">
        <f ca="1">IFERROR(__xludf.DUMMYFUNCTION("""COMPUTED_VALUE"""),214.1)</f>
        <v>214.1</v>
      </c>
      <c r="F722" s="1">
        <f ca="1">IFERROR(__xludf.DUMMYFUNCTION("""COMPUTED_VALUE"""),46212943)</f>
        <v>46212943</v>
      </c>
    </row>
    <row r="723" spans="1:6" ht="12.6">
      <c r="A723" s="2">
        <f ca="1">IFERROR(__xludf.DUMMYFUNCTION("""COMPUTED_VALUE"""),45610.6666666666)</f>
        <v>45610.666666666599</v>
      </c>
      <c r="B723" s="1">
        <f ca="1">IFERROR(__xludf.DUMMYFUNCTION("""COMPUTED_VALUE"""),214.16)</f>
        <v>214.16</v>
      </c>
      <c r="C723" s="1">
        <f ca="1">IFERROR(__xludf.DUMMYFUNCTION("""COMPUTED_VALUE"""),215.9)</f>
        <v>215.9</v>
      </c>
      <c r="D723" s="1">
        <f ca="1">IFERROR(__xludf.DUMMYFUNCTION("""COMPUTED_VALUE"""),210.88)</f>
        <v>210.88</v>
      </c>
      <c r="E723" s="1">
        <f ca="1">IFERROR(__xludf.DUMMYFUNCTION("""COMPUTED_VALUE"""),211.48)</f>
        <v>211.48</v>
      </c>
      <c r="F723" s="1">
        <f ca="1">IFERROR(__xludf.DUMMYFUNCTION("""COMPUTED_VALUE"""),42620309)</f>
        <v>42620309</v>
      </c>
    </row>
    <row r="724" spans="1:6" ht="12.6">
      <c r="A724" s="2">
        <f ca="1">IFERROR(__xludf.DUMMYFUNCTION("""COMPUTED_VALUE"""),45611.6666666666)</f>
        <v>45611.666666666599</v>
      </c>
      <c r="B724" s="1">
        <f ca="1">IFERROR(__xludf.DUMMYFUNCTION("""COMPUTED_VALUE"""),206.76)</f>
        <v>206.76</v>
      </c>
      <c r="C724" s="1">
        <f ca="1">IFERROR(__xludf.DUMMYFUNCTION("""COMPUTED_VALUE"""),207.34)</f>
        <v>207.34</v>
      </c>
      <c r="D724" s="1">
        <f ca="1">IFERROR(__xludf.DUMMYFUNCTION("""COMPUTED_VALUE"""),199.61)</f>
        <v>199.61</v>
      </c>
      <c r="E724" s="1">
        <f ca="1">IFERROR(__xludf.DUMMYFUNCTION("""COMPUTED_VALUE"""),202.61)</f>
        <v>202.61</v>
      </c>
      <c r="F724" s="1">
        <f ca="1">IFERROR(__xludf.DUMMYFUNCTION("""COMPUTED_VALUE"""),86591144)</f>
        <v>86591144</v>
      </c>
    </row>
    <row r="725" spans="1:6" ht="12.6">
      <c r="A725" s="2">
        <f ca="1">IFERROR(__xludf.DUMMYFUNCTION("""COMPUTED_VALUE"""),45614.6666666666)</f>
        <v>45614.666666666599</v>
      </c>
      <c r="B725" s="1">
        <f ca="1">IFERROR(__xludf.DUMMYFUNCTION("""COMPUTED_VALUE"""),204.15)</f>
        <v>204.15</v>
      </c>
      <c r="C725" s="1">
        <f ca="1">IFERROR(__xludf.DUMMYFUNCTION("""COMPUTED_VALUE"""),204.67)</f>
        <v>204.67</v>
      </c>
      <c r="D725" s="1">
        <f ca="1">IFERROR(__xludf.DUMMYFUNCTION("""COMPUTED_VALUE"""),200.95)</f>
        <v>200.95</v>
      </c>
      <c r="E725" s="1">
        <f ca="1">IFERROR(__xludf.DUMMYFUNCTION("""COMPUTED_VALUE"""),201.7)</f>
        <v>201.7</v>
      </c>
      <c r="F725" s="1">
        <f ca="1">IFERROR(__xludf.DUMMYFUNCTION("""COMPUTED_VALUE"""),36512465)</f>
        <v>36512465</v>
      </c>
    </row>
    <row r="726" spans="1:6" ht="12.6">
      <c r="A726" s="2">
        <f ca="1">IFERROR(__xludf.DUMMYFUNCTION("""COMPUTED_VALUE"""),45615.6666666666)</f>
        <v>45615.666666666599</v>
      </c>
      <c r="B726" s="1">
        <f ca="1">IFERROR(__xludf.DUMMYFUNCTION("""COMPUTED_VALUE"""),199.33)</f>
        <v>199.33</v>
      </c>
      <c r="C726" s="1">
        <f ca="1">IFERROR(__xludf.DUMMYFUNCTION("""COMPUTED_VALUE"""),205.3)</f>
        <v>205.3</v>
      </c>
      <c r="D726" s="1">
        <f ca="1">IFERROR(__xludf.DUMMYFUNCTION("""COMPUTED_VALUE"""),198.78)</f>
        <v>198.78</v>
      </c>
      <c r="E726" s="1">
        <f ca="1">IFERROR(__xludf.DUMMYFUNCTION("""COMPUTED_VALUE"""),204.61)</f>
        <v>204.61</v>
      </c>
      <c r="F726" s="1">
        <f ca="1">IFERROR(__xludf.DUMMYFUNCTION("""COMPUTED_VALUE"""),31197867)</f>
        <v>31197867</v>
      </c>
    </row>
    <row r="727" spans="1:6" ht="12.6">
      <c r="A727" s="2">
        <f ca="1">IFERROR(__xludf.DUMMYFUNCTION("""COMPUTED_VALUE"""),45616.6666666666)</f>
        <v>45616.666666666599</v>
      </c>
      <c r="B727" s="1">
        <f ca="1">IFERROR(__xludf.DUMMYFUNCTION("""COMPUTED_VALUE"""),202.98)</f>
        <v>202.98</v>
      </c>
      <c r="C727" s="1">
        <f ca="1">IFERROR(__xludf.DUMMYFUNCTION("""COMPUTED_VALUE"""),203.13)</f>
        <v>203.13</v>
      </c>
      <c r="D727" s="1">
        <f ca="1">IFERROR(__xludf.DUMMYFUNCTION("""COMPUTED_VALUE"""),199.45)</f>
        <v>199.45</v>
      </c>
      <c r="E727" s="1">
        <f ca="1">IFERROR(__xludf.DUMMYFUNCTION("""COMPUTED_VALUE"""),202.88)</f>
        <v>202.88</v>
      </c>
      <c r="F727" s="1">
        <f ca="1">IFERROR(__xludf.DUMMYFUNCTION("""COMPUTED_VALUE"""),32768989)</f>
        <v>32768989</v>
      </c>
    </row>
    <row r="728" spans="1:6" ht="12.6">
      <c r="A728" s="2">
        <f ca="1">IFERROR(__xludf.DUMMYFUNCTION("""COMPUTED_VALUE"""),45617.6666666666)</f>
        <v>45617.666666666599</v>
      </c>
      <c r="B728" s="1">
        <f ca="1">IFERROR(__xludf.DUMMYFUNCTION("""COMPUTED_VALUE"""),203.49)</f>
        <v>203.49</v>
      </c>
      <c r="C728" s="1">
        <f ca="1">IFERROR(__xludf.DUMMYFUNCTION("""COMPUTED_VALUE"""),203.49)</f>
        <v>203.49</v>
      </c>
      <c r="D728" s="1">
        <f ca="1">IFERROR(__xludf.DUMMYFUNCTION("""COMPUTED_VALUE"""),195.75)</f>
        <v>195.75</v>
      </c>
      <c r="E728" s="1">
        <f ca="1">IFERROR(__xludf.DUMMYFUNCTION("""COMPUTED_VALUE"""),198.38)</f>
        <v>198.38</v>
      </c>
      <c r="F728" s="1">
        <f ca="1">IFERROR(__xludf.DUMMYFUNCTION("""COMPUTED_VALUE"""),58800042)</f>
        <v>58800042</v>
      </c>
    </row>
    <row r="729" spans="1:6" ht="12.6">
      <c r="A729" s="2">
        <f ca="1">IFERROR(__xludf.DUMMYFUNCTION("""COMPUTED_VALUE"""),45618.6666666666)</f>
        <v>45618.666666666599</v>
      </c>
      <c r="B729" s="1">
        <f ca="1">IFERROR(__xludf.DUMMYFUNCTION("""COMPUTED_VALUE"""),198.25)</f>
        <v>198.25</v>
      </c>
      <c r="C729" s="1">
        <f ca="1">IFERROR(__xludf.DUMMYFUNCTION("""COMPUTED_VALUE"""),199.26)</f>
        <v>199.26</v>
      </c>
      <c r="D729" s="1">
        <f ca="1">IFERROR(__xludf.DUMMYFUNCTION("""COMPUTED_VALUE"""),196.75)</f>
        <v>196.75</v>
      </c>
      <c r="E729" s="1">
        <f ca="1">IFERROR(__xludf.DUMMYFUNCTION("""COMPUTED_VALUE"""),197.12)</f>
        <v>197.12</v>
      </c>
      <c r="F729" s="1">
        <f ca="1">IFERROR(__xludf.DUMMYFUNCTION("""COMPUTED_VALUE"""),31530844)</f>
        <v>31530844</v>
      </c>
    </row>
    <row r="730" spans="1:6" ht="12.6">
      <c r="A730" s="2">
        <f ca="1">IFERROR(__xludf.DUMMYFUNCTION("""COMPUTED_VALUE"""),45621.6666666666)</f>
        <v>45621.666666666599</v>
      </c>
      <c r="B730" s="1">
        <f ca="1">IFERROR(__xludf.DUMMYFUNCTION("""COMPUTED_VALUE"""),199.28)</f>
        <v>199.28</v>
      </c>
      <c r="C730" s="1">
        <f ca="1">IFERROR(__xludf.DUMMYFUNCTION("""COMPUTED_VALUE"""),201.95)</f>
        <v>201.95</v>
      </c>
      <c r="D730" s="1">
        <f ca="1">IFERROR(__xludf.DUMMYFUNCTION("""COMPUTED_VALUE"""),199)</f>
        <v>199</v>
      </c>
      <c r="E730" s="1">
        <f ca="1">IFERROR(__xludf.DUMMYFUNCTION("""COMPUTED_VALUE"""),201.45)</f>
        <v>201.45</v>
      </c>
      <c r="F730" s="1">
        <f ca="1">IFERROR(__xludf.DUMMYFUNCTION("""COMPUTED_VALUE"""),40685672)</f>
        <v>40685672</v>
      </c>
    </row>
    <row r="731" spans="1:6" ht="12.6">
      <c r="A731" s="2">
        <f ca="1">IFERROR(__xludf.DUMMYFUNCTION("""COMPUTED_VALUE"""),45622.6666666666)</f>
        <v>45622.666666666599</v>
      </c>
      <c r="B731" s="1">
        <f ca="1">IFERROR(__xludf.DUMMYFUNCTION("""COMPUTED_VALUE"""),201.9)</f>
        <v>201.9</v>
      </c>
      <c r="C731" s="1">
        <f ca="1">IFERROR(__xludf.DUMMYFUNCTION("""COMPUTED_VALUE"""),208)</f>
        <v>208</v>
      </c>
      <c r="D731" s="1">
        <f ca="1">IFERROR(__xludf.DUMMYFUNCTION("""COMPUTED_VALUE"""),201.79)</f>
        <v>201.79</v>
      </c>
      <c r="E731" s="1">
        <f ca="1">IFERROR(__xludf.DUMMYFUNCTION("""COMPUTED_VALUE"""),207.86)</f>
        <v>207.86</v>
      </c>
      <c r="F731" s="1">
        <f ca="1">IFERROR(__xludf.DUMMYFUNCTION("""COMPUTED_VALUE"""),41673737)</f>
        <v>41673737</v>
      </c>
    </row>
    <row r="732" spans="1:6" ht="12.6">
      <c r="A732" s="2">
        <f ca="1">IFERROR(__xludf.DUMMYFUNCTION("""COMPUTED_VALUE"""),45623.6666666666)</f>
        <v>45623.666666666599</v>
      </c>
      <c r="B732" s="1">
        <f ca="1">IFERROR(__xludf.DUMMYFUNCTION("""COMPUTED_VALUE"""),206.98)</f>
        <v>206.98</v>
      </c>
      <c r="C732" s="1">
        <f ca="1">IFERROR(__xludf.DUMMYFUNCTION("""COMPUTED_VALUE"""),207.64)</f>
        <v>207.64</v>
      </c>
      <c r="D732" s="1">
        <f ca="1">IFERROR(__xludf.DUMMYFUNCTION("""COMPUTED_VALUE"""),205.05)</f>
        <v>205.05</v>
      </c>
      <c r="E732" s="1">
        <f ca="1">IFERROR(__xludf.DUMMYFUNCTION("""COMPUTED_VALUE"""),205.74)</f>
        <v>205.74</v>
      </c>
      <c r="F732" s="1">
        <f ca="1">IFERROR(__xludf.DUMMYFUNCTION("""COMPUTED_VALUE"""),28061638)</f>
        <v>28061638</v>
      </c>
    </row>
    <row r="733" spans="1:6" ht="12.6">
      <c r="A733" s="2">
        <f ca="1">IFERROR(__xludf.DUMMYFUNCTION("""COMPUTED_VALUE"""),45625.5451388888)</f>
        <v>45625.545138888803</v>
      </c>
      <c r="B733" s="1">
        <f ca="1">IFERROR(__xludf.DUMMYFUNCTION("""COMPUTED_VALUE"""),205.83)</f>
        <v>205.83</v>
      </c>
      <c r="C733" s="1">
        <f ca="1">IFERROR(__xludf.DUMMYFUNCTION("""COMPUTED_VALUE"""),208.2)</f>
        <v>208.2</v>
      </c>
      <c r="D733" s="1">
        <f ca="1">IFERROR(__xludf.DUMMYFUNCTION("""COMPUTED_VALUE"""),204.59)</f>
        <v>204.59</v>
      </c>
      <c r="E733" s="1">
        <f ca="1">IFERROR(__xludf.DUMMYFUNCTION("""COMPUTED_VALUE"""),207.89)</f>
        <v>207.89</v>
      </c>
      <c r="F733" s="1">
        <f ca="1">IFERROR(__xludf.DUMMYFUNCTION("""COMPUTED_VALUE"""),24892447)</f>
        <v>24892447</v>
      </c>
    </row>
    <row r="734" spans="1:6" ht="12.6">
      <c r="A734" s="2">
        <f ca="1">IFERROR(__xludf.DUMMYFUNCTION("""COMPUTED_VALUE"""),45628.6666666666)</f>
        <v>45628.666666666599</v>
      </c>
      <c r="B734" s="1">
        <f ca="1">IFERROR(__xludf.DUMMYFUNCTION("""COMPUTED_VALUE"""),209.96)</f>
        <v>209.96</v>
      </c>
      <c r="C734" s="1">
        <f ca="1">IFERROR(__xludf.DUMMYFUNCTION("""COMPUTED_VALUE"""),212.99)</f>
        <v>212.99</v>
      </c>
      <c r="D734" s="1">
        <f ca="1">IFERROR(__xludf.DUMMYFUNCTION("""COMPUTED_VALUE"""),209.51)</f>
        <v>209.51</v>
      </c>
      <c r="E734" s="1">
        <f ca="1">IFERROR(__xludf.DUMMYFUNCTION("""COMPUTED_VALUE"""),210.71)</f>
        <v>210.71</v>
      </c>
      <c r="F734" s="1">
        <f ca="1">IFERROR(__xludf.DUMMYFUNCTION("""COMPUTED_VALUE"""),39523185)</f>
        <v>39523185</v>
      </c>
    </row>
    <row r="735" spans="1:6" ht="12.6">
      <c r="A735" s="2">
        <f ca="1">IFERROR(__xludf.DUMMYFUNCTION("""COMPUTED_VALUE"""),45629.6666666666)</f>
        <v>45629.666666666599</v>
      </c>
      <c r="B735" s="1">
        <f ca="1">IFERROR(__xludf.DUMMYFUNCTION("""COMPUTED_VALUE"""),210.31)</f>
        <v>210.31</v>
      </c>
      <c r="C735" s="1">
        <f ca="1">IFERROR(__xludf.DUMMYFUNCTION("""COMPUTED_VALUE"""),214.02)</f>
        <v>214.02</v>
      </c>
      <c r="D735" s="1">
        <f ca="1">IFERROR(__xludf.DUMMYFUNCTION("""COMPUTED_VALUE"""),209.65)</f>
        <v>209.65</v>
      </c>
      <c r="E735" s="1">
        <f ca="1">IFERROR(__xludf.DUMMYFUNCTION("""COMPUTED_VALUE"""),213.44)</f>
        <v>213.44</v>
      </c>
      <c r="F735" s="1">
        <f ca="1">IFERROR(__xludf.DUMMYFUNCTION("""COMPUTED_VALUE"""),32214828)</f>
        <v>32214828</v>
      </c>
    </row>
    <row r="736" spans="1:6" ht="12.6">
      <c r="A736" s="2">
        <f ca="1">IFERROR(__xludf.DUMMYFUNCTION("""COMPUTED_VALUE"""),45630.6666666666)</f>
        <v>45630.666666666599</v>
      </c>
      <c r="B736" s="1">
        <f ca="1">IFERROR(__xludf.DUMMYFUNCTION("""COMPUTED_VALUE"""),215.96)</f>
        <v>215.96</v>
      </c>
      <c r="C736" s="1">
        <f ca="1">IFERROR(__xludf.DUMMYFUNCTION("""COMPUTED_VALUE"""),220)</f>
        <v>220</v>
      </c>
      <c r="D736" s="1">
        <f ca="1">IFERROR(__xludf.DUMMYFUNCTION("""COMPUTED_VALUE"""),215.75)</f>
        <v>215.75</v>
      </c>
      <c r="E736" s="1">
        <f ca="1">IFERROR(__xludf.DUMMYFUNCTION("""COMPUTED_VALUE"""),218.16)</f>
        <v>218.16</v>
      </c>
      <c r="F736" s="1">
        <f ca="1">IFERROR(__xludf.DUMMYFUNCTION("""COMPUTED_VALUE"""),48745716)</f>
        <v>48745716</v>
      </c>
    </row>
    <row r="737" spans="1:6" ht="12.6">
      <c r="A737" s="2">
        <f ca="1">IFERROR(__xludf.DUMMYFUNCTION("""COMPUTED_VALUE"""),45631.6666666666)</f>
        <v>45631.666666666599</v>
      </c>
      <c r="B737" s="1">
        <f ca="1">IFERROR(__xludf.DUMMYFUNCTION("""COMPUTED_VALUE"""),218.03)</f>
        <v>218.03</v>
      </c>
      <c r="C737" s="1">
        <f ca="1">IFERROR(__xludf.DUMMYFUNCTION("""COMPUTED_VALUE"""),222.15)</f>
        <v>222.15</v>
      </c>
      <c r="D737" s="1">
        <f ca="1">IFERROR(__xludf.DUMMYFUNCTION("""COMPUTED_VALUE"""),217.3)</f>
        <v>217.3</v>
      </c>
      <c r="E737" s="1">
        <f ca="1">IFERROR(__xludf.DUMMYFUNCTION("""COMPUTED_VALUE"""),220.55)</f>
        <v>220.55</v>
      </c>
      <c r="F737" s="1">
        <f ca="1">IFERROR(__xludf.DUMMYFUNCTION("""COMPUTED_VALUE"""),41140220)</f>
        <v>41140220</v>
      </c>
    </row>
    <row r="738" spans="1:6" ht="12.6">
      <c r="A738" s="2">
        <f ca="1">IFERROR(__xludf.DUMMYFUNCTION("""COMPUTED_VALUE"""),45632.6666666666)</f>
        <v>45632.666666666599</v>
      </c>
      <c r="B738" s="1">
        <f ca="1">IFERROR(__xludf.DUMMYFUNCTION("""COMPUTED_VALUE"""),220.75)</f>
        <v>220.75</v>
      </c>
      <c r="C738" s="1">
        <f ca="1">IFERROR(__xludf.DUMMYFUNCTION("""COMPUTED_VALUE"""),227.15)</f>
        <v>227.15</v>
      </c>
      <c r="D738" s="1">
        <f ca="1">IFERROR(__xludf.DUMMYFUNCTION("""COMPUTED_VALUE"""),220.6)</f>
        <v>220.6</v>
      </c>
      <c r="E738" s="1">
        <f ca="1">IFERROR(__xludf.DUMMYFUNCTION("""COMPUTED_VALUE"""),227.03)</f>
        <v>227.03</v>
      </c>
      <c r="F738" s="1">
        <f ca="1">IFERROR(__xludf.DUMMYFUNCTION("""COMPUTED_VALUE"""),44178069)</f>
        <v>44178069</v>
      </c>
    </row>
    <row r="739" spans="1:6" ht="12.6">
      <c r="A739" s="2">
        <f ca="1">IFERROR(__xludf.DUMMYFUNCTION("""COMPUTED_VALUE"""),45635.6666666666)</f>
        <v>45635.666666666599</v>
      </c>
      <c r="B739" s="1">
        <f ca="1">IFERROR(__xludf.DUMMYFUNCTION("""COMPUTED_VALUE"""),227.21)</f>
        <v>227.21</v>
      </c>
      <c r="C739" s="1">
        <f ca="1">IFERROR(__xludf.DUMMYFUNCTION("""COMPUTED_VALUE"""),230.08)</f>
        <v>230.08</v>
      </c>
      <c r="D739" s="1">
        <f ca="1">IFERROR(__xludf.DUMMYFUNCTION("""COMPUTED_VALUE"""),225.67)</f>
        <v>225.67</v>
      </c>
      <c r="E739" s="1">
        <f ca="1">IFERROR(__xludf.DUMMYFUNCTION("""COMPUTED_VALUE"""),226.09)</f>
        <v>226.09</v>
      </c>
      <c r="F739" s="1">
        <f ca="1">IFERROR(__xludf.DUMMYFUNCTION("""COMPUTED_VALUE"""),46819363)</f>
        <v>46819363</v>
      </c>
    </row>
    <row r="740" spans="1:6" ht="12.6">
      <c r="A740" s="2">
        <f ca="1">IFERROR(__xludf.DUMMYFUNCTION("""COMPUTED_VALUE"""),45636.6666666666)</f>
        <v>45636.666666666599</v>
      </c>
      <c r="B740" s="1">
        <f ca="1">IFERROR(__xludf.DUMMYFUNCTION("""COMPUTED_VALUE"""),226.09)</f>
        <v>226.09</v>
      </c>
      <c r="C740" s="1">
        <f ca="1">IFERROR(__xludf.DUMMYFUNCTION("""COMPUTED_VALUE"""),229.06)</f>
        <v>229.06</v>
      </c>
      <c r="D740" s="1">
        <f ca="1">IFERROR(__xludf.DUMMYFUNCTION("""COMPUTED_VALUE"""),224.2)</f>
        <v>224.2</v>
      </c>
      <c r="E740" s="1">
        <f ca="1">IFERROR(__xludf.DUMMYFUNCTION("""COMPUTED_VALUE"""),225.04)</f>
        <v>225.04</v>
      </c>
      <c r="F740" s="1">
        <f ca="1">IFERROR(__xludf.DUMMYFUNCTION("""COMPUTED_VALUE"""),404897)</f>
        <v>404897</v>
      </c>
    </row>
    <row r="741" spans="1:6" ht="12.6">
      <c r="A741" s="2">
        <f ca="1">IFERROR(__xludf.DUMMYFUNCTION("""COMPUTED_VALUE"""),45637.6666666666)</f>
        <v>45637.666666666599</v>
      </c>
      <c r="B741" s="1">
        <f ca="1">IFERROR(__xludf.DUMMYFUNCTION("""COMPUTED_VALUE"""),226.41)</f>
        <v>226.41</v>
      </c>
      <c r="C741" s="1">
        <f ca="1">IFERROR(__xludf.DUMMYFUNCTION("""COMPUTED_VALUE"""),231.2)</f>
        <v>231.2</v>
      </c>
      <c r="D741" s="1">
        <f ca="1">IFERROR(__xludf.DUMMYFUNCTION("""COMPUTED_VALUE"""),226.26)</f>
        <v>226.26</v>
      </c>
      <c r="E741" s="1">
        <f ca="1">IFERROR(__xludf.DUMMYFUNCTION("""COMPUTED_VALUE"""),230.26)</f>
        <v>230.26</v>
      </c>
      <c r="F741" s="1">
        <f ca="1">IFERROR(__xludf.DUMMYFUNCTION("""COMPUTED_VALUE"""),35385785)</f>
        <v>35385785</v>
      </c>
    </row>
    <row r="742" spans="1:6" ht="12.6">
      <c r="A742" s="2">
        <f ca="1">IFERROR(__xludf.DUMMYFUNCTION("""COMPUTED_VALUE"""),45638.6666666666)</f>
        <v>45638.666666666599</v>
      </c>
      <c r="B742" s="1">
        <f ca="1">IFERROR(__xludf.DUMMYFUNCTION("""COMPUTED_VALUE"""),229.83)</f>
        <v>229.83</v>
      </c>
      <c r="C742" s="1">
        <f ca="1">IFERROR(__xludf.DUMMYFUNCTION("""COMPUTED_VALUE"""),231.09)</f>
        <v>231.09</v>
      </c>
      <c r="D742" s="1">
        <f ca="1">IFERROR(__xludf.DUMMYFUNCTION("""COMPUTED_VALUE"""),227.63)</f>
        <v>227.63</v>
      </c>
      <c r="E742" s="1">
        <f ca="1">IFERROR(__xludf.DUMMYFUNCTION("""COMPUTED_VALUE"""),228.97)</f>
        <v>228.97</v>
      </c>
      <c r="F742" s="1">
        <f ca="1">IFERROR(__xludf.DUMMYFUNCTION("""COMPUTED_VALUE"""),28204084)</f>
        <v>28204084</v>
      </c>
    </row>
    <row r="743" spans="1:6" ht="12.6">
      <c r="A743" s="2">
        <f ca="1">IFERROR(__xludf.DUMMYFUNCTION("""COMPUTED_VALUE"""),45639.6666666666)</f>
        <v>45639.666666666599</v>
      </c>
      <c r="B743" s="1">
        <f ca="1">IFERROR(__xludf.DUMMYFUNCTION("""COMPUTED_VALUE"""),228.4)</f>
        <v>228.4</v>
      </c>
      <c r="C743" s="1">
        <f ca="1">IFERROR(__xludf.DUMMYFUNCTION("""COMPUTED_VALUE"""),230.2)</f>
        <v>230.2</v>
      </c>
      <c r="D743" s="1">
        <f ca="1">IFERROR(__xludf.DUMMYFUNCTION("""COMPUTED_VALUE"""),225.86)</f>
        <v>225.86</v>
      </c>
      <c r="E743" s="1">
        <f ca="1">IFERROR(__xludf.DUMMYFUNCTION("""COMPUTED_VALUE"""),227.46)</f>
        <v>227.46</v>
      </c>
      <c r="F743" s="1">
        <f ca="1">IFERROR(__xludf.DUMMYFUNCTION("""COMPUTED_VALUE"""),28768080)</f>
        <v>28768080</v>
      </c>
    </row>
    <row r="744" spans="1:6" ht="12.6">
      <c r="A744" s="2">
        <f ca="1">IFERROR(__xludf.DUMMYFUNCTION("""COMPUTED_VALUE"""),45642.6666666666)</f>
        <v>45642.666666666599</v>
      </c>
      <c r="B744" s="1">
        <f ca="1">IFERROR(__xludf.DUMMYFUNCTION("""COMPUTED_VALUE"""),230.23)</f>
        <v>230.23</v>
      </c>
      <c r="C744" s="1">
        <f ca="1">IFERROR(__xludf.DUMMYFUNCTION("""COMPUTED_VALUE"""),233)</f>
        <v>233</v>
      </c>
      <c r="D744" s="1">
        <f ca="1">IFERROR(__xludf.DUMMYFUNCTION("""COMPUTED_VALUE"""),228.01)</f>
        <v>228.01</v>
      </c>
      <c r="E744" s="1">
        <f ca="1">IFERROR(__xludf.DUMMYFUNCTION("""COMPUTED_VALUE"""),232.93)</f>
        <v>232.93</v>
      </c>
      <c r="F744" s="1">
        <f ca="1">IFERROR(__xludf.DUMMYFUNCTION("""COMPUTED_VALUE"""),37552096)</f>
        <v>37552096</v>
      </c>
    </row>
    <row r="745" spans="1:6" ht="12.6">
      <c r="A745" s="2">
        <f ca="1">IFERROR(__xludf.DUMMYFUNCTION("""COMPUTED_VALUE"""),45643.6666666666)</f>
        <v>45643.666666666599</v>
      </c>
      <c r="B745" s="1">
        <f ca="1">IFERROR(__xludf.DUMMYFUNCTION("""COMPUTED_VALUE"""),232.39)</f>
        <v>232.39</v>
      </c>
      <c r="C745" s="1">
        <f ca="1">IFERROR(__xludf.DUMMYFUNCTION("""COMPUTED_VALUE"""),232.73)</f>
        <v>232.73</v>
      </c>
      <c r="D745" s="1">
        <f ca="1">IFERROR(__xludf.DUMMYFUNCTION("""COMPUTED_VALUE"""),227.85)</f>
        <v>227.85</v>
      </c>
      <c r="E745" s="1">
        <f ca="1">IFERROR(__xludf.DUMMYFUNCTION("""COMPUTED_VALUE"""),231.15)</f>
        <v>231.15</v>
      </c>
      <c r="F745" s="1">
        <f ca="1">IFERROR(__xludf.DUMMYFUNCTION("""COMPUTED_VALUE"""),35948131)</f>
        <v>35948131</v>
      </c>
    </row>
    <row r="746" spans="1:6" ht="12.6">
      <c r="A746" s="2">
        <f ca="1">IFERROR(__xludf.DUMMYFUNCTION("""COMPUTED_VALUE"""),45644.6666666666)</f>
        <v>45644.666666666599</v>
      </c>
      <c r="B746" s="1">
        <f ca="1">IFERROR(__xludf.DUMMYFUNCTION("""COMPUTED_VALUE"""),230.77)</f>
        <v>230.77</v>
      </c>
      <c r="C746" s="1">
        <f ca="1">IFERROR(__xludf.DUMMYFUNCTION("""COMPUTED_VALUE"""),231.4)</f>
        <v>231.4</v>
      </c>
      <c r="D746" s="1">
        <f ca="1">IFERROR(__xludf.DUMMYFUNCTION("""COMPUTED_VALUE"""),220.11)</f>
        <v>220.11</v>
      </c>
      <c r="E746" s="1">
        <f ca="1">IFERROR(__xludf.DUMMYFUNCTION("""COMPUTED_VALUE"""),220.52)</f>
        <v>220.52</v>
      </c>
      <c r="F746" s="1">
        <f ca="1">IFERROR(__xludf.DUMMYFUNCTION("""COMPUTED_VALUE"""),43281443)</f>
        <v>43281443</v>
      </c>
    </row>
    <row r="747" spans="1:6" ht="12.6">
      <c r="A747" s="2">
        <f ca="1">IFERROR(__xludf.DUMMYFUNCTION("""COMPUTED_VALUE"""),45645.6666666666)</f>
        <v>45645.666666666599</v>
      </c>
      <c r="B747" s="1">
        <f ca="1">IFERROR(__xludf.DUMMYFUNCTION("""COMPUTED_VALUE"""),224.91)</f>
        <v>224.91</v>
      </c>
      <c r="C747" s="1">
        <f ca="1">IFERROR(__xludf.DUMMYFUNCTION("""COMPUTED_VALUE"""),226.09)</f>
        <v>226.09</v>
      </c>
      <c r="D747" s="1">
        <f ca="1">IFERROR(__xludf.DUMMYFUNCTION("""COMPUTED_VALUE"""),222.92)</f>
        <v>222.92</v>
      </c>
      <c r="E747" s="1">
        <f ca="1">IFERROR(__xludf.DUMMYFUNCTION("""COMPUTED_VALUE"""),223.29)</f>
        <v>223.29</v>
      </c>
      <c r="F747" s="1">
        <f ca="1">IFERROR(__xludf.DUMMYFUNCTION("""COMPUTED_VALUE"""),39918739)</f>
        <v>39918739</v>
      </c>
    </row>
    <row r="748" spans="1:6" ht="12.6">
      <c r="A748" s="2">
        <f ca="1">IFERROR(__xludf.DUMMYFUNCTION("""COMPUTED_VALUE"""),45646.6666666666)</f>
        <v>45646.666666666599</v>
      </c>
      <c r="B748" s="1">
        <f ca="1">IFERROR(__xludf.DUMMYFUNCTION("""COMPUTED_VALUE"""),219.84)</f>
        <v>219.84</v>
      </c>
      <c r="C748" s="1">
        <f ca="1">IFERROR(__xludf.DUMMYFUNCTION("""COMPUTED_VALUE"""),226.21)</f>
        <v>226.21</v>
      </c>
      <c r="D748" s="1">
        <f ca="1">IFERROR(__xludf.DUMMYFUNCTION("""COMPUTED_VALUE"""),218.73)</f>
        <v>218.73</v>
      </c>
      <c r="E748" s="1">
        <f ca="1">IFERROR(__xludf.DUMMYFUNCTION("""COMPUTED_VALUE"""),224.92)</f>
        <v>224.92</v>
      </c>
      <c r="F748" s="1">
        <f ca="1">IFERROR(__xludf.DUMMYFUNCTION("""COMPUTED_VALUE"""),88279184)</f>
        <v>88279184</v>
      </c>
    </row>
    <row r="749" spans="1:6" ht="12.6">
      <c r="A749" s="2">
        <f ca="1">IFERROR(__xludf.DUMMYFUNCTION("""COMPUTED_VALUE"""),45649.6666666666)</f>
        <v>45649.666666666599</v>
      </c>
      <c r="B749" s="1">
        <f ca="1">IFERROR(__xludf.DUMMYFUNCTION("""COMPUTED_VALUE"""),225.01)</f>
        <v>225.01</v>
      </c>
      <c r="C749" s="1">
        <f ca="1">IFERROR(__xludf.DUMMYFUNCTION("""COMPUTED_VALUE"""),226.88)</f>
        <v>226.88</v>
      </c>
      <c r="D749" s="1">
        <f ca="1">IFERROR(__xludf.DUMMYFUNCTION("""COMPUTED_VALUE"""),223.9)</f>
        <v>223.9</v>
      </c>
      <c r="E749" s="1">
        <f ca="1">IFERROR(__xludf.DUMMYFUNCTION("""COMPUTED_VALUE"""),225.06)</f>
        <v>225.06</v>
      </c>
      <c r="F749" s="1">
        <f ca="1">IFERROR(__xludf.DUMMYFUNCTION("""COMPUTED_VALUE"""),28070007)</f>
        <v>28070007</v>
      </c>
    </row>
    <row r="750" spans="1:6" ht="12.6">
      <c r="A750" s="2">
        <f ca="1">IFERROR(__xludf.DUMMYFUNCTION("""COMPUTED_VALUE"""),45650.5451388888)</f>
        <v>45650.545138888803</v>
      </c>
      <c r="B750" s="1">
        <f ca="1">IFERROR(__xludf.DUMMYFUNCTION("""COMPUTED_VALUE"""),226.94)</f>
        <v>226.94</v>
      </c>
      <c r="C750" s="1">
        <f ca="1">IFERROR(__xludf.DUMMYFUNCTION("""COMPUTED_VALUE"""),229.14)</f>
        <v>229.14</v>
      </c>
      <c r="D750" s="1">
        <f ca="1">IFERROR(__xludf.DUMMYFUNCTION("""COMPUTED_VALUE"""),226.13)</f>
        <v>226.13</v>
      </c>
      <c r="E750" s="1">
        <f ca="1">IFERROR(__xludf.DUMMYFUNCTION("""COMPUTED_VALUE"""),229.05)</f>
        <v>229.05</v>
      </c>
      <c r="F750" s="1">
        <f ca="1">IFERROR(__xludf.DUMMYFUNCTION("""COMPUTED_VALUE"""),15007497)</f>
        <v>15007497</v>
      </c>
    </row>
    <row r="751" spans="1:6" ht="12.6">
      <c r="A751" s="2">
        <f ca="1">IFERROR(__xludf.DUMMYFUNCTION("""COMPUTED_VALUE"""),45652.6666666666)</f>
        <v>45652.666666666599</v>
      </c>
      <c r="B751" s="1">
        <f ca="1">IFERROR(__xludf.DUMMYFUNCTION("""COMPUTED_VALUE"""),228.5)</f>
        <v>228.5</v>
      </c>
      <c r="C751" s="1">
        <f ca="1">IFERROR(__xludf.DUMMYFUNCTION("""COMPUTED_VALUE"""),228.5)</f>
        <v>228.5</v>
      </c>
      <c r="D751" s="1">
        <f ca="1">IFERROR(__xludf.DUMMYFUNCTION("""COMPUTED_VALUE"""),226.67)</f>
        <v>226.67</v>
      </c>
      <c r="E751" s="1">
        <f ca="1">IFERROR(__xludf.DUMMYFUNCTION("""COMPUTED_VALUE"""),227.05)</f>
        <v>227.05</v>
      </c>
      <c r="F751" s="1">
        <f ca="1">IFERROR(__xludf.DUMMYFUNCTION("""COMPUTED_VALUE"""),16174500)</f>
        <v>16174500</v>
      </c>
    </row>
    <row r="752" spans="1:6" ht="12.6">
      <c r="A752" s="2">
        <f ca="1">IFERROR(__xludf.DUMMYFUNCTION("""COMPUTED_VALUE"""),45653.6666666666)</f>
        <v>45653.666666666599</v>
      </c>
      <c r="B752" s="1">
        <f ca="1">IFERROR(__xludf.DUMMYFUNCTION("""COMPUTED_VALUE"""),225.6)</f>
        <v>225.6</v>
      </c>
      <c r="C752" s="1">
        <f ca="1">IFERROR(__xludf.DUMMYFUNCTION("""COMPUTED_VALUE"""),226.03)</f>
        <v>226.03</v>
      </c>
      <c r="D752" s="1">
        <f ca="1">IFERROR(__xludf.DUMMYFUNCTION("""COMPUTED_VALUE"""),220.9)</f>
        <v>220.9</v>
      </c>
      <c r="E752" s="1">
        <f ca="1">IFERROR(__xludf.DUMMYFUNCTION("""COMPUTED_VALUE"""),223.75)</f>
        <v>223.75</v>
      </c>
      <c r="F752" s="1">
        <f ca="1">IFERROR(__xludf.DUMMYFUNCTION("""COMPUTED_VALUE"""),27367147)</f>
        <v>27367147</v>
      </c>
    </row>
    <row r="753" spans="1:6" ht="12.6">
      <c r="A753" s="2">
        <f ca="1">IFERROR(__xludf.DUMMYFUNCTION("""COMPUTED_VALUE"""),45656.6666666666)</f>
        <v>45656.666666666599</v>
      </c>
      <c r="B753" s="1">
        <f ca="1">IFERROR(__xludf.DUMMYFUNCTION("""COMPUTED_VALUE"""),220.06)</f>
        <v>220.06</v>
      </c>
      <c r="C753" s="1">
        <f ca="1">IFERROR(__xludf.DUMMYFUNCTION("""COMPUTED_VALUE"""),223)</f>
        <v>223</v>
      </c>
      <c r="D753" s="1">
        <f ca="1">IFERROR(__xludf.DUMMYFUNCTION("""COMPUTED_VALUE"""),218.43)</f>
        <v>218.43</v>
      </c>
      <c r="E753" s="1">
        <f ca="1">IFERROR(__xludf.DUMMYFUNCTION("""COMPUTED_VALUE"""),221.3)</f>
        <v>221.3</v>
      </c>
      <c r="F753" s="1">
        <f ca="1">IFERROR(__xludf.DUMMYFUNCTION("""COMPUTED_VALUE"""),28321240)</f>
        <v>28321240</v>
      </c>
    </row>
    <row r="754" spans="1:6" ht="12.6">
      <c r="A754" s="2">
        <f ca="1">IFERROR(__xludf.DUMMYFUNCTION("""COMPUTED_VALUE"""),45657.6666666666)</f>
        <v>45657.666666666599</v>
      </c>
      <c r="B754" s="1">
        <f ca="1">IFERROR(__xludf.DUMMYFUNCTION("""COMPUTED_VALUE"""),222.97)</f>
        <v>222.97</v>
      </c>
      <c r="C754" s="1">
        <f ca="1">IFERROR(__xludf.DUMMYFUNCTION("""COMPUTED_VALUE"""),223.23)</f>
        <v>223.23</v>
      </c>
      <c r="D754" s="1">
        <f ca="1">IFERROR(__xludf.DUMMYFUNCTION("""COMPUTED_VALUE"""),218.94)</f>
        <v>218.94</v>
      </c>
      <c r="E754" s="1">
        <f ca="1">IFERROR(__xludf.DUMMYFUNCTION("""COMPUTED_VALUE"""),219.39)</f>
        <v>219.39</v>
      </c>
      <c r="F754" s="1">
        <f ca="1">IFERROR(__xludf.DUMMYFUNCTION("""COMPUTED_VALUE"""),24819655)</f>
        <v>24819655</v>
      </c>
    </row>
    <row r="755" spans="1:6" ht="12.6">
      <c r="A755" s="2">
        <f ca="1">IFERROR(__xludf.DUMMYFUNCTION("""COMPUTED_VALUE"""),45659.6666666666)</f>
        <v>45659.666666666599</v>
      </c>
      <c r="B755" s="1">
        <f ca="1">IFERROR(__xludf.DUMMYFUNCTION("""COMPUTED_VALUE"""),222.03)</f>
        <v>222.03</v>
      </c>
      <c r="C755" s="1">
        <f ca="1">IFERROR(__xludf.DUMMYFUNCTION("""COMPUTED_VALUE"""),225.15)</f>
        <v>225.15</v>
      </c>
      <c r="D755" s="1">
        <f ca="1">IFERROR(__xludf.DUMMYFUNCTION("""COMPUTED_VALUE"""),218.19)</f>
        <v>218.19</v>
      </c>
      <c r="E755" s="1">
        <f ca="1">IFERROR(__xludf.DUMMYFUNCTION("""COMPUTED_VALUE"""),220.22)</f>
        <v>220.22</v>
      </c>
      <c r="F755" s="1">
        <f ca="1">IFERROR(__xludf.DUMMYFUNCTION("""COMPUTED_VALUE"""),33956579)</f>
        <v>33956579</v>
      </c>
    </row>
    <row r="756" spans="1:6" ht="12.6">
      <c r="A756" s="2">
        <f ca="1">IFERROR(__xludf.DUMMYFUNCTION("""COMPUTED_VALUE"""),45660.6666666666)</f>
        <v>45660.666666666599</v>
      </c>
      <c r="B756" s="1">
        <f ca="1">IFERROR(__xludf.DUMMYFUNCTION("""COMPUTED_VALUE"""),222.51)</f>
        <v>222.51</v>
      </c>
      <c r="C756" s="1">
        <f ca="1">IFERROR(__xludf.DUMMYFUNCTION("""COMPUTED_VALUE"""),225.36)</f>
        <v>225.36</v>
      </c>
      <c r="D756" s="1">
        <f ca="1">IFERROR(__xludf.DUMMYFUNCTION("""COMPUTED_VALUE"""),221.62)</f>
        <v>221.62</v>
      </c>
      <c r="E756" s="1">
        <f ca="1">IFERROR(__xludf.DUMMYFUNCTION("""COMPUTED_VALUE"""),224.19)</f>
        <v>224.19</v>
      </c>
      <c r="F756" s="1">
        <f ca="1">IFERROR(__xludf.DUMMYFUNCTION("""COMPUTED_VALUE"""),27515606)</f>
        <v>27515606</v>
      </c>
    </row>
    <row r="757" spans="1:6" ht="12.6">
      <c r="A757" s="2">
        <f ca="1">IFERROR(__xludf.DUMMYFUNCTION("""COMPUTED_VALUE"""),45663.6666666666)</f>
        <v>45663.666666666599</v>
      </c>
      <c r="B757" s="1">
        <f ca="1">IFERROR(__xludf.DUMMYFUNCTION("""COMPUTED_VALUE"""),226.78)</f>
        <v>226.78</v>
      </c>
      <c r="C757" s="1">
        <f ca="1">IFERROR(__xludf.DUMMYFUNCTION("""COMPUTED_VALUE"""),228.84)</f>
        <v>228.84</v>
      </c>
      <c r="D757" s="1">
        <f ca="1">IFERROR(__xludf.DUMMYFUNCTION("""COMPUTED_VALUE"""),224.84)</f>
        <v>224.84</v>
      </c>
      <c r="E757" s="1">
        <f ca="1">IFERROR(__xludf.DUMMYFUNCTION("""COMPUTED_VALUE"""),227.61)</f>
        <v>227.61</v>
      </c>
      <c r="F757" s="1">
        <f ca="1">IFERROR(__xludf.DUMMYFUNCTION("""COMPUTED_VALUE"""),31849831)</f>
        <v>31849831</v>
      </c>
    </row>
    <row r="758" spans="1:6" ht="12.6">
      <c r="A758" s="2">
        <f ca="1">IFERROR(__xludf.DUMMYFUNCTION("""COMPUTED_VALUE"""),45664.6666666666)</f>
        <v>45664.666666666599</v>
      </c>
      <c r="B758" s="1">
        <f ca="1">IFERROR(__xludf.DUMMYFUNCTION("""COMPUTED_VALUE"""),227.9)</f>
        <v>227.9</v>
      </c>
      <c r="C758" s="1">
        <f ca="1">IFERROR(__xludf.DUMMYFUNCTION("""COMPUTED_VALUE"""),228.38)</f>
        <v>228.38</v>
      </c>
      <c r="D758" s="1">
        <f ca="1">IFERROR(__xludf.DUMMYFUNCTION("""COMPUTED_VALUE"""),221.46)</f>
        <v>221.46</v>
      </c>
      <c r="E758" s="1">
        <f ca="1">IFERROR(__xludf.DUMMYFUNCTION("""COMPUTED_VALUE"""),222.11)</f>
        <v>222.11</v>
      </c>
      <c r="F758" s="1">
        <f ca="1">IFERROR(__xludf.DUMMYFUNCTION("""COMPUTED_VALUE"""),28084164)</f>
        <v>28084164</v>
      </c>
    </row>
    <row r="759" spans="1:6" ht="12.6">
      <c r="A759" s="2">
        <f ca="1">IFERROR(__xludf.DUMMYFUNCTION("""COMPUTED_VALUE"""),45665.6666666666)</f>
        <v>45665.666666666599</v>
      </c>
      <c r="B759" s="1">
        <f ca="1">IFERROR(__xludf.DUMMYFUNCTION("""COMPUTED_VALUE"""),223.19)</f>
        <v>223.19</v>
      </c>
      <c r="C759" s="1">
        <f ca="1">IFERROR(__xludf.DUMMYFUNCTION("""COMPUTED_VALUE"""),223.52)</f>
        <v>223.52</v>
      </c>
      <c r="D759" s="1">
        <f ca="1">IFERROR(__xludf.DUMMYFUNCTION("""COMPUTED_VALUE"""),220.2)</f>
        <v>220.2</v>
      </c>
      <c r="E759" s="1">
        <f ca="1">IFERROR(__xludf.DUMMYFUNCTION("""COMPUTED_VALUE"""),222.13)</f>
        <v>222.13</v>
      </c>
      <c r="F759" s="1">
        <f ca="1">IFERROR(__xludf.DUMMYFUNCTION("""COMPUTED_VALUE"""),25033292)</f>
        <v>25033292</v>
      </c>
    </row>
    <row r="760" spans="1:6" ht="12.6">
      <c r="A760" s="2">
        <f ca="1">IFERROR(__xludf.DUMMYFUNCTION("""COMPUTED_VALUE"""),45667.6666666666)</f>
        <v>45667.666666666599</v>
      </c>
      <c r="B760" s="1">
        <f ca="1">IFERROR(__xludf.DUMMYFUNCTION("""COMPUTED_VALUE"""),221.46)</f>
        <v>221.46</v>
      </c>
      <c r="C760" s="1">
        <f ca="1">IFERROR(__xludf.DUMMYFUNCTION("""COMPUTED_VALUE"""),221.71)</f>
        <v>221.71</v>
      </c>
      <c r="D760" s="1">
        <f ca="1">IFERROR(__xludf.DUMMYFUNCTION("""COMPUTED_VALUE"""),216.5)</f>
        <v>216.5</v>
      </c>
      <c r="E760" s="1">
        <f ca="1">IFERROR(__xludf.DUMMYFUNCTION("""COMPUTED_VALUE"""),218.94)</f>
        <v>218.94</v>
      </c>
      <c r="F760" s="1">
        <f ca="1">IFERROR(__xludf.DUMMYFUNCTION("""COMPUTED_VALUE"""),36811525)</f>
        <v>36811525</v>
      </c>
    </row>
    <row r="761" spans="1:6" ht="12.6">
      <c r="A761" s="2">
        <f ca="1">IFERROR(__xludf.DUMMYFUNCTION("""COMPUTED_VALUE"""),45670.6666666666)</f>
        <v>45670.666666666599</v>
      </c>
      <c r="B761" s="1">
        <f ca="1">IFERROR(__xludf.DUMMYFUNCTION("""COMPUTED_VALUE"""),218.06)</f>
        <v>218.06</v>
      </c>
      <c r="C761" s="1">
        <f ca="1">IFERROR(__xludf.DUMMYFUNCTION("""COMPUTED_VALUE"""),219.4)</f>
        <v>219.4</v>
      </c>
      <c r="D761" s="1">
        <f ca="1">IFERROR(__xludf.DUMMYFUNCTION("""COMPUTED_VALUE"""),216.47)</f>
        <v>216.47</v>
      </c>
      <c r="E761" s="1">
        <f ca="1">IFERROR(__xludf.DUMMYFUNCTION("""COMPUTED_VALUE"""),218.46)</f>
        <v>218.46</v>
      </c>
      <c r="F761" s="1">
        <f ca="1">IFERROR(__xludf.DUMMYFUNCTION("""COMPUTED_VALUE"""),27262655)</f>
        <v>27262655</v>
      </c>
    </row>
    <row r="762" spans="1:6" ht="12.6">
      <c r="A762" s="2">
        <f ca="1">IFERROR(__xludf.DUMMYFUNCTION("""COMPUTED_VALUE"""),45671.6666666666)</f>
        <v>45671.666666666599</v>
      </c>
      <c r="B762" s="1">
        <f ca="1">IFERROR(__xludf.DUMMYFUNCTION("""COMPUTED_VALUE"""),220.44)</f>
        <v>220.44</v>
      </c>
      <c r="C762" s="1">
        <f ca="1">IFERROR(__xludf.DUMMYFUNCTION("""COMPUTED_VALUE"""),221.82)</f>
        <v>221.82</v>
      </c>
      <c r="D762" s="1">
        <f ca="1">IFERROR(__xludf.DUMMYFUNCTION("""COMPUTED_VALUE"""),216.2)</f>
        <v>216.2</v>
      </c>
      <c r="E762" s="1">
        <f ca="1">IFERROR(__xludf.DUMMYFUNCTION("""COMPUTED_VALUE"""),217.76)</f>
        <v>217.76</v>
      </c>
      <c r="F762" s="1">
        <f ca="1">IFERROR(__xludf.DUMMYFUNCTION("""COMPUTED_VALUE"""),24711650)</f>
        <v>24711650</v>
      </c>
    </row>
    <row r="763" spans="1:6" ht="12.6">
      <c r="A763" s="2">
        <f ca="1">IFERROR(__xludf.DUMMYFUNCTION("""COMPUTED_VALUE"""),45672.6666666666)</f>
        <v>45672.666666666599</v>
      </c>
      <c r="B763" s="1">
        <f ca="1">IFERROR(__xludf.DUMMYFUNCTION("""COMPUTED_VALUE"""),222.83)</f>
        <v>222.83</v>
      </c>
      <c r="C763" s="1">
        <f ca="1">IFERROR(__xludf.DUMMYFUNCTION("""COMPUTED_VALUE"""),223.57)</f>
        <v>223.57</v>
      </c>
      <c r="D763" s="1">
        <f ca="1">IFERROR(__xludf.DUMMYFUNCTION("""COMPUTED_VALUE"""),220.75)</f>
        <v>220.75</v>
      </c>
      <c r="E763" s="1">
        <f ca="1">IFERROR(__xludf.DUMMYFUNCTION("""COMPUTED_VALUE"""),223.35)</f>
        <v>223.35</v>
      </c>
      <c r="F763" s="1">
        <f ca="1">IFERROR(__xludf.DUMMYFUNCTION("""COMPUTED_VALUE"""),31291257)</f>
        <v>31291257</v>
      </c>
    </row>
    <row r="764" spans="1:6" ht="12.6">
      <c r="A764" s="2">
        <f ca="1">IFERROR(__xludf.DUMMYFUNCTION("""COMPUTED_VALUE"""),45673.6666666666)</f>
        <v>45673.666666666599</v>
      </c>
      <c r="B764" s="1">
        <f ca="1">IFERROR(__xludf.DUMMYFUNCTION("""COMPUTED_VALUE"""),224.42)</f>
        <v>224.42</v>
      </c>
      <c r="C764" s="1">
        <f ca="1">IFERROR(__xludf.DUMMYFUNCTION("""COMPUTED_VALUE"""),224.65)</f>
        <v>224.65</v>
      </c>
      <c r="D764" s="1">
        <f ca="1">IFERROR(__xludf.DUMMYFUNCTION("""COMPUTED_VALUE"""),220.31)</f>
        <v>220.31</v>
      </c>
      <c r="E764" s="1">
        <f ca="1">IFERROR(__xludf.DUMMYFUNCTION("""COMPUTED_VALUE"""),220.66)</f>
        <v>220.66</v>
      </c>
      <c r="F764" s="1">
        <f ca="1">IFERROR(__xludf.DUMMYFUNCTION("""COMPUTED_VALUE"""),24757276)</f>
        <v>24757276</v>
      </c>
    </row>
    <row r="765" spans="1:6" ht="12.6">
      <c r="A765" s="2">
        <f ca="1">IFERROR(__xludf.DUMMYFUNCTION("""COMPUTED_VALUE"""),45674.6666666666)</f>
        <v>45674.666666666599</v>
      </c>
      <c r="B765" s="1">
        <f ca="1">IFERROR(__xludf.DUMMYFUNCTION("""COMPUTED_VALUE"""),225.84)</f>
        <v>225.84</v>
      </c>
      <c r="C765" s="1">
        <f ca="1">IFERROR(__xludf.DUMMYFUNCTION("""COMPUTED_VALUE"""),226.51)</f>
        <v>226.51</v>
      </c>
      <c r="D765" s="1">
        <f ca="1">IFERROR(__xludf.DUMMYFUNCTION("""COMPUTED_VALUE"""),223.08)</f>
        <v>223.08</v>
      </c>
      <c r="E765" s="1">
        <f ca="1">IFERROR(__xludf.DUMMYFUNCTION("""COMPUTED_VALUE"""),225.94)</f>
        <v>225.94</v>
      </c>
      <c r="F765" s="1">
        <f ca="1">IFERROR(__xludf.DUMMYFUNCTION("""COMPUTED_VALUE"""),42370123)</f>
        <v>42370123</v>
      </c>
    </row>
    <row r="766" spans="1:6" ht="12.6">
      <c r="A766" s="2">
        <f ca="1">IFERROR(__xludf.DUMMYFUNCTION("""COMPUTED_VALUE"""),45678.6666666666)</f>
        <v>45678.666666666599</v>
      </c>
      <c r="B766" s="1">
        <f ca="1">IFERROR(__xludf.DUMMYFUNCTION("""COMPUTED_VALUE"""),228.9)</f>
        <v>228.9</v>
      </c>
      <c r="C766" s="1">
        <f ca="1">IFERROR(__xludf.DUMMYFUNCTION("""COMPUTED_VALUE"""),231.78)</f>
        <v>231.78</v>
      </c>
      <c r="D766" s="1">
        <f ca="1">IFERROR(__xludf.DUMMYFUNCTION("""COMPUTED_VALUE"""),226.94)</f>
        <v>226.94</v>
      </c>
      <c r="E766" s="1">
        <f ca="1">IFERROR(__xludf.DUMMYFUNCTION("""COMPUTED_VALUE"""),230.71)</f>
        <v>230.71</v>
      </c>
      <c r="F766" s="1">
        <f ca="1">IFERROR(__xludf.DUMMYFUNCTION("""COMPUTED_VALUE"""),39951456)</f>
        <v>39951456</v>
      </c>
    </row>
    <row r="767" spans="1:6" ht="12.6">
      <c r="A767" s="2">
        <f ca="1">IFERROR(__xludf.DUMMYFUNCTION("""COMPUTED_VALUE"""),45679.6666666666)</f>
        <v>45679.666666666599</v>
      </c>
      <c r="B767" s="1">
        <f ca="1">IFERROR(__xludf.DUMMYFUNCTION("""COMPUTED_VALUE"""),232.02)</f>
        <v>232.02</v>
      </c>
      <c r="C767" s="1">
        <f ca="1">IFERROR(__xludf.DUMMYFUNCTION("""COMPUTED_VALUE"""),235.44)</f>
        <v>235.44</v>
      </c>
      <c r="D767" s="1">
        <f ca="1">IFERROR(__xludf.DUMMYFUNCTION("""COMPUTED_VALUE"""),231.19)</f>
        <v>231.19</v>
      </c>
      <c r="E767" s="1">
        <f ca="1">IFERROR(__xludf.DUMMYFUNCTION("""COMPUTED_VALUE"""),235.01)</f>
        <v>235.01</v>
      </c>
      <c r="F767" s="1">
        <f ca="1">IFERROR(__xludf.DUMMYFUNCTION("""COMPUTED_VALUE"""),41448217)</f>
        <v>41448217</v>
      </c>
    </row>
    <row r="768" spans="1:6" ht="12.6">
      <c r="A768" s="2">
        <f ca="1">IFERROR(__xludf.DUMMYFUNCTION("""COMPUTED_VALUE"""),45680.6666666666)</f>
        <v>45680.666666666599</v>
      </c>
      <c r="B768" s="1">
        <f ca="1">IFERROR(__xludf.DUMMYFUNCTION("""COMPUTED_VALUE"""),234.1)</f>
        <v>234.1</v>
      </c>
      <c r="C768" s="1">
        <f ca="1">IFERROR(__xludf.DUMMYFUNCTION("""COMPUTED_VALUE"""),235.52)</f>
        <v>235.52</v>
      </c>
      <c r="D768" s="1">
        <f ca="1">IFERROR(__xludf.DUMMYFUNCTION("""COMPUTED_VALUE"""),231.51)</f>
        <v>231.51</v>
      </c>
      <c r="E768" s="1">
        <f ca="1">IFERROR(__xludf.DUMMYFUNCTION("""COMPUTED_VALUE"""),235.42)</f>
        <v>235.42</v>
      </c>
      <c r="F768" s="1">
        <f ca="1">IFERROR(__xludf.DUMMYFUNCTION("""COMPUTED_VALUE"""),26404364)</f>
        <v>26404364</v>
      </c>
    </row>
    <row r="769" spans="1:6" ht="12.6">
      <c r="A769" s="2">
        <f ca="1">IFERROR(__xludf.DUMMYFUNCTION("""COMPUTED_VALUE"""),45681.6666666666)</f>
        <v>45681.666666666599</v>
      </c>
      <c r="B769" s="1">
        <f ca="1">IFERROR(__xludf.DUMMYFUNCTION("""COMPUTED_VALUE"""),234.5)</f>
        <v>234.5</v>
      </c>
      <c r="C769" s="1">
        <f ca="1">IFERROR(__xludf.DUMMYFUNCTION("""COMPUTED_VALUE"""),236.4)</f>
        <v>236.4</v>
      </c>
      <c r="D769" s="1">
        <f ca="1">IFERROR(__xludf.DUMMYFUNCTION("""COMPUTED_VALUE"""),232.93)</f>
        <v>232.93</v>
      </c>
      <c r="E769" s="1">
        <f ca="1">IFERROR(__xludf.DUMMYFUNCTION("""COMPUTED_VALUE"""),234.85)</f>
        <v>234.85</v>
      </c>
      <c r="F769" s="1">
        <f ca="1">IFERROR(__xludf.DUMMYFUNCTION("""COMPUTED_VALUE"""),25890738)</f>
        <v>25890738</v>
      </c>
    </row>
    <row r="770" spans="1:6" ht="12.6">
      <c r="A770" s="2">
        <f ca="1">IFERROR(__xludf.DUMMYFUNCTION("""COMPUTED_VALUE"""),45684.6666666666)</f>
        <v>45684.666666666599</v>
      </c>
      <c r="B770" s="1">
        <f ca="1">IFERROR(__xludf.DUMMYFUNCTION("""COMPUTED_VALUE"""),226.21)</f>
        <v>226.21</v>
      </c>
      <c r="C770" s="1">
        <f ca="1">IFERROR(__xludf.DUMMYFUNCTION("""COMPUTED_VALUE"""),235.61)</f>
        <v>235.61</v>
      </c>
      <c r="D770" s="1">
        <f ca="1">IFERROR(__xludf.DUMMYFUNCTION("""COMPUTED_VALUE"""),225.86)</f>
        <v>225.86</v>
      </c>
      <c r="E770" s="1">
        <f ca="1">IFERROR(__xludf.DUMMYFUNCTION("""COMPUTED_VALUE"""),235.42)</f>
        <v>235.42</v>
      </c>
      <c r="F770" s="1">
        <f ca="1">IFERROR(__xludf.DUMMYFUNCTION("""COMPUTED_VALUE"""),49428332)</f>
        <v>49428332</v>
      </c>
    </row>
    <row r="771" spans="1:6" ht="12.6">
      <c r="A771" s="2">
        <f ca="1">IFERROR(__xludf.DUMMYFUNCTION("""COMPUTED_VALUE"""),45685.6666666666)</f>
        <v>45685.666666666599</v>
      </c>
      <c r="B771" s="1">
        <f ca="1">IFERROR(__xludf.DUMMYFUNCTION("""COMPUTED_VALUE"""),234.29)</f>
        <v>234.29</v>
      </c>
      <c r="C771" s="1">
        <f ca="1">IFERROR(__xludf.DUMMYFUNCTION("""COMPUTED_VALUE"""),241.77)</f>
        <v>241.77</v>
      </c>
      <c r="D771" s="1">
        <f ca="1">IFERROR(__xludf.DUMMYFUNCTION("""COMPUTED_VALUE"""),233.98)</f>
        <v>233.98</v>
      </c>
      <c r="E771" s="1">
        <f ca="1">IFERROR(__xludf.DUMMYFUNCTION("""COMPUTED_VALUE"""),238.15)</f>
        <v>238.15</v>
      </c>
      <c r="F771" s="1">
        <f ca="1">IFERROR(__xludf.DUMMYFUNCTION("""COMPUTED_VALUE"""),41587188)</f>
        <v>41587188</v>
      </c>
    </row>
    <row r="772" spans="1:6" ht="12.6">
      <c r="A772" s="2">
        <f ca="1">IFERROR(__xludf.DUMMYFUNCTION("""COMPUTED_VALUE"""),45686.6666666666)</f>
        <v>45686.666666666599</v>
      </c>
      <c r="B772" s="1">
        <f ca="1">IFERROR(__xludf.DUMMYFUNCTION("""COMPUTED_VALUE"""),239.02)</f>
        <v>239.02</v>
      </c>
      <c r="C772" s="1">
        <f ca="1">IFERROR(__xludf.DUMMYFUNCTION("""COMPUTED_VALUE"""),240.39)</f>
        <v>240.39</v>
      </c>
      <c r="D772" s="1">
        <f ca="1">IFERROR(__xludf.DUMMYFUNCTION("""COMPUTED_VALUE"""),236.15)</f>
        <v>236.15</v>
      </c>
      <c r="E772" s="1">
        <f ca="1">IFERROR(__xludf.DUMMYFUNCTION("""COMPUTED_VALUE"""),237.07)</f>
        <v>237.07</v>
      </c>
      <c r="F772" s="1">
        <f ca="1">IFERROR(__xludf.DUMMYFUNCTION("""COMPUTED_VALUE"""),26091716)</f>
        <v>26091716</v>
      </c>
    </row>
    <row r="773" spans="1:6" ht="12.6">
      <c r="A773" s="2">
        <f ca="1">IFERROR(__xludf.DUMMYFUNCTION("""COMPUTED_VALUE"""),45687.6666666666)</f>
        <v>45687.666666666599</v>
      </c>
      <c r="B773" s="1">
        <f ca="1">IFERROR(__xludf.DUMMYFUNCTION("""COMPUTED_VALUE"""),237.14)</f>
        <v>237.14</v>
      </c>
      <c r="C773" s="1">
        <f ca="1">IFERROR(__xludf.DUMMYFUNCTION("""COMPUTED_VALUE"""),237.95)</f>
        <v>237.95</v>
      </c>
      <c r="D773" s="1">
        <f ca="1">IFERROR(__xludf.DUMMYFUNCTION("""COMPUTED_VALUE"""),232.22)</f>
        <v>232.22</v>
      </c>
      <c r="E773" s="1">
        <f ca="1">IFERROR(__xludf.DUMMYFUNCTION("""COMPUTED_VALUE"""),234.64)</f>
        <v>234.64</v>
      </c>
      <c r="F773" s="1">
        <f ca="1">IFERROR(__xludf.DUMMYFUNCTION("""COMPUTED_VALUE"""),32020728)</f>
        <v>32020728</v>
      </c>
    </row>
    <row r="774" spans="1:6" ht="12.6">
      <c r="A774" s="2">
        <f ca="1">IFERROR(__xludf.DUMMYFUNCTION("""COMPUTED_VALUE"""),45688.6666666666)</f>
        <v>45688.666666666599</v>
      </c>
      <c r="B774" s="1">
        <f ca="1">IFERROR(__xludf.DUMMYFUNCTION("""COMPUTED_VALUE"""),236.5)</f>
        <v>236.5</v>
      </c>
      <c r="C774" s="1">
        <f ca="1">IFERROR(__xludf.DUMMYFUNCTION("""COMPUTED_VALUE"""),240.29)</f>
        <v>240.29</v>
      </c>
      <c r="D774" s="1">
        <f ca="1">IFERROR(__xludf.DUMMYFUNCTION("""COMPUTED_VALUE"""),236.41)</f>
        <v>236.41</v>
      </c>
      <c r="E774" s="1">
        <f ca="1">IFERROR(__xludf.DUMMYFUNCTION("""COMPUTED_VALUE"""),237.68)</f>
        <v>237.68</v>
      </c>
      <c r="F774" s="1">
        <f ca="1">IFERROR(__xludf.DUMMYFUNCTION("""COMPUTED_VALUE"""),36162377)</f>
        <v>36162377</v>
      </c>
    </row>
    <row r="775" spans="1:6" ht="12.6">
      <c r="A775" s="2">
        <f ca="1">IFERROR(__xludf.DUMMYFUNCTION("""COMPUTED_VALUE"""),45691.6666666666)</f>
        <v>45691.666666666599</v>
      </c>
      <c r="B775" s="1">
        <f ca="1">IFERROR(__xludf.DUMMYFUNCTION("""COMPUTED_VALUE"""),234.06)</f>
        <v>234.06</v>
      </c>
      <c r="C775" s="1">
        <f ca="1">IFERROR(__xludf.DUMMYFUNCTION("""COMPUTED_VALUE"""),239.25)</f>
        <v>239.25</v>
      </c>
      <c r="D775" s="1">
        <f ca="1">IFERROR(__xludf.DUMMYFUNCTION("""COMPUTED_VALUE"""),232.9)</f>
        <v>232.9</v>
      </c>
      <c r="E775" s="1">
        <f ca="1">IFERROR(__xludf.DUMMYFUNCTION("""COMPUTED_VALUE"""),237.42)</f>
        <v>237.42</v>
      </c>
      <c r="F775" s="1">
        <f ca="1">IFERROR(__xludf.DUMMYFUNCTION("""COMPUTED_VALUE"""),37285868)</f>
        <v>37285868</v>
      </c>
    </row>
    <row r="776" spans="1:6" ht="12.6">
      <c r="A776" s="2">
        <f ca="1">IFERROR(__xludf.DUMMYFUNCTION("""COMPUTED_VALUE"""),45692.6666666666)</f>
        <v>45692.666666666599</v>
      </c>
      <c r="B776" s="1">
        <f ca="1">IFERROR(__xludf.DUMMYFUNCTION("""COMPUTED_VALUE"""),239.01)</f>
        <v>239.01</v>
      </c>
      <c r="C776" s="1">
        <f ca="1">IFERROR(__xludf.DUMMYFUNCTION("""COMPUTED_VALUE"""),242.52)</f>
        <v>242.52</v>
      </c>
      <c r="D776" s="1">
        <f ca="1">IFERROR(__xludf.DUMMYFUNCTION("""COMPUTED_VALUE"""),238.03)</f>
        <v>238.03</v>
      </c>
      <c r="E776" s="1">
        <f ca="1">IFERROR(__xludf.DUMMYFUNCTION("""COMPUTED_VALUE"""),242.06)</f>
        <v>242.06</v>
      </c>
      <c r="F776" s="1">
        <f ca="1">IFERROR(__xludf.DUMMYFUNCTION("""COMPUTED_VALUE"""),29713812)</f>
        <v>29713812</v>
      </c>
    </row>
    <row r="777" spans="1:6" ht="12.6">
      <c r="A777" s="2">
        <f ca="1">IFERROR(__xludf.DUMMYFUNCTION("""COMPUTED_VALUE"""),45693.6666666666)</f>
        <v>45693.666666666599</v>
      </c>
      <c r="B777" s="1">
        <f ca="1">IFERROR(__xludf.DUMMYFUNCTION("""COMPUTED_VALUE"""),237.02)</f>
        <v>237.02</v>
      </c>
      <c r="C777" s="1">
        <f ca="1">IFERROR(__xludf.DUMMYFUNCTION("""COMPUTED_VALUE"""),238.32)</f>
        <v>238.32</v>
      </c>
      <c r="D777" s="1">
        <f ca="1">IFERROR(__xludf.DUMMYFUNCTION("""COMPUTED_VALUE"""),235.2)</f>
        <v>235.2</v>
      </c>
      <c r="E777" s="1">
        <f ca="1">IFERROR(__xludf.DUMMYFUNCTION("""COMPUTED_VALUE"""),236.17)</f>
        <v>236.17</v>
      </c>
      <c r="F777" s="1">
        <f ca="1">IFERROR(__xludf.DUMMYFUNCTION("""COMPUTED_VALUE"""),38832042)</f>
        <v>38832042</v>
      </c>
    </row>
    <row r="778" spans="1:6" ht="12.6">
      <c r="A778" s="2">
        <f ca="1">IFERROR(__xludf.DUMMYFUNCTION("""COMPUTED_VALUE"""),45694.6666666666)</f>
        <v>45694.666666666599</v>
      </c>
      <c r="B778" s="1">
        <f ca="1">IFERROR(__xludf.DUMMYFUNCTION("""COMPUTED_VALUE"""),238.01)</f>
        <v>238.01</v>
      </c>
      <c r="C778" s="1">
        <f ca="1">IFERROR(__xludf.DUMMYFUNCTION("""COMPUTED_VALUE"""),239.66)</f>
        <v>239.66</v>
      </c>
      <c r="D778" s="1">
        <f ca="1">IFERROR(__xludf.DUMMYFUNCTION("""COMPUTED_VALUE"""),236.01)</f>
        <v>236.01</v>
      </c>
      <c r="E778" s="1">
        <f ca="1">IFERROR(__xludf.DUMMYFUNCTION("""COMPUTED_VALUE"""),238.83)</f>
        <v>238.83</v>
      </c>
      <c r="F778" s="1">
        <f ca="1">IFERROR(__xludf.DUMMYFUNCTION("""COMPUTED_VALUE"""),60897095)</f>
        <v>60897095</v>
      </c>
    </row>
    <row r="779" spans="1:6" ht="12.6">
      <c r="A779" s="2">
        <f ca="1">IFERROR(__xludf.DUMMYFUNCTION("""COMPUTED_VALUE"""),45695.6666666666)</f>
        <v>45695.666666666599</v>
      </c>
      <c r="B779" s="1">
        <f ca="1">IFERROR(__xludf.DUMMYFUNCTION("""COMPUTED_VALUE"""),232.5)</f>
        <v>232.5</v>
      </c>
      <c r="C779" s="1">
        <f ca="1">IFERROR(__xludf.DUMMYFUNCTION("""COMPUTED_VALUE"""),234.81)</f>
        <v>234.81</v>
      </c>
      <c r="D779" s="1">
        <f ca="1">IFERROR(__xludf.DUMMYFUNCTION("""COMPUTED_VALUE"""),228.06)</f>
        <v>228.06</v>
      </c>
      <c r="E779" s="1">
        <f ca="1">IFERROR(__xludf.DUMMYFUNCTION("""COMPUTED_VALUE"""),229.15)</f>
        <v>229.15</v>
      </c>
      <c r="F779" s="1">
        <f ca="1">IFERROR(__xludf.DUMMYFUNCTION("""COMPUTED_VALUE"""),77539276)</f>
        <v>77539276</v>
      </c>
    </row>
    <row r="780" spans="1:6" ht="12.6">
      <c r="A780" s="2">
        <f ca="1">IFERROR(__xludf.DUMMYFUNCTION("""COMPUTED_VALUE"""),45698.6666666666)</f>
        <v>45698.666666666599</v>
      </c>
      <c r="B780" s="1">
        <f ca="1">IFERROR(__xludf.DUMMYFUNCTION("""COMPUTED_VALUE"""),230.55)</f>
        <v>230.55</v>
      </c>
      <c r="C780" s="1">
        <f ca="1">IFERROR(__xludf.DUMMYFUNCTION("""COMPUTED_VALUE"""),233.92)</f>
        <v>233.92</v>
      </c>
      <c r="D780" s="1">
        <f ca="1">IFERROR(__xludf.DUMMYFUNCTION("""COMPUTED_VALUE"""),229.2)</f>
        <v>229.2</v>
      </c>
      <c r="E780" s="1">
        <f ca="1">IFERROR(__xludf.DUMMYFUNCTION("""COMPUTED_VALUE"""),233.14)</f>
        <v>233.14</v>
      </c>
      <c r="F780" s="1">
        <f ca="1">IFERROR(__xludf.DUMMYFUNCTION("""COMPUTED_VALUE"""),35419926)</f>
        <v>35419926</v>
      </c>
    </row>
    <row r="781" spans="1:6" ht="12.6">
      <c r="A781" s="2">
        <f ca="1">IFERROR(__xludf.DUMMYFUNCTION("""COMPUTED_VALUE"""),45699.6666666666)</f>
        <v>45699.666666666599</v>
      </c>
      <c r="B781" s="1">
        <f ca="1">IFERROR(__xludf.DUMMYFUNCTION("""COMPUTED_VALUE"""),231.92)</f>
        <v>231.92</v>
      </c>
      <c r="C781" s="1">
        <f ca="1">IFERROR(__xludf.DUMMYFUNCTION("""COMPUTED_VALUE"""),233.44)</f>
        <v>233.44</v>
      </c>
      <c r="D781" s="1">
        <f ca="1">IFERROR(__xludf.DUMMYFUNCTION("""COMPUTED_VALUE"""),230.13)</f>
        <v>230.13</v>
      </c>
      <c r="E781" s="1">
        <f ca="1">IFERROR(__xludf.DUMMYFUNCTION("""COMPUTED_VALUE"""),232.76)</f>
        <v>232.76</v>
      </c>
      <c r="F781" s="1">
        <f ca="1">IFERROR(__xludf.DUMMYFUNCTION("""COMPUTED_VALUE"""),23713726)</f>
        <v>23713726</v>
      </c>
    </row>
    <row r="782" spans="1:6" ht="12.6">
      <c r="A782" s="2">
        <f ca="1">IFERROR(__xludf.DUMMYFUNCTION("""COMPUTED_VALUE"""),45700.6666666666)</f>
        <v>45700.666666666599</v>
      </c>
      <c r="B782" s="1">
        <f ca="1">IFERROR(__xludf.DUMMYFUNCTION("""COMPUTED_VALUE"""),230.46)</f>
        <v>230.46</v>
      </c>
      <c r="C782" s="1">
        <f ca="1">IFERROR(__xludf.DUMMYFUNCTION("""COMPUTED_VALUE"""),231.18)</f>
        <v>231.18</v>
      </c>
      <c r="D782" s="1">
        <f ca="1">IFERROR(__xludf.DUMMYFUNCTION("""COMPUTED_VALUE"""),228.16)</f>
        <v>228.16</v>
      </c>
      <c r="E782" s="1">
        <f ca="1">IFERROR(__xludf.DUMMYFUNCTION("""COMPUTED_VALUE"""),228.93)</f>
        <v>228.93</v>
      </c>
      <c r="F782" s="1">
        <f ca="1">IFERROR(__xludf.DUMMYFUNCTION("""COMPUTED_VALUE"""),32285249)</f>
        <v>32285249</v>
      </c>
    </row>
    <row r="783" spans="1:6" ht="12.6">
      <c r="A783" s="2">
        <f ca="1">IFERROR(__xludf.DUMMYFUNCTION("""COMPUTED_VALUE"""),45701.6666666666)</f>
        <v>45701.666666666599</v>
      </c>
      <c r="B783" s="1">
        <f ca="1">IFERROR(__xludf.DUMMYFUNCTION("""COMPUTED_VALUE"""),228.85)</f>
        <v>228.85</v>
      </c>
      <c r="C783" s="1">
        <f ca="1">IFERROR(__xludf.DUMMYFUNCTION("""COMPUTED_VALUE"""),230.42)</f>
        <v>230.42</v>
      </c>
      <c r="D783" s="1">
        <f ca="1">IFERROR(__xludf.DUMMYFUNCTION("""COMPUTED_VALUE"""),227.52)</f>
        <v>227.52</v>
      </c>
      <c r="E783" s="1">
        <f ca="1">IFERROR(__xludf.DUMMYFUNCTION("""COMPUTED_VALUE"""),230.37)</f>
        <v>230.37</v>
      </c>
      <c r="F783" s="1">
        <f ca="1">IFERROR(__xludf.DUMMYFUNCTION("""COMPUTED_VALUE"""),31346512)</f>
        <v>31346512</v>
      </c>
    </row>
    <row r="784" spans="1:6" ht="12.6">
      <c r="A784" s="2">
        <f ca="1">IFERROR(__xludf.DUMMYFUNCTION("""COMPUTED_VALUE"""),45702.6666666666)</f>
        <v>45702.666666666599</v>
      </c>
      <c r="B784" s="1">
        <f ca="1">IFERROR(__xludf.DUMMYFUNCTION("""COMPUTED_VALUE"""),229.2)</f>
        <v>229.2</v>
      </c>
      <c r="C784" s="1">
        <f ca="1">IFERROR(__xludf.DUMMYFUNCTION("""COMPUTED_VALUE"""),229.89)</f>
        <v>229.89</v>
      </c>
      <c r="D784" s="1">
        <f ca="1">IFERROR(__xludf.DUMMYFUNCTION("""COMPUTED_VALUE"""),227.23)</f>
        <v>227.23</v>
      </c>
      <c r="E784" s="1">
        <f ca="1">IFERROR(__xludf.DUMMYFUNCTION("""COMPUTED_VALUE"""),228.68)</f>
        <v>228.68</v>
      </c>
      <c r="F784" s="1">
        <f ca="1">IFERROR(__xludf.DUMMYFUNCTION("""COMPUTED_VALUE"""),27031084)</f>
        <v>27031084</v>
      </c>
    </row>
    <row r="785" spans="1:6" ht="12.6">
      <c r="A785" s="2">
        <f ca="1">IFERROR(__xludf.DUMMYFUNCTION("""COMPUTED_VALUE"""),45706.6666666666)</f>
        <v>45706.666666666599</v>
      </c>
      <c r="B785" s="1">
        <f ca="1">IFERROR(__xludf.DUMMYFUNCTION("""COMPUTED_VALUE"""),228.82)</f>
        <v>228.82</v>
      </c>
      <c r="C785" s="1">
        <f ca="1">IFERROR(__xludf.DUMMYFUNCTION("""COMPUTED_VALUE"""),229.3)</f>
        <v>229.3</v>
      </c>
      <c r="D785" s="1">
        <f ca="1">IFERROR(__xludf.DUMMYFUNCTION("""COMPUTED_VALUE"""),223.72)</f>
        <v>223.72</v>
      </c>
      <c r="E785" s="1">
        <f ca="1">IFERROR(__xludf.DUMMYFUNCTION("""COMPUTED_VALUE"""),226.65)</f>
        <v>226.65</v>
      </c>
      <c r="F785" s="1">
        <f ca="1">IFERROR(__xludf.DUMMYFUNCTION("""COMPUTED_VALUE"""),42975133)</f>
        <v>42975133</v>
      </c>
    </row>
    <row r="786" spans="1:6" ht="12.6">
      <c r="A786" s="2">
        <f ca="1">IFERROR(__xludf.DUMMYFUNCTION("""COMPUTED_VALUE"""),45707.6666666666)</f>
        <v>45707.666666666599</v>
      </c>
      <c r="B786" s="1">
        <f ca="1">IFERROR(__xludf.DUMMYFUNCTION("""COMPUTED_VALUE"""),225.52)</f>
        <v>225.52</v>
      </c>
      <c r="C786" s="1">
        <f ca="1">IFERROR(__xludf.DUMMYFUNCTION("""COMPUTED_VALUE"""),226.83)</f>
        <v>226.83</v>
      </c>
      <c r="D786" s="1">
        <f ca="1">IFERROR(__xludf.DUMMYFUNCTION("""COMPUTED_VALUE"""),223.71)</f>
        <v>223.71</v>
      </c>
      <c r="E786" s="1">
        <f ca="1">IFERROR(__xludf.DUMMYFUNCTION("""COMPUTED_VALUE"""),226.63)</f>
        <v>226.63</v>
      </c>
      <c r="F786" s="1">
        <f ca="1">IFERROR(__xludf.DUMMYFUNCTION("""COMPUTED_VALUE"""),28566709)</f>
        <v>28566709</v>
      </c>
    </row>
    <row r="787" spans="1:6" ht="12.6">
      <c r="A787" s="2">
        <f ca="1">IFERROR(__xludf.DUMMYFUNCTION("""COMPUTED_VALUE"""),45708.6666666666)</f>
        <v>45708.666666666599</v>
      </c>
      <c r="B787" s="1">
        <f ca="1">IFERROR(__xludf.DUMMYFUNCTION("""COMPUTED_VALUE"""),224.78)</f>
        <v>224.78</v>
      </c>
      <c r="C787" s="1">
        <f ca="1">IFERROR(__xludf.DUMMYFUNCTION("""COMPUTED_VALUE"""),225.13)</f>
        <v>225.13</v>
      </c>
      <c r="D787" s="1">
        <f ca="1">IFERROR(__xludf.DUMMYFUNCTION("""COMPUTED_VALUE"""),221.81)</f>
        <v>221.81</v>
      </c>
      <c r="E787" s="1">
        <f ca="1">IFERROR(__xludf.DUMMYFUNCTION("""COMPUTED_VALUE"""),222.88)</f>
        <v>222.88</v>
      </c>
      <c r="F787" s="1">
        <f ca="1">IFERROR(__xludf.DUMMYFUNCTION("""COMPUTED_VALUE"""),30001665)</f>
        <v>30001665</v>
      </c>
    </row>
    <row r="788" spans="1:6" ht="12.6">
      <c r="A788" s="2">
        <f ca="1">IFERROR(__xludf.DUMMYFUNCTION("""COMPUTED_VALUE"""),45709.6666666666)</f>
        <v>45709.666666666599</v>
      </c>
      <c r="B788" s="1">
        <f ca="1">IFERROR(__xludf.DUMMYFUNCTION("""COMPUTED_VALUE"""),223.28)</f>
        <v>223.28</v>
      </c>
      <c r="C788" s="1">
        <f ca="1">IFERROR(__xludf.DUMMYFUNCTION("""COMPUTED_VALUE"""),223.31)</f>
        <v>223.31</v>
      </c>
      <c r="D788" s="1">
        <f ca="1">IFERROR(__xludf.DUMMYFUNCTION("""COMPUTED_VALUE"""),214.74)</f>
        <v>214.74</v>
      </c>
      <c r="E788" s="1">
        <f ca="1">IFERROR(__xludf.DUMMYFUNCTION("""COMPUTED_VALUE"""),216.58)</f>
        <v>216.58</v>
      </c>
      <c r="F788" s="1">
        <f ca="1">IFERROR(__xludf.DUMMYFUNCTION("""COMPUTED_VALUE"""),55323850)</f>
        <v>55323850</v>
      </c>
    </row>
    <row r="789" spans="1:6" ht="12.6">
      <c r="A789" s="2">
        <f ca="1">IFERROR(__xludf.DUMMYFUNCTION("""COMPUTED_VALUE"""),45712.6666666666)</f>
        <v>45712.666666666599</v>
      </c>
      <c r="B789" s="1">
        <f ca="1">IFERROR(__xludf.DUMMYFUNCTION("""COMPUTED_VALUE"""),217.45)</f>
        <v>217.45</v>
      </c>
      <c r="C789" s="1">
        <f ca="1">IFERROR(__xludf.DUMMYFUNCTION("""COMPUTED_VALUE"""),217.72)</f>
        <v>217.72</v>
      </c>
      <c r="D789" s="1">
        <f ca="1">IFERROR(__xludf.DUMMYFUNCTION("""COMPUTED_VALUE"""),212.42)</f>
        <v>212.42</v>
      </c>
      <c r="E789" s="1">
        <f ca="1">IFERROR(__xludf.DUMMYFUNCTION("""COMPUTED_VALUE"""),212.71)</f>
        <v>212.71</v>
      </c>
      <c r="F789" s="1">
        <f ca="1">IFERROR(__xludf.DUMMYFUNCTION("""COMPUTED_VALUE"""),42387585)</f>
        <v>42387585</v>
      </c>
    </row>
    <row r="790" spans="1:6" ht="12.6">
      <c r="A790" s="2">
        <f ca="1">IFERROR(__xludf.DUMMYFUNCTION("""COMPUTED_VALUE"""),45713.6666666666)</f>
        <v>45713.666666666599</v>
      </c>
      <c r="B790" s="1">
        <f ca="1">IFERROR(__xludf.DUMMYFUNCTION("""COMPUTED_VALUE"""),211.63)</f>
        <v>211.63</v>
      </c>
      <c r="C790" s="1">
        <f ca="1">IFERROR(__xludf.DUMMYFUNCTION("""COMPUTED_VALUE"""),213.34)</f>
        <v>213.34</v>
      </c>
      <c r="D790" s="1">
        <f ca="1">IFERROR(__xludf.DUMMYFUNCTION("""COMPUTED_VALUE"""),204.16)</f>
        <v>204.16</v>
      </c>
      <c r="E790" s="1">
        <f ca="1">IFERROR(__xludf.DUMMYFUNCTION("""COMPUTED_VALUE"""),212.8)</f>
        <v>212.8</v>
      </c>
      <c r="F790" s="1">
        <f ca="1">IFERROR(__xludf.DUMMYFUNCTION("""COMPUTED_VALUE"""),58957977)</f>
        <v>58957977</v>
      </c>
    </row>
    <row r="791" spans="1:6" ht="12.6">
      <c r="A791" s="2">
        <f ca="1">IFERROR(__xludf.DUMMYFUNCTION("""COMPUTED_VALUE"""),45714.6666666666)</f>
        <v>45714.666666666599</v>
      </c>
      <c r="B791" s="1">
        <f ca="1">IFERROR(__xludf.DUMMYFUNCTION("""COMPUTED_VALUE"""),214.94)</f>
        <v>214.94</v>
      </c>
      <c r="C791" s="1">
        <f ca="1">IFERROR(__xludf.DUMMYFUNCTION("""COMPUTED_VALUE"""),218.16)</f>
        <v>218.16</v>
      </c>
      <c r="D791" s="1">
        <f ca="1">IFERROR(__xludf.DUMMYFUNCTION("""COMPUTED_VALUE"""),213.09)</f>
        <v>213.09</v>
      </c>
      <c r="E791" s="1">
        <f ca="1">IFERROR(__xludf.DUMMYFUNCTION("""COMPUTED_VALUE"""),214.35)</f>
        <v>214.35</v>
      </c>
      <c r="F791" s="1">
        <f ca="1">IFERROR(__xludf.DUMMYFUNCTION("""COMPUTED_VALUE"""),39120603)</f>
        <v>39120603</v>
      </c>
    </row>
    <row r="792" spans="1:6" ht="12.6">
      <c r="A792" s="2">
        <f ca="1">IFERROR(__xludf.DUMMYFUNCTION("""COMPUTED_VALUE"""),45715.6666666666)</f>
        <v>45715.666666666599</v>
      </c>
      <c r="B792" s="1">
        <f ca="1">IFERROR(__xludf.DUMMYFUNCTION("""COMPUTED_VALUE"""),218.35)</f>
        <v>218.35</v>
      </c>
      <c r="C792" s="1">
        <f ca="1">IFERROR(__xludf.DUMMYFUNCTION("""COMPUTED_VALUE"""),219.97)</f>
        <v>219.97</v>
      </c>
      <c r="D792" s="1">
        <f ca="1">IFERROR(__xludf.DUMMYFUNCTION("""COMPUTED_VALUE"""),208.37)</f>
        <v>208.37</v>
      </c>
      <c r="E792" s="1">
        <f ca="1">IFERROR(__xludf.DUMMYFUNCTION("""COMPUTED_VALUE"""),208.74)</f>
        <v>208.74</v>
      </c>
      <c r="F792" s="1">
        <f ca="1">IFERROR(__xludf.DUMMYFUNCTION("""COMPUTED_VALUE"""),40548571)</f>
        <v>40548571</v>
      </c>
    </row>
    <row r="793" spans="1:6" ht="12.6">
      <c r="A793" s="2">
        <f ca="1">IFERROR(__xludf.DUMMYFUNCTION("""COMPUTED_VALUE"""),45716.6666666666)</f>
        <v>45716.666666666599</v>
      </c>
      <c r="B793" s="1">
        <f ca="1">IFERROR(__xludf.DUMMYFUNCTION("""COMPUTED_VALUE"""),208.65)</f>
        <v>208.65</v>
      </c>
      <c r="C793" s="1">
        <f ca="1">IFERROR(__xludf.DUMMYFUNCTION("""COMPUTED_VALUE"""),212.62)</f>
        <v>212.62</v>
      </c>
      <c r="D793" s="1">
        <f ca="1">IFERROR(__xludf.DUMMYFUNCTION("""COMPUTED_VALUE"""),206.99)</f>
        <v>206.99</v>
      </c>
      <c r="E793" s="1">
        <f ca="1">IFERROR(__xludf.DUMMYFUNCTION("""COMPUTED_VALUE"""),212.28)</f>
        <v>212.28</v>
      </c>
      <c r="F793" s="1">
        <f ca="1">IFERROR(__xludf.DUMMYFUNCTION("""COMPUTED_VALUE"""),51771737)</f>
        <v>51771737</v>
      </c>
    </row>
    <row r="794" spans="1:6" ht="12.6">
      <c r="A794" s="2">
        <f ca="1">IFERROR(__xludf.DUMMYFUNCTION("""COMPUTED_VALUE"""),45719.6666666666)</f>
        <v>45719.666666666599</v>
      </c>
      <c r="B794" s="1">
        <f ca="1">IFERROR(__xludf.DUMMYFUNCTION("""COMPUTED_VALUE"""),213.35)</f>
        <v>213.35</v>
      </c>
      <c r="C794" s="1">
        <f ca="1">IFERROR(__xludf.DUMMYFUNCTION("""COMPUTED_VALUE"""),214.01)</f>
        <v>214.01</v>
      </c>
      <c r="D794" s="1">
        <f ca="1">IFERROR(__xludf.DUMMYFUNCTION("""COMPUTED_VALUE"""),202.55)</f>
        <v>202.55</v>
      </c>
      <c r="E794" s="1">
        <f ca="1">IFERROR(__xludf.DUMMYFUNCTION("""COMPUTED_VALUE"""),205.02)</f>
        <v>205.02</v>
      </c>
      <c r="F794" s="1">
        <f ca="1">IFERROR(__xludf.DUMMYFUNCTION("""COMPUTED_VALUE"""),42948447)</f>
        <v>42948447</v>
      </c>
    </row>
    <row r="795" spans="1:6" ht="12.6">
      <c r="A795" s="2">
        <f ca="1">IFERROR(__xludf.DUMMYFUNCTION("""COMPUTED_VALUE"""),45720.6666666666)</f>
        <v>45720.666666666599</v>
      </c>
      <c r="B795" s="1">
        <f ca="1">IFERROR(__xludf.DUMMYFUNCTION("""COMPUTED_VALUE"""),200.11)</f>
        <v>200.11</v>
      </c>
      <c r="C795" s="1">
        <f ca="1">IFERROR(__xludf.DUMMYFUNCTION("""COMPUTED_VALUE"""),206.8)</f>
        <v>206.8</v>
      </c>
      <c r="D795" s="1">
        <f ca="1">IFERROR(__xludf.DUMMYFUNCTION("""COMPUTED_VALUE"""),197.43)</f>
        <v>197.43</v>
      </c>
      <c r="E795" s="1">
        <f ca="1">IFERROR(__xludf.DUMMYFUNCTION("""COMPUTED_VALUE"""),203.8)</f>
        <v>203.8</v>
      </c>
      <c r="F795" s="1">
        <f ca="1">IFERROR(__xludf.DUMMYFUNCTION("""COMPUTED_VALUE"""),60853084)</f>
        <v>60853084</v>
      </c>
    </row>
    <row r="796" spans="1:6" ht="12.6">
      <c r="A796" s="2">
        <f ca="1">IFERROR(__xludf.DUMMYFUNCTION("""COMPUTED_VALUE"""),45721.6666666666)</f>
        <v>45721.666666666599</v>
      </c>
      <c r="B796" s="1">
        <f ca="1">IFERROR(__xludf.DUMMYFUNCTION("""COMPUTED_VALUE"""),204.8)</f>
        <v>204.8</v>
      </c>
      <c r="C796" s="1">
        <f ca="1">IFERROR(__xludf.DUMMYFUNCTION("""COMPUTED_VALUE"""),209.98)</f>
        <v>209.98</v>
      </c>
      <c r="D796" s="1">
        <f ca="1">IFERROR(__xludf.DUMMYFUNCTION("""COMPUTED_VALUE"""),203.26)</f>
        <v>203.26</v>
      </c>
      <c r="E796" s="1">
        <f ca="1">IFERROR(__xludf.DUMMYFUNCTION("""COMPUTED_VALUE"""),208.36)</f>
        <v>208.36</v>
      </c>
      <c r="F796" s="1">
        <f ca="1">IFERROR(__xludf.DUMMYFUNCTION("""COMPUTED_VALUE"""),38610085)</f>
        <v>38610085</v>
      </c>
    </row>
    <row r="797" spans="1:6" ht="12.6">
      <c r="A797" s="2">
        <f ca="1">IFERROR(__xludf.DUMMYFUNCTION("""COMPUTED_VALUE"""),45722.6666666666)</f>
        <v>45722.666666666599</v>
      </c>
      <c r="B797" s="1">
        <f ca="1">IFERROR(__xludf.DUMMYFUNCTION("""COMPUTED_VALUE"""),204.4)</f>
        <v>204.4</v>
      </c>
      <c r="C797" s="1">
        <f ca="1">IFERROR(__xludf.DUMMYFUNCTION("""COMPUTED_VALUE"""),205.77)</f>
        <v>205.77</v>
      </c>
      <c r="D797" s="1">
        <f ca="1">IFERROR(__xludf.DUMMYFUNCTION("""COMPUTED_VALUE"""),198.3)</f>
        <v>198.3</v>
      </c>
      <c r="E797" s="1">
        <f ca="1">IFERROR(__xludf.DUMMYFUNCTION("""COMPUTED_VALUE"""),200.7)</f>
        <v>200.7</v>
      </c>
      <c r="F797" s="1">
        <f ca="1">IFERROR(__xludf.DUMMYFUNCTION("""COMPUTED_VALUE"""),49863755)</f>
        <v>49863755</v>
      </c>
    </row>
    <row r="798" spans="1:6" ht="12.6">
      <c r="A798" s="2">
        <f ca="1">IFERROR(__xludf.DUMMYFUNCTION("""COMPUTED_VALUE"""),45723.6666666666)</f>
        <v>45723.666666666599</v>
      </c>
      <c r="B798" s="1">
        <f ca="1">IFERROR(__xludf.DUMMYFUNCTION("""COMPUTED_VALUE"""),199.49)</f>
        <v>199.49</v>
      </c>
      <c r="C798" s="1">
        <f ca="1">IFERROR(__xludf.DUMMYFUNCTION("""COMPUTED_VALUE"""),202.27)</f>
        <v>202.27</v>
      </c>
      <c r="D798" s="1">
        <f ca="1">IFERROR(__xludf.DUMMYFUNCTION("""COMPUTED_VALUE"""),192.53)</f>
        <v>192.53</v>
      </c>
      <c r="E798" s="1">
        <f ca="1">IFERROR(__xludf.DUMMYFUNCTION("""COMPUTED_VALUE"""),199.25)</f>
        <v>199.25</v>
      </c>
      <c r="F798" s="1">
        <f ca="1">IFERROR(__xludf.DUMMYFUNCTION("""COMPUTED_VALUE"""),59802821)</f>
        <v>59802821</v>
      </c>
    </row>
    <row r="799" spans="1:6" ht="12.6">
      <c r="A799" s="2">
        <f ca="1">IFERROR(__xludf.DUMMYFUNCTION("""COMPUTED_VALUE"""),45726.6666666666)</f>
        <v>45726.666666666599</v>
      </c>
      <c r="B799" s="1">
        <f ca="1">IFERROR(__xludf.DUMMYFUNCTION("""COMPUTED_VALUE"""),195.6)</f>
        <v>195.6</v>
      </c>
      <c r="C799" s="1">
        <f ca="1">IFERROR(__xludf.DUMMYFUNCTION("""COMPUTED_VALUE"""),196.73)</f>
        <v>196.73</v>
      </c>
      <c r="D799" s="1">
        <f ca="1">IFERROR(__xludf.DUMMYFUNCTION("""COMPUTED_VALUE"""),190.85)</f>
        <v>190.85</v>
      </c>
      <c r="E799" s="1">
        <f ca="1">IFERROR(__xludf.DUMMYFUNCTION("""COMPUTED_VALUE"""),194.54)</f>
        <v>194.54</v>
      </c>
      <c r="F799" s="1">
        <f ca="1">IFERROR(__xludf.DUMMYFUNCTION("""COMPUTED_VALUE"""),62350926)</f>
        <v>62350926</v>
      </c>
    </row>
    <row r="800" spans="1:6" ht="12.6">
      <c r="A800" s="2">
        <f ca="1">IFERROR(__xludf.DUMMYFUNCTION("""COMPUTED_VALUE"""),45727.6666666666)</f>
        <v>45727.666666666599</v>
      </c>
      <c r="B800" s="1">
        <f ca="1">IFERROR(__xludf.DUMMYFUNCTION("""COMPUTED_VALUE"""),193.9)</f>
        <v>193.9</v>
      </c>
      <c r="C800" s="1">
        <f ca="1">IFERROR(__xludf.DUMMYFUNCTION("""COMPUTED_VALUE"""),200.18)</f>
        <v>200.18</v>
      </c>
      <c r="D800" s="1">
        <f ca="1">IFERROR(__xludf.DUMMYFUNCTION("""COMPUTED_VALUE"""),193.4)</f>
        <v>193.4</v>
      </c>
      <c r="E800" s="1">
        <f ca="1">IFERROR(__xludf.DUMMYFUNCTION("""COMPUTED_VALUE"""),196.59)</f>
        <v>196.59</v>
      </c>
      <c r="F800" s="1">
        <f ca="1">IFERROR(__xludf.DUMMYFUNCTION("""COMPUTED_VALUE"""),54002880)</f>
        <v>54002880</v>
      </c>
    </row>
    <row r="801" spans="1:6" ht="12.6">
      <c r="A801" s="2">
        <f ca="1">IFERROR(__xludf.DUMMYFUNCTION("""COMPUTED_VALUE"""),45728.6666666666)</f>
        <v>45728.666666666599</v>
      </c>
      <c r="B801" s="1">
        <f ca="1">IFERROR(__xludf.DUMMYFUNCTION("""COMPUTED_VALUE"""),200.72)</f>
        <v>200.72</v>
      </c>
      <c r="C801" s="1">
        <f ca="1">IFERROR(__xludf.DUMMYFUNCTION("""COMPUTED_VALUE"""),201.52)</f>
        <v>201.52</v>
      </c>
      <c r="D801" s="1">
        <f ca="1">IFERROR(__xludf.DUMMYFUNCTION("""COMPUTED_VALUE"""),195.29)</f>
        <v>195.29</v>
      </c>
      <c r="E801" s="1">
        <f ca="1">IFERROR(__xludf.DUMMYFUNCTION("""COMPUTED_VALUE"""),198.89)</f>
        <v>198.89</v>
      </c>
      <c r="F801" s="1">
        <f ca="1">IFERROR(__xludf.DUMMYFUNCTION("""COMPUTED_VALUE"""),43679284)</f>
        <v>43679284</v>
      </c>
    </row>
    <row r="802" spans="1:6" ht="12.6">
      <c r="A802" s="2">
        <f ca="1">IFERROR(__xludf.DUMMYFUNCTION("""COMPUTED_VALUE"""),45729.6666666666)</f>
        <v>45729.666666666599</v>
      </c>
      <c r="B802" s="1">
        <f ca="1">IFERROR(__xludf.DUMMYFUNCTION("""COMPUTED_VALUE"""),198.17)</f>
        <v>198.17</v>
      </c>
      <c r="C802" s="1">
        <f ca="1">IFERROR(__xludf.DUMMYFUNCTION("""COMPUTED_VALUE"""),198.88)</f>
        <v>198.88</v>
      </c>
      <c r="D802" s="1">
        <f ca="1">IFERROR(__xludf.DUMMYFUNCTION("""COMPUTED_VALUE"""),191.82)</f>
        <v>191.82</v>
      </c>
      <c r="E802" s="1">
        <f ca="1">IFERROR(__xludf.DUMMYFUNCTION("""COMPUTED_VALUE"""),193.89)</f>
        <v>193.89</v>
      </c>
      <c r="F802" s="1">
        <f ca="1">IFERROR(__xludf.DUMMYFUNCTION("""COMPUTED_VALUE"""),41270761)</f>
        <v>41270761</v>
      </c>
    </row>
    <row r="803" spans="1:6" ht="12.6">
      <c r="A803" s="2">
        <f ca="1">IFERROR(__xludf.DUMMYFUNCTION("""COMPUTED_VALUE"""),45730.6666666666)</f>
        <v>45730.666666666599</v>
      </c>
      <c r="B803" s="1">
        <f ca="1">IFERROR(__xludf.DUMMYFUNCTION("""COMPUTED_VALUE"""),197.41)</f>
        <v>197.41</v>
      </c>
      <c r="C803" s="1">
        <f ca="1">IFERROR(__xludf.DUMMYFUNCTION("""COMPUTED_VALUE"""),198.65)</f>
        <v>198.65</v>
      </c>
      <c r="D803" s="1">
        <f ca="1">IFERROR(__xludf.DUMMYFUNCTION("""COMPUTED_VALUE"""),195.32)</f>
        <v>195.32</v>
      </c>
      <c r="E803" s="1">
        <f ca="1">IFERROR(__xludf.DUMMYFUNCTION("""COMPUTED_VALUE"""),197.95)</f>
        <v>197.95</v>
      </c>
      <c r="F803" s="1">
        <f ca="1">IFERROR(__xludf.DUMMYFUNCTION("""COMPUTED_VALUE"""),38096663)</f>
        <v>38096663</v>
      </c>
    </row>
    <row r="804" spans="1:6" ht="12.6">
      <c r="A804" s="2">
        <f ca="1">IFERROR(__xludf.DUMMYFUNCTION("""COMPUTED_VALUE"""),45733.6666666666)</f>
        <v>45733.666666666599</v>
      </c>
      <c r="B804" s="1">
        <f ca="1">IFERROR(__xludf.DUMMYFUNCTION("""COMPUTED_VALUE"""),198.77)</f>
        <v>198.77</v>
      </c>
      <c r="C804" s="1">
        <f ca="1">IFERROR(__xludf.DUMMYFUNCTION("""COMPUTED_VALUE"""),199)</f>
        <v>199</v>
      </c>
      <c r="D804" s="1">
        <f ca="1">IFERROR(__xludf.DUMMYFUNCTION("""COMPUTED_VALUE"""),194.32)</f>
        <v>194.32</v>
      </c>
      <c r="E804" s="1">
        <f ca="1">IFERROR(__xludf.DUMMYFUNCTION("""COMPUTED_VALUE"""),195.74)</f>
        <v>195.74</v>
      </c>
      <c r="F804" s="1">
        <f ca="1">IFERROR(__xludf.DUMMYFUNCTION("""COMPUTED_VALUE"""),47341752)</f>
        <v>47341752</v>
      </c>
    </row>
    <row r="805" spans="1:6" ht="12.6">
      <c r="A805" s="2">
        <f ca="1">IFERROR(__xludf.DUMMYFUNCTION("""COMPUTED_VALUE"""),45734.6666666666)</f>
        <v>45734.666666666599</v>
      </c>
      <c r="B805" s="1">
        <f ca="1">IFERROR(__xludf.DUMMYFUNCTION("""COMPUTED_VALUE"""),192.52)</f>
        <v>192.52</v>
      </c>
      <c r="C805" s="1">
        <f ca="1">IFERROR(__xludf.DUMMYFUNCTION("""COMPUTED_VALUE"""),194)</f>
        <v>194</v>
      </c>
      <c r="D805" s="1">
        <f ca="1">IFERROR(__xludf.DUMMYFUNCTION("""COMPUTED_VALUE"""),189.38)</f>
        <v>189.38</v>
      </c>
      <c r="E805" s="1">
        <f ca="1">IFERROR(__xludf.DUMMYFUNCTION("""COMPUTED_VALUE"""),192.82)</f>
        <v>192.82</v>
      </c>
      <c r="F805" s="1">
        <f ca="1">IFERROR(__xludf.DUMMYFUNCTION("""COMPUTED_VALUE"""),40414867)</f>
        <v>40414867</v>
      </c>
    </row>
    <row r="806" spans="1:6" ht="12.6">
      <c r="A806" s="2">
        <f ca="1">IFERROR(__xludf.DUMMYFUNCTION("""COMPUTED_VALUE"""),45735.6666666666)</f>
        <v>45735.666666666599</v>
      </c>
      <c r="B806" s="1">
        <f ca="1">IFERROR(__xludf.DUMMYFUNCTION("""COMPUTED_VALUE"""),193.38)</f>
        <v>193.38</v>
      </c>
      <c r="C806" s="1">
        <f ca="1">IFERROR(__xludf.DUMMYFUNCTION("""COMPUTED_VALUE"""),195.97)</f>
        <v>195.97</v>
      </c>
      <c r="D806" s="1">
        <f ca="1">IFERROR(__xludf.DUMMYFUNCTION("""COMPUTED_VALUE"""),191.96)</f>
        <v>191.96</v>
      </c>
      <c r="E806" s="1">
        <f ca="1">IFERROR(__xludf.DUMMYFUNCTION("""COMPUTED_VALUE"""),195.54)</f>
        <v>195.54</v>
      </c>
      <c r="F806" s="1">
        <f ca="1">IFERROR(__xludf.DUMMYFUNCTION("""COMPUTED_VALUE"""),39442878)</f>
        <v>39442878</v>
      </c>
    </row>
    <row r="807" spans="1:6" ht="12.6">
      <c r="A807" s="2">
        <f ca="1">IFERROR(__xludf.DUMMYFUNCTION("""COMPUTED_VALUE"""),45736.6666666666)</f>
        <v>45736.666666666599</v>
      </c>
      <c r="B807" s="1">
        <f ca="1">IFERROR(__xludf.DUMMYFUNCTION("""COMPUTED_VALUE"""),193.07)</f>
        <v>193.07</v>
      </c>
      <c r="C807" s="1">
        <f ca="1">IFERROR(__xludf.DUMMYFUNCTION("""COMPUTED_VALUE"""),199.32)</f>
        <v>199.32</v>
      </c>
      <c r="D807" s="1">
        <f ca="1">IFERROR(__xludf.DUMMYFUNCTION("""COMPUTED_VALUE"""),192.3)</f>
        <v>192.3</v>
      </c>
      <c r="E807" s="1">
        <f ca="1">IFERROR(__xludf.DUMMYFUNCTION("""COMPUTED_VALUE"""),194.95)</f>
        <v>194.95</v>
      </c>
      <c r="F807" s="1">
        <f ca="1">IFERROR(__xludf.DUMMYFUNCTION("""COMPUTED_VALUE"""),38921113)</f>
        <v>38921113</v>
      </c>
    </row>
    <row r="808" spans="1:6" ht="12.6">
      <c r="A808" s="2">
        <f ca="1">IFERROR(__xludf.DUMMYFUNCTION("""COMPUTED_VALUE"""),45737.6666666666)</f>
        <v>45737.666666666599</v>
      </c>
      <c r="B808" s="1">
        <f ca="1">IFERROR(__xludf.DUMMYFUNCTION("""COMPUTED_VALUE"""),192.9)</f>
        <v>192.9</v>
      </c>
      <c r="C808" s="1">
        <f ca="1">IFERROR(__xludf.DUMMYFUNCTION("""COMPUTED_VALUE"""),196.99)</f>
        <v>196.99</v>
      </c>
      <c r="D808" s="1">
        <f ca="1">IFERROR(__xludf.DUMMYFUNCTION("""COMPUTED_VALUE"""),192.52)</f>
        <v>192.52</v>
      </c>
      <c r="E808" s="1">
        <f ca="1">IFERROR(__xludf.DUMMYFUNCTION("""COMPUTED_VALUE"""),196.21)</f>
        <v>196.21</v>
      </c>
      <c r="F808" s="1">
        <f ca="1">IFERROR(__xludf.DUMMYFUNCTION("""COMPUTED_VALUE"""),60056917)</f>
        <v>60056917</v>
      </c>
    </row>
    <row r="809" spans="1:6" ht="12.6">
      <c r="A809" s="2">
        <f ca="1">IFERROR(__xludf.DUMMYFUNCTION("""COMPUTED_VALUE"""),45740.6666666666)</f>
        <v>45740.666666666599</v>
      </c>
      <c r="B809" s="1">
        <f ca="1">IFERROR(__xludf.DUMMYFUNCTION("""COMPUTED_VALUE"""),200)</f>
        <v>200</v>
      </c>
      <c r="C809" s="1">
        <f ca="1">IFERROR(__xludf.DUMMYFUNCTION("""COMPUTED_VALUE"""),203.64)</f>
        <v>203.64</v>
      </c>
      <c r="D809" s="1">
        <f ca="1">IFERROR(__xludf.DUMMYFUNCTION("""COMPUTED_VALUE"""),199.95)</f>
        <v>199.95</v>
      </c>
      <c r="E809" s="1">
        <f ca="1">IFERROR(__xludf.DUMMYFUNCTION("""COMPUTED_VALUE"""),203.26)</f>
        <v>203.26</v>
      </c>
      <c r="F809" s="1">
        <f ca="1">IFERROR(__xludf.DUMMYFUNCTION("""COMPUTED_VALUE"""),41625365)</f>
        <v>41625365</v>
      </c>
    </row>
    <row r="810" spans="1:6" ht="12.6">
      <c r="A810" s="2">
        <f ca="1">IFERROR(__xludf.DUMMYFUNCTION("""COMPUTED_VALUE"""),45741.6666666666)</f>
        <v>45741.666666666599</v>
      </c>
      <c r="B810" s="1">
        <f ca="1">IFERROR(__xludf.DUMMYFUNCTION("""COMPUTED_VALUE"""),203.6)</f>
        <v>203.6</v>
      </c>
      <c r="C810" s="1">
        <f ca="1">IFERROR(__xludf.DUMMYFUNCTION("""COMPUTED_VALUE"""),206.21)</f>
        <v>206.21</v>
      </c>
      <c r="D810" s="1">
        <f ca="1">IFERROR(__xludf.DUMMYFUNCTION("""COMPUTED_VALUE"""),203.22)</f>
        <v>203.22</v>
      </c>
      <c r="E810" s="1">
        <f ca="1">IFERROR(__xludf.DUMMYFUNCTION("""COMPUTED_VALUE"""),205.71)</f>
        <v>205.71</v>
      </c>
      <c r="F810" s="1">
        <f ca="1">IFERROR(__xludf.DUMMYFUNCTION("""COMPUTED_VALUE"""),31171161)</f>
        <v>31171161</v>
      </c>
    </row>
    <row r="811" spans="1:6" ht="12.6">
      <c r="A811" s="2">
        <f ca="1">IFERROR(__xludf.DUMMYFUNCTION("""COMPUTED_VALUE"""),45742.6666666666)</f>
        <v>45742.666666666599</v>
      </c>
      <c r="B811" s="1">
        <f ca="1">IFERROR(__xludf.DUMMYFUNCTION("""COMPUTED_VALUE"""),205.84)</f>
        <v>205.84</v>
      </c>
      <c r="C811" s="1">
        <f ca="1">IFERROR(__xludf.DUMMYFUNCTION("""COMPUTED_VALUE"""),206.01)</f>
        <v>206.01</v>
      </c>
      <c r="D811" s="1">
        <f ca="1">IFERROR(__xludf.DUMMYFUNCTION("""COMPUTED_VALUE"""),199.93)</f>
        <v>199.93</v>
      </c>
      <c r="E811" s="1">
        <f ca="1">IFERROR(__xludf.DUMMYFUNCTION("""COMPUTED_VALUE"""),201.13)</f>
        <v>201.13</v>
      </c>
      <c r="F811" s="1">
        <f ca="1">IFERROR(__xludf.DUMMYFUNCTION("""COMPUTED_VALUE"""),32990973)</f>
        <v>32990973</v>
      </c>
    </row>
    <row r="812" spans="1:6" ht="12.6">
      <c r="A812" s="2">
        <f ca="1">IFERROR(__xludf.DUMMYFUNCTION("""COMPUTED_VALUE"""),45743.6666666666)</f>
        <v>45743.666666666599</v>
      </c>
      <c r="B812" s="1">
        <f ca="1">IFERROR(__xludf.DUMMYFUNCTION("""COMPUTED_VALUE"""),200.89)</f>
        <v>200.89</v>
      </c>
      <c r="C812" s="1">
        <f ca="1">IFERROR(__xludf.DUMMYFUNCTION("""COMPUTED_VALUE"""),203.79)</f>
        <v>203.79</v>
      </c>
      <c r="D812" s="1">
        <f ca="1">IFERROR(__xludf.DUMMYFUNCTION("""COMPUTED_VALUE"""),199.28)</f>
        <v>199.28</v>
      </c>
      <c r="E812" s="1">
        <f ca="1">IFERROR(__xludf.DUMMYFUNCTION("""COMPUTED_VALUE"""),201.36)</f>
        <v>201.36</v>
      </c>
      <c r="F812" s="1">
        <f ca="1">IFERROR(__xludf.DUMMYFUNCTION("""COMPUTED_VALUE"""),27317661)</f>
        <v>27317661</v>
      </c>
    </row>
    <row r="813" spans="1:6" ht="12.6">
      <c r="A813" s="2">
        <f ca="1">IFERROR(__xludf.DUMMYFUNCTION("""COMPUTED_VALUE"""),45744.6666666666)</f>
        <v>45744.666666666599</v>
      </c>
      <c r="B813" s="1">
        <f ca="1">IFERROR(__xludf.DUMMYFUNCTION("""COMPUTED_VALUE"""),198.42)</f>
        <v>198.42</v>
      </c>
      <c r="C813" s="1">
        <f ca="1">IFERROR(__xludf.DUMMYFUNCTION("""COMPUTED_VALUE"""),199.26)</f>
        <v>199.26</v>
      </c>
      <c r="D813" s="1">
        <f ca="1">IFERROR(__xludf.DUMMYFUNCTION("""COMPUTED_VALUE"""),191.88)</f>
        <v>191.88</v>
      </c>
      <c r="E813" s="1">
        <f ca="1">IFERROR(__xludf.DUMMYFUNCTION("""COMPUTED_VALUE"""),192.72)</f>
        <v>192.72</v>
      </c>
      <c r="F813" s="1">
        <f ca="1">IFERROR(__xludf.DUMMYFUNCTION("""COMPUTED_VALUE"""),52548226)</f>
        <v>52548226</v>
      </c>
    </row>
    <row r="814" spans="1:6" ht="12.6">
      <c r="A814" s="2">
        <f ca="1">IFERROR(__xludf.DUMMYFUNCTION("""COMPUTED_VALUE"""),45747.6666666666)</f>
        <v>45747.666666666599</v>
      </c>
      <c r="B814" s="1">
        <f ca="1">IFERROR(__xludf.DUMMYFUNCTION("""COMPUTED_VALUE"""),188.19)</f>
        <v>188.19</v>
      </c>
      <c r="C814" s="1">
        <f ca="1">IFERROR(__xludf.DUMMYFUNCTION("""COMPUTED_VALUE"""),191.33)</f>
        <v>191.33</v>
      </c>
      <c r="D814" s="1">
        <f ca="1">IFERROR(__xludf.DUMMYFUNCTION("""COMPUTED_VALUE"""),184.4)</f>
        <v>184.4</v>
      </c>
      <c r="E814" s="1">
        <f ca="1">IFERROR(__xludf.DUMMYFUNCTION("""COMPUTED_VALUE"""),190.26)</f>
        <v>190.26</v>
      </c>
      <c r="F814" s="1">
        <f ca="1">IFERROR(__xludf.DUMMYFUNCTION("""COMPUTED_VALUE"""),63547558)</f>
        <v>63547558</v>
      </c>
    </row>
    <row r="815" spans="1:6" ht="12.6">
      <c r="A815" s="2">
        <f ca="1">IFERROR(__xludf.DUMMYFUNCTION("""COMPUTED_VALUE"""),45748.6666666666)</f>
        <v>45748.666666666599</v>
      </c>
      <c r="B815" s="1">
        <f ca="1">IFERROR(__xludf.DUMMYFUNCTION("""COMPUTED_VALUE"""),187.86)</f>
        <v>187.86</v>
      </c>
      <c r="C815" s="1">
        <f ca="1">IFERROR(__xludf.DUMMYFUNCTION("""COMPUTED_VALUE"""),193.93)</f>
        <v>193.93</v>
      </c>
      <c r="D815" s="1">
        <f ca="1">IFERROR(__xludf.DUMMYFUNCTION("""COMPUTED_VALUE"""),187.2)</f>
        <v>187.2</v>
      </c>
      <c r="E815" s="1">
        <f ca="1">IFERROR(__xludf.DUMMYFUNCTION("""COMPUTED_VALUE"""),192.17)</f>
        <v>192.17</v>
      </c>
      <c r="F815" s="1">
        <f ca="1">IFERROR(__xludf.DUMMYFUNCTION("""COMPUTED_VALUE"""),41267315)</f>
        <v>41267315</v>
      </c>
    </row>
    <row r="816" spans="1:6" ht="12.6">
      <c r="A816" s="2">
        <f ca="1">IFERROR(__xludf.DUMMYFUNCTION("""COMPUTED_VALUE"""),45749.6666666666)</f>
        <v>45749.666666666599</v>
      </c>
      <c r="B816" s="1">
        <f ca="1">IFERROR(__xludf.DUMMYFUNCTION("""COMPUTED_VALUE"""),187.66)</f>
        <v>187.66</v>
      </c>
      <c r="C816" s="1">
        <f ca="1">IFERROR(__xludf.DUMMYFUNCTION("""COMPUTED_VALUE"""),198.34)</f>
        <v>198.34</v>
      </c>
      <c r="D816" s="1">
        <f ca="1">IFERROR(__xludf.DUMMYFUNCTION("""COMPUTED_VALUE"""),187.66)</f>
        <v>187.66</v>
      </c>
      <c r="E816" s="1">
        <f ca="1">IFERROR(__xludf.DUMMYFUNCTION("""COMPUTED_VALUE"""),196.01)</f>
        <v>196.01</v>
      </c>
      <c r="F816" s="1">
        <f ca="1">IFERROR(__xludf.DUMMYFUNCTION("""COMPUTED_VALUE"""),53679198)</f>
        <v>53679198</v>
      </c>
    </row>
    <row r="817" spans="1:6" ht="12.6">
      <c r="A817" s="2">
        <f ca="1">IFERROR(__xludf.DUMMYFUNCTION("""COMPUTED_VALUE"""),45750.6666666666)</f>
        <v>45750.666666666599</v>
      </c>
      <c r="B817" s="1">
        <f ca="1">IFERROR(__xludf.DUMMYFUNCTION("""COMPUTED_VALUE"""),183)</f>
        <v>183</v>
      </c>
      <c r="C817" s="1">
        <f ca="1">IFERROR(__xludf.DUMMYFUNCTION("""COMPUTED_VALUE"""),184.13)</f>
        <v>184.13</v>
      </c>
      <c r="D817" s="1">
        <f ca="1">IFERROR(__xludf.DUMMYFUNCTION("""COMPUTED_VALUE"""),176.92)</f>
        <v>176.92</v>
      </c>
      <c r="E817" s="1">
        <f ca="1">IFERROR(__xludf.DUMMYFUNCTION("""COMPUTED_VALUE"""),178.41)</f>
        <v>178.41</v>
      </c>
      <c r="F817" s="1">
        <f ca="1">IFERROR(__xludf.DUMMYFUNCTION("""COMPUTED_VALUE"""),95553617)</f>
        <v>95553617</v>
      </c>
    </row>
    <row r="818" spans="1:6" ht="12.6">
      <c r="A818" s="2">
        <f ca="1">IFERROR(__xludf.DUMMYFUNCTION("""COMPUTED_VALUE"""),45751.6666666666)</f>
        <v>45751.666666666599</v>
      </c>
      <c r="B818" s="1">
        <f ca="1">IFERROR(__xludf.DUMMYFUNCTION("""COMPUTED_VALUE"""),167.15)</f>
        <v>167.15</v>
      </c>
      <c r="C818" s="1">
        <f ca="1">IFERROR(__xludf.DUMMYFUNCTION("""COMPUTED_VALUE"""),178.14)</f>
        <v>178.14</v>
      </c>
      <c r="D818" s="1">
        <f ca="1">IFERROR(__xludf.DUMMYFUNCTION("""COMPUTED_VALUE"""),166)</f>
        <v>166</v>
      </c>
      <c r="E818" s="1">
        <f ca="1">IFERROR(__xludf.DUMMYFUNCTION("""COMPUTED_VALUE"""),171)</f>
        <v>171</v>
      </c>
      <c r="F818" s="1">
        <f ca="1">IFERROR(__xludf.DUMMYFUNCTION("""COMPUTED_VALUE"""),123159359)</f>
        <v>123159359</v>
      </c>
    </row>
    <row r="819" spans="1:6" ht="12.6">
      <c r="A819" s="2">
        <f ca="1">IFERROR(__xludf.DUMMYFUNCTION("""COMPUTED_VALUE"""),45754.6666666666)</f>
        <v>45754.666666666599</v>
      </c>
      <c r="B819" s="1">
        <f ca="1">IFERROR(__xludf.DUMMYFUNCTION("""COMPUTED_VALUE"""),162)</f>
        <v>162</v>
      </c>
      <c r="C819" s="1">
        <f ca="1">IFERROR(__xludf.DUMMYFUNCTION("""COMPUTED_VALUE"""),183.41)</f>
        <v>183.41</v>
      </c>
      <c r="D819" s="1">
        <f ca="1">IFERROR(__xludf.DUMMYFUNCTION("""COMPUTED_VALUE"""),161.38)</f>
        <v>161.38</v>
      </c>
      <c r="E819" s="1">
        <f ca="1">IFERROR(__xludf.DUMMYFUNCTION("""COMPUTED_VALUE"""),175.26)</f>
        <v>175.26</v>
      </c>
      <c r="F819" s="1">
        <f ca="1">IFERROR(__xludf.DUMMYFUNCTION("""COMPUTED_VALUE"""),109327115)</f>
        <v>109327115</v>
      </c>
    </row>
    <row r="820" spans="1:6" ht="12.6">
      <c r="A820" s="2">
        <f ca="1">IFERROR(__xludf.DUMMYFUNCTION("""COMPUTED_VALUE"""),45755.6666666666)</f>
        <v>45755.666666666599</v>
      </c>
      <c r="B820" s="1">
        <f ca="1">IFERROR(__xludf.DUMMYFUNCTION("""COMPUTED_VALUE"""),185.23)</f>
        <v>185.23</v>
      </c>
      <c r="C820" s="1">
        <f ca="1">IFERROR(__xludf.DUMMYFUNCTION("""COMPUTED_VALUE"""),185.9)</f>
        <v>185.9</v>
      </c>
      <c r="D820" s="1">
        <f ca="1">IFERROR(__xludf.DUMMYFUNCTION("""COMPUTED_VALUE"""),168.57)</f>
        <v>168.57</v>
      </c>
      <c r="E820" s="1">
        <f ca="1">IFERROR(__xludf.DUMMYFUNCTION("""COMPUTED_VALUE"""),170.66)</f>
        <v>170.66</v>
      </c>
      <c r="F820" s="1">
        <f ca="1">IFERROR(__xludf.DUMMYFUNCTION("""COMPUTED_VALUE"""),87710360)</f>
        <v>87710360</v>
      </c>
    </row>
    <row r="821" spans="1:6" ht="12.6">
      <c r="A821" s="2">
        <f ca="1">IFERROR(__xludf.DUMMYFUNCTION("""COMPUTED_VALUE"""),45756.6666666666)</f>
        <v>45756.666666666599</v>
      </c>
      <c r="B821" s="1">
        <f ca="1">IFERROR(__xludf.DUMMYFUNCTION("""COMPUTED_VALUE"""),172.12)</f>
        <v>172.12</v>
      </c>
      <c r="C821" s="1">
        <f ca="1">IFERROR(__xludf.DUMMYFUNCTION("""COMPUTED_VALUE"""),192.65)</f>
        <v>192.65</v>
      </c>
      <c r="D821" s="1">
        <f ca="1">IFERROR(__xludf.DUMMYFUNCTION("""COMPUTED_VALUE"""),169.93)</f>
        <v>169.93</v>
      </c>
      <c r="E821" s="1">
        <f ca="1">IFERROR(__xludf.DUMMYFUNCTION("""COMPUTED_VALUE"""),191.1)</f>
        <v>191.1</v>
      </c>
      <c r="F821" s="1">
        <f ca="1">IFERROR(__xludf.DUMMYFUNCTION("""COMPUTED_VALUE"""),116804328)</f>
        <v>116804328</v>
      </c>
    </row>
    <row r="822" spans="1:6" ht="12.6">
      <c r="A822" s="2">
        <f ca="1">IFERROR(__xludf.DUMMYFUNCTION("""COMPUTED_VALUE"""),45757.6666666666)</f>
        <v>45757.666666666599</v>
      </c>
      <c r="B822" s="1">
        <f ca="1">IFERROR(__xludf.DUMMYFUNCTION("""COMPUTED_VALUE"""),185.44)</f>
        <v>185.44</v>
      </c>
      <c r="C822" s="1">
        <f ca="1">IFERROR(__xludf.DUMMYFUNCTION("""COMPUTED_VALUE"""),186.87)</f>
        <v>186.87</v>
      </c>
      <c r="D822" s="1">
        <f ca="1">IFERROR(__xludf.DUMMYFUNCTION("""COMPUTED_VALUE"""),175.85)</f>
        <v>175.85</v>
      </c>
      <c r="E822" s="1">
        <f ca="1">IFERROR(__xludf.DUMMYFUNCTION("""COMPUTED_VALUE"""),181.22)</f>
        <v>181.22</v>
      </c>
      <c r="F822" s="1">
        <f ca="1">IFERROR(__xludf.DUMMYFUNCTION("""COMPUTED_VALUE"""),68302045)</f>
        <v>68302045</v>
      </c>
    </row>
    <row r="823" spans="1:6" ht="12.6">
      <c r="A823" s="2">
        <f ca="1">IFERROR(__xludf.DUMMYFUNCTION("""COMPUTED_VALUE"""),45758.6666666666)</f>
        <v>45758.666666666599</v>
      </c>
      <c r="B823" s="1">
        <f ca="1">IFERROR(__xludf.DUMMYFUNCTION("""COMPUTED_VALUE"""),179.93)</f>
        <v>179.93</v>
      </c>
      <c r="C823" s="1">
        <f ca="1">IFERROR(__xludf.DUMMYFUNCTION("""COMPUTED_VALUE"""),185.86)</f>
        <v>185.86</v>
      </c>
      <c r="D823" s="1">
        <f ca="1">IFERROR(__xludf.DUMMYFUNCTION("""COMPUTED_VALUE"""),178)</f>
        <v>178</v>
      </c>
      <c r="E823" s="1">
        <f ca="1">IFERROR(__xludf.DUMMYFUNCTION("""COMPUTED_VALUE"""),184.87)</f>
        <v>184.87</v>
      </c>
      <c r="F823" s="1">
        <f ca="1">IFERROR(__xludf.DUMMYFUNCTION("""COMPUTED_VALUE"""),50594339)</f>
        <v>50594339</v>
      </c>
    </row>
    <row r="824" spans="1:6" ht="12.6">
      <c r="A824" s="2">
        <f ca="1">IFERROR(__xludf.DUMMYFUNCTION("""COMPUTED_VALUE"""),45761.6666666666)</f>
        <v>45761.666666666599</v>
      </c>
      <c r="B824" s="1">
        <f ca="1">IFERROR(__xludf.DUMMYFUNCTION("""COMPUTED_VALUE"""),186.84)</f>
        <v>186.84</v>
      </c>
      <c r="C824" s="1">
        <f ca="1">IFERROR(__xludf.DUMMYFUNCTION("""COMPUTED_VALUE"""),187.44)</f>
        <v>187.44</v>
      </c>
      <c r="D824" s="1">
        <f ca="1">IFERROR(__xludf.DUMMYFUNCTION("""COMPUTED_VALUE"""),179.23)</f>
        <v>179.23</v>
      </c>
      <c r="E824" s="1">
        <f ca="1">IFERROR(__xludf.DUMMYFUNCTION("""COMPUTED_VALUE"""),182.12)</f>
        <v>182.12</v>
      </c>
      <c r="F824" s="1">
        <f ca="1">IFERROR(__xludf.DUMMYFUNCTION("""COMPUTED_VALUE"""),48002540)</f>
        <v>48002540</v>
      </c>
    </row>
    <row r="825" spans="1:6" ht="12.6">
      <c r="A825" s="2">
        <f ca="1">IFERROR(__xludf.DUMMYFUNCTION("""COMPUTED_VALUE"""),45762.6666666666)</f>
        <v>45762.666666666599</v>
      </c>
      <c r="B825" s="1">
        <f ca="1">IFERROR(__xludf.DUMMYFUNCTION("""COMPUTED_VALUE"""),181.41)</f>
        <v>181.41</v>
      </c>
      <c r="C825" s="1">
        <f ca="1">IFERROR(__xludf.DUMMYFUNCTION("""COMPUTED_VALUE"""),182.35)</f>
        <v>182.35</v>
      </c>
      <c r="D825" s="1">
        <f ca="1">IFERROR(__xludf.DUMMYFUNCTION("""COMPUTED_VALUE"""),177.93)</f>
        <v>177.93</v>
      </c>
      <c r="E825" s="1">
        <f ca="1">IFERROR(__xludf.DUMMYFUNCTION("""COMPUTED_VALUE"""),179.59)</f>
        <v>179.59</v>
      </c>
      <c r="F825" s="1">
        <f ca="1">IFERROR(__xludf.DUMMYFUNCTION("""COMPUTED_VALUE"""),43641952)</f>
        <v>43641952</v>
      </c>
    </row>
    <row r="826" spans="1:6" ht="12.6">
      <c r="A826" s="2">
        <f ca="1">IFERROR(__xludf.DUMMYFUNCTION("""COMPUTED_VALUE"""),45763.6666666666)</f>
        <v>45763.666666666599</v>
      </c>
      <c r="B826" s="1">
        <f ca="1">IFERROR(__xludf.DUMMYFUNCTION("""COMPUTED_VALUE"""),176.29)</f>
        <v>176.29</v>
      </c>
      <c r="C826" s="1">
        <f ca="1">IFERROR(__xludf.DUMMYFUNCTION("""COMPUTED_VALUE"""),179.1)</f>
        <v>179.1</v>
      </c>
      <c r="D826" s="1">
        <f ca="1">IFERROR(__xludf.DUMMYFUNCTION("""COMPUTED_VALUE"""),171.41)</f>
        <v>171.41</v>
      </c>
      <c r="E826" s="1">
        <f ca="1">IFERROR(__xludf.DUMMYFUNCTION("""COMPUTED_VALUE"""),174.33)</f>
        <v>174.33</v>
      </c>
      <c r="F826" s="1">
        <f ca="1">IFERROR(__xludf.DUMMYFUNCTION("""COMPUTED_VALUE"""),51875316)</f>
        <v>51875316</v>
      </c>
    </row>
    <row r="827" spans="1:6" ht="12.6">
      <c r="A827" s="2">
        <f ca="1">IFERROR(__xludf.DUMMYFUNCTION("""COMPUTED_VALUE"""),45764.6666666666)</f>
        <v>45764.666666666599</v>
      </c>
      <c r="B827" s="1">
        <f ca="1">IFERROR(__xludf.DUMMYFUNCTION("""COMPUTED_VALUE"""),176)</f>
        <v>176</v>
      </c>
      <c r="C827" s="1">
        <f ca="1">IFERROR(__xludf.DUMMYFUNCTION("""COMPUTED_VALUE"""),176.21)</f>
        <v>176.21</v>
      </c>
      <c r="D827" s="1">
        <f ca="1">IFERROR(__xludf.DUMMYFUNCTION("""COMPUTED_VALUE"""),172)</f>
        <v>172</v>
      </c>
      <c r="E827" s="1">
        <f ca="1">IFERROR(__xludf.DUMMYFUNCTION("""COMPUTED_VALUE"""),172.61)</f>
        <v>172.61</v>
      </c>
      <c r="F827" s="1">
        <f ca="1">IFERROR(__xludf.DUMMYFUNCTION("""COMPUTED_VALUE"""),44726453)</f>
        <v>44726453</v>
      </c>
    </row>
    <row r="828" spans="1:6" ht="12.6">
      <c r="A828" s="2">
        <f ca="1">IFERROR(__xludf.DUMMYFUNCTION("""COMPUTED_VALUE"""),45768.6666666666)</f>
        <v>45768.666666666599</v>
      </c>
      <c r="B828" s="1">
        <f ca="1">IFERROR(__xludf.DUMMYFUNCTION("""COMPUTED_VALUE"""),169.6)</f>
        <v>169.6</v>
      </c>
      <c r="C828" s="1">
        <f ca="1">IFERROR(__xludf.DUMMYFUNCTION("""COMPUTED_VALUE"""),169.6)</f>
        <v>169.6</v>
      </c>
      <c r="D828" s="1">
        <f ca="1">IFERROR(__xludf.DUMMYFUNCTION("""COMPUTED_VALUE"""),165.29)</f>
        <v>165.29</v>
      </c>
      <c r="E828" s="1">
        <f ca="1">IFERROR(__xludf.DUMMYFUNCTION("""COMPUTED_VALUE"""),167.32)</f>
        <v>167.32</v>
      </c>
      <c r="F828" s="1">
        <f ca="1">IFERROR(__xludf.DUMMYFUNCTION("""COMPUTED_VALUE"""),48126111)</f>
        <v>48126111</v>
      </c>
    </row>
    <row r="829" spans="1:6" ht="12.6">
      <c r="A829" s="2">
        <f ca="1">IFERROR(__xludf.DUMMYFUNCTION("""COMPUTED_VALUE"""),45769.6666666666)</f>
        <v>45769.666666666599</v>
      </c>
      <c r="B829" s="1">
        <f ca="1">IFERROR(__xludf.DUMMYFUNCTION("""COMPUTED_VALUE"""),169.85)</f>
        <v>169.85</v>
      </c>
      <c r="C829" s="1">
        <f ca="1">IFERROR(__xludf.DUMMYFUNCTION("""COMPUTED_VALUE"""),176.78)</f>
        <v>176.78</v>
      </c>
      <c r="D829" s="1">
        <f ca="1">IFERROR(__xludf.DUMMYFUNCTION("""COMPUTED_VALUE"""),169.35)</f>
        <v>169.35</v>
      </c>
      <c r="E829" s="1">
        <f ca="1">IFERROR(__xludf.DUMMYFUNCTION("""COMPUTED_VALUE"""),173.18)</f>
        <v>173.18</v>
      </c>
      <c r="F829" s="1">
        <f ca="1">IFERROR(__xludf.DUMMYFUNCTION("""COMPUTED_VALUE"""),56607202)</f>
        <v>56607202</v>
      </c>
    </row>
    <row r="830" spans="1:6" ht="12.6">
      <c r="A830" s="2">
        <f ca="1">IFERROR(__xludf.DUMMYFUNCTION("""COMPUTED_VALUE"""),45770.6666666666)</f>
        <v>45770.666666666599</v>
      </c>
      <c r="B830" s="1">
        <f ca="1">IFERROR(__xludf.DUMMYFUNCTION("""COMPUTED_VALUE"""),183.45)</f>
        <v>183.45</v>
      </c>
      <c r="C830" s="1">
        <f ca="1">IFERROR(__xludf.DUMMYFUNCTION("""COMPUTED_VALUE"""),187.38)</f>
        <v>187.38</v>
      </c>
      <c r="D830" s="1">
        <f ca="1">IFERROR(__xludf.DUMMYFUNCTION("""COMPUTED_VALUE"""),180.19)</f>
        <v>180.19</v>
      </c>
      <c r="E830" s="1">
        <f ca="1">IFERROR(__xludf.DUMMYFUNCTION("""COMPUTED_VALUE"""),180.6)</f>
        <v>180.6</v>
      </c>
      <c r="F830" s="1">
        <f ca="1">IFERROR(__xludf.DUMMYFUNCTION("""COMPUTED_VALUE"""),63470149)</f>
        <v>63470149</v>
      </c>
    </row>
    <row r="831" spans="1:6" ht="12.6">
      <c r="A831" s="2">
        <f ca="1">IFERROR(__xludf.DUMMYFUNCTION("""COMPUTED_VALUE"""),45771.6666666666)</f>
        <v>45771.666666666599</v>
      </c>
      <c r="B831" s="1">
        <f ca="1">IFERROR(__xludf.DUMMYFUNCTION("""COMPUTED_VALUE"""),180.92)</f>
        <v>180.92</v>
      </c>
      <c r="C831" s="1">
        <f ca="1">IFERROR(__xludf.DUMMYFUNCTION("""COMPUTED_VALUE"""),186.74)</f>
        <v>186.74</v>
      </c>
      <c r="D831" s="1">
        <f ca="1">IFERROR(__xludf.DUMMYFUNCTION("""COMPUTED_VALUE"""),180.18)</f>
        <v>180.18</v>
      </c>
      <c r="E831" s="1">
        <f ca="1">IFERROR(__xludf.DUMMYFUNCTION("""COMPUTED_VALUE"""),186.54)</f>
        <v>186.54</v>
      </c>
      <c r="F831" s="1">
        <f ca="1">IFERROR(__xludf.DUMMYFUNCTION("""COMPUTED_VALUE"""),43763196)</f>
        <v>43763196</v>
      </c>
    </row>
    <row r="832" spans="1:6" ht="12.6">
      <c r="A832" s="2">
        <f ca="1">IFERROR(__xludf.DUMMYFUNCTION("""COMPUTED_VALUE"""),45772.6666666666)</f>
        <v>45772.666666666599</v>
      </c>
      <c r="B832" s="1">
        <f ca="1">IFERROR(__xludf.DUMMYFUNCTION("""COMPUTED_VALUE"""),187.62)</f>
        <v>187.62</v>
      </c>
      <c r="C832" s="1">
        <f ca="1">IFERROR(__xludf.DUMMYFUNCTION("""COMPUTED_VALUE"""),189.94)</f>
        <v>189.94</v>
      </c>
      <c r="D832" s="1">
        <f ca="1">IFERROR(__xludf.DUMMYFUNCTION("""COMPUTED_VALUE"""),185.49)</f>
        <v>185.49</v>
      </c>
      <c r="E832" s="1">
        <f ca="1">IFERROR(__xludf.DUMMYFUNCTION("""COMPUTED_VALUE"""),188.99)</f>
        <v>188.99</v>
      </c>
      <c r="F832" s="1">
        <f ca="1">IFERROR(__xludf.DUMMYFUNCTION("""COMPUTED_VALUE"""),36414330)</f>
        <v>36414330</v>
      </c>
    </row>
    <row r="833" spans="1:6" ht="12.6">
      <c r="A833" s="2">
        <f ca="1">IFERROR(__xludf.DUMMYFUNCTION("""COMPUTED_VALUE"""),45775.6666666666)</f>
        <v>45775.666666666599</v>
      </c>
      <c r="B833" s="1">
        <f ca="1">IFERROR(__xludf.DUMMYFUNCTION("""COMPUTED_VALUE"""),190.11)</f>
        <v>190.11</v>
      </c>
      <c r="C833" s="1">
        <f ca="1">IFERROR(__xludf.DUMMYFUNCTION("""COMPUTED_VALUE"""),190.22)</f>
        <v>190.22</v>
      </c>
      <c r="D833" s="1">
        <f ca="1">IFERROR(__xludf.DUMMYFUNCTION("""COMPUTED_VALUE"""),184.89)</f>
        <v>184.89</v>
      </c>
      <c r="E833" s="1">
        <f ca="1">IFERROR(__xludf.DUMMYFUNCTION("""COMPUTED_VALUE"""),187.7)</f>
        <v>187.7</v>
      </c>
      <c r="F833" s="1">
        <f ca="1">IFERROR(__xludf.DUMMYFUNCTION("""COMPUTED_VALUE"""),33224732)</f>
        <v>33224732</v>
      </c>
    </row>
    <row r="834" spans="1:6" ht="12.6">
      <c r="A834" s="2">
        <f ca="1">IFERROR(__xludf.DUMMYFUNCTION("""COMPUTED_VALUE"""),45776.6666666666)</f>
        <v>45776.666666666599</v>
      </c>
      <c r="B834" s="1">
        <f ca="1">IFERROR(__xludf.DUMMYFUNCTION("""COMPUTED_VALUE"""),183.99)</f>
        <v>183.99</v>
      </c>
      <c r="C834" s="1">
        <f ca="1">IFERROR(__xludf.DUMMYFUNCTION("""COMPUTED_VALUE"""),188.02)</f>
        <v>188.02</v>
      </c>
      <c r="D834" s="1">
        <f ca="1">IFERROR(__xludf.DUMMYFUNCTION("""COMPUTED_VALUE"""),183.68)</f>
        <v>183.68</v>
      </c>
      <c r="E834" s="1">
        <f ca="1">IFERROR(__xludf.DUMMYFUNCTION("""COMPUTED_VALUE"""),187.39)</f>
        <v>187.39</v>
      </c>
      <c r="F834" s="1">
        <f ca="1">IFERROR(__xludf.DUMMYFUNCTION("""COMPUTED_VALUE"""),41667255)</f>
        <v>41667255</v>
      </c>
    </row>
    <row r="835" spans="1:6" ht="12.6">
      <c r="A835" s="2">
        <f ca="1">IFERROR(__xludf.DUMMYFUNCTION("""COMPUTED_VALUE"""),45777.6666666666)</f>
        <v>45777.666666666599</v>
      </c>
      <c r="B835" s="1">
        <f ca="1">IFERROR(__xludf.DUMMYFUNCTION("""COMPUTED_VALUE"""),182.17)</f>
        <v>182.17</v>
      </c>
      <c r="C835" s="1">
        <f ca="1">IFERROR(__xludf.DUMMYFUNCTION("""COMPUTED_VALUE"""),185.05)</f>
        <v>185.05</v>
      </c>
      <c r="D835" s="1">
        <f ca="1">IFERROR(__xludf.DUMMYFUNCTION("""COMPUTED_VALUE"""),178.85)</f>
        <v>178.85</v>
      </c>
      <c r="E835" s="1">
        <f ca="1">IFERROR(__xludf.DUMMYFUNCTION("""COMPUTED_VALUE"""),184.42)</f>
        <v>184.42</v>
      </c>
      <c r="F835" s="1">
        <f ca="1">IFERROR(__xludf.DUMMYFUNCTION("""COMPUTED_VALUE"""),55176543)</f>
        <v>55176543</v>
      </c>
    </row>
    <row r="836" spans="1:6" ht="12.6">
      <c r="A836" s="2">
        <f ca="1">IFERROR(__xludf.DUMMYFUNCTION("""COMPUTED_VALUE"""),45778.6666666666)</f>
        <v>45778.666666666599</v>
      </c>
      <c r="B836" s="1">
        <f ca="1">IFERROR(__xludf.DUMMYFUNCTION("""COMPUTED_VALUE"""),190.63)</f>
        <v>190.63</v>
      </c>
      <c r="C836" s="1">
        <f ca="1">IFERROR(__xludf.DUMMYFUNCTION("""COMPUTED_VALUE"""),191.81)</f>
        <v>191.81</v>
      </c>
      <c r="D836" s="1">
        <f ca="1">IFERROR(__xludf.DUMMYFUNCTION("""COMPUTED_VALUE"""),187.5)</f>
        <v>187.5</v>
      </c>
      <c r="E836" s="1">
        <f ca="1">IFERROR(__xludf.DUMMYFUNCTION("""COMPUTED_VALUE"""),190.2)</f>
        <v>190.2</v>
      </c>
      <c r="F836" s="1">
        <f ca="1">IFERROR(__xludf.DUMMYFUNCTION("""COMPUTED_VALUE"""),74265963)</f>
        <v>74265963</v>
      </c>
    </row>
    <row r="837" spans="1:6" ht="12.6">
      <c r="A837" s="2">
        <f ca="1">IFERROR(__xludf.DUMMYFUNCTION("""COMPUTED_VALUE"""),45779.6666666666)</f>
        <v>45779.666666666599</v>
      </c>
      <c r="B837" s="1">
        <f ca="1">IFERROR(__xludf.DUMMYFUNCTION("""COMPUTED_VALUE"""),191.44)</f>
        <v>191.44</v>
      </c>
      <c r="C837" s="1">
        <f ca="1">IFERROR(__xludf.DUMMYFUNCTION("""COMPUTED_VALUE"""),192.88)</f>
        <v>192.88</v>
      </c>
      <c r="D837" s="1">
        <f ca="1">IFERROR(__xludf.DUMMYFUNCTION("""COMPUTED_VALUE"""),186.4)</f>
        <v>186.4</v>
      </c>
      <c r="E837" s="1">
        <f ca="1">IFERROR(__xludf.DUMMYFUNCTION("""COMPUTED_VALUE"""),189.98)</f>
        <v>189.98</v>
      </c>
      <c r="F837" s="1">
        <f ca="1">IFERROR(__xludf.DUMMYFUNCTION("""COMPUTED_VALUE"""),77903487)</f>
        <v>77903487</v>
      </c>
    </row>
    <row r="838" spans="1:6" ht="12.6">
      <c r="A838" s="2">
        <f ca="1">IFERROR(__xludf.DUMMYFUNCTION("""COMPUTED_VALUE"""),45782.6666666666)</f>
        <v>45782.666666666599</v>
      </c>
      <c r="B838" s="1">
        <f ca="1">IFERROR(__xludf.DUMMYFUNCTION("""COMPUTED_VALUE"""),186.51)</f>
        <v>186.51</v>
      </c>
      <c r="C838" s="1">
        <f ca="1">IFERROR(__xludf.DUMMYFUNCTION("""COMPUTED_VALUE"""),188.18)</f>
        <v>188.18</v>
      </c>
      <c r="D838" s="1">
        <f ca="1">IFERROR(__xludf.DUMMYFUNCTION("""COMPUTED_VALUE"""),185.53)</f>
        <v>185.53</v>
      </c>
      <c r="E838" s="1">
        <f ca="1">IFERROR(__xludf.DUMMYFUNCTION("""COMPUTED_VALUE"""),186.35)</f>
        <v>186.35</v>
      </c>
      <c r="F838" s="1">
        <f ca="1">IFERROR(__xludf.DUMMYFUNCTION("""COMPUTED_VALUE"""),35217469)</f>
        <v>35217469</v>
      </c>
    </row>
    <row r="839" spans="1:6" ht="12.6">
      <c r="A839" s="2">
        <f ca="1">IFERROR(__xludf.DUMMYFUNCTION("""COMPUTED_VALUE"""),45783.6666666666)</f>
        <v>45783.666666666599</v>
      </c>
      <c r="B839" s="1">
        <f ca="1">IFERROR(__xludf.DUMMYFUNCTION("""COMPUTED_VALUE"""),184.57)</f>
        <v>184.57</v>
      </c>
      <c r="C839" s="1">
        <f ca="1">IFERROR(__xludf.DUMMYFUNCTION("""COMPUTED_VALUE"""),187.93)</f>
        <v>187.93</v>
      </c>
      <c r="D839" s="1">
        <f ca="1">IFERROR(__xludf.DUMMYFUNCTION("""COMPUTED_VALUE"""),183.85)</f>
        <v>183.85</v>
      </c>
      <c r="E839" s="1">
        <f ca="1">IFERROR(__xludf.DUMMYFUNCTION("""COMPUTED_VALUE"""),185.01)</f>
        <v>185.01</v>
      </c>
      <c r="F839" s="1">
        <f ca="1">IFERROR(__xludf.DUMMYFUNCTION("""COMPUTED_VALUE"""),29314055)</f>
        <v>29314055</v>
      </c>
    </row>
    <row r="840" spans="1:6" ht="12.6">
      <c r="A840" s="2">
        <f ca="1">IFERROR(__xludf.DUMMYFUNCTION("""COMPUTED_VALUE"""),45784.6666666666)</f>
        <v>45784.666666666599</v>
      </c>
      <c r="B840" s="1">
        <f ca="1">IFERROR(__xludf.DUMMYFUNCTION("""COMPUTED_VALUE"""),185.56)</f>
        <v>185.56</v>
      </c>
      <c r="C840" s="1">
        <f ca="1">IFERROR(__xludf.DUMMYFUNCTION("""COMPUTED_VALUE"""),190.99)</f>
        <v>190.99</v>
      </c>
      <c r="D840" s="1">
        <f ca="1">IFERROR(__xludf.DUMMYFUNCTION("""COMPUTED_VALUE"""),185.01)</f>
        <v>185.01</v>
      </c>
      <c r="E840" s="1">
        <f ca="1">IFERROR(__xludf.DUMMYFUNCTION("""COMPUTED_VALUE"""),188.71)</f>
        <v>188.71</v>
      </c>
      <c r="F840" s="1">
        <f ca="1">IFERROR(__xludf.DUMMYFUNCTION("""COMPUTED_VALUE"""),44002926)</f>
        <v>44002926</v>
      </c>
    </row>
    <row r="841" spans="1:6" ht="12.6">
      <c r="A841" s="2">
        <f ca="1">IFERROR(__xludf.DUMMYFUNCTION("""COMPUTED_VALUE"""),45785.6666666666)</f>
        <v>45785.666666666599</v>
      </c>
      <c r="B841" s="1">
        <f ca="1">IFERROR(__xludf.DUMMYFUNCTION("""COMPUTED_VALUE"""),191.43)</f>
        <v>191.43</v>
      </c>
      <c r="C841" s="1">
        <f ca="1">IFERROR(__xludf.DUMMYFUNCTION("""COMPUTED_VALUE"""),194.33)</f>
        <v>194.33</v>
      </c>
      <c r="D841" s="1">
        <f ca="1">IFERROR(__xludf.DUMMYFUNCTION("""COMPUTED_VALUE"""),188.82)</f>
        <v>188.82</v>
      </c>
      <c r="E841" s="1">
        <f ca="1">IFERROR(__xludf.DUMMYFUNCTION("""COMPUTED_VALUE"""),192.08)</f>
        <v>192.08</v>
      </c>
      <c r="F841" s="1">
        <f ca="1">IFERROR(__xludf.DUMMYFUNCTION("""COMPUTED_VALUE"""),41043620)</f>
        <v>41043620</v>
      </c>
    </row>
    <row r="842" spans="1:6" ht="12.6">
      <c r="A842" s="2">
        <f ca="1">IFERROR(__xludf.DUMMYFUNCTION("""COMPUTED_VALUE"""),45786.6666666666)</f>
        <v>45786.666666666599</v>
      </c>
      <c r="B842" s="1">
        <f ca="1">IFERROR(__xludf.DUMMYFUNCTION("""COMPUTED_VALUE"""),193.38)</f>
        <v>193.38</v>
      </c>
      <c r="C842" s="1">
        <f ca="1">IFERROR(__xludf.DUMMYFUNCTION("""COMPUTED_VALUE"""),194.69)</f>
        <v>194.69</v>
      </c>
      <c r="D842" s="1">
        <f ca="1">IFERROR(__xludf.DUMMYFUNCTION("""COMPUTED_VALUE"""),191.16)</f>
        <v>191.16</v>
      </c>
      <c r="E842" s="1">
        <f ca="1">IFERROR(__xludf.DUMMYFUNCTION("""COMPUTED_VALUE"""),193.06)</f>
        <v>193.06</v>
      </c>
      <c r="F842" s="1">
        <f ca="1">IFERROR(__xludf.DUMMYFUNCTION("""COMPUTED_VALUE"""),29663143)</f>
        <v>29663143</v>
      </c>
    </row>
    <row r="843" spans="1:6" ht="12.6">
      <c r="A843" s="2">
        <f ca="1">IFERROR(__xludf.DUMMYFUNCTION("""COMPUTED_VALUE"""),45789.6666666666)</f>
        <v>45789.666666666599</v>
      </c>
      <c r="B843" s="1">
        <f ca="1">IFERROR(__xludf.DUMMYFUNCTION("""COMPUTED_VALUE"""),210.71)</f>
        <v>210.71</v>
      </c>
      <c r="C843" s="1">
        <f ca="1">IFERROR(__xludf.DUMMYFUNCTION("""COMPUTED_VALUE"""),211.66)</f>
        <v>211.66</v>
      </c>
      <c r="D843" s="1">
        <f ca="1">IFERROR(__xludf.DUMMYFUNCTION("""COMPUTED_VALUE"""),205.75)</f>
        <v>205.75</v>
      </c>
      <c r="E843" s="1">
        <f ca="1">IFERROR(__xludf.DUMMYFUNCTION("""COMPUTED_VALUE"""),208.64)</f>
        <v>208.64</v>
      </c>
      <c r="F843" s="1">
        <f ca="1">IFERROR(__xludf.DUMMYFUNCTION("""COMPUTED_VALUE"""),75205042)</f>
        <v>75205042</v>
      </c>
    </row>
    <row r="844" spans="1:6" ht="12.6">
      <c r="A844" s="2">
        <f ca="1">IFERROR(__xludf.DUMMYFUNCTION("""COMPUTED_VALUE"""),45790.6666666666)</f>
        <v>45790.666666666599</v>
      </c>
      <c r="B844" s="1">
        <f ca="1">IFERROR(__xludf.DUMMYFUNCTION("""COMPUTED_VALUE"""),211.08)</f>
        <v>211.08</v>
      </c>
      <c r="C844" s="1">
        <f ca="1">IFERROR(__xludf.DUMMYFUNCTION("""COMPUTED_VALUE"""),214.84)</f>
        <v>214.84</v>
      </c>
      <c r="D844" s="1">
        <f ca="1">IFERROR(__xludf.DUMMYFUNCTION("""COMPUTED_VALUE"""),210.1)</f>
        <v>210.1</v>
      </c>
      <c r="E844" s="1">
        <f ca="1">IFERROR(__xludf.DUMMYFUNCTION("""COMPUTED_VALUE"""),211.37)</f>
        <v>211.37</v>
      </c>
      <c r="F844" s="1">
        <f ca="1">IFERROR(__xludf.DUMMYFUNCTION("""COMPUTED_VALUE"""),56193682)</f>
        <v>56193682</v>
      </c>
    </row>
    <row r="845" spans="1:6" ht="12.6">
      <c r="A845" s="2">
        <f ca="1">IFERROR(__xludf.DUMMYFUNCTION("""COMPUTED_VALUE"""),45791.6666666666)</f>
        <v>45791.666666666599</v>
      </c>
      <c r="B845" s="1">
        <f ca="1">IFERROR(__xludf.DUMMYFUNCTION("""COMPUTED_VALUE"""),211.45)</f>
        <v>211.45</v>
      </c>
      <c r="C845" s="1">
        <f ca="1">IFERROR(__xludf.DUMMYFUNCTION("""COMPUTED_VALUE"""),211.93)</f>
        <v>211.93</v>
      </c>
      <c r="D845" s="1">
        <f ca="1">IFERROR(__xludf.DUMMYFUNCTION("""COMPUTED_VALUE"""),208.85)</f>
        <v>208.85</v>
      </c>
      <c r="E845" s="1">
        <f ca="1">IFERROR(__xludf.DUMMYFUNCTION("""COMPUTED_VALUE"""),210.25)</f>
        <v>210.25</v>
      </c>
      <c r="F845" s="1">
        <f ca="1">IFERROR(__xludf.DUMMYFUNCTION("""COMPUTED_VALUE"""),38492128)</f>
        <v>38492128</v>
      </c>
    </row>
    <row r="846" spans="1:6" ht="12.6">
      <c r="A846" s="2">
        <f ca="1">IFERROR(__xludf.DUMMYFUNCTION("""COMPUTED_VALUE"""),45792.6666666666)</f>
        <v>45792.666666666599</v>
      </c>
      <c r="B846" s="1">
        <f ca="1">IFERROR(__xludf.DUMMYFUNCTION("""COMPUTED_VALUE"""),206.45)</f>
        <v>206.45</v>
      </c>
      <c r="C846" s="1">
        <f ca="1">IFERROR(__xludf.DUMMYFUNCTION("""COMPUTED_VALUE"""),206.88)</f>
        <v>206.88</v>
      </c>
      <c r="D846" s="1">
        <f ca="1">IFERROR(__xludf.DUMMYFUNCTION("""COMPUTED_VALUE"""),202.67)</f>
        <v>202.67</v>
      </c>
      <c r="E846" s="1">
        <f ca="1">IFERROR(__xludf.DUMMYFUNCTION("""COMPUTED_VALUE"""),205.17)</f>
        <v>205.17</v>
      </c>
      <c r="F846" s="1">
        <f ca="1">IFERROR(__xludf.DUMMYFUNCTION("""COMPUTED_VALUE"""),64347317)</f>
        <v>64347317</v>
      </c>
    </row>
    <row r="847" spans="1:6" ht="12.6">
      <c r="A847" s="2">
        <f ca="1">IFERROR(__xludf.DUMMYFUNCTION("""COMPUTED_VALUE"""),45793.6666666666)</f>
        <v>45793.666666666599</v>
      </c>
      <c r="B847" s="1">
        <f ca="1">IFERROR(__xludf.DUMMYFUNCTION("""COMPUTED_VALUE"""),206.85)</f>
        <v>206.85</v>
      </c>
      <c r="C847" s="1">
        <f ca="1">IFERROR(__xludf.DUMMYFUNCTION("""COMPUTED_VALUE"""),206.85)</f>
        <v>206.85</v>
      </c>
      <c r="D847" s="1">
        <f ca="1">IFERROR(__xludf.DUMMYFUNCTION("""COMPUTED_VALUE"""),204.37)</f>
        <v>204.37</v>
      </c>
      <c r="E847" s="1">
        <f ca="1">IFERROR(__xludf.DUMMYFUNCTION("""COMPUTED_VALUE"""),205.59)</f>
        <v>205.59</v>
      </c>
      <c r="F847" s="1">
        <f ca="1">IFERROR(__xludf.DUMMYFUNCTION("""COMPUTED_VALUE"""),43318478)</f>
        <v>43318478</v>
      </c>
    </row>
    <row r="848" spans="1:6" ht="12.6">
      <c r="A848" s="2">
        <f ca="1">IFERROR(__xludf.DUMMYFUNCTION("""COMPUTED_VALUE"""),45796.6666666666)</f>
        <v>45796.666666666599</v>
      </c>
      <c r="B848" s="1">
        <f ca="1">IFERROR(__xludf.DUMMYFUNCTION("""COMPUTED_VALUE"""),201.65)</f>
        <v>201.65</v>
      </c>
      <c r="C848" s="1">
        <f ca="1">IFERROR(__xludf.DUMMYFUNCTION("""COMPUTED_VALUE"""),206.62)</f>
        <v>206.62</v>
      </c>
      <c r="D848" s="1">
        <f ca="1">IFERROR(__xludf.DUMMYFUNCTION("""COMPUTED_VALUE"""),201.26)</f>
        <v>201.26</v>
      </c>
      <c r="E848" s="1">
        <f ca="1">IFERROR(__xludf.DUMMYFUNCTION("""COMPUTED_VALUE"""),206.16)</f>
        <v>206.16</v>
      </c>
      <c r="F848" s="1">
        <f ca="1">IFERROR(__xludf.DUMMYFUNCTION("""COMPUTED_VALUE"""),34314810)</f>
        <v>34314810</v>
      </c>
    </row>
    <row r="849" spans="1:6" ht="12.6">
      <c r="A849" s="2">
        <f ca="1">IFERROR(__xludf.DUMMYFUNCTION("""COMPUTED_VALUE"""),45797.6666666666)</f>
        <v>45797.666666666599</v>
      </c>
      <c r="B849" s="1">
        <f ca="1">IFERROR(__xludf.DUMMYFUNCTION("""COMPUTED_VALUE"""),204.63)</f>
        <v>204.63</v>
      </c>
      <c r="C849" s="1">
        <f ca="1">IFERROR(__xludf.DUMMYFUNCTION("""COMPUTED_VALUE"""),205.59)</f>
        <v>205.59</v>
      </c>
      <c r="D849" s="1">
        <f ca="1">IFERROR(__xludf.DUMMYFUNCTION("""COMPUTED_VALUE"""),202.65)</f>
        <v>202.65</v>
      </c>
      <c r="E849" s="1">
        <f ca="1">IFERROR(__xludf.DUMMYFUNCTION("""COMPUTED_VALUE"""),204.07)</f>
        <v>204.07</v>
      </c>
      <c r="F849" s="1">
        <f ca="1">IFERROR(__xludf.DUMMYFUNCTION("""COMPUTED_VALUE"""),29470373)</f>
        <v>29470373</v>
      </c>
    </row>
    <row r="850" spans="1:6" ht="12.6">
      <c r="A850" s="2">
        <f ca="1">IFERROR(__xludf.DUMMYFUNCTION("""COMPUTED_VALUE"""),45798.6666666666)</f>
        <v>45798.666666666599</v>
      </c>
      <c r="B850" s="1">
        <f ca="1">IFERROR(__xludf.DUMMYFUNCTION("""COMPUTED_VALUE"""),201.61)</f>
        <v>201.61</v>
      </c>
      <c r="C850" s="1">
        <f ca="1">IFERROR(__xludf.DUMMYFUNCTION("""COMPUTED_VALUE"""),203.46)</f>
        <v>203.46</v>
      </c>
      <c r="D850" s="1">
        <f ca="1">IFERROR(__xludf.DUMMYFUNCTION("""COMPUTED_VALUE"""),200.06)</f>
        <v>200.06</v>
      </c>
      <c r="E850" s="1">
        <f ca="1">IFERROR(__xludf.DUMMYFUNCTION("""COMPUTED_VALUE"""),201.12)</f>
        <v>201.12</v>
      </c>
      <c r="F850" s="1">
        <f ca="1">IFERROR(__xludf.DUMMYFUNCTION("""COMPUTED_VALUE"""),42460924)</f>
        <v>42460924</v>
      </c>
    </row>
    <row r="851" spans="1:6" ht="12.6">
      <c r="A851" s="2">
        <f ca="1">IFERROR(__xludf.DUMMYFUNCTION("""COMPUTED_VALUE"""),45799.6666666666)</f>
        <v>45799.666666666599</v>
      </c>
      <c r="B851" s="1">
        <f ca="1">IFERROR(__xludf.DUMMYFUNCTION("""COMPUTED_VALUE"""),201.61)</f>
        <v>201.61</v>
      </c>
      <c r="C851" s="1">
        <f ca="1">IFERROR(__xludf.DUMMYFUNCTION("""COMPUTED_VALUE"""),203.46)</f>
        <v>203.46</v>
      </c>
      <c r="D851" s="1">
        <f ca="1">IFERROR(__xludf.DUMMYFUNCTION("""COMPUTED_VALUE"""),200.06)</f>
        <v>200.06</v>
      </c>
      <c r="E851" s="1">
        <f ca="1">IFERROR(__xludf.DUMMYFUNCTION("""COMPUTED_VALUE"""),201.12)</f>
        <v>201.12</v>
      </c>
      <c r="F851" s="1">
        <f ca="1">IFERROR(__xludf.DUMMYFUNCTION("""COMPUTED_VALUE"""),566475)</f>
        <v>566475</v>
      </c>
    </row>
    <row r="852" spans="1:6" ht="12.6">
      <c r="A852" s="2">
        <f ca="1">IFERROR(__xludf.DUMMYFUNCTION("""COMPUTED_VALUE"""),45800.6666666666)</f>
        <v>45800.666666666599</v>
      </c>
      <c r="B852" s="1">
        <f ca="1">IFERROR(__xludf.DUMMYFUNCTION("""COMPUTED_VALUE"""),198.9)</f>
        <v>198.9</v>
      </c>
      <c r="C852" s="1">
        <f ca="1">IFERROR(__xludf.DUMMYFUNCTION("""COMPUTED_VALUE"""),202.37)</f>
        <v>202.37</v>
      </c>
      <c r="D852" s="1">
        <f ca="1">IFERROR(__xludf.DUMMYFUNCTION("""COMPUTED_VALUE"""),197.85)</f>
        <v>197.85</v>
      </c>
      <c r="E852" s="1">
        <f ca="1">IFERROR(__xludf.DUMMYFUNCTION("""COMPUTED_VALUE"""),200.99)</f>
        <v>200.99</v>
      </c>
      <c r="F852" s="1">
        <f ca="1">IFERROR(__xludf.DUMMYFUNCTION("""COMPUTED_VALUE"""),33393545)</f>
        <v>33393545</v>
      </c>
    </row>
    <row r="853" spans="1:6" ht="12.6">
      <c r="A853" s="2">
        <f ca="1">IFERROR(__xludf.DUMMYFUNCTION("""COMPUTED_VALUE"""),45804.6666666666)</f>
        <v>45804.666666666599</v>
      </c>
      <c r="B853" s="1">
        <f ca="1">IFERROR(__xludf.DUMMYFUNCTION("""COMPUTED_VALUE"""),203.09)</f>
        <v>203.09</v>
      </c>
      <c r="C853" s="1">
        <f ca="1">IFERROR(__xludf.DUMMYFUNCTION("""COMPUTED_VALUE"""),206.69)</f>
        <v>206.69</v>
      </c>
      <c r="D853" s="1">
        <f ca="1">IFERROR(__xludf.DUMMYFUNCTION("""COMPUTED_VALUE"""),202.19)</f>
        <v>202.19</v>
      </c>
      <c r="E853" s="1">
        <f ca="1">IFERROR(__xludf.DUMMYFUNCTION("""COMPUTED_VALUE"""),206.02)</f>
        <v>206.02</v>
      </c>
      <c r="F853" s="1">
        <f ca="1">IFERROR(__xludf.DUMMYFUNCTION("""COMPUTED_VALUE"""),34892044)</f>
        <v>34892044</v>
      </c>
    </row>
    <row r="854" spans="1:6" ht="12.6">
      <c r="A854" s="2">
        <f ca="1">IFERROR(__xludf.DUMMYFUNCTION("""COMPUTED_VALUE"""),45805.6666666666)</f>
        <v>45805.666666666599</v>
      </c>
      <c r="B854" s="1">
        <f ca="1">IFERROR(__xludf.DUMMYFUNCTION("""COMPUTED_VALUE"""),205.92)</f>
        <v>205.92</v>
      </c>
      <c r="C854" s="1">
        <f ca="1">IFERROR(__xludf.DUMMYFUNCTION("""COMPUTED_VALUE"""),207.66)</f>
        <v>207.66</v>
      </c>
      <c r="D854" s="1">
        <f ca="1">IFERROR(__xludf.DUMMYFUNCTION("""COMPUTED_VALUE"""),204.41)</f>
        <v>204.41</v>
      </c>
      <c r="E854" s="1">
        <f ca="1">IFERROR(__xludf.DUMMYFUNCTION("""COMPUTED_VALUE"""),204.72)</f>
        <v>204.72</v>
      </c>
      <c r="F854" s="1">
        <f ca="1">IFERROR(__xludf.DUMMYFUNCTION("""COMPUTED_VALUE"""),28549753)</f>
        <v>28549753</v>
      </c>
    </row>
    <row r="855" spans="1:6" ht="12.6">
      <c r="A855" s="2">
        <f ca="1">IFERROR(__xludf.DUMMYFUNCTION("""COMPUTED_VALUE"""),45806.6666666666)</f>
        <v>45806.666666666599</v>
      </c>
      <c r="B855" s="1">
        <f ca="1">IFERROR(__xludf.DUMMYFUNCTION("""COMPUTED_VALUE"""),208.03)</f>
        <v>208.03</v>
      </c>
      <c r="C855" s="1">
        <f ca="1">IFERROR(__xludf.DUMMYFUNCTION("""COMPUTED_VALUE"""),208.81)</f>
        <v>208.81</v>
      </c>
      <c r="D855" s="1">
        <f ca="1">IFERROR(__xludf.DUMMYFUNCTION("""COMPUTED_VALUE"""),204.23)</f>
        <v>204.23</v>
      </c>
      <c r="E855" s="1">
        <f ca="1">IFERROR(__xludf.DUMMYFUNCTION("""COMPUTED_VALUE"""),205.7)</f>
        <v>205.7</v>
      </c>
      <c r="F855" s="1">
        <f ca="1">IFERROR(__xludf.DUMMYFUNCTION("""COMPUTED_VALUE"""),34700005)</f>
        <v>34700005</v>
      </c>
    </row>
    <row r="856" spans="1:6" ht="12.6">
      <c r="A856" s="2">
        <f ca="1">IFERROR(__xludf.DUMMYFUNCTION("""COMPUTED_VALUE"""),45807.6666666666)</f>
        <v>45807.666666666599</v>
      </c>
      <c r="B856" s="1">
        <f ca="1">IFERROR(__xludf.DUMMYFUNCTION("""COMPUTED_VALUE"""),204.84)</f>
        <v>204.84</v>
      </c>
      <c r="C856" s="1">
        <f ca="1">IFERROR(__xludf.DUMMYFUNCTION("""COMPUTED_VALUE"""),205.99)</f>
        <v>205.99</v>
      </c>
      <c r="D856" s="1">
        <f ca="1">IFERROR(__xludf.DUMMYFUNCTION("""COMPUTED_VALUE"""),201.7)</f>
        <v>201.7</v>
      </c>
      <c r="E856" s="1">
        <f ca="1">IFERROR(__xludf.DUMMYFUNCTION("""COMPUTED_VALUE"""),205.01)</f>
        <v>205.01</v>
      </c>
      <c r="F856" s="1">
        <f ca="1">IFERROR(__xludf.DUMMYFUNCTION("""COMPUTED_VALUE"""),51679406)</f>
        <v>51679406</v>
      </c>
    </row>
    <row r="857" spans="1:6" ht="12.6">
      <c r="A857" s="2">
        <f ca="1">IFERROR(__xludf.DUMMYFUNCTION("""COMPUTED_VALUE"""),45810.6666666666)</f>
        <v>45810.666666666599</v>
      </c>
      <c r="B857" s="1">
        <f ca="1">IFERROR(__xludf.DUMMYFUNCTION("""COMPUTED_VALUE"""),204.98)</f>
        <v>204.98</v>
      </c>
      <c r="C857" s="1">
        <f ca="1">IFERROR(__xludf.DUMMYFUNCTION("""COMPUTED_VALUE"""),207)</f>
        <v>207</v>
      </c>
      <c r="D857" s="1">
        <f ca="1">IFERROR(__xludf.DUMMYFUNCTION("""COMPUTED_VALUE"""),202.68)</f>
        <v>202.68</v>
      </c>
      <c r="E857" s="1">
        <f ca="1">IFERROR(__xludf.DUMMYFUNCTION("""COMPUTED_VALUE"""),206.65)</f>
        <v>206.65</v>
      </c>
      <c r="F857" s="1">
        <f ca="1">IFERROR(__xludf.DUMMYFUNCTION("""COMPUTED_VALUE"""),29113319)</f>
        <v>29113319</v>
      </c>
    </row>
    <row r="858" spans="1:6" ht="12.6">
      <c r="A858" s="2">
        <f ca="1">IFERROR(__xludf.DUMMYFUNCTION("""COMPUTED_VALUE"""),45811.6666666666)</f>
        <v>45811.666666666599</v>
      </c>
      <c r="B858" s="1">
        <f ca="1">IFERROR(__xludf.DUMMYFUNCTION("""COMPUTED_VALUE"""),207.11)</f>
        <v>207.11</v>
      </c>
      <c r="C858" s="1">
        <f ca="1">IFERROR(__xludf.DUMMYFUNCTION("""COMPUTED_VALUE"""),208.95)</f>
        <v>208.95</v>
      </c>
      <c r="D858" s="1">
        <f ca="1">IFERROR(__xludf.DUMMYFUNCTION("""COMPUTED_VALUE"""),205.03)</f>
        <v>205.03</v>
      </c>
      <c r="E858" s="1">
        <f ca="1">IFERROR(__xludf.DUMMYFUNCTION("""COMPUTED_VALUE"""),205.71)</f>
        <v>205.71</v>
      </c>
      <c r="F858" s="1">
        <f ca="1">IFERROR(__xludf.DUMMYFUNCTION("""COMPUTED_VALUE"""),33139121)</f>
        <v>33139121</v>
      </c>
    </row>
    <row r="859" spans="1:6" ht="12.6">
      <c r="A859" s="2">
        <f ca="1">IFERROR(__xludf.DUMMYFUNCTION("""COMPUTED_VALUE"""),45812.6666666666)</f>
        <v>45812.666666666599</v>
      </c>
      <c r="B859" s="1">
        <f ca="1">IFERROR(__xludf.DUMMYFUNCTION("""COMPUTED_VALUE"""),206.55)</f>
        <v>206.55</v>
      </c>
      <c r="C859" s="1">
        <f ca="1">IFERROR(__xludf.DUMMYFUNCTION("""COMPUTED_VALUE"""),208.18)</f>
        <v>208.18</v>
      </c>
      <c r="D859" s="1">
        <f ca="1">IFERROR(__xludf.DUMMYFUNCTION("""COMPUTED_VALUE"""),205.18)</f>
        <v>205.18</v>
      </c>
      <c r="E859" s="1">
        <f ca="1">IFERROR(__xludf.DUMMYFUNCTION("""COMPUTED_VALUE"""),207.23)</f>
        <v>207.23</v>
      </c>
      <c r="F859" s="1">
        <f ca="1">IFERROR(__xludf.DUMMYFUNCTION("""COMPUTED_VALUE"""),29915592)</f>
        <v>29915592</v>
      </c>
    </row>
    <row r="860" spans="1:6" ht="12.6">
      <c r="A860" s="2">
        <f ca="1">IFERROR(__xludf.DUMMYFUNCTION("""COMPUTED_VALUE"""),45813.6666666666)</f>
        <v>45813.666666666599</v>
      </c>
      <c r="B860" s="1">
        <f ca="1">IFERROR(__xludf.DUMMYFUNCTION("""COMPUTED_VALUE"""),209.55)</f>
        <v>209.55</v>
      </c>
      <c r="C860" s="1">
        <f ca="1">IFERROR(__xludf.DUMMYFUNCTION("""COMPUTED_VALUE"""),212.81)</f>
        <v>212.81</v>
      </c>
      <c r="D860" s="1">
        <f ca="1">IFERROR(__xludf.DUMMYFUNCTION("""COMPUTED_VALUE"""),207.56)</f>
        <v>207.56</v>
      </c>
      <c r="E860" s="1">
        <f ca="1">IFERROR(__xludf.DUMMYFUNCTION("""COMPUTED_VALUE"""),207.91)</f>
        <v>207.91</v>
      </c>
      <c r="F860" s="1">
        <f ca="1">IFERROR(__xludf.DUMMYFUNCTION("""COMPUTED_VALUE"""),51979243)</f>
        <v>51979243</v>
      </c>
    </row>
    <row r="861" spans="1:6" ht="12.6">
      <c r="A861" s="2">
        <f ca="1">IFERROR(__xludf.DUMMYFUNCTION("""COMPUTED_VALUE"""),45814.6666666666)</f>
        <v>45814.666666666599</v>
      </c>
      <c r="B861" s="1">
        <f ca="1">IFERROR(__xludf.DUMMYFUNCTION("""COMPUTED_VALUE"""),212.4)</f>
        <v>212.4</v>
      </c>
      <c r="C861" s="1">
        <f ca="1">IFERROR(__xludf.DUMMYFUNCTION("""COMPUTED_VALUE"""),213.87)</f>
        <v>213.87</v>
      </c>
      <c r="D861" s="1">
        <f ca="1">IFERROR(__xludf.DUMMYFUNCTION("""COMPUTED_VALUE"""),210.5)</f>
        <v>210.5</v>
      </c>
      <c r="E861" s="1">
        <f ca="1">IFERROR(__xludf.DUMMYFUNCTION("""COMPUTED_VALUE"""),213.57)</f>
        <v>213.57</v>
      </c>
      <c r="F861" s="1">
        <f ca="1">IFERROR(__xludf.DUMMYFUNCTION("""COMPUTED_VALUE"""),39832500)</f>
        <v>39832500</v>
      </c>
    </row>
    <row r="862" spans="1:6" ht="12.6">
      <c r="A862" s="2">
        <f ca="1">IFERROR(__xludf.DUMMYFUNCTION("""COMPUTED_VALUE"""),45817.6666666666)</f>
        <v>45817.666666666599</v>
      </c>
      <c r="B862" s="1">
        <f ca="1">IFERROR(__xludf.DUMMYFUNCTION("""COMPUTED_VALUE"""),214.75)</f>
        <v>214.75</v>
      </c>
      <c r="C862" s="1">
        <f ca="1">IFERROR(__xludf.DUMMYFUNCTION("""COMPUTED_VALUE"""),217.85)</f>
        <v>217.85</v>
      </c>
      <c r="D862" s="1">
        <f ca="1">IFERROR(__xludf.DUMMYFUNCTION("""COMPUTED_VALUE"""),212.88)</f>
        <v>212.88</v>
      </c>
      <c r="E862" s="1">
        <f ca="1">IFERROR(__xludf.DUMMYFUNCTION("""COMPUTED_VALUE"""),216.98)</f>
        <v>216.98</v>
      </c>
      <c r="F862" s="1">
        <f ca="1">IFERROR(__xludf.DUMMYFUNCTION("""COMPUTED_VALUE"""),38102502)</f>
        <v>38102502</v>
      </c>
    </row>
    <row r="863" spans="1:6" ht="12.6">
      <c r="A863" s="2">
        <f ca="1">IFERROR(__xludf.DUMMYFUNCTION("""COMPUTED_VALUE"""),45818.6666666666)</f>
        <v>45818.666666666599</v>
      </c>
      <c r="B863" s="1">
        <f ca="1">IFERROR(__xludf.DUMMYFUNCTION("""COMPUTED_VALUE"""),216.78)</f>
        <v>216.78</v>
      </c>
      <c r="C863" s="1">
        <f ca="1">IFERROR(__xludf.DUMMYFUNCTION("""COMPUTED_VALUE"""),217.69)</f>
        <v>217.69</v>
      </c>
      <c r="D863" s="1">
        <f ca="1">IFERROR(__xludf.DUMMYFUNCTION("""COMPUTED_VALUE"""),214.15)</f>
        <v>214.15</v>
      </c>
      <c r="E863" s="1">
        <f ca="1">IFERROR(__xludf.DUMMYFUNCTION("""COMPUTED_VALUE"""),217.61)</f>
        <v>217.61</v>
      </c>
      <c r="F863" s="1">
        <f ca="1">IFERROR(__xludf.DUMMYFUNCTION("""COMPUTED_VALUE"""),31303317)</f>
        <v>31303317</v>
      </c>
    </row>
    <row r="864" spans="1:6" ht="12.6">
      <c r="A864" s="2">
        <f ca="1">IFERROR(__xludf.DUMMYFUNCTION("""COMPUTED_VALUE"""),45819.6666666666)</f>
        <v>45819.666666666599</v>
      </c>
      <c r="B864" s="1">
        <f ca="1">IFERROR(__xludf.DUMMYFUNCTION("""COMPUTED_VALUE"""),217.41)</f>
        <v>217.41</v>
      </c>
      <c r="C864" s="1">
        <f ca="1">IFERROR(__xludf.DUMMYFUNCTION("""COMPUTED_VALUE"""),218.4)</f>
        <v>218.4</v>
      </c>
      <c r="D864" s="1">
        <f ca="1">IFERROR(__xludf.DUMMYFUNCTION("""COMPUTED_VALUE"""),212.89)</f>
        <v>212.89</v>
      </c>
      <c r="E864" s="1">
        <f ca="1">IFERROR(__xludf.DUMMYFUNCTION("""COMPUTED_VALUE"""),213.2)</f>
        <v>213.2</v>
      </c>
      <c r="F864" s="1">
        <f ca="1">IFERROR(__xludf.DUMMYFUNCTION("""COMPUTED_VALUE"""),39325981)</f>
        <v>39325981</v>
      </c>
    </row>
    <row r="865" spans="1:6" ht="12.6">
      <c r="A865" s="2">
        <f ca="1">IFERROR(__xludf.DUMMYFUNCTION("""COMPUTED_VALUE"""),45820.6666666666)</f>
        <v>45820.666666666599</v>
      </c>
      <c r="B865" s="1">
        <f ca="1">IFERROR(__xludf.DUMMYFUNCTION("""COMPUTED_VALUE"""),211.78)</f>
        <v>211.78</v>
      </c>
      <c r="C865" s="1">
        <f ca="1">IFERROR(__xludf.DUMMYFUNCTION("""COMPUTED_VALUE"""),213.58)</f>
        <v>213.58</v>
      </c>
      <c r="D865" s="1">
        <f ca="1">IFERROR(__xludf.DUMMYFUNCTION("""COMPUTED_VALUE"""),211.33)</f>
        <v>211.33</v>
      </c>
      <c r="E865" s="1">
        <f ca="1">IFERROR(__xludf.DUMMYFUNCTION("""COMPUTED_VALUE"""),213.24)</f>
        <v>213.24</v>
      </c>
      <c r="F865" s="1">
        <f ca="1">IFERROR(__xludf.DUMMYFUNCTION("""COMPUTED_VALUE"""),27639991)</f>
        <v>27639991</v>
      </c>
    </row>
    <row r="866" spans="1:6" ht="12.6">
      <c r="A866" s="2">
        <f ca="1">IFERROR(__xludf.DUMMYFUNCTION("""COMPUTED_VALUE"""),45821.6666666666)</f>
        <v>45821.666666666599</v>
      </c>
      <c r="B866" s="1">
        <f ca="1">IFERROR(__xludf.DUMMYFUNCTION("""COMPUTED_VALUE"""),209.96)</f>
        <v>209.96</v>
      </c>
      <c r="C866" s="1">
        <f ca="1">IFERROR(__xludf.DUMMYFUNCTION("""COMPUTED_VALUE"""),214.05)</f>
        <v>214.05</v>
      </c>
      <c r="D866" s="1">
        <f ca="1">IFERROR(__xludf.DUMMYFUNCTION("""COMPUTED_VALUE"""),209.62)</f>
        <v>209.62</v>
      </c>
      <c r="E866" s="1">
        <f ca="1">IFERROR(__xludf.DUMMYFUNCTION("""COMPUTED_VALUE"""),212.1)</f>
        <v>212.1</v>
      </c>
      <c r="F866" s="1">
        <f ca="1">IFERROR(__xludf.DUMMYFUNCTION("""COMPUTED_VALUE"""),29337763)</f>
        <v>29337763</v>
      </c>
    </row>
    <row r="867" spans="1:6" ht="12.6">
      <c r="A867" s="2">
        <f ca="1">IFERROR(__xludf.DUMMYFUNCTION("""COMPUTED_VALUE"""),45824.6666666666)</f>
        <v>45824.666666666599</v>
      </c>
      <c r="B867" s="1">
        <f ca="1">IFERROR(__xludf.DUMMYFUNCTION("""COMPUTED_VALUE"""),212.31)</f>
        <v>212.31</v>
      </c>
      <c r="C867" s="1">
        <f ca="1">IFERROR(__xludf.DUMMYFUNCTION("""COMPUTED_VALUE"""),217.06)</f>
        <v>217.06</v>
      </c>
      <c r="D867" s="1">
        <f ca="1">IFERROR(__xludf.DUMMYFUNCTION("""COMPUTED_VALUE"""),211.6)</f>
        <v>211.6</v>
      </c>
      <c r="E867" s="1">
        <f ca="1">IFERROR(__xludf.DUMMYFUNCTION("""COMPUTED_VALUE"""),216.1)</f>
        <v>216.1</v>
      </c>
      <c r="F867" s="1">
        <f ca="1">IFERROR(__xludf.DUMMYFUNCTION("""COMPUTED_VALUE"""),33284158)</f>
        <v>33284158</v>
      </c>
    </row>
    <row r="868" spans="1:6" ht="12.6">
      <c r="A868" s="2">
        <f ca="1">IFERROR(__xludf.DUMMYFUNCTION("""COMPUTED_VALUE"""),45825.6666666666)</f>
        <v>45825.666666666599</v>
      </c>
      <c r="B868" s="1">
        <f ca="1">IFERROR(__xludf.DUMMYFUNCTION("""COMPUTED_VALUE"""),215.2)</f>
        <v>215.2</v>
      </c>
      <c r="C868" s="1">
        <f ca="1">IFERROR(__xludf.DUMMYFUNCTION("""COMPUTED_VALUE"""),217.41)</f>
        <v>217.41</v>
      </c>
      <c r="D868" s="1">
        <f ca="1">IFERROR(__xludf.DUMMYFUNCTION("""COMPUTED_VALUE"""),214.56)</f>
        <v>214.56</v>
      </c>
      <c r="E868" s="1">
        <f ca="1">IFERROR(__xludf.DUMMYFUNCTION("""COMPUTED_VALUE"""),214.82)</f>
        <v>214.82</v>
      </c>
      <c r="F868" s="1">
        <f ca="1">IFERROR(__xludf.DUMMYFUNCTION("""COMPUTED_VALUE"""),32086262)</f>
        <v>32086262</v>
      </c>
    </row>
    <row r="869" spans="1:6" ht="12.6">
      <c r="A869" s="2">
        <f ca="1">IFERROR(__xludf.DUMMYFUNCTION("""COMPUTED_VALUE"""),45826.6666666666)</f>
        <v>45826.666666666599</v>
      </c>
      <c r="B869" s="1">
        <f ca="1">IFERROR(__xludf.DUMMYFUNCTION("""COMPUTED_VALUE"""),215.09)</f>
        <v>215.09</v>
      </c>
      <c r="C869" s="1">
        <f ca="1">IFERROR(__xludf.DUMMYFUNCTION("""COMPUTED_VALUE"""),217.96)</f>
        <v>217.96</v>
      </c>
      <c r="D869" s="1">
        <f ca="1">IFERROR(__xludf.DUMMYFUNCTION("""COMPUTED_VALUE"""),212.34)</f>
        <v>212.34</v>
      </c>
      <c r="E869" s="1">
        <f ca="1">IFERROR(__xludf.DUMMYFUNCTION("""COMPUTED_VALUE"""),212.52)</f>
        <v>212.52</v>
      </c>
      <c r="F869" s="1">
        <f ca="1">IFERROR(__xludf.DUMMYFUNCTION("""COMPUTED_VALUE"""),44360509)</f>
        <v>44360509</v>
      </c>
    </row>
    <row r="870" spans="1:6" ht="12.6">
      <c r="A870" s="2">
        <f ca="1">IFERROR(__xludf.DUMMYFUNCTION("""COMPUTED_VALUE"""),45828.6666666666)</f>
        <v>45828.666666666599</v>
      </c>
      <c r="B870" s="1">
        <f ca="1">IFERROR(__xludf.DUMMYFUNCTION("""COMPUTED_VALUE"""),214.68)</f>
        <v>214.68</v>
      </c>
      <c r="C870" s="1">
        <f ca="1">IFERROR(__xludf.DUMMYFUNCTION("""COMPUTED_VALUE"""),214.89)</f>
        <v>214.89</v>
      </c>
      <c r="D870" s="1">
        <f ca="1">IFERROR(__xludf.DUMMYFUNCTION("""COMPUTED_VALUE"""),208.27)</f>
        <v>208.27</v>
      </c>
      <c r="E870" s="1">
        <f ca="1">IFERROR(__xludf.DUMMYFUNCTION("""COMPUTED_VALUE"""),209.69)</f>
        <v>209.69</v>
      </c>
      <c r="F870" s="1">
        <f ca="1">IFERROR(__xludf.DUMMYFUNCTION("""COMPUTED_VALUE"""),75350733)</f>
        <v>75350733</v>
      </c>
    </row>
    <row r="871" spans="1:6" ht="12.6">
      <c r="A871" s="2">
        <f ca="1">IFERROR(__xludf.DUMMYFUNCTION("""COMPUTED_VALUE"""),45831.6666666666)</f>
        <v>45831.666666666599</v>
      </c>
      <c r="B871" s="1">
        <f ca="1">IFERROR(__xludf.DUMMYFUNCTION("""COMPUTED_VALUE"""),209.79)</f>
        <v>209.79</v>
      </c>
      <c r="C871" s="1">
        <f ca="1">IFERROR(__xludf.DUMMYFUNCTION("""COMPUTED_VALUE"""),210.39)</f>
        <v>210.39</v>
      </c>
      <c r="D871" s="1">
        <f ca="1">IFERROR(__xludf.DUMMYFUNCTION("""COMPUTED_VALUE"""),207.31)</f>
        <v>207.31</v>
      </c>
      <c r="E871" s="1">
        <f ca="1">IFERROR(__xludf.DUMMYFUNCTION("""COMPUTED_VALUE"""),208.47)</f>
        <v>208.47</v>
      </c>
      <c r="F871" s="1">
        <f ca="1">IFERROR(__xludf.DUMMYFUNCTION("""COMPUTED_VALUE"""),37311725)</f>
        <v>37311725</v>
      </c>
    </row>
    <row r="872" spans="1:6" ht="12.6">
      <c r="A872" s="2">
        <f ca="1">IFERROR(__xludf.DUMMYFUNCTION("""COMPUTED_VALUE"""),45832.6666666666)</f>
        <v>45832.666666666599</v>
      </c>
      <c r="B872" s="1">
        <f ca="1">IFERROR(__xludf.DUMMYFUNCTION("""COMPUTED_VALUE"""),212.14)</f>
        <v>212.14</v>
      </c>
      <c r="C872" s="1">
        <f ca="1">IFERROR(__xludf.DUMMYFUNCTION("""COMPUTED_VALUE"""),214.34)</f>
        <v>214.34</v>
      </c>
      <c r="D872" s="1">
        <f ca="1">IFERROR(__xludf.DUMMYFUNCTION("""COMPUTED_VALUE"""),211.05)</f>
        <v>211.05</v>
      </c>
      <c r="E872" s="1">
        <f ca="1">IFERROR(__xludf.DUMMYFUNCTION("""COMPUTED_VALUE"""),212.77)</f>
        <v>212.77</v>
      </c>
      <c r="F872" s="1">
        <f ca="1">IFERROR(__xludf.DUMMYFUNCTION("""COMPUTED_VALUE"""),38378757)</f>
        <v>38378757</v>
      </c>
    </row>
    <row r="873" spans="1:6" ht="12.6">
      <c r="A873" s="2">
        <f ca="1">IFERROR(__xludf.DUMMYFUNCTION("""COMPUTED_VALUE"""),45833.6666666666)</f>
        <v>45833.666666666599</v>
      </c>
      <c r="B873" s="1">
        <f ca="1">IFERROR(__xludf.DUMMYFUNCTION("""COMPUTED_VALUE"""),214.62)</f>
        <v>214.62</v>
      </c>
      <c r="C873" s="1">
        <f ca="1">IFERROR(__xludf.DUMMYFUNCTION("""COMPUTED_VALUE"""),216.03)</f>
        <v>216.03</v>
      </c>
      <c r="D873" s="1">
        <f ca="1">IFERROR(__xludf.DUMMYFUNCTION("""COMPUTED_VALUE"""),211.11)</f>
        <v>211.11</v>
      </c>
      <c r="E873" s="1">
        <f ca="1">IFERROR(__xludf.DUMMYFUNCTION("""COMPUTED_VALUE"""),211.99)</f>
        <v>211.99</v>
      </c>
      <c r="F873" s="1">
        <f ca="1">IFERROR(__xludf.DUMMYFUNCTION("""COMPUTED_VALUE"""),31755698)</f>
        <v>31755698</v>
      </c>
    </row>
    <row r="874" spans="1:6" ht="12.6">
      <c r="A874" s="2">
        <f ca="1">IFERROR(__xludf.DUMMYFUNCTION("""COMPUTED_VALUE"""),45834.6666666666)</f>
        <v>45834.666666666599</v>
      </c>
      <c r="B874" s="1">
        <f ca="1">IFERROR(__xludf.DUMMYFUNCTION("""COMPUTED_VALUE"""),213.12)</f>
        <v>213.12</v>
      </c>
      <c r="C874" s="1">
        <f ca="1">IFERROR(__xludf.DUMMYFUNCTION("""COMPUTED_VALUE"""),218.04)</f>
        <v>218.04</v>
      </c>
      <c r="D874" s="1">
        <f ca="1">IFERROR(__xludf.DUMMYFUNCTION("""COMPUTED_VALUE"""),212.01)</f>
        <v>212.01</v>
      </c>
      <c r="E874" s="1">
        <f ca="1">IFERROR(__xludf.DUMMYFUNCTION("""COMPUTED_VALUE"""),217.12)</f>
        <v>217.12</v>
      </c>
      <c r="F874" s="1">
        <f ca="1">IFERROR(__xludf.DUMMYFUNCTION("""COMPUTED_VALUE"""),50480814)</f>
        <v>50480814</v>
      </c>
    </row>
    <row r="875" spans="1:6" ht="12.6">
      <c r="A875" s="2">
        <f ca="1">IFERROR(__xludf.DUMMYFUNCTION("""COMPUTED_VALUE"""),45835.6666666666)</f>
        <v>45835.666666666599</v>
      </c>
      <c r="B875" s="1">
        <f ca="1">IFERROR(__xludf.DUMMYFUNCTION("""COMPUTED_VALUE"""),219.92)</f>
        <v>219.92</v>
      </c>
      <c r="C875" s="1">
        <f ca="1">IFERROR(__xludf.DUMMYFUNCTION("""COMPUTED_VALUE"""),223.3)</f>
        <v>223.3</v>
      </c>
      <c r="D875" s="1">
        <f ca="1">IFERROR(__xludf.DUMMYFUNCTION("""COMPUTED_VALUE"""),216.74)</f>
        <v>216.74</v>
      </c>
      <c r="E875" s="1">
        <f ca="1">IFERROR(__xludf.DUMMYFUNCTION("""COMPUTED_VALUE"""),223.3)</f>
        <v>223.3</v>
      </c>
      <c r="F875" s="1">
        <f ca="1">IFERROR(__xludf.DUMMYFUNCTION("""COMPUTED_VALUE"""),119217138)</f>
        <v>119217138</v>
      </c>
    </row>
    <row r="876" spans="1:6" ht="12.6">
      <c r="A876" s="2">
        <f ca="1">IFERROR(__xludf.DUMMYFUNCTION("""COMPUTED_VALUE"""),45838.6666666666)</f>
        <v>45838.666666666599</v>
      </c>
      <c r="B876" s="1">
        <f ca="1">IFERROR(__xludf.DUMMYFUNCTION("""COMPUTED_VALUE"""),223.52)</f>
        <v>223.52</v>
      </c>
      <c r="C876" s="1">
        <f ca="1">IFERROR(__xludf.DUMMYFUNCTION("""COMPUTED_VALUE"""),223.82)</f>
        <v>223.82</v>
      </c>
      <c r="D876" s="1">
        <f ca="1">IFERROR(__xludf.DUMMYFUNCTION("""COMPUTED_VALUE"""),219.12)</f>
        <v>219.12</v>
      </c>
      <c r="E876" s="1">
        <f ca="1">IFERROR(__xludf.DUMMYFUNCTION("""COMPUTED_VALUE"""),219.39)</f>
        <v>219.39</v>
      </c>
      <c r="F876" s="1">
        <f ca="1">IFERROR(__xludf.DUMMYFUNCTION("""COMPUTED_VALUE"""),58887780)</f>
        <v>58887780</v>
      </c>
    </row>
    <row r="877" spans="1:6" ht="12.6">
      <c r="A877" s="2">
        <f ca="1">IFERROR(__xludf.DUMMYFUNCTION("""COMPUTED_VALUE"""),45839.6666666666)</f>
        <v>45839.666666666599</v>
      </c>
      <c r="B877" s="1">
        <f ca="1">IFERROR(__xludf.DUMMYFUNCTION("""COMPUTED_VALUE"""),219.5)</f>
        <v>219.5</v>
      </c>
      <c r="C877" s="1">
        <f ca="1">IFERROR(__xludf.DUMMYFUNCTION("""COMPUTED_VALUE"""),221.88)</f>
        <v>221.88</v>
      </c>
      <c r="D877" s="1">
        <f ca="1">IFERROR(__xludf.DUMMYFUNCTION("""COMPUTED_VALUE"""),217.93)</f>
        <v>217.93</v>
      </c>
      <c r="E877" s="1">
        <f ca="1">IFERROR(__xludf.DUMMYFUNCTION("""COMPUTED_VALUE"""),220.46)</f>
        <v>220.46</v>
      </c>
      <c r="F877" s="1">
        <f ca="1">IFERROR(__xludf.DUMMYFUNCTION("""COMPUTED_VALUE"""),39256830)</f>
        <v>39256830</v>
      </c>
    </row>
    <row r="878" spans="1:6" ht="12.6">
      <c r="A878" s="2">
        <f ca="1">IFERROR(__xludf.DUMMYFUNCTION("""COMPUTED_VALUE"""),45840.6666666666)</f>
        <v>45840.666666666599</v>
      </c>
      <c r="B878" s="1">
        <f ca="1">IFERROR(__xludf.DUMMYFUNCTION("""COMPUTED_VALUE"""),219.73)</f>
        <v>219.73</v>
      </c>
      <c r="C878" s="1">
        <f ca="1">IFERROR(__xludf.DUMMYFUNCTION("""COMPUTED_VALUE"""),221.6)</f>
        <v>221.6</v>
      </c>
      <c r="D878" s="1">
        <f ca="1">IFERROR(__xludf.DUMMYFUNCTION("""COMPUTED_VALUE"""),219.06)</f>
        <v>219.06</v>
      </c>
      <c r="E878" s="1">
        <f ca="1">IFERROR(__xludf.DUMMYFUNCTION("""COMPUTED_VALUE"""),219.92)</f>
        <v>219.92</v>
      </c>
      <c r="F878" s="1">
        <f ca="1">IFERROR(__xludf.DUMMYFUNCTION("""COMPUTED_VALUE"""),30894178)</f>
        <v>30894178</v>
      </c>
    </row>
    <row r="879" spans="1:6" ht="12.6">
      <c r="A879" s="2">
        <f ca="1">IFERROR(__xludf.DUMMYFUNCTION("""COMPUTED_VALUE"""),45841.5451388888)</f>
        <v>45841.545138888803</v>
      </c>
      <c r="B879" s="1">
        <f ca="1">IFERROR(__xludf.DUMMYFUNCTION("""COMPUTED_VALUE"""),221.82)</f>
        <v>221.82</v>
      </c>
      <c r="C879" s="1">
        <f ca="1">IFERROR(__xludf.DUMMYFUNCTION("""COMPUTED_VALUE"""),224.01)</f>
        <v>224.01</v>
      </c>
      <c r="D879" s="1">
        <f ca="1">IFERROR(__xludf.DUMMYFUNCTION("""COMPUTED_VALUE"""),221.36)</f>
        <v>221.36</v>
      </c>
      <c r="E879" s="1">
        <f ca="1">IFERROR(__xludf.DUMMYFUNCTION("""COMPUTED_VALUE"""),223.41)</f>
        <v>223.41</v>
      </c>
      <c r="F879" s="1">
        <f ca="1">IFERROR(__xludf.DUMMYFUNCTION("""COMPUTED_VALUE"""),29632353)</f>
        <v>29632353</v>
      </c>
    </row>
    <row r="880" spans="1:6" ht="12.6">
      <c r="A880" s="2">
        <f ca="1">IFERROR(__xludf.DUMMYFUNCTION("""COMPUTED_VALUE"""),45845.6666666666)</f>
        <v>45845.666666666599</v>
      </c>
      <c r="B880" s="1">
        <f ca="1">IFERROR(__xludf.DUMMYFUNCTION("""COMPUTED_VALUE"""),223)</f>
        <v>223</v>
      </c>
      <c r="C880" s="1">
        <f ca="1">IFERROR(__xludf.DUMMYFUNCTION("""COMPUTED_VALUE"""),224.29)</f>
        <v>224.29</v>
      </c>
      <c r="D880" s="1">
        <f ca="1">IFERROR(__xludf.DUMMYFUNCTION("""COMPUTED_VALUE"""),222.37)</f>
        <v>222.37</v>
      </c>
      <c r="E880" s="1">
        <f ca="1">IFERROR(__xludf.DUMMYFUNCTION("""COMPUTED_VALUE"""),223.47)</f>
        <v>223.47</v>
      </c>
      <c r="F880" s="1">
        <f ca="1">IFERROR(__xludf.DUMMYFUNCTION("""COMPUTED_VALUE"""),36604139)</f>
        <v>36604139</v>
      </c>
    </row>
    <row r="881" spans="1:6" ht="12.6">
      <c r="A881" s="2">
        <f ca="1">IFERROR(__xludf.DUMMYFUNCTION("""COMPUTED_VALUE"""),45846.6666666666)</f>
        <v>45846.666666666599</v>
      </c>
      <c r="B881" s="1">
        <f ca="1">IFERROR(__xludf.DUMMYFUNCTION("""COMPUTED_VALUE"""),223.92)</f>
        <v>223.92</v>
      </c>
      <c r="C881" s="1">
        <f ca="1">IFERROR(__xludf.DUMMYFUNCTION("""COMPUTED_VALUE"""),224)</f>
        <v>224</v>
      </c>
      <c r="D881" s="1">
        <f ca="1">IFERROR(__xludf.DUMMYFUNCTION("""COMPUTED_VALUE"""),218.43)</f>
        <v>218.43</v>
      </c>
      <c r="E881" s="1">
        <f ca="1">IFERROR(__xludf.DUMMYFUNCTION("""COMPUTED_VALUE"""),219.36)</f>
        <v>219.36</v>
      </c>
      <c r="F881" s="1">
        <f ca="1">IFERROR(__xludf.DUMMYFUNCTION("""COMPUTED_VALUE"""),45691987)</f>
        <v>45691987</v>
      </c>
    </row>
    <row r="882" spans="1:6" ht="12.6">
      <c r="A882" s="2">
        <f ca="1">IFERROR(__xludf.DUMMYFUNCTION("""COMPUTED_VALUE"""),45847.6666666666)</f>
        <v>45847.666666666599</v>
      </c>
      <c r="B882" s="1">
        <f ca="1">IFERROR(__xludf.DUMMYFUNCTION("""COMPUTED_VALUE"""),221.07)</f>
        <v>221.07</v>
      </c>
      <c r="C882" s="1">
        <f ca="1">IFERROR(__xludf.DUMMYFUNCTION("""COMPUTED_VALUE"""),224.29)</f>
        <v>224.29</v>
      </c>
      <c r="D882" s="1">
        <f ca="1">IFERROR(__xludf.DUMMYFUNCTION("""COMPUTED_VALUE"""),220.47)</f>
        <v>220.47</v>
      </c>
      <c r="E882" s="1">
        <f ca="1">IFERROR(__xludf.DUMMYFUNCTION("""COMPUTED_VALUE"""),222.54)</f>
        <v>222.54</v>
      </c>
      <c r="F882" s="1">
        <f ca="1">IFERROR(__xludf.DUMMYFUNCTION("""COMPUTED_VALUE"""),38155121)</f>
        <v>38155121</v>
      </c>
    </row>
    <row r="883" spans="1:6" ht="12.6">
      <c r="A883" s="2">
        <f ca="1">IFERROR(__xludf.DUMMYFUNCTION("""COMPUTED_VALUE"""),45848.6666666666)</f>
        <v>45848.666666666599</v>
      </c>
      <c r="B883" s="1">
        <f ca="1">IFERROR(__xludf.DUMMYFUNCTION("""COMPUTED_VALUE"""),221.55)</f>
        <v>221.55</v>
      </c>
      <c r="C883" s="1">
        <f ca="1">IFERROR(__xludf.DUMMYFUNCTION("""COMPUTED_VALUE"""),222.79)</f>
        <v>222.79</v>
      </c>
      <c r="D883" s="1">
        <f ca="1">IFERROR(__xludf.DUMMYFUNCTION("""COMPUTED_VALUE"""),219.7)</f>
        <v>219.7</v>
      </c>
      <c r="E883" s="1">
        <f ca="1">IFERROR(__xludf.DUMMYFUNCTION("""COMPUTED_VALUE"""),222.26)</f>
        <v>222.26</v>
      </c>
      <c r="F883" s="1">
        <f ca="1">IFERROR(__xludf.DUMMYFUNCTION("""COMPUTED_VALUE"""),30370591)</f>
        <v>30370591</v>
      </c>
    </row>
    <row r="884" spans="1:6" ht="12.6">
      <c r="A884" s="2">
        <f ca="1">IFERROR(__xludf.DUMMYFUNCTION("""COMPUTED_VALUE"""),45849.6666666666)</f>
        <v>45849.666666666599</v>
      </c>
      <c r="B884" s="1">
        <f ca="1">IFERROR(__xludf.DUMMYFUNCTION("""COMPUTED_VALUE"""),223.58)</f>
        <v>223.58</v>
      </c>
      <c r="C884" s="1">
        <f ca="1">IFERROR(__xludf.DUMMYFUNCTION("""COMPUTED_VALUE"""),226.68)</f>
        <v>226.68</v>
      </c>
      <c r="D884" s="1">
        <f ca="1">IFERROR(__xludf.DUMMYFUNCTION("""COMPUTED_VALUE"""),222.37)</f>
        <v>222.37</v>
      </c>
      <c r="E884" s="1">
        <f ca="1">IFERROR(__xludf.DUMMYFUNCTION("""COMPUTED_VALUE"""),225.02)</f>
        <v>225.02</v>
      </c>
      <c r="F884" s="1">
        <f ca="1">IFERROR(__xludf.DUMMYFUNCTION("""COMPUTED_VALUE"""),50518307)</f>
        <v>50518307</v>
      </c>
    </row>
    <row r="885" spans="1:6" ht="12.6">
      <c r="A885" s="2">
        <f ca="1">IFERROR(__xludf.DUMMYFUNCTION("""COMPUTED_VALUE"""),45852.6666666666)</f>
        <v>45852.666666666599</v>
      </c>
      <c r="B885" s="1">
        <f ca="1">IFERROR(__xludf.DUMMYFUNCTION("""COMPUTED_VALUE"""),225.07)</f>
        <v>225.07</v>
      </c>
      <c r="C885" s="1">
        <f ca="1">IFERROR(__xludf.DUMMYFUNCTION("""COMPUTED_VALUE"""),226.66)</f>
        <v>226.66</v>
      </c>
      <c r="D885" s="1">
        <f ca="1">IFERROR(__xludf.DUMMYFUNCTION("""COMPUTED_VALUE"""),224.24)</f>
        <v>224.24</v>
      </c>
      <c r="E885" s="1">
        <f ca="1">IFERROR(__xludf.DUMMYFUNCTION("""COMPUTED_VALUE"""),225.69)</f>
        <v>225.69</v>
      </c>
      <c r="F885" s="1">
        <f ca="1">IFERROR(__xludf.DUMMYFUNCTION("""COMPUTED_VALUE"""),35702597)</f>
        <v>35702597</v>
      </c>
    </row>
    <row r="886" spans="1:6" ht="12.6">
      <c r="A886" s="2">
        <f ca="1">IFERROR(__xludf.DUMMYFUNCTION("""COMPUTED_VALUE"""),45853.6666666666)</f>
        <v>45853.666666666599</v>
      </c>
      <c r="B886" s="1">
        <f ca="1">IFERROR(__xludf.DUMMYFUNCTION("""COMPUTED_VALUE"""),226.2)</f>
        <v>226.2</v>
      </c>
      <c r="C886" s="1">
        <f ca="1">IFERROR(__xludf.DUMMYFUNCTION("""COMPUTED_VALUE"""),227.27)</f>
        <v>227.27</v>
      </c>
      <c r="D886" s="1">
        <f ca="1">IFERROR(__xludf.DUMMYFUNCTION("""COMPUTED_VALUE"""),225.46)</f>
        <v>225.46</v>
      </c>
      <c r="E886" s="1">
        <f ca="1">IFERROR(__xludf.DUMMYFUNCTION("""COMPUTED_VALUE"""),226.35)</f>
        <v>226.35</v>
      </c>
      <c r="F886" s="1">
        <f ca="1">IFERROR(__xludf.DUMMYFUNCTION("""COMPUTED_VALUE"""),34907294)</f>
        <v>34907294</v>
      </c>
    </row>
    <row r="887" spans="1:6" ht="12.6">
      <c r="A887" s="2">
        <f ca="1">IFERROR(__xludf.DUMMYFUNCTION("""COMPUTED_VALUE"""),45854.6666666666)</f>
        <v>45854.666666666599</v>
      </c>
      <c r="B887" s="1">
        <f ca="1">IFERROR(__xludf.DUMMYFUNCTION("""COMPUTED_VALUE"""),225.88)</f>
        <v>225.88</v>
      </c>
      <c r="C887" s="1">
        <f ca="1">IFERROR(__xludf.DUMMYFUNCTION("""COMPUTED_VALUE"""),226.1)</f>
        <v>226.1</v>
      </c>
      <c r="D887" s="1">
        <f ca="1">IFERROR(__xludf.DUMMYFUNCTION("""COMPUTED_VALUE"""),222.18)</f>
        <v>222.18</v>
      </c>
      <c r="E887" s="1">
        <f ca="1">IFERROR(__xludf.DUMMYFUNCTION("""COMPUTED_VALUE"""),223.19)</f>
        <v>223.19</v>
      </c>
      <c r="F887" s="1">
        <f ca="1">IFERROR(__xludf.DUMMYFUNCTION("""COMPUTED_VALUE"""),39535926)</f>
        <v>39535926</v>
      </c>
    </row>
    <row r="888" spans="1:6" ht="12.6">
      <c r="A888" s="2">
        <f ca="1">IFERROR(__xludf.DUMMYFUNCTION("""COMPUTED_VALUE"""),45855.6666666666)</f>
        <v>45855.666666666599</v>
      </c>
      <c r="B888" s="1">
        <f ca="1">IFERROR(__xludf.DUMMYFUNCTION("""COMPUTED_VALUE"""),223.32)</f>
        <v>223.32</v>
      </c>
      <c r="C888" s="1">
        <f ca="1">IFERROR(__xludf.DUMMYFUNCTION("""COMPUTED_VALUE"""),224.5)</f>
        <v>224.5</v>
      </c>
      <c r="D888" s="1">
        <f ca="1">IFERROR(__xludf.DUMMYFUNCTION("""COMPUTED_VALUE"""),222.51)</f>
        <v>222.51</v>
      </c>
      <c r="E888" s="1">
        <f ca="1">IFERROR(__xludf.DUMMYFUNCTION("""COMPUTED_VALUE"""),223.88)</f>
        <v>223.88</v>
      </c>
      <c r="F888" s="1">
        <f ca="1">IFERROR(__xludf.DUMMYFUNCTION("""COMPUTED_VALUE"""),31855831)</f>
        <v>31855831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887"/>
  <sheetViews>
    <sheetView workbookViewId="0"/>
  </sheetViews>
  <sheetFormatPr defaultColWidth="12.5703125" defaultRowHeight="15.75" customHeight="1"/>
  <sheetData>
    <row r="1" spans="1:6" ht="15.75" customHeight="1">
      <c r="A1" s="1" t="str">
        <f ca="1">IFERROR(__xludf.DUMMYFUNCTION("GOOGLEFINANCE(""SNOW"",""all"",DATE(2022,1,1),today())"),"Date")</f>
        <v>Date</v>
      </c>
      <c r="B1" s="1" t="str">
        <f ca="1">IFERROR(__xludf.DUMMYFUNCTION("""COMPUTED_VALUE"""),"Open")</f>
        <v>Open</v>
      </c>
      <c r="C1" s="1" t="str">
        <f ca="1">IFERROR(__xludf.DUMMYFUNCTION("""COMPUTED_VALUE"""),"High")</f>
        <v>High</v>
      </c>
      <c r="D1" s="1" t="str">
        <f ca="1">IFERROR(__xludf.DUMMYFUNCTION("""COMPUTED_VALUE"""),"Low")</f>
        <v>Low</v>
      </c>
      <c r="E1" s="1" t="str">
        <f ca="1">IFERROR(__xludf.DUMMYFUNCTION("""COMPUTED_VALUE"""),"Close")</f>
        <v>Close</v>
      </c>
      <c r="F1" s="1" t="str">
        <f ca="1">IFERROR(__xludf.DUMMYFUNCTION("""COMPUTED_VALUE"""),"Volume")</f>
        <v>Volume</v>
      </c>
    </row>
    <row r="2" spans="1:6" ht="15.75" customHeight="1">
      <c r="A2" s="2">
        <f ca="1">IFERROR(__xludf.DUMMYFUNCTION("""COMPUTED_VALUE"""),44564.6666666666)</f>
        <v>44564.666666666599</v>
      </c>
      <c r="B2" s="1">
        <f ca="1">IFERROR(__xludf.DUMMYFUNCTION("""COMPUTED_VALUE"""),341)</f>
        <v>341</v>
      </c>
      <c r="C2" s="1">
        <f ca="1">IFERROR(__xludf.DUMMYFUNCTION("""COMPUTED_VALUE"""),344)</f>
        <v>344</v>
      </c>
      <c r="D2" s="1">
        <f ca="1">IFERROR(__xludf.DUMMYFUNCTION("""COMPUTED_VALUE"""),322.27)</f>
        <v>322.27</v>
      </c>
      <c r="E2" s="1">
        <f ca="1">IFERROR(__xludf.DUMMYFUNCTION("""COMPUTED_VALUE"""),332.01)</f>
        <v>332.01</v>
      </c>
      <c r="F2" s="1">
        <f ca="1">IFERROR(__xludf.DUMMYFUNCTION("""COMPUTED_VALUE"""),2596992)</f>
        <v>2596992</v>
      </c>
    </row>
    <row r="3" spans="1:6" ht="15.75" customHeight="1">
      <c r="A3" s="2">
        <f ca="1">IFERROR(__xludf.DUMMYFUNCTION("""COMPUTED_VALUE"""),44565.6666666666)</f>
        <v>44565.666666666599</v>
      </c>
      <c r="B3" s="1">
        <f ca="1">IFERROR(__xludf.DUMMYFUNCTION("""COMPUTED_VALUE"""),330.25)</f>
        <v>330.25</v>
      </c>
      <c r="C3" s="1">
        <f ca="1">IFERROR(__xludf.DUMMYFUNCTION("""COMPUTED_VALUE"""),330.51)</f>
        <v>330.51</v>
      </c>
      <c r="D3" s="1">
        <f ca="1">IFERROR(__xludf.DUMMYFUNCTION("""COMPUTED_VALUE"""),298.71)</f>
        <v>298.70999999999998</v>
      </c>
      <c r="E3" s="1">
        <f ca="1">IFERROR(__xludf.DUMMYFUNCTION("""COMPUTED_VALUE"""),315.53)</f>
        <v>315.52999999999997</v>
      </c>
      <c r="F3" s="1">
        <f ca="1">IFERROR(__xludf.DUMMYFUNCTION("""COMPUTED_VALUE"""),5695736)</f>
        <v>5695736</v>
      </c>
    </row>
    <row r="4" spans="1:6" ht="15.75" customHeight="1">
      <c r="A4" s="2">
        <f ca="1">IFERROR(__xludf.DUMMYFUNCTION("""COMPUTED_VALUE"""),44566.6666666666)</f>
        <v>44566.666666666599</v>
      </c>
      <c r="B4" s="1">
        <f ca="1">IFERROR(__xludf.DUMMYFUNCTION("""COMPUTED_VALUE"""),308.4)</f>
        <v>308.39999999999998</v>
      </c>
      <c r="C4" s="1">
        <f ca="1">IFERROR(__xludf.DUMMYFUNCTION("""COMPUTED_VALUE"""),315.34)</f>
        <v>315.33999999999997</v>
      </c>
      <c r="D4" s="1">
        <f ca="1">IFERROR(__xludf.DUMMYFUNCTION("""COMPUTED_VALUE"""),291.56)</f>
        <v>291.56</v>
      </c>
      <c r="E4" s="1">
        <f ca="1">IFERROR(__xludf.DUMMYFUNCTION("""COMPUTED_VALUE"""),296.87)</f>
        <v>296.87</v>
      </c>
      <c r="F4" s="1">
        <f ca="1">IFERROR(__xludf.DUMMYFUNCTION("""COMPUTED_VALUE"""),4431391)</f>
        <v>4431391</v>
      </c>
    </row>
    <row r="5" spans="1:6" ht="15.75" customHeight="1">
      <c r="A5" s="2">
        <f ca="1">IFERROR(__xludf.DUMMYFUNCTION("""COMPUTED_VALUE"""),44567.6666666666)</f>
        <v>44567.666666666599</v>
      </c>
      <c r="B5" s="1">
        <f ca="1">IFERROR(__xludf.DUMMYFUNCTION("""COMPUTED_VALUE"""),294.24)</f>
        <v>294.24</v>
      </c>
      <c r="C5" s="1">
        <f ca="1">IFERROR(__xludf.DUMMYFUNCTION("""COMPUTED_VALUE"""),306.56)</f>
        <v>306.56</v>
      </c>
      <c r="D5" s="1">
        <f ca="1">IFERROR(__xludf.DUMMYFUNCTION("""COMPUTED_VALUE"""),286)</f>
        <v>286</v>
      </c>
      <c r="E5" s="1">
        <f ca="1">IFERROR(__xludf.DUMMYFUNCTION("""COMPUTED_VALUE"""),297.09)</f>
        <v>297.08999999999997</v>
      </c>
      <c r="F5" s="1">
        <f ca="1">IFERROR(__xludf.DUMMYFUNCTION("""COMPUTED_VALUE"""),3936874)</f>
        <v>3936874</v>
      </c>
    </row>
    <row r="6" spans="1:6" ht="15.75" customHeight="1">
      <c r="A6" s="2">
        <f ca="1">IFERROR(__xludf.DUMMYFUNCTION("""COMPUTED_VALUE"""),44568.6666666666)</f>
        <v>44568.666666666599</v>
      </c>
      <c r="B6" s="1">
        <f ca="1">IFERROR(__xludf.DUMMYFUNCTION("""COMPUTED_VALUE"""),296.98)</f>
        <v>296.98</v>
      </c>
      <c r="C6" s="1">
        <f ca="1">IFERROR(__xludf.DUMMYFUNCTION("""COMPUTED_VALUE"""),307.57)</f>
        <v>307.57</v>
      </c>
      <c r="D6" s="1">
        <f ca="1">IFERROR(__xludf.DUMMYFUNCTION("""COMPUTED_VALUE"""),292.06)</f>
        <v>292.06</v>
      </c>
      <c r="E6" s="1">
        <f ca="1">IFERROR(__xludf.DUMMYFUNCTION("""COMPUTED_VALUE"""),299.68)</f>
        <v>299.68</v>
      </c>
      <c r="F6" s="1">
        <f ca="1">IFERROR(__xludf.DUMMYFUNCTION("""COMPUTED_VALUE"""),2700554)</f>
        <v>2700554</v>
      </c>
    </row>
    <row r="7" spans="1:6" ht="15.75" customHeight="1">
      <c r="A7" s="2">
        <f ca="1">IFERROR(__xludf.DUMMYFUNCTION("""COMPUTED_VALUE"""),44571.6666666666)</f>
        <v>44571.666666666599</v>
      </c>
      <c r="B7" s="1">
        <f ca="1">IFERROR(__xludf.DUMMYFUNCTION("""COMPUTED_VALUE"""),290)</f>
        <v>290</v>
      </c>
      <c r="C7" s="1">
        <f ca="1">IFERROR(__xludf.DUMMYFUNCTION("""COMPUTED_VALUE"""),303.09)</f>
        <v>303.08999999999997</v>
      </c>
      <c r="D7" s="1">
        <f ca="1">IFERROR(__xludf.DUMMYFUNCTION("""COMPUTED_VALUE"""),273.83)</f>
        <v>273.83</v>
      </c>
      <c r="E7" s="1">
        <f ca="1">IFERROR(__xludf.DUMMYFUNCTION("""COMPUTED_VALUE"""),302.73)</f>
        <v>302.73</v>
      </c>
      <c r="F7" s="1">
        <f ca="1">IFERROR(__xludf.DUMMYFUNCTION("""COMPUTED_VALUE"""),5469417)</f>
        <v>5469417</v>
      </c>
    </row>
    <row r="8" spans="1:6" ht="15.75" customHeight="1">
      <c r="A8" s="2">
        <f ca="1">IFERROR(__xludf.DUMMYFUNCTION("""COMPUTED_VALUE"""),44572.6666666666)</f>
        <v>44572.666666666599</v>
      </c>
      <c r="B8" s="1">
        <f ca="1">IFERROR(__xludf.DUMMYFUNCTION("""COMPUTED_VALUE"""),296.26)</f>
        <v>296.26</v>
      </c>
      <c r="C8" s="1">
        <f ca="1">IFERROR(__xludf.DUMMYFUNCTION("""COMPUTED_VALUE"""),308.55)</f>
        <v>308.55</v>
      </c>
      <c r="D8" s="1">
        <f ca="1">IFERROR(__xludf.DUMMYFUNCTION("""COMPUTED_VALUE"""),293.33)</f>
        <v>293.33</v>
      </c>
      <c r="E8" s="1">
        <f ca="1">IFERROR(__xludf.DUMMYFUNCTION("""COMPUTED_VALUE"""),301.27)</f>
        <v>301.27</v>
      </c>
      <c r="F8" s="1">
        <f ca="1">IFERROR(__xludf.DUMMYFUNCTION("""COMPUTED_VALUE"""),3083416)</f>
        <v>3083416</v>
      </c>
    </row>
    <row r="9" spans="1:6" ht="15.75" customHeight="1">
      <c r="A9" s="2">
        <f ca="1">IFERROR(__xludf.DUMMYFUNCTION("""COMPUTED_VALUE"""),44573.6666666666)</f>
        <v>44573.666666666599</v>
      </c>
      <c r="B9" s="1">
        <f ca="1">IFERROR(__xludf.DUMMYFUNCTION("""COMPUTED_VALUE"""),316)</f>
        <v>316</v>
      </c>
      <c r="C9" s="1">
        <f ca="1">IFERROR(__xludf.DUMMYFUNCTION("""COMPUTED_VALUE"""),316)</f>
        <v>316</v>
      </c>
      <c r="D9" s="1">
        <f ca="1">IFERROR(__xludf.DUMMYFUNCTION("""COMPUTED_VALUE"""),303.41)</f>
        <v>303.41000000000003</v>
      </c>
      <c r="E9" s="1">
        <f ca="1">IFERROR(__xludf.DUMMYFUNCTION("""COMPUTED_VALUE"""),307.14)</f>
        <v>307.14</v>
      </c>
      <c r="F9" s="1">
        <f ca="1">IFERROR(__xludf.DUMMYFUNCTION("""COMPUTED_VALUE"""),3630529)</f>
        <v>3630529</v>
      </c>
    </row>
    <row r="10" spans="1:6" ht="15.75" customHeight="1">
      <c r="A10" s="2">
        <f ca="1">IFERROR(__xludf.DUMMYFUNCTION("""COMPUTED_VALUE"""),44574.6666666666)</f>
        <v>44574.666666666599</v>
      </c>
      <c r="B10" s="1">
        <f ca="1">IFERROR(__xludf.DUMMYFUNCTION("""COMPUTED_VALUE"""),308.65)</f>
        <v>308.64999999999998</v>
      </c>
      <c r="C10" s="1">
        <f ca="1">IFERROR(__xludf.DUMMYFUNCTION("""COMPUTED_VALUE"""),308.99)</f>
        <v>308.99</v>
      </c>
      <c r="D10" s="1">
        <f ca="1">IFERROR(__xludf.DUMMYFUNCTION("""COMPUTED_VALUE"""),291.04)</f>
        <v>291.04000000000002</v>
      </c>
      <c r="E10" s="1">
        <f ca="1">IFERROR(__xludf.DUMMYFUNCTION("""COMPUTED_VALUE"""),291.76)</f>
        <v>291.76</v>
      </c>
      <c r="F10" s="1">
        <f ca="1">IFERROR(__xludf.DUMMYFUNCTION("""COMPUTED_VALUE"""),3076803)</f>
        <v>3076803</v>
      </c>
    </row>
    <row r="11" spans="1:6" ht="15.75" customHeight="1">
      <c r="A11" s="2">
        <f ca="1">IFERROR(__xludf.DUMMYFUNCTION("""COMPUTED_VALUE"""),44575.6666666666)</f>
        <v>44575.666666666599</v>
      </c>
      <c r="B11" s="1">
        <f ca="1">IFERROR(__xludf.DUMMYFUNCTION("""COMPUTED_VALUE"""),287.69)</f>
        <v>287.69</v>
      </c>
      <c r="C11" s="1">
        <f ca="1">IFERROR(__xludf.DUMMYFUNCTION("""COMPUTED_VALUE"""),297.38)</f>
        <v>297.38</v>
      </c>
      <c r="D11" s="1">
        <f ca="1">IFERROR(__xludf.DUMMYFUNCTION("""COMPUTED_VALUE"""),283.12)</f>
        <v>283.12</v>
      </c>
      <c r="E11" s="1">
        <f ca="1">IFERROR(__xludf.DUMMYFUNCTION("""COMPUTED_VALUE"""),289.59)</f>
        <v>289.58999999999997</v>
      </c>
      <c r="F11" s="1">
        <f ca="1">IFERROR(__xludf.DUMMYFUNCTION("""COMPUTED_VALUE"""),2888174)</f>
        <v>2888174</v>
      </c>
    </row>
    <row r="12" spans="1:6" ht="15.75" customHeight="1">
      <c r="A12" s="2">
        <f ca="1">IFERROR(__xludf.DUMMYFUNCTION("""COMPUTED_VALUE"""),44579.6666666666)</f>
        <v>44579.666666666599</v>
      </c>
      <c r="B12" s="1">
        <f ca="1">IFERROR(__xludf.DUMMYFUNCTION("""COMPUTED_VALUE"""),289.32)</f>
        <v>289.32</v>
      </c>
      <c r="C12" s="1">
        <f ca="1">IFERROR(__xludf.DUMMYFUNCTION("""COMPUTED_VALUE"""),296.97)</f>
        <v>296.97000000000003</v>
      </c>
      <c r="D12" s="1">
        <f ca="1">IFERROR(__xludf.DUMMYFUNCTION("""COMPUTED_VALUE"""),282.09)</f>
        <v>282.08999999999997</v>
      </c>
      <c r="E12" s="1">
        <f ca="1">IFERROR(__xludf.DUMMYFUNCTION("""COMPUTED_VALUE"""),287.68)</f>
        <v>287.68</v>
      </c>
      <c r="F12" s="1">
        <f ca="1">IFERROR(__xludf.DUMMYFUNCTION("""COMPUTED_VALUE"""),3849412)</f>
        <v>3849412</v>
      </c>
    </row>
    <row r="13" spans="1:6" ht="15.75" customHeight="1">
      <c r="A13" s="2">
        <f ca="1">IFERROR(__xludf.DUMMYFUNCTION("""COMPUTED_VALUE"""),44580.6666666666)</f>
        <v>44580.666666666599</v>
      </c>
      <c r="B13" s="1">
        <f ca="1">IFERROR(__xludf.DUMMYFUNCTION("""COMPUTED_VALUE"""),289.02)</f>
        <v>289.02</v>
      </c>
      <c r="C13" s="1">
        <f ca="1">IFERROR(__xludf.DUMMYFUNCTION("""COMPUTED_VALUE"""),298.11)</f>
        <v>298.11</v>
      </c>
      <c r="D13" s="1">
        <f ca="1">IFERROR(__xludf.DUMMYFUNCTION("""COMPUTED_VALUE"""),282.5)</f>
        <v>282.5</v>
      </c>
      <c r="E13" s="1">
        <f ca="1">IFERROR(__xludf.DUMMYFUNCTION("""COMPUTED_VALUE"""),282.56)</f>
        <v>282.56</v>
      </c>
      <c r="F13" s="1">
        <f ca="1">IFERROR(__xludf.DUMMYFUNCTION("""COMPUTED_VALUE"""),2887726)</f>
        <v>2887726</v>
      </c>
    </row>
    <row r="14" spans="1:6" ht="15.75" customHeight="1">
      <c r="A14" s="2">
        <f ca="1">IFERROR(__xludf.DUMMYFUNCTION("""COMPUTED_VALUE"""),44581.6666666666)</f>
        <v>44581.666666666599</v>
      </c>
      <c r="B14" s="1">
        <f ca="1">IFERROR(__xludf.DUMMYFUNCTION("""COMPUTED_VALUE"""),290.46)</f>
        <v>290.45999999999998</v>
      </c>
      <c r="C14" s="1">
        <f ca="1">IFERROR(__xludf.DUMMYFUNCTION("""COMPUTED_VALUE"""),297.5)</f>
        <v>297.5</v>
      </c>
      <c r="D14" s="1">
        <f ca="1">IFERROR(__xludf.DUMMYFUNCTION("""COMPUTED_VALUE"""),278.52)</f>
        <v>278.52</v>
      </c>
      <c r="E14" s="1">
        <f ca="1">IFERROR(__xludf.DUMMYFUNCTION("""COMPUTED_VALUE"""),279.27)</f>
        <v>279.27</v>
      </c>
      <c r="F14" s="1">
        <f ca="1">IFERROR(__xludf.DUMMYFUNCTION("""COMPUTED_VALUE"""),2747339)</f>
        <v>2747339</v>
      </c>
    </row>
    <row r="15" spans="1:6" ht="15.75" customHeight="1">
      <c r="A15" s="2">
        <f ca="1">IFERROR(__xludf.DUMMYFUNCTION("""COMPUTED_VALUE"""),44582.6666666666)</f>
        <v>44582.666666666599</v>
      </c>
      <c r="B15" s="1">
        <f ca="1">IFERROR(__xludf.DUMMYFUNCTION("""COMPUTED_VALUE"""),278.74)</f>
        <v>278.74</v>
      </c>
      <c r="C15" s="1">
        <f ca="1">IFERROR(__xludf.DUMMYFUNCTION("""COMPUTED_VALUE"""),282.95)</f>
        <v>282.95</v>
      </c>
      <c r="D15" s="1">
        <f ca="1">IFERROR(__xludf.DUMMYFUNCTION("""COMPUTED_VALUE"""),264.7)</f>
        <v>264.7</v>
      </c>
      <c r="E15" s="1">
        <f ca="1">IFERROR(__xludf.DUMMYFUNCTION("""COMPUTED_VALUE"""),267.56)</f>
        <v>267.56</v>
      </c>
      <c r="F15" s="1">
        <f ca="1">IFERROR(__xludf.DUMMYFUNCTION("""COMPUTED_VALUE"""),4507216)</f>
        <v>4507216</v>
      </c>
    </row>
    <row r="16" spans="1:6" ht="15.75" customHeight="1">
      <c r="A16" s="2">
        <f ca="1">IFERROR(__xludf.DUMMYFUNCTION("""COMPUTED_VALUE"""),44585.6666666666)</f>
        <v>44585.666666666599</v>
      </c>
      <c r="B16" s="1">
        <f ca="1">IFERROR(__xludf.DUMMYFUNCTION("""COMPUTED_VALUE"""),260.21)</f>
        <v>260.20999999999998</v>
      </c>
      <c r="C16" s="1">
        <f ca="1">IFERROR(__xludf.DUMMYFUNCTION("""COMPUTED_VALUE"""),281.57)</f>
        <v>281.57</v>
      </c>
      <c r="D16" s="1">
        <f ca="1">IFERROR(__xludf.DUMMYFUNCTION("""COMPUTED_VALUE"""),245.2)</f>
        <v>245.2</v>
      </c>
      <c r="E16" s="1">
        <f ca="1">IFERROR(__xludf.DUMMYFUNCTION("""COMPUTED_VALUE"""),277.5)</f>
        <v>277.5</v>
      </c>
      <c r="F16" s="1">
        <f ca="1">IFERROR(__xludf.DUMMYFUNCTION("""COMPUTED_VALUE"""),7170201)</f>
        <v>7170201</v>
      </c>
    </row>
    <row r="17" spans="1:6" ht="15.75" customHeight="1">
      <c r="A17" s="2">
        <f ca="1">IFERROR(__xludf.DUMMYFUNCTION("""COMPUTED_VALUE"""),44586.6666666666)</f>
        <v>44586.666666666599</v>
      </c>
      <c r="B17" s="1">
        <f ca="1">IFERROR(__xludf.DUMMYFUNCTION("""COMPUTED_VALUE"""),275.27)</f>
        <v>275.27</v>
      </c>
      <c r="C17" s="1">
        <f ca="1">IFERROR(__xludf.DUMMYFUNCTION("""COMPUTED_VALUE"""),278.49)</f>
        <v>278.49</v>
      </c>
      <c r="D17" s="1">
        <f ca="1">IFERROR(__xludf.DUMMYFUNCTION("""COMPUTED_VALUE"""),257.78)</f>
        <v>257.77999999999997</v>
      </c>
      <c r="E17" s="1">
        <f ca="1">IFERROR(__xludf.DUMMYFUNCTION("""COMPUTED_VALUE"""),263.43)</f>
        <v>263.43</v>
      </c>
      <c r="F17" s="1">
        <f ca="1">IFERROR(__xludf.DUMMYFUNCTION("""COMPUTED_VALUE"""),4707248)</f>
        <v>4707248</v>
      </c>
    </row>
    <row r="18" spans="1:6" ht="15.75" customHeight="1">
      <c r="A18" s="2">
        <f ca="1">IFERROR(__xludf.DUMMYFUNCTION("""COMPUTED_VALUE"""),44587.6666666666)</f>
        <v>44587.666666666599</v>
      </c>
      <c r="B18" s="1">
        <f ca="1">IFERROR(__xludf.DUMMYFUNCTION("""COMPUTED_VALUE"""),272.5)</f>
        <v>272.5</v>
      </c>
      <c r="C18" s="1">
        <f ca="1">IFERROR(__xludf.DUMMYFUNCTION("""COMPUTED_VALUE"""),276.74)</f>
        <v>276.74</v>
      </c>
      <c r="D18" s="1">
        <f ca="1">IFERROR(__xludf.DUMMYFUNCTION("""COMPUTED_VALUE"""),248.14)</f>
        <v>248.14</v>
      </c>
      <c r="E18" s="1">
        <f ca="1">IFERROR(__xludf.DUMMYFUNCTION("""COMPUTED_VALUE"""),253.1)</f>
        <v>253.1</v>
      </c>
      <c r="F18" s="1">
        <f ca="1">IFERROR(__xludf.DUMMYFUNCTION("""COMPUTED_VALUE"""),5117467)</f>
        <v>5117467</v>
      </c>
    </row>
    <row r="19" spans="1:6" ht="15.75" customHeight="1">
      <c r="A19" s="2">
        <f ca="1">IFERROR(__xludf.DUMMYFUNCTION("""COMPUTED_VALUE"""),44588.6666666666)</f>
        <v>44588.666666666599</v>
      </c>
      <c r="B19" s="1">
        <f ca="1">IFERROR(__xludf.DUMMYFUNCTION("""COMPUTED_VALUE"""),259.71)</f>
        <v>259.70999999999998</v>
      </c>
      <c r="C19" s="1">
        <f ca="1">IFERROR(__xludf.DUMMYFUNCTION("""COMPUTED_VALUE"""),262)</f>
        <v>262</v>
      </c>
      <c r="D19" s="1">
        <f ca="1">IFERROR(__xludf.DUMMYFUNCTION("""COMPUTED_VALUE"""),241.86)</f>
        <v>241.86</v>
      </c>
      <c r="E19" s="1">
        <f ca="1">IFERROR(__xludf.DUMMYFUNCTION("""COMPUTED_VALUE"""),244.72)</f>
        <v>244.72</v>
      </c>
      <c r="F19" s="1">
        <f ca="1">IFERROR(__xludf.DUMMYFUNCTION("""COMPUTED_VALUE"""),4670658)</f>
        <v>4670658</v>
      </c>
    </row>
    <row r="20" spans="1:6" ht="15.75" customHeight="1">
      <c r="A20" s="2">
        <f ca="1">IFERROR(__xludf.DUMMYFUNCTION("""COMPUTED_VALUE"""),44589.6666666666)</f>
        <v>44589.666666666599</v>
      </c>
      <c r="B20" s="1">
        <f ca="1">IFERROR(__xludf.DUMMYFUNCTION("""COMPUTED_VALUE"""),244)</f>
        <v>244</v>
      </c>
      <c r="C20" s="1">
        <f ca="1">IFERROR(__xludf.DUMMYFUNCTION("""COMPUTED_VALUE"""),254.14)</f>
        <v>254.14</v>
      </c>
      <c r="D20" s="1">
        <f ca="1">IFERROR(__xludf.DUMMYFUNCTION("""COMPUTED_VALUE"""),232.83)</f>
        <v>232.83</v>
      </c>
      <c r="E20" s="1">
        <f ca="1">IFERROR(__xludf.DUMMYFUNCTION("""COMPUTED_VALUE"""),253.52)</f>
        <v>253.52</v>
      </c>
      <c r="F20" s="1">
        <f ca="1">IFERROR(__xludf.DUMMYFUNCTION("""COMPUTED_VALUE"""),4990034)</f>
        <v>4990034</v>
      </c>
    </row>
    <row r="21" spans="1:6" ht="15.75" customHeight="1">
      <c r="A21" s="2">
        <f ca="1">IFERROR(__xludf.DUMMYFUNCTION("""COMPUTED_VALUE"""),44592.6666666666)</f>
        <v>44592.666666666599</v>
      </c>
      <c r="B21" s="1">
        <f ca="1">IFERROR(__xludf.DUMMYFUNCTION("""COMPUTED_VALUE"""),261)</f>
        <v>261</v>
      </c>
      <c r="C21" s="1">
        <f ca="1">IFERROR(__xludf.DUMMYFUNCTION("""COMPUTED_VALUE"""),276.17)</f>
        <v>276.17</v>
      </c>
      <c r="D21" s="1">
        <f ca="1">IFERROR(__xludf.DUMMYFUNCTION("""COMPUTED_VALUE"""),258.16)</f>
        <v>258.16000000000003</v>
      </c>
      <c r="E21" s="1">
        <f ca="1">IFERROR(__xludf.DUMMYFUNCTION("""COMPUTED_VALUE"""),275.9)</f>
        <v>275.89999999999998</v>
      </c>
      <c r="F21" s="1">
        <f ca="1">IFERROR(__xludf.DUMMYFUNCTION("""COMPUTED_VALUE"""),3984352)</f>
        <v>3984352</v>
      </c>
    </row>
    <row r="22" spans="1:6" ht="15.75" customHeight="1">
      <c r="A22" s="2">
        <f ca="1">IFERROR(__xludf.DUMMYFUNCTION("""COMPUTED_VALUE"""),44593.6666666666)</f>
        <v>44593.666666666599</v>
      </c>
      <c r="B22" s="1">
        <f ca="1">IFERROR(__xludf.DUMMYFUNCTION("""COMPUTED_VALUE"""),281.8)</f>
        <v>281.8</v>
      </c>
      <c r="C22" s="1">
        <f ca="1">IFERROR(__xludf.DUMMYFUNCTION("""COMPUTED_VALUE"""),286.85)</f>
        <v>286.85000000000002</v>
      </c>
      <c r="D22" s="1">
        <f ca="1">IFERROR(__xludf.DUMMYFUNCTION("""COMPUTED_VALUE"""),270.33)</f>
        <v>270.33</v>
      </c>
      <c r="E22" s="1">
        <f ca="1">IFERROR(__xludf.DUMMYFUNCTION("""COMPUTED_VALUE"""),283.76)</f>
        <v>283.76</v>
      </c>
      <c r="F22" s="1">
        <f ca="1">IFERROR(__xludf.DUMMYFUNCTION("""COMPUTED_VALUE"""),3219451)</f>
        <v>3219451</v>
      </c>
    </row>
    <row r="23" spans="1:6" ht="15.75" customHeight="1">
      <c r="A23" s="2">
        <f ca="1">IFERROR(__xludf.DUMMYFUNCTION("""COMPUTED_VALUE"""),44594.6666666666)</f>
        <v>44594.666666666599</v>
      </c>
      <c r="B23" s="1">
        <f ca="1">IFERROR(__xludf.DUMMYFUNCTION("""COMPUTED_VALUE"""),282.56)</f>
        <v>282.56</v>
      </c>
      <c r="C23" s="1">
        <f ca="1">IFERROR(__xludf.DUMMYFUNCTION("""COMPUTED_VALUE"""),282.8)</f>
        <v>282.8</v>
      </c>
      <c r="D23" s="1">
        <f ca="1">IFERROR(__xludf.DUMMYFUNCTION("""COMPUTED_VALUE"""),265.33)</f>
        <v>265.33</v>
      </c>
      <c r="E23" s="1">
        <f ca="1">IFERROR(__xludf.DUMMYFUNCTION("""COMPUTED_VALUE"""),268.28)</f>
        <v>268.27999999999997</v>
      </c>
      <c r="F23" s="1">
        <f ca="1">IFERROR(__xludf.DUMMYFUNCTION("""COMPUTED_VALUE"""),2751182)</f>
        <v>2751182</v>
      </c>
    </row>
    <row r="24" spans="1:6" ht="15.75" customHeight="1">
      <c r="A24" s="2">
        <f ca="1">IFERROR(__xludf.DUMMYFUNCTION("""COMPUTED_VALUE"""),44595.6666666666)</f>
        <v>44595.666666666599</v>
      </c>
      <c r="B24" s="1">
        <f ca="1">IFERROR(__xludf.DUMMYFUNCTION("""COMPUTED_VALUE"""),254.2)</f>
        <v>254.2</v>
      </c>
      <c r="C24" s="1">
        <f ca="1">IFERROR(__xludf.DUMMYFUNCTION("""COMPUTED_VALUE"""),266)</f>
        <v>266</v>
      </c>
      <c r="D24" s="1">
        <f ca="1">IFERROR(__xludf.DUMMYFUNCTION("""COMPUTED_VALUE"""),251)</f>
        <v>251</v>
      </c>
      <c r="E24" s="1">
        <f ca="1">IFERROR(__xludf.DUMMYFUNCTION("""COMPUTED_VALUE"""),256.26)</f>
        <v>256.26</v>
      </c>
      <c r="F24" s="1">
        <f ca="1">IFERROR(__xludf.DUMMYFUNCTION("""COMPUTED_VALUE"""),3197715)</f>
        <v>3197715</v>
      </c>
    </row>
    <row r="25" spans="1:6" ht="15.75" customHeight="1">
      <c r="A25" s="2">
        <f ca="1">IFERROR(__xludf.DUMMYFUNCTION("""COMPUTED_VALUE"""),44596.6666666666)</f>
        <v>44596.666666666599</v>
      </c>
      <c r="B25" s="1">
        <f ca="1">IFERROR(__xludf.DUMMYFUNCTION("""COMPUTED_VALUE"""),262.56)</f>
        <v>262.56</v>
      </c>
      <c r="C25" s="1">
        <f ca="1">IFERROR(__xludf.DUMMYFUNCTION("""COMPUTED_VALUE"""),283)</f>
        <v>283</v>
      </c>
      <c r="D25" s="1">
        <f ca="1">IFERROR(__xludf.DUMMYFUNCTION("""COMPUTED_VALUE"""),255.38)</f>
        <v>255.38</v>
      </c>
      <c r="E25" s="1">
        <f ca="1">IFERROR(__xludf.DUMMYFUNCTION("""COMPUTED_VALUE"""),275.72)</f>
        <v>275.72000000000003</v>
      </c>
      <c r="F25" s="1">
        <f ca="1">IFERROR(__xludf.DUMMYFUNCTION("""COMPUTED_VALUE"""),4393426)</f>
        <v>4393426</v>
      </c>
    </row>
    <row r="26" spans="1:6" ht="15.75" customHeight="1">
      <c r="A26" s="2">
        <f ca="1">IFERROR(__xludf.DUMMYFUNCTION("""COMPUTED_VALUE"""),44599.6666666666)</f>
        <v>44599.666666666599</v>
      </c>
      <c r="B26" s="1">
        <f ca="1">IFERROR(__xludf.DUMMYFUNCTION("""COMPUTED_VALUE"""),291)</f>
        <v>291</v>
      </c>
      <c r="C26" s="1">
        <f ca="1">IFERROR(__xludf.DUMMYFUNCTION("""COMPUTED_VALUE"""),304.46)</f>
        <v>304.45999999999998</v>
      </c>
      <c r="D26" s="1">
        <f ca="1">IFERROR(__xludf.DUMMYFUNCTION("""COMPUTED_VALUE"""),286.77)</f>
        <v>286.77</v>
      </c>
      <c r="E26" s="1">
        <f ca="1">IFERROR(__xludf.DUMMYFUNCTION("""COMPUTED_VALUE"""),293.19)</f>
        <v>293.19</v>
      </c>
      <c r="F26" s="1">
        <f ca="1">IFERROR(__xludf.DUMMYFUNCTION("""COMPUTED_VALUE"""),8317063)</f>
        <v>8317063</v>
      </c>
    </row>
    <row r="27" spans="1:6" ht="15.75" customHeight="1">
      <c r="A27" s="2">
        <f ca="1">IFERROR(__xludf.DUMMYFUNCTION("""COMPUTED_VALUE"""),44600.6666666666)</f>
        <v>44600.666666666599</v>
      </c>
      <c r="B27" s="1">
        <f ca="1">IFERROR(__xludf.DUMMYFUNCTION("""COMPUTED_VALUE"""),287.2)</f>
        <v>287.2</v>
      </c>
      <c r="C27" s="1">
        <f ca="1">IFERROR(__xludf.DUMMYFUNCTION("""COMPUTED_VALUE"""),298.5)</f>
        <v>298.5</v>
      </c>
      <c r="D27" s="1">
        <f ca="1">IFERROR(__xludf.DUMMYFUNCTION("""COMPUTED_VALUE"""),287.2)</f>
        <v>287.2</v>
      </c>
      <c r="E27" s="1">
        <f ca="1">IFERROR(__xludf.DUMMYFUNCTION("""COMPUTED_VALUE"""),293.51)</f>
        <v>293.51</v>
      </c>
      <c r="F27" s="1">
        <f ca="1">IFERROR(__xludf.DUMMYFUNCTION("""COMPUTED_VALUE"""),2717317)</f>
        <v>2717317</v>
      </c>
    </row>
    <row r="28" spans="1:6" ht="15.75" customHeight="1">
      <c r="A28" s="2">
        <f ca="1">IFERROR(__xludf.DUMMYFUNCTION("""COMPUTED_VALUE"""),44601.6666666666)</f>
        <v>44601.666666666599</v>
      </c>
      <c r="B28" s="1">
        <f ca="1">IFERROR(__xludf.DUMMYFUNCTION("""COMPUTED_VALUE"""),304.9)</f>
        <v>304.89999999999998</v>
      </c>
      <c r="C28" s="1">
        <f ca="1">IFERROR(__xludf.DUMMYFUNCTION("""COMPUTED_VALUE"""),308.2)</f>
        <v>308.2</v>
      </c>
      <c r="D28" s="1">
        <f ca="1">IFERROR(__xludf.DUMMYFUNCTION("""COMPUTED_VALUE"""),299)</f>
        <v>299</v>
      </c>
      <c r="E28" s="1">
        <f ca="1">IFERROR(__xludf.DUMMYFUNCTION("""COMPUTED_VALUE"""),307.94)</f>
        <v>307.94</v>
      </c>
      <c r="F28" s="1">
        <f ca="1">IFERROR(__xludf.DUMMYFUNCTION("""COMPUTED_VALUE"""),2730768)</f>
        <v>2730768</v>
      </c>
    </row>
    <row r="29" spans="1:6" ht="15.75" customHeight="1">
      <c r="A29" s="2">
        <f ca="1">IFERROR(__xludf.DUMMYFUNCTION("""COMPUTED_VALUE"""),44602.6666666666)</f>
        <v>44602.666666666599</v>
      </c>
      <c r="B29" s="1">
        <f ca="1">IFERROR(__xludf.DUMMYFUNCTION("""COMPUTED_VALUE"""),300.2)</f>
        <v>300.2</v>
      </c>
      <c r="C29" s="1">
        <f ca="1">IFERROR(__xludf.DUMMYFUNCTION("""COMPUTED_VALUE"""),329.49)</f>
        <v>329.49</v>
      </c>
      <c r="D29" s="1">
        <f ca="1">IFERROR(__xludf.DUMMYFUNCTION("""COMPUTED_VALUE"""),299.5)</f>
        <v>299.5</v>
      </c>
      <c r="E29" s="1">
        <f ca="1">IFERROR(__xludf.DUMMYFUNCTION("""COMPUTED_VALUE"""),311.11)</f>
        <v>311.11</v>
      </c>
      <c r="F29" s="1">
        <f ca="1">IFERROR(__xludf.DUMMYFUNCTION("""COMPUTED_VALUE"""),6054355)</f>
        <v>6054355</v>
      </c>
    </row>
    <row r="30" spans="1:6" ht="15.75" customHeight="1">
      <c r="A30" s="2">
        <f ca="1">IFERROR(__xludf.DUMMYFUNCTION("""COMPUTED_VALUE"""),44603.6666666666)</f>
        <v>44603.666666666599</v>
      </c>
      <c r="B30" s="1">
        <f ca="1">IFERROR(__xludf.DUMMYFUNCTION("""COMPUTED_VALUE"""),312)</f>
        <v>312</v>
      </c>
      <c r="C30" s="1">
        <f ca="1">IFERROR(__xludf.DUMMYFUNCTION("""COMPUTED_VALUE"""),321.33)</f>
        <v>321.33</v>
      </c>
      <c r="D30" s="1">
        <f ca="1">IFERROR(__xludf.DUMMYFUNCTION("""COMPUTED_VALUE"""),288.59)</f>
        <v>288.58999999999997</v>
      </c>
      <c r="E30" s="1">
        <f ca="1">IFERROR(__xludf.DUMMYFUNCTION("""COMPUTED_VALUE"""),293.69)</f>
        <v>293.69</v>
      </c>
      <c r="F30" s="1">
        <f ca="1">IFERROR(__xludf.DUMMYFUNCTION("""COMPUTED_VALUE"""),4693506)</f>
        <v>4693506</v>
      </c>
    </row>
    <row r="31" spans="1:6" ht="15.75" customHeight="1">
      <c r="A31" s="2">
        <f ca="1">IFERROR(__xludf.DUMMYFUNCTION("""COMPUTED_VALUE"""),44606.6666666666)</f>
        <v>44606.666666666599</v>
      </c>
      <c r="B31" s="1">
        <f ca="1">IFERROR(__xludf.DUMMYFUNCTION("""COMPUTED_VALUE"""),294.06)</f>
        <v>294.06</v>
      </c>
      <c r="C31" s="1">
        <f ca="1">IFERROR(__xludf.DUMMYFUNCTION("""COMPUTED_VALUE"""),300.8)</f>
        <v>300.8</v>
      </c>
      <c r="D31" s="1">
        <f ca="1">IFERROR(__xludf.DUMMYFUNCTION("""COMPUTED_VALUE"""),290.33)</f>
        <v>290.33</v>
      </c>
      <c r="E31" s="1">
        <f ca="1">IFERROR(__xludf.DUMMYFUNCTION("""COMPUTED_VALUE"""),291.13)</f>
        <v>291.13</v>
      </c>
      <c r="F31" s="1">
        <f ca="1">IFERROR(__xludf.DUMMYFUNCTION("""COMPUTED_VALUE"""),2506942)</f>
        <v>2506942</v>
      </c>
    </row>
    <row r="32" spans="1:6" ht="15.75" customHeight="1">
      <c r="A32" s="2">
        <f ca="1">IFERROR(__xludf.DUMMYFUNCTION("""COMPUTED_VALUE"""),44607.6666666666)</f>
        <v>44607.666666666599</v>
      </c>
      <c r="B32" s="1">
        <f ca="1">IFERROR(__xludf.DUMMYFUNCTION("""COMPUTED_VALUE"""),298.83)</f>
        <v>298.83</v>
      </c>
      <c r="C32" s="1">
        <f ca="1">IFERROR(__xludf.DUMMYFUNCTION("""COMPUTED_VALUE"""),302)</f>
        <v>302</v>
      </c>
      <c r="D32" s="1">
        <f ca="1">IFERROR(__xludf.DUMMYFUNCTION("""COMPUTED_VALUE"""),291.85)</f>
        <v>291.85000000000002</v>
      </c>
      <c r="E32" s="1">
        <f ca="1">IFERROR(__xludf.DUMMYFUNCTION("""COMPUTED_VALUE"""),300)</f>
        <v>300</v>
      </c>
      <c r="F32" s="1">
        <f ca="1">IFERROR(__xludf.DUMMYFUNCTION("""COMPUTED_VALUE"""),2756759)</f>
        <v>2756759</v>
      </c>
    </row>
    <row r="33" spans="1:6" ht="15.75" customHeight="1">
      <c r="A33" s="2">
        <f ca="1">IFERROR(__xludf.DUMMYFUNCTION("""COMPUTED_VALUE"""),44608.6666666666)</f>
        <v>44608.666666666599</v>
      </c>
      <c r="B33" s="1">
        <f ca="1">IFERROR(__xludf.DUMMYFUNCTION("""COMPUTED_VALUE"""),295)</f>
        <v>295</v>
      </c>
      <c r="C33" s="1">
        <f ca="1">IFERROR(__xludf.DUMMYFUNCTION("""COMPUTED_VALUE"""),306.07)</f>
        <v>306.07</v>
      </c>
      <c r="D33" s="1">
        <f ca="1">IFERROR(__xludf.DUMMYFUNCTION("""COMPUTED_VALUE"""),294.15)</f>
        <v>294.14999999999998</v>
      </c>
      <c r="E33" s="1">
        <f ca="1">IFERROR(__xludf.DUMMYFUNCTION("""COMPUTED_VALUE"""),304.7)</f>
        <v>304.7</v>
      </c>
      <c r="F33" s="1">
        <f ca="1">IFERROR(__xludf.DUMMYFUNCTION("""COMPUTED_VALUE"""),2929330)</f>
        <v>2929330</v>
      </c>
    </row>
    <row r="34" spans="1:6" ht="15.75" customHeight="1">
      <c r="A34" s="2">
        <f ca="1">IFERROR(__xludf.DUMMYFUNCTION("""COMPUTED_VALUE"""),44609.6666666666)</f>
        <v>44609.666666666599</v>
      </c>
      <c r="B34" s="1">
        <f ca="1">IFERROR(__xludf.DUMMYFUNCTION("""COMPUTED_VALUE"""),298.02)</f>
        <v>298.02</v>
      </c>
      <c r="C34" s="1">
        <f ca="1">IFERROR(__xludf.DUMMYFUNCTION("""COMPUTED_VALUE"""),304.85)</f>
        <v>304.85000000000002</v>
      </c>
      <c r="D34" s="1">
        <f ca="1">IFERROR(__xludf.DUMMYFUNCTION("""COMPUTED_VALUE"""),285.5)</f>
        <v>285.5</v>
      </c>
      <c r="E34" s="1">
        <f ca="1">IFERROR(__xludf.DUMMYFUNCTION("""COMPUTED_VALUE"""),286.28)</f>
        <v>286.27999999999997</v>
      </c>
      <c r="F34" s="1">
        <f ca="1">IFERROR(__xludf.DUMMYFUNCTION("""COMPUTED_VALUE"""),3381932)</f>
        <v>3381932</v>
      </c>
    </row>
    <row r="35" spans="1:6" ht="15.75" customHeight="1">
      <c r="A35" s="2">
        <f ca="1">IFERROR(__xludf.DUMMYFUNCTION("""COMPUTED_VALUE"""),44610.6666666666)</f>
        <v>44610.666666666599</v>
      </c>
      <c r="B35" s="1">
        <f ca="1">IFERROR(__xludf.DUMMYFUNCTION("""COMPUTED_VALUE"""),290.96)</f>
        <v>290.95999999999998</v>
      </c>
      <c r="C35" s="1">
        <f ca="1">IFERROR(__xludf.DUMMYFUNCTION("""COMPUTED_VALUE"""),295)</f>
        <v>295</v>
      </c>
      <c r="D35" s="1">
        <f ca="1">IFERROR(__xludf.DUMMYFUNCTION("""COMPUTED_VALUE"""),272.63)</f>
        <v>272.63</v>
      </c>
      <c r="E35" s="1">
        <f ca="1">IFERROR(__xludf.DUMMYFUNCTION("""COMPUTED_VALUE"""),273.77)</f>
        <v>273.77</v>
      </c>
      <c r="F35" s="1">
        <f ca="1">IFERROR(__xludf.DUMMYFUNCTION("""COMPUTED_VALUE"""),3939524)</f>
        <v>3939524</v>
      </c>
    </row>
    <row r="36" spans="1:6" ht="15.75" customHeight="1">
      <c r="A36" s="2">
        <f ca="1">IFERROR(__xludf.DUMMYFUNCTION("""COMPUTED_VALUE"""),44614.6666666666)</f>
        <v>44614.666666666599</v>
      </c>
      <c r="B36" s="1">
        <f ca="1">IFERROR(__xludf.DUMMYFUNCTION("""COMPUTED_VALUE"""),271.06)</f>
        <v>271.06</v>
      </c>
      <c r="C36" s="1">
        <f ca="1">IFERROR(__xludf.DUMMYFUNCTION("""COMPUTED_VALUE"""),282.48)</f>
        <v>282.48</v>
      </c>
      <c r="D36" s="1">
        <f ca="1">IFERROR(__xludf.DUMMYFUNCTION("""COMPUTED_VALUE"""),264.53)</f>
        <v>264.52999999999997</v>
      </c>
      <c r="E36" s="1">
        <f ca="1">IFERROR(__xludf.DUMMYFUNCTION("""COMPUTED_VALUE"""),267.78)</f>
        <v>267.77999999999997</v>
      </c>
      <c r="F36" s="1">
        <f ca="1">IFERROR(__xludf.DUMMYFUNCTION("""COMPUTED_VALUE"""),3624374)</f>
        <v>3624374</v>
      </c>
    </row>
    <row r="37" spans="1:6" ht="12.6">
      <c r="A37" s="2">
        <f ca="1">IFERROR(__xludf.DUMMYFUNCTION("""COMPUTED_VALUE"""),44615.6666666666)</f>
        <v>44615.666666666599</v>
      </c>
      <c r="B37" s="1">
        <f ca="1">IFERROR(__xludf.DUMMYFUNCTION("""COMPUTED_VALUE"""),272.42)</f>
        <v>272.42</v>
      </c>
      <c r="C37" s="1">
        <f ca="1">IFERROR(__xludf.DUMMYFUNCTION("""COMPUTED_VALUE"""),276.87)</f>
        <v>276.87</v>
      </c>
      <c r="D37" s="1">
        <f ca="1">IFERROR(__xludf.DUMMYFUNCTION("""COMPUTED_VALUE"""),252)</f>
        <v>252</v>
      </c>
      <c r="E37" s="1">
        <f ca="1">IFERROR(__xludf.DUMMYFUNCTION("""COMPUTED_VALUE"""),252.63)</f>
        <v>252.63</v>
      </c>
      <c r="F37" s="1">
        <f ca="1">IFERROR(__xludf.DUMMYFUNCTION("""COMPUTED_VALUE"""),3094268)</f>
        <v>3094268</v>
      </c>
    </row>
    <row r="38" spans="1:6" ht="12.6">
      <c r="A38" s="2">
        <f ca="1">IFERROR(__xludf.DUMMYFUNCTION("""COMPUTED_VALUE"""),44616.6666666666)</f>
        <v>44616.666666666599</v>
      </c>
      <c r="B38" s="1">
        <f ca="1">IFERROR(__xludf.DUMMYFUNCTION("""COMPUTED_VALUE"""),242.61)</f>
        <v>242.61</v>
      </c>
      <c r="C38" s="1">
        <f ca="1">IFERROR(__xludf.DUMMYFUNCTION("""COMPUTED_VALUE"""),270.43)</f>
        <v>270.43</v>
      </c>
      <c r="D38" s="1">
        <f ca="1">IFERROR(__xludf.DUMMYFUNCTION("""COMPUTED_VALUE"""),240.1)</f>
        <v>240.1</v>
      </c>
      <c r="E38" s="1">
        <f ca="1">IFERROR(__xludf.DUMMYFUNCTION("""COMPUTED_VALUE"""),269.87)</f>
        <v>269.87</v>
      </c>
      <c r="F38" s="1">
        <f ca="1">IFERROR(__xludf.DUMMYFUNCTION("""COMPUTED_VALUE"""),5006416)</f>
        <v>5006416</v>
      </c>
    </row>
    <row r="39" spans="1:6" ht="12.6">
      <c r="A39" s="2">
        <f ca="1">IFERROR(__xludf.DUMMYFUNCTION("""COMPUTED_VALUE"""),44617.6666666666)</f>
        <v>44617.666666666599</v>
      </c>
      <c r="B39" s="1">
        <f ca="1">IFERROR(__xludf.DUMMYFUNCTION("""COMPUTED_VALUE"""),267.8)</f>
        <v>267.8</v>
      </c>
      <c r="C39" s="1">
        <f ca="1">IFERROR(__xludf.DUMMYFUNCTION("""COMPUTED_VALUE"""),275.9)</f>
        <v>275.89999999999998</v>
      </c>
      <c r="D39" s="1">
        <f ca="1">IFERROR(__xludf.DUMMYFUNCTION("""COMPUTED_VALUE"""),263.01)</f>
        <v>263.01</v>
      </c>
      <c r="E39" s="1">
        <f ca="1">IFERROR(__xludf.DUMMYFUNCTION("""COMPUTED_VALUE"""),269.42)</f>
        <v>269.42</v>
      </c>
      <c r="F39" s="1">
        <f ca="1">IFERROR(__xludf.DUMMYFUNCTION("""COMPUTED_VALUE"""),2730113)</f>
        <v>2730113</v>
      </c>
    </row>
    <row r="40" spans="1:6" ht="12.6">
      <c r="A40" s="2">
        <f ca="1">IFERROR(__xludf.DUMMYFUNCTION("""COMPUTED_VALUE"""),44620.6666666666)</f>
        <v>44620.666666666599</v>
      </c>
      <c r="B40" s="1">
        <f ca="1">IFERROR(__xludf.DUMMYFUNCTION("""COMPUTED_VALUE"""),267.99)</f>
        <v>267.99</v>
      </c>
      <c r="C40" s="1">
        <f ca="1">IFERROR(__xludf.DUMMYFUNCTION("""COMPUTED_VALUE"""),274.58)</f>
        <v>274.58</v>
      </c>
      <c r="D40" s="1">
        <f ca="1">IFERROR(__xludf.DUMMYFUNCTION("""COMPUTED_VALUE"""),260.7)</f>
        <v>260.7</v>
      </c>
      <c r="E40" s="1">
        <f ca="1">IFERROR(__xludf.DUMMYFUNCTION("""COMPUTED_VALUE"""),265.66)</f>
        <v>265.66000000000003</v>
      </c>
      <c r="F40" s="1">
        <f ca="1">IFERROR(__xludf.DUMMYFUNCTION("""COMPUTED_VALUE"""),4496529)</f>
        <v>4496529</v>
      </c>
    </row>
    <row r="41" spans="1:6" ht="12.6">
      <c r="A41" s="2">
        <f ca="1">IFERROR(__xludf.DUMMYFUNCTION("""COMPUTED_VALUE"""),44621.6666666666)</f>
        <v>44621.666666666599</v>
      </c>
      <c r="B41" s="1">
        <f ca="1">IFERROR(__xludf.DUMMYFUNCTION("""COMPUTED_VALUE"""),267.54)</f>
        <v>267.54000000000002</v>
      </c>
      <c r="C41" s="1">
        <f ca="1">IFERROR(__xludf.DUMMYFUNCTION("""COMPUTED_VALUE"""),272.88)</f>
        <v>272.88</v>
      </c>
      <c r="D41" s="1">
        <f ca="1">IFERROR(__xludf.DUMMYFUNCTION("""COMPUTED_VALUE"""),261.31)</f>
        <v>261.31</v>
      </c>
      <c r="E41" s="1">
        <f ca="1">IFERROR(__xludf.DUMMYFUNCTION("""COMPUTED_VALUE"""),263.19)</f>
        <v>263.19</v>
      </c>
      <c r="F41" s="1">
        <f ca="1">IFERROR(__xludf.DUMMYFUNCTION("""COMPUTED_VALUE"""),2975430)</f>
        <v>2975430</v>
      </c>
    </row>
    <row r="42" spans="1:6" ht="12.6">
      <c r="A42" s="2">
        <f ca="1">IFERROR(__xludf.DUMMYFUNCTION("""COMPUTED_VALUE"""),44622.6666666666)</f>
        <v>44622.666666666599</v>
      </c>
      <c r="B42" s="1">
        <f ca="1">IFERROR(__xludf.DUMMYFUNCTION("""COMPUTED_VALUE"""),265.65)</f>
        <v>265.64999999999998</v>
      </c>
      <c r="C42" s="1">
        <f ca="1">IFERROR(__xludf.DUMMYFUNCTION("""COMPUTED_VALUE"""),268.5)</f>
        <v>268.5</v>
      </c>
      <c r="D42" s="1">
        <f ca="1">IFERROR(__xludf.DUMMYFUNCTION("""COMPUTED_VALUE"""),250.58)</f>
        <v>250.58</v>
      </c>
      <c r="E42" s="1">
        <f ca="1">IFERROR(__xludf.DUMMYFUNCTION("""COMPUTED_VALUE"""),264.69)</f>
        <v>264.69</v>
      </c>
      <c r="F42" s="1">
        <f ca="1">IFERROR(__xludf.DUMMYFUNCTION("""COMPUTED_VALUE"""),13372779)</f>
        <v>13372779</v>
      </c>
    </row>
    <row r="43" spans="1:6" ht="12.6">
      <c r="A43" s="2">
        <f ca="1">IFERROR(__xludf.DUMMYFUNCTION("""COMPUTED_VALUE"""),44623.6666666666)</f>
        <v>44623.666666666599</v>
      </c>
      <c r="B43" s="1">
        <f ca="1">IFERROR(__xludf.DUMMYFUNCTION("""COMPUTED_VALUE"""),223.42)</f>
        <v>223.42</v>
      </c>
      <c r="C43" s="1">
        <f ca="1">IFERROR(__xludf.DUMMYFUNCTION("""COMPUTED_VALUE"""),234)</f>
        <v>234</v>
      </c>
      <c r="D43" s="1">
        <f ca="1">IFERROR(__xludf.DUMMYFUNCTION("""COMPUTED_VALUE"""),215.71)</f>
        <v>215.71</v>
      </c>
      <c r="E43" s="1">
        <f ca="1">IFERROR(__xludf.DUMMYFUNCTION("""COMPUTED_VALUE"""),224.02)</f>
        <v>224.02</v>
      </c>
      <c r="F43" s="1">
        <f ca="1">IFERROR(__xludf.DUMMYFUNCTION("""COMPUTED_VALUE"""),33628779)</f>
        <v>33628779</v>
      </c>
    </row>
    <row r="44" spans="1:6" ht="12.6">
      <c r="A44" s="2">
        <f ca="1">IFERROR(__xludf.DUMMYFUNCTION("""COMPUTED_VALUE"""),44624.6666666666)</f>
        <v>44624.666666666599</v>
      </c>
      <c r="B44" s="1">
        <f ca="1">IFERROR(__xludf.DUMMYFUNCTION("""COMPUTED_VALUE"""),219.27)</f>
        <v>219.27</v>
      </c>
      <c r="C44" s="1">
        <f ca="1">IFERROR(__xludf.DUMMYFUNCTION("""COMPUTED_VALUE"""),224.42)</f>
        <v>224.42</v>
      </c>
      <c r="D44" s="1">
        <f ca="1">IFERROR(__xludf.DUMMYFUNCTION("""COMPUTED_VALUE"""),208.05)</f>
        <v>208.05</v>
      </c>
      <c r="E44" s="1">
        <f ca="1">IFERROR(__xludf.DUMMYFUNCTION("""COMPUTED_VALUE"""),209.65)</f>
        <v>209.65</v>
      </c>
      <c r="F44" s="1">
        <f ca="1">IFERROR(__xludf.DUMMYFUNCTION("""COMPUTED_VALUE"""),10412236)</f>
        <v>10412236</v>
      </c>
    </row>
    <row r="45" spans="1:6" ht="12.6">
      <c r="A45" s="2">
        <f ca="1">IFERROR(__xludf.DUMMYFUNCTION("""COMPUTED_VALUE"""),44627.6666666666)</f>
        <v>44627.666666666599</v>
      </c>
      <c r="B45" s="1">
        <f ca="1">IFERROR(__xludf.DUMMYFUNCTION("""COMPUTED_VALUE"""),215.26)</f>
        <v>215.26</v>
      </c>
      <c r="C45" s="1">
        <f ca="1">IFERROR(__xludf.DUMMYFUNCTION("""COMPUTED_VALUE"""),219.84)</f>
        <v>219.84</v>
      </c>
      <c r="D45" s="1">
        <f ca="1">IFERROR(__xludf.DUMMYFUNCTION("""COMPUTED_VALUE"""),192.41)</f>
        <v>192.41</v>
      </c>
      <c r="E45" s="1">
        <f ca="1">IFERROR(__xludf.DUMMYFUNCTION("""COMPUTED_VALUE"""),193)</f>
        <v>193</v>
      </c>
      <c r="F45" s="1">
        <f ca="1">IFERROR(__xludf.DUMMYFUNCTION("""COMPUTED_VALUE"""),8270380)</f>
        <v>8270380</v>
      </c>
    </row>
    <row r="46" spans="1:6" ht="12.6">
      <c r="A46" s="2">
        <f ca="1">IFERROR(__xludf.DUMMYFUNCTION("""COMPUTED_VALUE"""),44628.6666666666)</f>
        <v>44628.666666666599</v>
      </c>
      <c r="B46" s="1">
        <f ca="1">IFERROR(__xludf.DUMMYFUNCTION("""COMPUTED_VALUE"""),191)</f>
        <v>191</v>
      </c>
      <c r="C46" s="1">
        <f ca="1">IFERROR(__xludf.DUMMYFUNCTION("""COMPUTED_VALUE"""),199.46)</f>
        <v>199.46</v>
      </c>
      <c r="D46" s="1">
        <f ca="1">IFERROR(__xludf.DUMMYFUNCTION("""COMPUTED_VALUE"""),182.74)</f>
        <v>182.74</v>
      </c>
      <c r="E46" s="1">
        <f ca="1">IFERROR(__xludf.DUMMYFUNCTION("""COMPUTED_VALUE"""),191.61)</f>
        <v>191.61</v>
      </c>
      <c r="F46" s="1">
        <f ca="1">IFERROR(__xludf.DUMMYFUNCTION("""COMPUTED_VALUE"""),8598340)</f>
        <v>8598340</v>
      </c>
    </row>
    <row r="47" spans="1:6" ht="12.6">
      <c r="A47" s="2">
        <f ca="1">IFERROR(__xludf.DUMMYFUNCTION("""COMPUTED_VALUE"""),44629.6666666666)</f>
        <v>44629.666666666599</v>
      </c>
      <c r="B47" s="1">
        <f ca="1">IFERROR(__xludf.DUMMYFUNCTION("""COMPUTED_VALUE"""),201.44)</f>
        <v>201.44</v>
      </c>
      <c r="C47" s="1">
        <f ca="1">IFERROR(__xludf.DUMMYFUNCTION("""COMPUTED_VALUE"""),210.11)</f>
        <v>210.11</v>
      </c>
      <c r="D47" s="1">
        <f ca="1">IFERROR(__xludf.DUMMYFUNCTION("""COMPUTED_VALUE"""),196.7)</f>
        <v>196.7</v>
      </c>
      <c r="E47" s="1">
        <f ca="1">IFERROR(__xludf.DUMMYFUNCTION("""COMPUTED_VALUE"""),207.56)</f>
        <v>207.56</v>
      </c>
      <c r="F47" s="1">
        <f ca="1">IFERROR(__xludf.DUMMYFUNCTION("""COMPUTED_VALUE"""),5929835)</f>
        <v>5929835</v>
      </c>
    </row>
    <row r="48" spans="1:6" ht="12.6">
      <c r="A48" s="2">
        <f ca="1">IFERROR(__xludf.DUMMYFUNCTION("""COMPUTED_VALUE"""),44630.6666666666)</f>
        <v>44630.666666666599</v>
      </c>
      <c r="B48" s="1">
        <f ca="1">IFERROR(__xludf.DUMMYFUNCTION("""COMPUTED_VALUE"""),202.97)</f>
        <v>202.97</v>
      </c>
      <c r="C48" s="1">
        <f ca="1">IFERROR(__xludf.DUMMYFUNCTION("""COMPUTED_VALUE"""),202.97)</f>
        <v>202.97</v>
      </c>
      <c r="D48" s="1">
        <f ca="1">IFERROR(__xludf.DUMMYFUNCTION("""COMPUTED_VALUE"""),192.25)</f>
        <v>192.25</v>
      </c>
      <c r="E48" s="1">
        <f ca="1">IFERROR(__xludf.DUMMYFUNCTION("""COMPUTED_VALUE"""),197.85)</f>
        <v>197.85</v>
      </c>
      <c r="F48" s="1">
        <f ca="1">IFERROR(__xludf.DUMMYFUNCTION("""COMPUTED_VALUE"""),4517322)</f>
        <v>4517322</v>
      </c>
    </row>
    <row r="49" spans="1:6" ht="12.6">
      <c r="A49" s="2">
        <f ca="1">IFERROR(__xludf.DUMMYFUNCTION("""COMPUTED_VALUE"""),44631.6666666666)</f>
        <v>44631.666666666599</v>
      </c>
      <c r="B49" s="1">
        <f ca="1">IFERROR(__xludf.DUMMYFUNCTION("""COMPUTED_VALUE"""),200)</f>
        <v>200</v>
      </c>
      <c r="C49" s="1">
        <f ca="1">IFERROR(__xludf.DUMMYFUNCTION("""COMPUTED_VALUE"""),200.01)</f>
        <v>200.01</v>
      </c>
      <c r="D49" s="1">
        <f ca="1">IFERROR(__xludf.DUMMYFUNCTION("""COMPUTED_VALUE"""),179.93)</f>
        <v>179.93</v>
      </c>
      <c r="E49" s="1">
        <f ca="1">IFERROR(__xludf.DUMMYFUNCTION("""COMPUTED_VALUE"""),180.42)</f>
        <v>180.42</v>
      </c>
      <c r="F49" s="1">
        <f ca="1">IFERROR(__xludf.DUMMYFUNCTION("""COMPUTED_VALUE"""),5857237)</f>
        <v>5857237</v>
      </c>
    </row>
    <row r="50" spans="1:6" ht="12.6">
      <c r="A50" s="2">
        <f ca="1">IFERROR(__xludf.DUMMYFUNCTION("""COMPUTED_VALUE"""),44634.6666666666)</f>
        <v>44634.666666666599</v>
      </c>
      <c r="B50" s="1">
        <f ca="1">IFERROR(__xludf.DUMMYFUNCTION("""COMPUTED_VALUE"""),178.86)</f>
        <v>178.86</v>
      </c>
      <c r="C50" s="1">
        <f ca="1">IFERROR(__xludf.DUMMYFUNCTION("""COMPUTED_VALUE"""),181.5)</f>
        <v>181.5</v>
      </c>
      <c r="D50" s="1">
        <f ca="1">IFERROR(__xludf.DUMMYFUNCTION("""COMPUTED_VALUE"""),164.36)</f>
        <v>164.36</v>
      </c>
      <c r="E50" s="1">
        <f ca="1">IFERROR(__xludf.DUMMYFUNCTION("""COMPUTED_VALUE"""),166.75)</f>
        <v>166.75</v>
      </c>
      <c r="F50" s="1">
        <f ca="1">IFERROR(__xludf.DUMMYFUNCTION("""COMPUTED_VALUE"""),7706369)</f>
        <v>7706369</v>
      </c>
    </row>
    <row r="51" spans="1:6" ht="12.6">
      <c r="A51" s="2">
        <f ca="1">IFERROR(__xludf.DUMMYFUNCTION("""COMPUTED_VALUE"""),44635.6666666666)</f>
        <v>44635.666666666599</v>
      </c>
      <c r="B51" s="1">
        <f ca="1">IFERROR(__xludf.DUMMYFUNCTION("""COMPUTED_VALUE"""),168.98)</f>
        <v>168.98</v>
      </c>
      <c r="C51" s="1">
        <f ca="1">IFERROR(__xludf.DUMMYFUNCTION("""COMPUTED_VALUE"""),172)</f>
        <v>172</v>
      </c>
      <c r="D51" s="1">
        <f ca="1">IFERROR(__xludf.DUMMYFUNCTION("""COMPUTED_VALUE"""),164.29)</f>
        <v>164.29</v>
      </c>
      <c r="E51" s="1">
        <f ca="1">IFERROR(__xludf.DUMMYFUNCTION("""COMPUTED_VALUE"""),170.78)</f>
        <v>170.78</v>
      </c>
      <c r="F51" s="1">
        <f ca="1">IFERROR(__xludf.DUMMYFUNCTION("""COMPUTED_VALUE"""),8147709)</f>
        <v>8147709</v>
      </c>
    </row>
    <row r="52" spans="1:6" ht="12.6">
      <c r="A52" s="2">
        <f ca="1">IFERROR(__xludf.DUMMYFUNCTION("""COMPUTED_VALUE"""),44636.6666666666)</f>
        <v>44636.666666666599</v>
      </c>
      <c r="B52" s="1">
        <f ca="1">IFERROR(__xludf.DUMMYFUNCTION("""COMPUTED_VALUE"""),177.02)</f>
        <v>177.02</v>
      </c>
      <c r="C52" s="1">
        <f ca="1">IFERROR(__xludf.DUMMYFUNCTION("""COMPUTED_VALUE"""),198.16)</f>
        <v>198.16</v>
      </c>
      <c r="D52" s="1">
        <f ca="1">IFERROR(__xludf.DUMMYFUNCTION("""COMPUTED_VALUE"""),176.23)</f>
        <v>176.23</v>
      </c>
      <c r="E52" s="1">
        <f ca="1">IFERROR(__xludf.DUMMYFUNCTION("""COMPUTED_VALUE"""),197.84)</f>
        <v>197.84</v>
      </c>
      <c r="F52" s="1">
        <f ca="1">IFERROR(__xludf.DUMMYFUNCTION("""COMPUTED_VALUE"""),13954583)</f>
        <v>13954583</v>
      </c>
    </row>
    <row r="53" spans="1:6" ht="12.6">
      <c r="A53" s="2">
        <f ca="1">IFERROR(__xludf.DUMMYFUNCTION("""COMPUTED_VALUE"""),44637.6666666666)</f>
        <v>44637.666666666599</v>
      </c>
      <c r="B53" s="1">
        <f ca="1">IFERROR(__xludf.DUMMYFUNCTION("""COMPUTED_VALUE"""),195)</f>
        <v>195</v>
      </c>
      <c r="C53" s="1">
        <f ca="1">IFERROR(__xludf.DUMMYFUNCTION("""COMPUTED_VALUE"""),210.76)</f>
        <v>210.76</v>
      </c>
      <c r="D53" s="1">
        <f ca="1">IFERROR(__xludf.DUMMYFUNCTION("""COMPUTED_VALUE"""),191.06)</f>
        <v>191.06</v>
      </c>
      <c r="E53" s="1">
        <f ca="1">IFERROR(__xludf.DUMMYFUNCTION("""COMPUTED_VALUE"""),208.85)</f>
        <v>208.85</v>
      </c>
      <c r="F53" s="1">
        <f ca="1">IFERROR(__xludf.DUMMYFUNCTION("""COMPUTED_VALUE"""),8301081)</f>
        <v>8301081</v>
      </c>
    </row>
    <row r="54" spans="1:6" ht="12.6">
      <c r="A54" s="2">
        <f ca="1">IFERROR(__xludf.DUMMYFUNCTION("""COMPUTED_VALUE"""),44638.6666666666)</f>
        <v>44638.666666666599</v>
      </c>
      <c r="B54" s="1">
        <f ca="1">IFERROR(__xludf.DUMMYFUNCTION("""COMPUTED_VALUE"""),212.08)</f>
        <v>212.08</v>
      </c>
      <c r="C54" s="1">
        <f ca="1">IFERROR(__xludf.DUMMYFUNCTION("""COMPUTED_VALUE"""),225.43)</f>
        <v>225.43</v>
      </c>
      <c r="D54" s="1">
        <f ca="1">IFERROR(__xludf.DUMMYFUNCTION("""COMPUTED_VALUE"""),209.11)</f>
        <v>209.11</v>
      </c>
      <c r="E54" s="1">
        <f ca="1">IFERROR(__xludf.DUMMYFUNCTION("""COMPUTED_VALUE"""),222.85)</f>
        <v>222.85</v>
      </c>
      <c r="F54" s="1">
        <f ca="1">IFERROR(__xludf.DUMMYFUNCTION("""COMPUTED_VALUE"""),10058161)</f>
        <v>10058161</v>
      </c>
    </row>
    <row r="55" spans="1:6" ht="12.6">
      <c r="A55" s="2">
        <f ca="1">IFERROR(__xludf.DUMMYFUNCTION("""COMPUTED_VALUE"""),44641.6666666666)</f>
        <v>44641.666666666599</v>
      </c>
      <c r="B55" s="1">
        <f ca="1">IFERROR(__xludf.DUMMYFUNCTION("""COMPUTED_VALUE"""),217.76)</f>
        <v>217.76</v>
      </c>
      <c r="C55" s="1">
        <f ca="1">IFERROR(__xludf.DUMMYFUNCTION("""COMPUTED_VALUE"""),222.17)</f>
        <v>222.17</v>
      </c>
      <c r="D55" s="1">
        <f ca="1">IFERROR(__xludf.DUMMYFUNCTION("""COMPUTED_VALUE"""),206.06)</f>
        <v>206.06</v>
      </c>
      <c r="E55" s="1">
        <f ca="1">IFERROR(__xludf.DUMMYFUNCTION("""COMPUTED_VALUE"""),212.97)</f>
        <v>212.97</v>
      </c>
      <c r="F55" s="1">
        <f ca="1">IFERROR(__xludf.DUMMYFUNCTION("""COMPUTED_VALUE"""),6802244)</f>
        <v>6802244</v>
      </c>
    </row>
    <row r="56" spans="1:6" ht="12.6">
      <c r="A56" s="2">
        <f ca="1">IFERROR(__xludf.DUMMYFUNCTION("""COMPUTED_VALUE"""),44642.6666666666)</f>
        <v>44642.666666666599</v>
      </c>
      <c r="B56" s="1">
        <f ca="1">IFERROR(__xludf.DUMMYFUNCTION("""COMPUTED_VALUE"""),212.79)</f>
        <v>212.79</v>
      </c>
      <c r="C56" s="1">
        <f ca="1">IFERROR(__xludf.DUMMYFUNCTION("""COMPUTED_VALUE"""),229.34)</f>
        <v>229.34</v>
      </c>
      <c r="D56" s="1">
        <f ca="1">IFERROR(__xludf.DUMMYFUNCTION("""COMPUTED_VALUE"""),210.57)</f>
        <v>210.57</v>
      </c>
      <c r="E56" s="1">
        <f ca="1">IFERROR(__xludf.DUMMYFUNCTION("""COMPUTED_VALUE"""),224.96)</f>
        <v>224.96</v>
      </c>
      <c r="F56" s="1">
        <f ca="1">IFERROR(__xludf.DUMMYFUNCTION("""COMPUTED_VALUE"""),6100404)</f>
        <v>6100404</v>
      </c>
    </row>
    <row r="57" spans="1:6" ht="12.6">
      <c r="A57" s="2">
        <f ca="1">IFERROR(__xludf.DUMMYFUNCTION("""COMPUTED_VALUE"""),44643.6666666666)</f>
        <v>44643.666666666599</v>
      </c>
      <c r="B57" s="1">
        <f ca="1">IFERROR(__xludf.DUMMYFUNCTION("""COMPUTED_VALUE"""),221.18)</f>
        <v>221.18</v>
      </c>
      <c r="C57" s="1">
        <f ca="1">IFERROR(__xludf.DUMMYFUNCTION("""COMPUTED_VALUE"""),228.78)</f>
        <v>228.78</v>
      </c>
      <c r="D57" s="1">
        <f ca="1">IFERROR(__xludf.DUMMYFUNCTION("""COMPUTED_VALUE"""),216.81)</f>
        <v>216.81</v>
      </c>
      <c r="E57" s="1">
        <f ca="1">IFERROR(__xludf.DUMMYFUNCTION("""COMPUTED_VALUE"""),222.24)</f>
        <v>222.24</v>
      </c>
      <c r="F57" s="1">
        <f ca="1">IFERROR(__xludf.DUMMYFUNCTION("""COMPUTED_VALUE"""),4043311)</f>
        <v>4043311</v>
      </c>
    </row>
    <row r="58" spans="1:6" ht="12.6">
      <c r="A58" s="2">
        <f ca="1">IFERROR(__xludf.DUMMYFUNCTION("""COMPUTED_VALUE"""),44644.6666666666)</f>
        <v>44644.666666666599</v>
      </c>
      <c r="B58" s="1">
        <f ca="1">IFERROR(__xludf.DUMMYFUNCTION("""COMPUTED_VALUE"""),222)</f>
        <v>222</v>
      </c>
      <c r="C58" s="1">
        <f ca="1">IFERROR(__xludf.DUMMYFUNCTION("""COMPUTED_VALUE"""),227.71)</f>
        <v>227.71</v>
      </c>
      <c r="D58" s="1">
        <f ca="1">IFERROR(__xludf.DUMMYFUNCTION("""COMPUTED_VALUE"""),210)</f>
        <v>210</v>
      </c>
      <c r="E58" s="1">
        <f ca="1">IFERROR(__xludf.DUMMYFUNCTION("""COMPUTED_VALUE"""),227.57)</f>
        <v>227.57</v>
      </c>
      <c r="F58" s="1">
        <f ca="1">IFERROR(__xludf.DUMMYFUNCTION("""COMPUTED_VALUE"""),4723084)</f>
        <v>4723084</v>
      </c>
    </row>
    <row r="59" spans="1:6" ht="12.6">
      <c r="A59" s="2">
        <f ca="1">IFERROR(__xludf.DUMMYFUNCTION("""COMPUTED_VALUE"""),44645.6666666666)</f>
        <v>44645.666666666599</v>
      </c>
      <c r="B59" s="1">
        <f ca="1">IFERROR(__xludf.DUMMYFUNCTION("""COMPUTED_VALUE"""),227.8)</f>
        <v>227.8</v>
      </c>
      <c r="C59" s="1">
        <f ca="1">IFERROR(__xludf.DUMMYFUNCTION("""COMPUTED_VALUE"""),231.77)</f>
        <v>231.77</v>
      </c>
      <c r="D59" s="1">
        <f ca="1">IFERROR(__xludf.DUMMYFUNCTION("""COMPUTED_VALUE"""),216.23)</f>
        <v>216.23</v>
      </c>
      <c r="E59" s="1">
        <f ca="1">IFERROR(__xludf.DUMMYFUNCTION("""COMPUTED_VALUE"""),219.81)</f>
        <v>219.81</v>
      </c>
      <c r="F59" s="1">
        <f ca="1">IFERROR(__xludf.DUMMYFUNCTION("""COMPUTED_VALUE"""),4538904)</f>
        <v>4538904</v>
      </c>
    </row>
    <row r="60" spans="1:6" ht="12.6">
      <c r="A60" s="2">
        <f ca="1">IFERROR(__xludf.DUMMYFUNCTION("""COMPUTED_VALUE"""),44648.6666666666)</f>
        <v>44648.666666666599</v>
      </c>
      <c r="B60" s="1">
        <f ca="1">IFERROR(__xludf.DUMMYFUNCTION("""COMPUTED_VALUE"""),220)</f>
        <v>220</v>
      </c>
      <c r="C60" s="1">
        <f ca="1">IFERROR(__xludf.DUMMYFUNCTION("""COMPUTED_VALUE"""),238.54)</f>
        <v>238.54</v>
      </c>
      <c r="D60" s="1">
        <f ca="1">IFERROR(__xludf.DUMMYFUNCTION("""COMPUTED_VALUE"""),219.01)</f>
        <v>219.01</v>
      </c>
      <c r="E60" s="1">
        <f ca="1">IFERROR(__xludf.DUMMYFUNCTION("""COMPUTED_VALUE"""),235.89)</f>
        <v>235.89</v>
      </c>
      <c r="F60" s="1">
        <f ca="1">IFERROR(__xludf.DUMMYFUNCTION("""COMPUTED_VALUE"""),7485537)</f>
        <v>7485537</v>
      </c>
    </row>
    <row r="61" spans="1:6" ht="12.6">
      <c r="A61" s="2">
        <f ca="1">IFERROR(__xludf.DUMMYFUNCTION("""COMPUTED_VALUE"""),44649.6666666666)</f>
        <v>44649.666666666599</v>
      </c>
      <c r="B61" s="1">
        <f ca="1">IFERROR(__xludf.DUMMYFUNCTION("""COMPUTED_VALUE"""),240)</f>
        <v>240</v>
      </c>
      <c r="C61" s="1">
        <f ca="1">IFERROR(__xludf.DUMMYFUNCTION("""COMPUTED_VALUE"""),246.52)</f>
        <v>246.52</v>
      </c>
      <c r="D61" s="1">
        <f ca="1">IFERROR(__xludf.DUMMYFUNCTION("""COMPUTED_VALUE"""),236)</f>
        <v>236</v>
      </c>
      <c r="E61" s="1">
        <f ca="1">IFERROR(__xludf.DUMMYFUNCTION("""COMPUTED_VALUE"""),239.67)</f>
        <v>239.67</v>
      </c>
      <c r="F61" s="1">
        <f ca="1">IFERROR(__xludf.DUMMYFUNCTION("""COMPUTED_VALUE"""),6886226)</f>
        <v>6886226</v>
      </c>
    </row>
    <row r="62" spans="1:6" ht="12.6">
      <c r="A62" s="2">
        <f ca="1">IFERROR(__xludf.DUMMYFUNCTION("""COMPUTED_VALUE"""),44650.6666666666)</f>
        <v>44650.666666666599</v>
      </c>
      <c r="B62" s="1">
        <f ca="1">IFERROR(__xludf.DUMMYFUNCTION("""COMPUTED_VALUE"""),236.01)</f>
        <v>236.01</v>
      </c>
      <c r="C62" s="1">
        <f ca="1">IFERROR(__xludf.DUMMYFUNCTION("""COMPUTED_VALUE"""),244.39)</f>
        <v>244.39</v>
      </c>
      <c r="D62" s="1">
        <f ca="1">IFERROR(__xludf.DUMMYFUNCTION("""COMPUTED_VALUE"""),228.54)</f>
        <v>228.54</v>
      </c>
      <c r="E62" s="1">
        <f ca="1">IFERROR(__xludf.DUMMYFUNCTION("""COMPUTED_VALUE"""),231.63)</f>
        <v>231.63</v>
      </c>
      <c r="F62" s="1">
        <f ca="1">IFERROR(__xludf.DUMMYFUNCTION("""COMPUTED_VALUE"""),5388589)</f>
        <v>5388589</v>
      </c>
    </row>
    <row r="63" spans="1:6" ht="12.6">
      <c r="A63" s="2">
        <f ca="1">IFERROR(__xludf.DUMMYFUNCTION("""COMPUTED_VALUE"""),44651.6666666666)</f>
        <v>44651.666666666599</v>
      </c>
      <c r="B63" s="1">
        <f ca="1">IFERROR(__xludf.DUMMYFUNCTION("""COMPUTED_VALUE"""),230.99)</f>
        <v>230.99</v>
      </c>
      <c r="C63" s="1">
        <f ca="1">IFERROR(__xludf.DUMMYFUNCTION("""COMPUTED_VALUE"""),237.3)</f>
        <v>237.3</v>
      </c>
      <c r="D63" s="1">
        <f ca="1">IFERROR(__xludf.DUMMYFUNCTION("""COMPUTED_VALUE"""),227)</f>
        <v>227</v>
      </c>
      <c r="E63" s="1">
        <f ca="1">IFERROR(__xludf.DUMMYFUNCTION("""COMPUTED_VALUE"""),229.13)</f>
        <v>229.13</v>
      </c>
      <c r="F63" s="1">
        <f ca="1">IFERROR(__xludf.DUMMYFUNCTION("""COMPUTED_VALUE"""),3842281)</f>
        <v>3842281</v>
      </c>
    </row>
    <row r="64" spans="1:6" ht="12.6">
      <c r="A64" s="2">
        <f ca="1">IFERROR(__xludf.DUMMYFUNCTION("""COMPUTED_VALUE"""),44652.6666666666)</f>
        <v>44652.666666666599</v>
      </c>
      <c r="B64" s="1">
        <f ca="1">IFERROR(__xludf.DUMMYFUNCTION("""COMPUTED_VALUE"""),229.31)</f>
        <v>229.31</v>
      </c>
      <c r="C64" s="1">
        <f ca="1">IFERROR(__xludf.DUMMYFUNCTION("""COMPUTED_VALUE"""),244.05)</f>
        <v>244.05</v>
      </c>
      <c r="D64" s="1">
        <f ca="1">IFERROR(__xludf.DUMMYFUNCTION("""COMPUTED_VALUE"""),228.47)</f>
        <v>228.47</v>
      </c>
      <c r="E64" s="1">
        <f ca="1">IFERROR(__xludf.DUMMYFUNCTION("""COMPUTED_VALUE"""),234.81)</f>
        <v>234.81</v>
      </c>
      <c r="F64" s="1">
        <f ca="1">IFERROR(__xludf.DUMMYFUNCTION("""COMPUTED_VALUE"""),5847447)</f>
        <v>5847447</v>
      </c>
    </row>
    <row r="65" spans="1:6" ht="12.6">
      <c r="A65" s="2">
        <f ca="1">IFERROR(__xludf.DUMMYFUNCTION("""COMPUTED_VALUE"""),44655.6666666666)</f>
        <v>44655.666666666599</v>
      </c>
      <c r="B65" s="1">
        <f ca="1">IFERROR(__xludf.DUMMYFUNCTION("""COMPUTED_VALUE"""),235.38)</f>
        <v>235.38</v>
      </c>
      <c r="C65" s="1">
        <f ca="1">IFERROR(__xludf.DUMMYFUNCTION("""COMPUTED_VALUE"""),243.33)</f>
        <v>243.33</v>
      </c>
      <c r="D65" s="1">
        <f ca="1">IFERROR(__xludf.DUMMYFUNCTION("""COMPUTED_VALUE"""),234.67)</f>
        <v>234.67</v>
      </c>
      <c r="E65" s="1">
        <f ca="1">IFERROR(__xludf.DUMMYFUNCTION("""COMPUTED_VALUE"""),241.23)</f>
        <v>241.23</v>
      </c>
      <c r="F65" s="1">
        <f ca="1">IFERROR(__xludf.DUMMYFUNCTION("""COMPUTED_VALUE"""),3384473)</f>
        <v>3384473</v>
      </c>
    </row>
    <row r="66" spans="1:6" ht="12.6">
      <c r="A66" s="2">
        <f ca="1">IFERROR(__xludf.DUMMYFUNCTION("""COMPUTED_VALUE"""),44656.6666666666)</f>
        <v>44656.666666666599</v>
      </c>
      <c r="B66" s="1">
        <f ca="1">IFERROR(__xludf.DUMMYFUNCTION("""COMPUTED_VALUE"""),239.27)</f>
        <v>239.27</v>
      </c>
      <c r="C66" s="1">
        <f ca="1">IFERROR(__xludf.DUMMYFUNCTION("""COMPUTED_VALUE"""),240.91)</f>
        <v>240.91</v>
      </c>
      <c r="D66" s="1">
        <f ca="1">IFERROR(__xludf.DUMMYFUNCTION("""COMPUTED_VALUE"""),224.1)</f>
        <v>224.1</v>
      </c>
      <c r="E66" s="1">
        <f ca="1">IFERROR(__xludf.DUMMYFUNCTION("""COMPUTED_VALUE"""),227.09)</f>
        <v>227.09</v>
      </c>
      <c r="F66" s="1">
        <f ca="1">IFERROR(__xludf.DUMMYFUNCTION("""COMPUTED_VALUE"""),4820408)</f>
        <v>4820408</v>
      </c>
    </row>
    <row r="67" spans="1:6" ht="12.6">
      <c r="A67" s="2">
        <f ca="1">IFERROR(__xludf.DUMMYFUNCTION("""COMPUTED_VALUE"""),44657.6666666666)</f>
        <v>44657.666666666599</v>
      </c>
      <c r="B67" s="1">
        <f ca="1">IFERROR(__xludf.DUMMYFUNCTION("""COMPUTED_VALUE"""),221.25)</f>
        <v>221.25</v>
      </c>
      <c r="C67" s="1">
        <f ca="1">IFERROR(__xludf.DUMMYFUNCTION("""COMPUTED_VALUE"""),221.39)</f>
        <v>221.39</v>
      </c>
      <c r="D67" s="1">
        <f ca="1">IFERROR(__xludf.DUMMYFUNCTION("""COMPUTED_VALUE"""),205.89)</f>
        <v>205.89</v>
      </c>
      <c r="E67" s="1">
        <f ca="1">IFERROR(__xludf.DUMMYFUNCTION("""COMPUTED_VALUE"""),212.09)</f>
        <v>212.09</v>
      </c>
      <c r="F67" s="1">
        <f ca="1">IFERROR(__xludf.DUMMYFUNCTION("""COMPUTED_VALUE"""),7872119)</f>
        <v>7872119</v>
      </c>
    </row>
    <row r="68" spans="1:6" ht="12.6">
      <c r="A68" s="2">
        <f ca="1">IFERROR(__xludf.DUMMYFUNCTION("""COMPUTED_VALUE"""),44658.6666666666)</f>
        <v>44658.666666666599</v>
      </c>
      <c r="B68" s="1">
        <f ca="1">IFERROR(__xludf.DUMMYFUNCTION("""COMPUTED_VALUE"""),212.4)</f>
        <v>212.4</v>
      </c>
      <c r="C68" s="1">
        <f ca="1">IFERROR(__xludf.DUMMYFUNCTION("""COMPUTED_VALUE"""),217.3)</f>
        <v>217.3</v>
      </c>
      <c r="D68" s="1">
        <f ca="1">IFERROR(__xludf.DUMMYFUNCTION("""COMPUTED_VALUE"""),203.08)</f>
        <v>203.08</v>
      </c>
      <c r="E68" s="1">
        <f ca="1">IFERROR(__xludf.DUMMYFUNCTION("""COMPUTED_VALUE"""),213.88)</f>
        <v>213.88</v>
      </c>
      <c r="F68" s="1">
        <f ca="1">IFERROR(__xludf.DUMMYFUNCTION("""COMPUTED_VALUE"""),6089231)</f>
        <v>6089231</v>
      </c>
    </row>
    <row r="69" spans="1:6" ht="12.6">
      <c r="A69" s="2">
        <f ca="1">IFERROR(__xludf.DUMMYFUNCTION("""COMPUTED_VALUE"""),44659.6666666666)</f>
        <v>44659.666666666599</v>
      </c>
      <c r="B69" s="1">
        <f ca="1">IFERROR(__xludf.DUMMYFUNCTION("""COMPUTED_VALUE"""),209.84)</f>
        <v>209.84</v>
      </c>
      <c r="C69" s="1">
        <f ca="1">IFERROR(__xludf.DUMMYFUNCTION("""COMPUTED_VALUE"""),213.67)</f>
        <v>213.67</v>
      </c>
      <c r="D69" s="1">
        <f ca="1">IFERROR(__xludf.DUMMYFUNCTION("""COMPUTED_VALUE"""),206.54)</f>
        <v>206.54</v>
      </c>
      <c r="E69" s="1">
        <f ca="1">IFERROR(__xludf.DUMMYFUNCTION("""COMPUTED_VALUE"""),208.34)</f>
        <v>208.34</v>
      </c>
      <c r="F69" s="1">
        <f ca="1">IFERROR(__xludf.DUMMYFUNCTION("""COMPUTED_VALUE"""),3947517)</f>
        <v>3947517</v>
      </c>
    </row>
    <row r="70" spans="1:6" ht="12.6">
      <c r="A70" s="2">
        <f ca="1">IFERROR(__xludf.DUMMYFUNCTION("""COMPUTED_VALUE"""),44662.6666666666)</f>
        <v>44662.666666666599</v>
      </c>
      <c r="B70" s="1">
        <f ca="1">IFERROR(__xludf.DUMMYFUNCTION("""COMPUTED_VALUE"""),207.4)</f>
        <v>207.4</v>
      </c>
      <c r="C70" s="1">
        <f ca="1">IFERROR(__xludf.DUMMYFUNCTION("""COMPUTED_VALUE"""),214.71)</f>
        <v>214.71</v>
      </c>
      <c r="D70" s="1">
        <f ca="1">IFERROR(__xludf.DUMMYFUNCTION("""COMPUTED_VALUE"""),201.63)</f>
        <v>201.63</v>
      </c>
      <c r="E70" s="1">
        <f ca="1">IFERROR(__xludf.DUMMYFUNCTION("""COMPUTED_VALUE"""),208.53)</f>
        <v>208.53</v>
      </c>
      <c r="F70" s="1">
        <f ca="1">IFERROR(__xludf.DUMMYFUNCTION("""COMPUTED_VALUE"""),4482179)</f>
        <v>4482179</v>
      </c>
    </row>
    <row r="71" spans="1:6" ht="12.6">
      <c r="A71" s="2">
        <f ca="1">IFERROR(__xludf.DUMMYFUNCTION("""COMPUTED_VALUE"""),44663.6666666666)</f>
        <v>44663.666666666599</v>
      </c>
      <c r="B71" s="1">
        <f ca="1">IFERROR(__xludf.DUMMYFUNCTION("""COMPUTED_VALUE"""),213.13)</f>
        <v>213.13</v>
      </c>
      <c r="C71" s="1">
        <f ca="1">IFERROR(__xludf.DUMMYFUNCTION("""COMPUTED_VALUE"""),222)</f>
        <v>222</v>
      </c>
      <c r="D71" s="1">
        <f ca="1">IFERROR(__xludf.DUMMYFUNCTION("""COMPUTED_VALUE"""),209.72)</f>
        <v>209.72</v>
      </c>
      <c r="E71" s="1">
        <f ca="1">IFERROR(__xludf.DUMMYFUNCTION("""COMPUTED_VALUE"""),210.94)</f>
        <v>210.94</v>
      </c>
      <c r="F71" s="1">
        <f ca="1">IFERROR(__xludf.DUMMYFUNCTION("""COMPUTED_VALUE"""),6790304)</f>
        <v>6790304</v>
      </c>
    </row>
    <row r="72" spans="1:6" ht="12.6">
      <c r="A72" s="2">
        <f ca="1">IFERROR(__xludf.DUMMYFUNCTION("""COMPUTED_VALUE"""),44664.6666666666)</f>
        <v>44664.666666666599</v>
      </c>
      <c r="B72" s="1">
        <f ca="1">IFERROR(__xludf.DUMMYFUNCTION("""COMPUTED_VALUE"""),209.97)</f>
        <v>209.97</v>
      </c>
      <c r="C72" s="1">
        <f ca="1">IFERROR(__xludf.DUMMYFUNCTION("""COMPUTED_VALUE"""),216.5)</f>
        <v>216.5</v>
      </c>
      <c r="D72" s="1">
        <f ca="1">IFERROR(__xludf.DUMMYFUNCTION("""COMPUTED_VALUE"""),209.79)</f>
        <v>209.79</v>
      </c>
      <c r="E72" s="1">
        <f ca="1">IFERROR(__xludf.DUMMYFUNCTION("""COMPUTED_VALUE"""),214.41)</f>
        <v>214.41</v>
      </c>
      <c r="F72" s="1">
        <f ca="1">IFERROR(__xludf.DUMMYFUNCTION("""COMPUTED_VALUE"""),3393849)</f>
        <v>3393849</v>
      </c>
    </row>
    <row r="73" spans="1:6" ht="12.6">
      <c r="A73" s="2">
        <f ca="1">IFERROR(__xludf.DUMMYFUNCTION("""COMPUTED_VALUE"""),44665.6666666666)</f>
        <v>44665.666666666599</v>
      </c>
      <c r="B73" s="1">
        <f ca="1">IFERROR(__xludf.DUMMYFUNCTION("""COMPUTED_VALUE"""),214.98)</f>
        <v>214.98</v>
      </c>
      <c r="C73" s="1">
        <f ca="1">IFERROR(__xludf.DUMMYFUNCTION("""COMPUTED_VALUE"""),215)</f>
        <v>215</v>
      </c>
      <c r="D73" s="1">
        <f ca="1">IFERROR(__xludf.DUMMYFUNCTION("""COMPUTED_VALUE"""),198.56)</f>
        <v>198.56</v>
      </c>
      <c r="E73" s="1">
        <f ca="1">IFERROR(__xludf.DUMMYFUNCTION("""COMPUTED_VALUE"""),198.63)</f>
        <v>198.63</v>
      </c>
      <c r="F73" s="1">
        <f ca="1">IFERROR(__xludf.DUMMYFUNCTION("""COMPUTED_VALUE"""),6470090)</f>
        <v>6470090</v>
      </c>
    </row>
    <row r="74" spans="1:6" ht="12.6">
      <c r="A74" s="2">
        <f ca="1">IFERROR(__xludf.DUMMYFUNCTION("""COMPUTED_VALUE"""),44669.6666666666)</f>
        <v>44669.666666666599</v>
      </c>
      <c r="B74" s="1">
        <f ca="1">IFERROR(__xludf.DUMMYFUNCTION("""COMPUTED_VALUE"""),198.21)</f>
        <v>198.21</v>
      </c>
      <c r="C74" s="1">
        <f ca="1">IFERROR(__xludf.DUMMYFUNCTION("""COMPUTED_VALUE"""),199.49)</f>
        <v>199.49</v>
      </c>
      <c r="D74" s="1">
        <f ca="1">IFERROR(__xludf.DUMMYFUNCTION("""COMPUTED_VALUE"""),189.88)</f>
        <v>189.88</v>
      </c>
      <c r="E74" s="1">
        <f ca="1">IFERROR(__xludf.DUMMYFUNCTION("""COMPUTED_VALUE"""),192.39)</f>
        <v>192.39</v>
      </c>
      <c r="F74" s="1">
        <f ca="1">IFERROR(__xludf.DUMMYFUNCTION("""COMPUTED_VALUE"""),4037376)</f>
        <v>4037376</v>
      </c>
    </row>
    <row r="75" spans="1:6" ht="12.6">
      <c r="A75" s="2">
        <f ca="1">IFERROR(__xludf.DUMMYFUNCTION("""COMPUTED_VALUE"""),44670.6666666666)</f>
        <v>44670.666666666599</v>
      </c>
      <c r="B75" s="1">
        <f ca="1">IFERROR(__xludf.DUMMYFUNCTION("""COMPUTED_VALUE"""),193.84)</f>
        <v>193.84</v>
      </c>
      <c r="C75" s="1">
        <f ca="1">IFERROR(__xludf.DUMMYFUNCTION("""COMPUTED_VALUE"""),202.49)</f>
        <v>202.49</v>
      </c>
      <c r="D75" s="1">
        <f ca="1">IFERROR(__xludf.DUMMYFUNCTION("""COMPUTED_VALUE"""),190.1)</f>
        <v>190.1</v>
      </c>
      <c r="E75" s="1">
        <f ca="1">IFERROR(__xludf.DUMMYFUNCTION("""COMPUTED_VALUE"""),197.43)</f>
        <v>197.43</v>
      </c>
      <c r="F75" s="1">
        <f ca="1">IFERROR(__xludf.DUMMYFUNCTION("""COMPUTED_VALUE"""),4517427)</f>
        <v>4517427</v>
      </c>
    </row>
    <row r="76" spans="1:6" ht="12.6">
      <c r="A76" s="2">
        <f ca="1">IFERROR(__xludf.DUMMYFUNCTION("""COMPUTED_VALUE"""),44671.6666666666)</f>
        <v>44671.666666666599</v>
      </c>
      <c r="B76" s="1">
        <f ca="1">IFERROR(__xludf.DUMMYFUNCTION("""COMPUTED_VALUE"""),199.49)</f>
        <v>199.49</v>
      </c>
      <c r="C76" s="1">
        <f ca="1">IFERROR(__xludf.DUMMYFUNCTION("""COMPUTED_VALUE"""),199.49)</f>
        <v>199.49</v>
      </c>
      <c r="D76" s="1">
        <f ca="1">IFERROR(__xludf.DUMMYFUNCTION("""COMPUTED_VALUE"""),185.39)</f>
        <v>185.39</v>
      </c>
      <c r="E76" s="1">
        <f ca="1">IFERROR(__xludf.DUMMYFUNCTION("""COMPUTED_VALUE"""),185.98)</f>
        <v>185.98</v>
      </c>
      <c r="F76" s="1">
        <f ca="1">IFERROR(__xludf.DUMMYFUNCTION("""COMPUTED_VALUE"""),4713089)</f>
        <v>4713089</v>
      </c>
    </row>
    <row r="77" spans="1:6" ht="12.6">
      <c r="A77" s="2">
        <f ca="1">IFERROR(__xludf.DUMMYFUNCTION("""COMPUTED_VALUE"""),44672.6666666666)</f>
        <v>44672.666666666599</v>
      </c>
      <c r="B77" s="1">
        <f ca="1">IFERROR(__xludf.DUMMYFUNCTION("""COMPUTED_VALUE"""),188.93)</f>
        <v>188.93</v>
      </c>
      <c r="C77" s="1">
        <f ca="1">IFERROR(__xludf.DUMMYFUNCTION("""COMPUTED_VALUE"""),193.41)</f>
        <v>193.41</v>
      </c>
      <c r="D77" s="1">
        <f ca="1">IFERROR(__xludf.DUMMYFUNCTION("""COMPUTED_VALUE"""),174.68)</f>
        <v>174.68</v>
      </c>
      <c r="E77" s="1">
        <f ca="1">IFERROR(__xludf.DUMMYFUNCTION("""COMPUTED_VALUE"""),175.14)</f>
        <v>175.14</v>
      </c>
      <c r="F77" s="1">
        <f ca="1">IFERROR(__xludf.DUMMYFUNCTION("""COMPUTED_VALUE"""),5417298)</f>
        <v>5417298</v>
      </c>
    </row>
    <row r="78" spans="1:6" ht="12.6">
      <c r="A78" s="2">
        <f ca="1">IFERROR(__xludf.DUMMYFUNCTION("""COMPUTED_VALUE"""),44673.6666666666)</f>
        <v>44673.666666666599</v>
      </c>
      <c r="B78" s="1">
        <f ca="1">IFERROR(__xludf.DUMMYFUNCTION("""COMPUTED_VALUE"""),178.78)</f>
        <v>178.78</v>
      </c>
      <c r="C78" s="1">
        <f ca="1">IFERROR(__xludf.DUMMYFUNCTION("""COMPUTED_VALUE"""),181.18)</f>
        <v>181.18</v>
      </c>
      <c r="D78" s="1">
        <f ca="1">IFERROR(__xludf.DUMMYFUNCTION("""COMPUTED_VALUE"""),172.76)</f>
        <v>172.76</v>
      </c>
      <c r="E78" s="1">
        <f ca="1">IFERROR(__xludf.DUMMYFUNCTION("""COMPUTED_VALUE"""),173.8)</f>
        <v>173.8</v>
      </c>
      <c r="F78" s="1">
        <f ca="1">IFERROR(__xludf.DUMMYFUNCTION("""COMPUTED_VALUE"""),3986552)</f>
        <v>3986552</v>
      </c>
    </row>
    <row r="79" spans="1:6" ht="12.6">
      <c r="A79" s="2">
        <f ca="1">IFERROR(__xludf.DUMMYFUNCTION("""COMPUTED_VALUE"""),44676.6666666666)</f>
        <v>44676.666666666599</v>
      </c>
      <c r="B79" s="1">
        <f ca="1">IFERROR(__xludf.DUMMYFUNCTION("""COMPUTED_VALUE"""),176)</f>
        <v>176</v>
      </c>
      <c r="C79" s="1">
        <f ca="1">IFERROR(__xludf.DUMMYFUNCTION("""COMPUTED_VALUE"""),190.79)</f>
        <v>190.79</v>
      </c>
      <c r="D79" s="1">
        <f ca="1">IFERROR(__xludf.DUMMYFUNCTION("""COMPUTED_VALUE"""),175.2)</f>
        <v>175.2</v>
      </c>
      <c r="E79" s="1">
        <f ca="1">IFERROR(__xludf.DUMMYFUNCTION("""COMPUTED_VALUE"""),186.94)</f>
        <v>186.94</v>
      </c>
      <c r="F79" s="1">
        <f ca="1">IFERROR(__xludf.DUMMYFUNCTION("""COMPUTED_VALUE"""),7585593)</f>
        <v>7585593</v>
      </c>
    </row>
    <row r="80" spans="1:6" ht="12.6">
      <c r="A80" s="2">
        <f ca="1">IFERROR(__xludf.DUMMYFUNCTION("""COMPUTED_VALUE"""),44677.6666666666)</f>
        <v>44677.666666666599</v>
      </c>
      <c r="B80" s="1">
        <f ca="1">IFERROR(__xludf.DUMMYFUNCTION("""COMPUTED_VALUE"""),185.42)</f>
        <v>185.42</v>
      </c>
      <c r="C80" s="1">
        <f ca="1">IFERROR(__xludf.DUMMYFUNCTION("""COMPUTED_VALUE"""),186.85)</f>
        <v>186.85</v>
      </c>
      <c r="D80" s="1">
        <f ca="1">IFERROR(__xludf.DUMMYFUNCTION("""COMPUTED_VALUE"""),176.79)</f>
        <v>176.79</v>
      </c>
      <c r="E80" s="1">
        <f ca="1">IFERROR(__xludf.DUMMYFUNCTION("""COMPUTED_VALUE"""),178.76)</f>
        <v>178.76</v>
      </c>
      <c r="F80" s="1">
        <f ca="1">IFERROR(__xludf.DUMMYFUNCTION("""COMPUTED_VALUE"""),5078108)</f>
        <v>5078108</v>
      </c>
    </row>
    <row r="81" spans="1:6" ht="12.6">
      <c r="A81" s="2">
        <f ca="1">IFERROR(__xludf.DUMMYFUNCTION("""COMPUTED_VALUE"""),44678.6666666666)</f>
        <v>44678.666666666599</v>
      </c>
      <c r="B81" s="1">
        <f ca="1">IFERROR(__xludf.DUMMYFUNCTION("""COMPUTED_VALUE"""),183.65)</f>
        <v>183.65</v>
      </c>
      <c r="C81" s="1">
        <f ca="1">IFERROR(__xludf.DUMMYFUNCTION("""COMPUTED_VALUE"""),188.63)</f>
        <v>188.63</v>
      </c>
      <c r="D81" s="1">
        <f ca="1">IFERROR(__xludf.DUMMYFUNCTION("""COMPUTED_VALUE"""),173.8)</f>
        <v>173.8</v>
      </c>
      <c r="E81" s="1">
        <f ca="1">IFERROR(__xludf.DUMMYFUNCTION("""COMPUTED_VALUE"""),174.95)</f>
        <v>174.95</v>
      </c>
      <c r="F81" s="1">
        <f ca="1">IFERROR(__xludf.DUMMYFUNCTION("""COMPUTED_VALUE"""),5688333)</f>
        <v>5688333</v>
      </c>
    </row>
    <row r="82" spans="1:6" ht="12.6">
      <c r="A82" s="2">
        <f ca="1">IFERROR(__xludf.DUMMYFUNCTION("""COMPUTED_VALUE"""),44679.6666666666)</f>
        <v>44679.666666666599</v>
      </c>
      <c r="B82" s="1">
        <f ca="1">IFERROR(__xludf.DUMMYFUNCTION("""COMPUTED_VALUE"""),179)</f>
        <v>179</v>
      </c>
      <c r="C82" s="1">
        <f ca="1">IFERROR(__xludf.DUMMYFUNCTION("""COMPUTED_VALUE"""),187.66)</f>
        <v>187.66</v>
      </c>
      <c r="D82" s="1">
        <f ca="1">IFERROR(__xludf.DUMMYFUNCTION("""COMPUTED_VALUE"""),172.35)</f>
        <v>172.35</v>
      </c>
      <c r="E82" s="1">
        <f ca="1">IFERROR(__xludf.DUMMYFUNCTION("""COMPUTED_VALUE"""),185.71)</f>
        <v>185.71</v>
      </c>
      <c r="F82" s="1">
        <f ca="1">IFERROR(__xludf.DUMMYFUNCTION("""COMPUTED_VALUE"""),6166119)</f>
        <v>6166119</v>
      </c>
    </row>
    <row r="83" spans="1:6" ht="12.6">
      <c r="A83" s="2">
        <f ca="1">IFERROR(__xludf.DUMMYFUNCTION("""COMPUTED_VALUE"""),44680.6666666666)</f>
        <v>44680.666666666599</v>
      </c>
      <c r="B83" s="1">
        <f ca="1">IFERROR(__xludf.DUMMYFUNCTION("""COMPUTED_VALUE"""),187.45)</f>
        <v>187.45</v>
      </c>
      <c r="C83" s="1">
        <f ca="1">IFERROR(__xludf.DUMMYFUNCTION("""COMPUTED_VALUE"""),195.84)</f>
        <v>195.84</v>
      </c>
      <c r="D83" s="1">
        <f ca="1">IFERROR(__xludf.DUMMYFUNCTION("""COMPUTED_VALUE"""),171.13)</f>
        <v>171.13</v>
      </c>
      <c r="E83" s="1">
        <f ca="1">IFERROR(__xludf.DUMMYFUNCTION("""COMPUTED_VALUE"""),171.44)</f>
        <v>171.44</v>
      </c>
      <c r="F83" s="1">
        <f ca="1">IFERROR(__xludf.DUMMYFUNCTION("""COMPUTED_VALUE"""),6805143)</f>
        <v>6805143</v>
      </c>
    </row>
    <row r="84" spans="1:6" ht="12.6">
      <c r="A84" s="2">
        <f ca="1">IFERROR(__xludf.DUMMYFUNCTION("""COMPUTED_VALUE"""),44683.6666666666)</f>
        <v>44683.666666666599</v>
      </c>
      <c r="B84" s="1">
        <f ca="1">IFERROR(__xludf.DUMMYFUNCTION("""COMPUTED_VALUE"""),170.31)</f>
        <v>170.31</v>
      </c>
      <c r="C84" s="1">
        <f ca="1">IFERROR(__xludf.DUMMYFUNCTION("""COMPUTED_VALUE"""),177.98)</f>
        <v>177.98</v>
      </c>
      <c r="D84" s="1">
        <f ca="1">IFERROR(__xludf.DUMMYFUNCTION("""COMPUTED_VALUE"""),167.14)</f>
        <v>167.14</v>
      </c>
      <c r="E84" s="1">
        <f ca="1">IFERROR(__xludf.DUMMYFUNCTION("""COMPUTED_VALUE"""),177.76)</f>
        <v>177.76</v>
      </c>
      <c r="F84" s="1">
        <f ca="1">IFERROR(__xludf.DUMMYFUNCTION("""COMPUTED_VALUE"""),4614623)</f>
        <v>4614623</v>
      </c>
    </row>
    <row r="85" spans="1:6" ht="12.6">
      <c r="A85" s="2">
        <f ca="1">IFERROR(__xludf.DUMMYFUNCTION("""COMPUTED_VALUE"""),44684.6666666666)</f>
        <v>44684.666666666599</v>
      </c>
      <c r="B85" s="1">
        <f ca="1">IFERROR(__xludf.DUMMYFUNCTION("""COMPUTED_VALUE"""),176.6)</f>
        <v>176.6</v>
      </c>
      <c r="C85" s="1">
        <f ca="1">IFERROR(__xludf.DUMMYFUNCTION("""COMPUTED_VALUE"""),181.09)</f>
        <v>181.09</v>
      </c>
      <c r="D85" s="1">
        <f ca="1">IFERROR(__xludf.DUMMYFUNCTION("""COMPUTED_VALUE"""),172.18)</f>
        <v>172.18</v>
      </c>
      <c r="E85" s="1">
        <f ca="1">IFERROR(__xludf.DUMMYFUNCTION("""COMPUTED_VALUE"""),176.42)</f>
        <v>176.42</v>
      </c>
      <c r="F85" s="1">
        <f ca="1">IFERROR(__xludf.DUMMYFUNCTION("""COMPUTED_VALUE"""),4610042)</f>
        <v>4610042</v>
      </c>
    </row>
    <row r="86" spans="1:6" ht="12.6">
      <c r="A86" s="2">
        <f ca="1">IFERROR(__xludf.DUMMYFUNCTION("""COMPUTED_VALUE"""),44685.6666666666)</f>
        <v>44685.666666666599</v>
      </c>
      <c r="B86" s="1">
        <f ca="1">IFERROR(__xludf.DUMMYFUNCTION("""COMPUTED_VALUE"""),178.75)</f>
        <v>178.75</v>
      </c>
      <c r="C86" s="1">
        <f ca="1">IFERROR(__xludf.DUMMYFUNCTION("""COMPUTED_VALUE"""),187.23)</f>
        <v>187.23</v>
      </c>
      <c r="D86" s="1">
        <f ca="1">IFERROR(__xludf.DUMMYFUNCTION("""COMPUTED_VALUE"""),166.67)</f>
        <v>166.67</v>
      </c>
      <c r="E86" s="1">
        <f ca="1">IFERROR(__xludf.DUMMYFUNCTION("""COMPUTED_VALUE"""),186)</f>
        <v>186</v>
      </c>
      <c r="F86" s="1">
        <f ca="1">IFERROR(__xludf.DUMMYFUNCTION("""COMPUTED_VALUE"""),6957355)</f>
        <v>6957355</v>
      </c>
    </row>
    <row r="87" spans="1:6" ht="12.6">
      <c r="A87" s="2">
        <f ca="1">IFERROR(__xludf.DUMMYFUNCTION("""COMPUTED_VALUE"""),44686.6666666666)</f>
        <v>44686.666666666599</v>
      </c>
      <c r="B87" s="1">
        <f ca="1">IFERROR(__xludf.DUMMYFUNCTION("""COMPUTED_VALUE"""),179.59)</f>
        <v>179.59</v>
      </c>
      <c r="C87" s="1">
        <f ca="1">IFERROR(__xludf.DUMMYFUNCTION("""COMPUTED_VALUE"""),179.95)</f>
        <v>179.95</v>
      </c>
      <c r="D87" s="1">
        <f ca="1">IFERROR(__xludf.DUMMYFUNCTION("""COMPUTED_VALUE"""),162.51)</f>
        <v>162.51</v>
      </c>
      <c r="E87" s="1">
        <f ca="1">IFERROR(__xludf.DUMMYFUNCTION("""COMPUTED_VALUE"""),166.18)</f>
        <v>166.18</v>
      </c>
      <c r="F87" s="1">
        <f ca="1">IFERROR(__xludf.DUMMYFUNCTION("""COMPUTED_VALUE"""),8838721)</f>
        <v>8838721</v>
      </c>
    </row>
    <row r="88" spans="1:6" ht="12.6">
      <c r="A88" s="2">
        <f ca="1">IFERROR(__xludf.DUMMYFUNCTION("""COMPUTED_VALUE"""),44687.6666666666)</f>
        <v>44687.666666666599</v>
      </c>
      <c r="B88" s="1">
        <f ca="1">IFERROR(__xludf.DUMMYFUNCTION("""COMPUTED_VALUE"""),164.34)</f>
        <v>164.34</v>
      </c>
      <c r="C88" s="1">
        <f ca="1">IFERROR(__xludf.DUMMYFUNCTION("""COMPUTED_VALUE"""),165.69)</f>
        <v>165.69</v>
      </c>
      <c r="D88" s="1">
        <f ca="1">IFERROR(__xludf.DUMMYFUNCTION("""COMPUTED_VALUE"""),151.21)</f>
        <v>151.21</v>
      </c>
      <c r="E88" s="1">
        <f ca="1">IFERROR(__xludf.DUMMYFUNCTION("""COMPUTED_VALUE"""),155.27)</f>
        <v>155.27000000000001</v>
      </c>
      <c r="F88" s="1">
        <f ca="1">IFERROR(__xludf.DUMMYFUNCTION("""COMPUTED_VALUE"""),8785077)</f>
        <v>8785077</v>
      </c>
    </row>
    <row r="89" spans="1:6" ht="12.6">
      <c r="A89" s="2">
        <f ca="1">IFERROR(__xludf.DUMMYFUNCTION("""COMPUTED_VALUE"""),44690.6666666666)</f>
        <v>44690.666666666599</v>
      </c>
      <c r="B89" s="1">
        <f ca="1">IFERROR(__xludf.DUMMYFUNCTION("""COMPUTED_VALUE"""),152.05)</f>
        <v>152.05000000000001</v>
      </c>
      <c r="C89" s="1">
        <f ca="1">IFERROR(__xludf.DUMMYFUNCTION("""COMPUTED_VALUE"""),155.74)</f>
        <v>155.74</v>
      </c>
      <c r="D89" s="1">
        <f ca="1">IFERROR(__xludf.DUMMYFUNCTION("""COMPUTED_VALUE"""),142.05)</f>
        <v>142.05000000000001</v>
      </c>
      <c r="E89" s="1">
        <f ca="1">IFERROR(__xludf.DUMMYFUNCTION("""COMPUTED_VALUE"""),143.29)</f>
        <v>143.29</v>
      </c>
      <c r="F89" s="1">
        <f ca="1">IFERROR(__xludf.DUMMYFUNCTION("""COMPUTED_VALUE"""),9364657)</f>
        <v>9364657</v>
      </c>
    </row>
    <row r="90" spans="1:6" ht="12.6">
      <c r="A90" s="2">
        <f ca="1">IFERROR(__xludf.DUMMYFUNCTION("""COMPUTED_VALUE"""),44691.6666666666)</f>
        <v>44691.666666666599</v>
      </c>
      <c r="B90" s="1">
        <f ca="1">IFERROR(__xludf.DUMMYFUNCTION("""COMPUTED_VALUE"""),149.4)</f>
        <v>149.4</v>
      </c>
      <c r="C90" s="1">
        <f ca="1">IFERROR(__xludf.DUMMYFUNCTION("""COMPUTED_VALUE"""),152.26)</f>
        <v>152.26</v>
      </c>
      <c r="D90" s="1">
        <f ca="1">IFERROR(__xludf.DUMMYFUNCTION("""COMPUTED_VALUE"""),132)</f>
        <v>132</v>
      </c>
      <c r="E90" s="1">
        <f ca="1">IFERROR(__xludf.DUMMYFUNCTION("""COMPUTED_VALUE"""),143.76)</f>
        <v>143.76</v>
      </c>
      <c r="F90" s="1">
        <f ca="1">IFERROR(__xludf.DUMMYFUNCTION("""COMPUTED_VALUE"""),9287239)</f>
        <v>9287239</v>
      </c>
    </row>
    <row r="91" spans="1:6" ht="12.6">
      <c r="A91" s="2">
        <f ca="1">IFERROR(__xludf.DUMMYFUNCTION("""COMPUTED_VALUE"""),44692.6666666666)</f>
        <v>44692.666666666599</v>
      </c>
      <c r="B91" s="1">
        <f ca="1">IFERROR(__xludf.DUMMYFUNCTION("""COMPUTED_VALUE"""),139.53)</f>
        <v>139.53</v>
      </c>
      <c r="C91" s="1">
        <f ca="1">IFERROR(__xludf.DUMMYFUNCTION("""COMPUTED_VALUE"""),147.36)</f>
        <v>147.36000000000001</v>
      </c>
      <c r="D91" s="1">
        <f ca="1">IFERROR(__xludf.DUMMYFUNCTION("""COMPUTED_VALUE"""),132.15)</f>
        <v>132.15</v>
      </c>
      <c r="E91" s="1">
        <f ca="1">IFERROR(__xludf.DUMMYFUNCTION("""COMPUTED_VALUE"""),132.88)</f>
        <v>132.88</v>
      </c>
      <c r="F91" s="1">
        <f ca="1">IFERROR(__xludf.DUMMYFUNCTION("""COMPUTED_VALUE"""),8271568)</f>
        <v>8271568</v>
      </c>
    </row>
    <row r="92" spans="1:6" ht="12.6">
      <c r="A92" s="2">
        <f ca="1">IFERROR(__xludf.DUMMYFUNCTION("""COMPUTED_VALUE"""),44693.6666666666)</f>
        <v>44693.666666666599</v>
      </c>
      <c r="B92" s="1">
        <f ca="1">IFERROR(__xludf.DUMMYFUNCTION("""COMPUTED_VALUE"""),130.12)</f>
        <v>130.12</v>
      </c>
      <c r="C92" s="1">
        <f ca="1">IFERROR(__xludf.DUMMYFUNCTION("""COMPUTED_VALUE"""),146.89)</f>
        <v>146.88999999999999</v>
      </c>
      <c r="D92" s="1">
        <f ca="1">IFERROR(__xludf.DUMMYFUNCTION("""COMPUTED_VALUE"""),126.01)</f>
        <v>126.01</v>
      </c>
      <c r="E92" s="1">
        <f ca="1">IFERROR(__xludf.DUMMYFUNCTION("""COMPUTED_VALUE"""),140.6)</f>
        <v>140.6</v>
      </c>
      <c r="F92" s="1">
        <f ca="1">IFERROR(__xludf.DUMMYFUNCTION("""COMPUTED_VALUE"""),9381475)</f>
        <v>9381475</v>
      </c>
    </row>
    <row r="93" spans="1:6" ht="12.6">
      <c r="A93" s="2">
        <f ca="1">IFERROR(__xludf.DUMMYFUNCTION("""COMPUTED_VALUE"""),44694.6666666666)</f>
        <v>44694.666666666599</v>
      </c>
      <c r="B93" s="1">
        <f ca="1">IFERROR(__xludf.DUMMYFUNCTION("""COMPUTED_VALUE"""),145.1)</f>
        <v>145.1</v>
      </c>
      <c r="C93" s="1">
        <f ca="1">IFERROR(__xludf.DUMMYFUNCTION("""COMPUTED_VALUE"""),159.72)</f>
        <v>159.72</v>
      </c>
      <c r="D93" s="1">
        <f ca="1">IFERROR(__xludf.DUMMYFUNCTION("""COMPUTED_VALUE"""),145.1)</f>
        <v>145.1</v>
      </c>
      <c r="E93" s="1">
        <f ca="1">IFERROR(__xludf.DUMMYFUNCTION("""COMPUTED_VALUE"""),158.36)</f>
        <v>158.36000000000001</v>
      </c>
      <c r="F93" s="1">
        <f ca="1">IFERROR(__xludf.DUMMYFUNCTION("""COMPUTED_VALUE"""),8540412)</f>
        <v>8540412</v>
      </c>
    </row>
    <row r="94" spans="1:6" ht="12.6">
      <c r="A94" s="2">
        <f ca="1">IFERROR(__xludf.DUMMYFUNCTION("""COMPUTED_VALUE"""),44697.6666666666)</f>
        <v>44697.666666666599</v>
      </c>
      <c r="B94" s="1">
        <f ca="1">IFERROR(__xludf.DUMMYFUNCTION("""COMPUTED_VALUE"""),155.44)</f>
        <v>155.44</v>
      </c>
      <c r="C94" s="1">
        <f ca="1">IFERROR(__xludf.DUMMYFUNCTION("""COMPUTED_VALUE"""),159.15)</f>
        <v>159.15</v>
      </c>
      <c r="D94" s="1">
        <f ca="1">IFERROR(__xludf.DUMMYFUNCTION("""COMPUTED_VALUE"""),143.52)</f>
        <v>143.52000000000001</v>
      </c>
      <c r="E94" s="1">
        <f ca="1">IFERROR(__xludf.DUMMYFUNCTION("""COMPUTED_VALUE"""),144.51)</f>
        <v>144.51</v>
      </c>
      <c r="F94" s="1">
        <f ca="1">IFERROR(__xludf.DUMMYFUNCTION("""COMPUTED_VALUE"""),5964496)</f>
        <v>5964496</v>
      </c>
    </row>
    <row r="95" spans="1:6" ht="12.6">
      <c r="A95" s="2">
        <f ca="1">IFERROR(__xludf.DUMMYFUNCTION("""COMPUTED_VALUE"""),44698.6666666666)</f>
        <v>44698.666666666599</v>
      </c>
      <c r="B95" s="1">
        <f ca="1">IFERROR(__xludf.DUMMYFUNCTION("""COMPUTED_VALUE"""),151.35)</f>
        <v>151.35</v>
      </c>
      <c r="C95" s="1">
        <f ca="1">IFERROR(__xludf.DUMMYFUNCTION("""COMPUTED_VALUE"""),153.88)</f>
        <v>153.88</v>
      </c>
      <c r="D95" s="1">
        <f ca="1">IFERROR(__xludf.DUMMYFUNCTION("""COMPUTED_VALUE"""),138.34)</f>
        <v>138.34</v>
      </c>
      <c r="E95" s="1">
        <f ca="1">IFERROR(__xludf.DUMMYFUNCTION("""COMPUTED_VALUE"""),145.81)</f>
        <v>145.81</v>
      </c>
      <c r="F95" s="1">
        <f ca="1">IFERROR(__xludf.DUMMYFUNCTION("""COMPUTED_VALUE"""),7512956)</f>
        <v>7512956</v>
      </c>
    </row>
    <row r="96" spans="1:6" ht="12.6">
      <c r="A96" s="2">
        <f ca="1">IFERROR(__xludf.DUMMYFUNCTION("""COMPUTED_VALUE"""),44699.6666666666)</f>
        <v>44699.666666666599</v>
      </c>
      <c r="B96" s="1">
        <f ca="1">IFERROR(__xludf.DUMMYFUNCTION("""COMPUTED_VALUE"""),142.45)</f>
        <v>142.44999999999999</v>
      </c>
      <c r="C96" s="1">
        <f ca="1">IFERROR(__xludf.DUMMYFUNCTION("""COMPUTED_VALUE"""),146.35)</f>
        <v>146.35</v>
      </c>
      <c r="D96" s="1">
        <f ca="1">IFERROR(__xludf.DUMMYFUNCTION("""COMPUTED_VALUE"""),134.1)</f>
        <v>134.1</v>
      </c>
      <c r="E96" s="1">
        <f ca="1">IFERROR(__xludf.DUMMYFUNCTION("""COMPUTED_VALUE"""),137.76)</f>
        <v>137.76</v>
      </c>
      <c r="F96" s="1">
        <f ca="1">IFERROR(__xludf.DUMMYFUNCTION("""COMPUTED_VALUE"""),6221689)</f>
        <v>6221689</v>
      </c>
    </row>
    <row r="97" spans="1:6" ht="12.6">
      <c r="A97" s="2">
        <f ca="1">IFERROR(__xludf.DUMMYFUNCTION("""COMPUTED_VALUE"""),44700.6666666666)</f>
        <v>44700.666666666599</v>
      </c>
      <c r="B97" s="1">
        <f ca="1">IFERROR(__xludf.DUMMYFUNCTION("""COMPUTED_VALUE"""),140.04)</f>
        <v>140.04</v>
      </c>
      <c r="C97" s="1">
        <f ca="1">IFERROR(__xludf.DUMMYFUNCTION("""COMPUTED_VALUE"""),152.63)</f>
        <v>152.63</v>
      </c>
      <c r="D97" s="1">
        <f ca="1">IFERROR(__xludf.DUMMYFUNCTION("""COMPUTED_VALUE"""),138.68)</f>
        <v>138.68</v>
      </c>
      <c r="E97" s="1">
        <f ca="1">IFERROR(__xludf.DUMMYFUNCTION("""COMPUTED_VALUE"""),146.82)</f>
        <v>146.82</v>
      </c>
      <c r="F97" s="1">
        <f ca="1">IFERROR(__xludf.DUMMYFUNCTION("""COMPUTED_VALUE"""),7643114)</f>
        <v>7643114</v>
      </c>
    </row>
    <row r="98" spans="1:6" ht="12.6">
      <c r="A98" s="2">
        <f ca="1">IFERROR(__xludf.DUMMYFUNCTION("""COMPUTED_VALUE"""),44701.6666666666)</f>
        <v>44701.666666666599</v>
      </c>
      <c r="B98" s="1">
        <f ca="1">IFERROR(__xludf.DUMMYFUNCTION("""COMPUTED_VALUE"""),148)</f>
        <v>148</v>
      </c>
      <c r="C98" s="1">
        <f ca="1">IFERROR(__xludf.DUMMYFUNCTION("""COMPUTED_VALUE"""),148.98)</f>
        <v>148.97999999999999</v>
      </c>
      <c r="D98" s="1">
        <f ca="1">IFERROR(__xludf.DUMMYFUNCTION("""COMPUTED_VALUE"""),134.26)</f>
        <v>134.26</v>
      </c>
      <c r="E98" s="1">
        <f ca="1">IFERROR(__xludf.DUMMYFUNCTION("""COMPUTED_VALUE"""),141.49)</f>
        <v>141.49</v>
      </c>
      <c r="F98" s="1">
        <f ca="1">IFERROR(__xludf.DUMMYFUNCTION("""COMPUTED_VALUE"""),7485222)</f>
        <v>7485222</v>
      </c>
    </row>
    <row r="99" spans="1:6" ht="12.6">
      <c r="A99" s="2">
        <f ca="1">IFERROR(__xludf.DUMMYFUNCTION("""COMPUTED_VALUE"""),44704.6666666666)</f>
        <v>44704.666666666599</v>
      </c>
      <c r="B99" s="1">
        <f ca="1">IFERROR(__xludf.DUMMYFUNCTION("""COMPUTED_VALUE"""),138.38)</f>
        <v>138.38</v>
      </c>
      <c r="C99" s="1">
        <f ca="1">IFERROR(__xludf.DUMMYFUNCTION("""COMPUTED_VALUE"""),142.78)</f>
        <v>142.78</v>
      </c>
      <c r="D99" s="1">
        <f ca="1">IFERROR(__xludf.DUMMYFUNCTION("""COMPUTED_VALUE"""),133.51)</f>
        <v>133.51</v>
      </c>
      <c r="E99" s="1">
        <f ca="1">IFERROR(__xludf.DUMMYFUNCTION("""COMPUTED_VALUE"""),138.85)</f>
        <v>138.85</v>
      </c>
      <c r="F99" s="1">
        <f ca="1">IFERROR(__xludf.DUMMYFUNCTION("""COMPUTED_VALUE"""),6250402)</f>
        <v>6250402</v>
      </c>
    </row>
    <row r="100" spans="1:6" ht="12.6">
      <c r="A100" s="2">
        <f ca="1">IFERROR(__xludf.DUMMYFUNCTION("""COMPUTED_VALUE"""),44705.6666666666)</f>
        <v>44705.666666666599</v>
      </c>
      <c r="B100" s="1">
        <f ca="1">IFERROR(__xludf.DUMMYFUNCTION("""COMPUTED_VALUE"""),138.14)</f>
        <v>138.13999999999999</v>
      </c>
      <c r="C100" s="1">
        <f ca="1">IFERROR(__xludf.DUMMYFUNCTION("""COMPUTED_VALUE"""),138.62)</f>
        <v>138.62</v>
      </c>
      <c r="D100" s="1">
        <f ca="1">IFERROR(__xludf.DUMMYFUNCTION("""COMPUTED_VALUE"""),125.77)</f>
        <v>125.77</v>
      </c>
      <c r="E100" s="1">
        <f ca="1">IFERROR(__xludf.DUMMYFUNCTION("""COMPUTED_VALUE"""),129.63)</f>
        <v>129.63</v>
      </c>
      <c r="F100" s="1">
        <f ca="1">IFERROR(__xludf.DUMMYFUNCTION("""COMPUTED_VALUE"""),8593462)</f>
        <v>8593462</v>
      </c>
    </row>
    <row r="101" spans="1:6" ht="12.6">
      <c r="A101" s="2">
        <f ca="1">IFERROR(__xludf.DUMMYFUNCTION("""COMPUTED_VALUE"""),44706.6666666666)</f>
        <v>44706.666666666599</v>
      </c>
      <c r="B101" s="1">
        <f ca="1">IFERROR(__xludf.DUMMYFUNCTION("""COMPUTED_VALUE"""),128.61)</f>
        <v>128.61000000000001</v>
      </c>
      <c r="C101" s="1">
        <f ca="1">IFERROR(__xludf.DUMMYFUNCTION("""COMPUTED_VALUE"""),135.62)</f>
        <v>135.62</v>
      </c>
      <c r="D101" s="1">
        <f ca="1">IFERROR(__xludf.DUMMYFUNCTION("""COMPUTED_VALUE"""),126.9)</f>
        <v>126.9</v>
      </c>
      <c r="E101" s="1">
        <f ca="1">IFERROR(__xludf.DUMMYFUNCTION("""COMPUTED_VALUE"""),132.77)</f>
        <v>132.77000000000001</v>
      </c>
      <c r="F101" s="1">
        <f ca="1">IFERROR(__xludf.DUMMYFUNCTION("""COMPUTED_VALUE"""),13474740)</f>
        <v>13474740</v>
      </c>
    </row>
    <row r="102" spans="1:6" ht="12.6">
      <c r="A102" s="2">
        <f ca="1">IFERROR(__xludf.DUMMYFUNCTION("""COMPUTED_VALUE"""),44707.6666666666)</f>
        <v>44707.666666666599</v>
      </c>
      <c r="B102" s="1">
        <f ca="1">IFERROR(__xludf.DUMMYFUNCTION("""COMPUTED_VALUE"""),117.03)</f>
        <v>117.03</v>
      </c>
      <c r="C102" s="1">
        <f ca="1">IFERROR(__xludf.DUMMYFUNCTION("""COMPUTED_VALUE"""),134.5)</f>
        <v>134.5</v>
      </c>
      <c r="D102" s="1">
        <f ca="1">IFERROR(__xludf.DUMMYFUNCTION("""COMPUTED_VALUE"""),112.1)</f>
        <v>112.1</v>
      </c>
      <c r="E102" s="1">
        <f ca="1">IFERROR(__xludf.DUMMYFUNCTION("""COMPUTED_VALUE"""),126.8)</f>
        <v>126.8</v>
      </c>
      <c r="F102" s="1">
        <f ca="1">IFERROR(__xludf.DUMMYFUNCTION("""COMPUTED_VALUE"""),35730319)</f>
        <v>35730319</v>
      </c>
    </row>
    <row r="103" spans="1:6" ht="12.6">
      <c r="A103" s="2">
        <f ca="1">IFERROR(__xludf.DUMMYFUNCTION("""COMPUTED_VALUE"""),44708.6666666666)</f>
        <v>44708.666666666599</v>
      </c>
      <c r="B103" s="1">
        <f ca="1">IFERROR(__xludf.DUMMYFUNCTION("""COMPUTED_VALUE"""),127.9)</f>
        <v>127.9</v>
      </c>
      <c r="C103" s="1">
        <f ca="1">IFERROR(__xludf.DUMMYFUNCTION("""COMPUTED_VALUE"""),130.61)</f>
        <v>130.61000000000001</v>
      </c>
      <c r="D103" s="1">
        <f ca="1">IFERROR(__xludf.DUMMYFUNCTION("""COMPUTED_VALUE"""),123.31)</f>
        <v>123.31</v>
      </c>
      <c r="E103" s="1">
        <f ca="1">IFERROR(__xludf.DUMMYFUNCTION("""COMPUTED_VALUE"""),129.91)</f>
        <v>129.91</v>
      </c>
      <c r="F103" s="1">
        <f ca="1">IFERROR(__xludf.DUMMYFUNCTION("""COMPUTED_VALUE"""),16797594)</f>
        <v>16797594</v>
      </c>
    </row>
    <row r="104" spans="1:6" ht="12.6">
      <c r="A104" s="2">
        <f ca="1">IFERROR(__xludf.DUMMYFUNCTION("""COMPUTED_VALUE"""),44712.6666666666)</f>
        <v>44712.666666666599</v>
      </c>
      <c r="B104" s="1">
        <f ca="1">IFERROR(__xludf.DUMMYFUNCTION("""COMPUTED_VALUE"""),130)</f>
        <v>130</v>
      </c>
      <c r="C104" s="1">
        <f ca="1">IFERROR(__xludf.DUMMYFUNCTION("""COMPUTED_VALUE"""),131.91)</f>
        <v>131.91</v>
      </c>
      <c r="D104" s="1">
        <f ca="1">IFERROR(__xludf.DUMMYFUNCTION("""COMPUTED_VALUE"""),124.69)</f>
        <v>124.69</v>
      </c>
      <c r="E104" s="1">
        <f ca="1">IFERROR(__xludf.DUMMYFUNCTION("""COMPUTED_VALUE"""),127.65)</f>
        <v>127.65</v>
      </c>
      <c r="F104" s="1">
        <f ca="1">IFERROR(__xludf.DUMMYFUNCTION("""COMPUTED_VALUE"""),11346157)</f>
        <v>11346157</v>
      </c>
    </row>
    <row r="105" spans="1:6" ht="12.6">
      <c r="A105" s="2">
        <f ca="1">IFERROR(__xludf.DUMMYFUNCTION("""COMPUTED_VALUE"""),44713.6666666666)</f>
        <v>44713.666666666599</v>
      </c>
      <c r="B105" s="1">
        <f ca="1">IFERROR(__xludf.DUMMYFUNCTION("""COMPUTED_VALUE"""),129.36)</f>
        <v>129.36000000000001</v>
      </c>
      <c r="C105" s="1">
        <f ca="1">IFERROR(__xludf.DUMMYFUNCTION("""COMPUTED_VALUE"""),135.83)</f>
        <v>135.83000000000001</v>
      </c>
      <c r="D105" s="1">
        <f ca="1">IFERROR(__xludf.DUMMYFUNCTION("""COMPUTED_VALUE"""),123.82)</f>
        <v>123.82</v>
      </c>
      <c r="E105" s="1">
        <f ca="1">IFERROR(__xludf.DUMMYFUNCTION("""COMPUTED_VALUE"""),126.15)</f>
        <v>126.15</v>
      </c>
      <c r="F105" s="1">
        <f ca="1">IFERROR(__xludf.DUMMYFUNCTION("""COMPUTED_VALUE"""),12114960)</f>
        <v>12114960</v>
      </c>
    </row>
    <row r="106" spans="1:6" ht="12.6">
      <c r="A106" s="2">
        <f ca="1">IFERROR(__xludf.DUMMYFUNCTION("""COMPUTED_VALUE"""),44714.6666666666)</f>
        <v>44714.666666666599</v>
      </c>
      <c r="B106" s="1">
        <f ca="1">IFERROR(__xludf.DUMMYFUNCTION("""COMPUTED_VALUE"""),126.81)</f>
        <v>126.81</v>
      </c>
      <c r="C106" s="1">
        <f ca="1">IFERROR(__xludf.DUMMYFUNCTION("""COMPUTED_VALUE"""),140.7)</f>
        <v>140.69999999999999</v>
      </c>
      <c r="D106" s="1">
        <f ca="1">IFERROR(__xludf.DUMMYFUNCTION("""COMPUTED_VALUE"""),126.11)</f>
        <v>126.11</v>
      </c>
      <c r="E106" s="1">
        <f ca="1">IFERROR(__xludf.DUMMYFUNCTION("""COMPUTED_VALUE"""),138.24)</f>
        <v>138.24</v>
      </c>
      <c r="F106" s="1">
        <f ca="1">IFERROR(__xludf.DUMMYFUNCTION("""COMPUTED_VALUE"""),8477360)</f>
        <v>8477360</v>
      </c>
    </row>
    <row r="107" spans="1:6" ht="12.6">
      <c r="A107" s="2">
        <f ca="1">IFERROR(__xludf.DUMMYFUNCTION("""COMPUTED_VALUE"""),44715.6666666666)</f>
        <v>44715.666666666599</v>
      </c>
      <c r="B107" s="1">
        <f ca="1">IFERROR(__xludf.DUMMYFUNCTION("""COMPUTED_VALUE"""),134.98)</f>
        <v>134.97999999999999</v>
      </c>
      <c r="C107" s="1">
        <f ca="1">IFERROR(__xludf.DUMMYFUNCTION("""COMPUTED_VALUE"""),138.24)</f>
        <v>138.24</v>
      </c>
      <c r="D107" s="1">
        <f ca="1">IFERROR(__xludf.DUMMYFUNCTION("""COMPUTED_VALUE"""),128.85)</f>
        <v>128.85</v>
      </c>
      <c r="E107" s="1">
        <f ca="1">IFERROR(__xludf.DUMMYFUNCTION("""COMPUTED_VALUE"""),129.82)</f>
        <v>129.82</v>
      </c>
      <c r="F107" s="1">
        <f ca="1">IFERROR(__xludf.DUMMYFUNCTION("""COMPUTED_VALUE"""),6696782)</f>
        <v>6696782</v>
      </c>
    </row>
    <row r="108" spans="1:6" ht="12.6">
      <c r="A108" s="2">
        <f ca="1">IFERROR(__xludf.DUMMYFUNCTION("""COMPUTED_VALUE"""),44718.6666666666)</f>
        <v>44718.666666666599</v>
      </c>
      <c r="B108" s="1">
        <f ca="1">IFERROR(__xludf.DUMMYFUNCTION("""COMPUTED_VALUE"""),132.6)</f>
        <v>132.6</v>
      </c>
      <c r="C108" s="1">
        <f ca="1">IFERROR(__xludf.DUMMYFUNCTION("""COMPUTED_VALUE"""),134.48)</f>
        <v>134.47999999999999</v>
      </c>
      <c r="D108" s="1">
        <f ca="1">IFERROR(__xludf.DUMMYFUNCTION("""COMPUTED_VALUE"""),125.78)</f>
        <v>125.78</v>
      </c>
      <c r="E108" s="1">
        <f ca="1">IFERROR(__xludf.DUMMYFUNCTION("""COMPUTED_VALUE"""),128.07)</f>
        <v>128.07</v>
      </c>
      <c r="F108" s="1">
        <f ca="1">IFERROR(__xludf.DUMMYFUNCTION("""COMPUTED_VALUE"""),5189339)</f>
        <v>5189339</v>
      </c>
    </row>
    <row r="109" spans="1:6" ht="12.6">
      <c r="A109" s="2">
        <f ca="1">IFERROR(__xludf.DUMMYFUNCTION("""COMPUTED_VALUE"""),44719.6666666666)</f>
        <v>44719.666666666599</v>
      </c>
      <c r="B109" s="1">
        <f ca="1">IFERROR(__xludf.DUMMYFUNCTION("""COMPUTED_VALUE"""),126)</f>
        <v>126</v>
      </c>
      <c r="C109" s="1">
        <f ca="1">IFERROR(__xludf.DUMMYFUNCTION("""COMPUTED_VALUE"""),131.9)</f>
        <v>131.9</v>
      </c>
      <c r="D109" s="1">
        <f ca="1">IFERROR(__xludf.DUMMYFUNCTION("""COMPUTED_VALUE"""),124.31)</f>
        <v>124.31</v>
      </c>
      <c r="E109" s="1">
        <f ca="1">IFERROR(__xludf.DUMMYFUNCTION("""COMPUTED_VALUE"""),131.26)</f>
        <v>131.26</v>
      </c>
      <c r="F109" s="1">
        <f ca="1">IFERROR(__xludf.DUMMYFUNCTION("""COMPUTED_VALUE"""),5812015)</f>
        <v>5812015</v>
      </c>
    </row>
    <row r="110" spans="1:6" ht="12.6">
      <c r="A110" s="2">
        <f ca="1">IFERROR(__xludf.DUMMYFUNCTION("""COMPUTED_VALUE"""),44720.6666666666)</f>
        <v>44720.666666666599</v>
      </c>
      <c r="B110" s="1">
        <f ca="1">IFERROR(__xludf.DUMMYFUNCTION("""COMPUTED_VALUE"""),131.23)</f>
        <v>131.22999999999999</v>
      </c>
      <c r="C110" s="1">
        <f ca="1">IFERROR(__xludf.DUMMYFUNCTION("""COMPUTED_VALUE"""),136.29)</f>
        <v>136.29</v>
      </c>
      <c r="D110" s="1">
        <f ca="1">IFERROR(__xludf.DUMMYFUNCTION("""COMPUTED_VALUE"""),130.03)</f>
        <v>130.03</v>
      </c>
      <c r="E110" s="1">
        <f ca="1">IFERROR(__xludf.DUMMYFUNCTION("""COMPUTED_VALUE"""),135.57)</f>
        <v>135.57</v>
      </c>
      <c r="F110" s="1">
        <f ca="1">IFERROR(__xludf.DUMMYFUNCTION("""COMPUTED_VALUE"""),5157514)</f>
        <v>5157514</v>
      </c>
    </row>
    <row r="111" spans="1:6" ht="12.6">
      <c r="A111" s="2">
        <f ca="1">IFERROR(__xludf.DUMMYFUNCTION("""COMPUTED_VALUE"""),44721.6666666666)</f>
        <v>44721.666666666599</v>
      </c>
      <c r="B111" s="1">
        <f ca="1">IFERROR(__xludf.DUMMYFUNCTION("""COMPUTED_VALUE"""),136.18)</f>
        <v>136.18</v>
      </c>
      <c r="C111" s="1">
        <f ca="1">IFERROR(__xludf.DUMMYFUNCTION("""COMPUTED_VALUE"""),139.68)</f>
        <v>139.68</v>
      </c>
      <c r="D111" s="1">
        <f ca="1">IFERROR(__xludf.DUMMYFUNCTION("""COMPUTED_VALUE"""),130.78)</f>
        <v>130.78</v>
      </c>
      <c r="E111" s="1">
        <f ca="1">IFERROR(__xludf.DUMMYFUNCTION("""COMPUTED_VALUE"""),133.23)</f>
        <v>133.22999999999999</v>
      </c>
      <c r="F111" s="1">
        <f ca="1">IFERROR(__xludf.DUMMYFUNCTION("""COMPUTED_VALUE"""),7253735)</f>
        <v>7253735</v>
      </c>
    </row>
    <row r="112" spans="1:6" ht="12.6">
      <c r="A112" s="2">
        <f ca="1">IFERROR(__xludf.DUMMYFUNCTION("""COMPUTED_VALUE"""),44722.6666666666)</f>
        <v>44722.666666666599</v>
      </c>
      <c r="B112" s="1">
        <f ca="1">IFERROR(__xludf.DUMMYFUNCTION("""COMPUTED_VALUE"""),129)</f>
        <v>129</v>
      </c>
      <c r="C112" s="1">
        <f ca="1">IFERROR(__xludf.DUMMYFUNCTION("""COMPUTED_VALUE"""),129.39)</f>
        <v>129.38999999999999</v>
      </c>
      <c r="D112" s="1">
        <f ca="1">IFERROR(__xludf.DUMMYFUNCTION("""COMPUTED_VALUE"""),119.43)</f>
        <v>119.43</v>
      </c>
      <c r="E112" s="1">
        <f ca="1">IFERROR(__xludf.DUMMYFUNCTION("""COMPUTED_VALUE"""),122.42)</f>
        <v>122.42</v>
      </c>
      <c r="F112" s="1">
        <f ca="1">IFERROR(__xludf.DUMMYFUNCTION("""COMPUTED_VALUE"""),8900142)</f>
        <v>8900142</v>
      </c>
    </row>
    <row r="113" spans="1:6" ht="12.6">
      <c r="A113" s="2">
        <f ca="1">IFERROR(__xludf.DUMMYFUNCTION("""COMPUTED_VALUE"""),44725.6666666666)</f>
        <v>44725.666666666599</v>
      </c>
      <c r="B113" s="1">
        <f ca="1">IFERROR(__xludf.DUMMYFUNCTION("""COMPUTED_VALUE"""),114.49)</f>
        <v>114.49</v>
      </c>
      <c r="C113" s="1">
        <f ca="1">IFERROR(__xludf.DUMMYFUNCTION("""COMPUTED_VALUE"""),118.18)</f>
        <v>118.18</v>
      </c>
      <c r="D113" s="1">
        <f ca="1">IFERROR(__xludf.DUMMYFUNCTION("""COMPUTED_VALUE"""),112.11)</f>
        <v>112.11</v>
      </c>
      <c r="E113" s="1">
        <f ca="1">IFERROR(__xludf.DUMMYFUNCTION("""COMPUTED_VALUE"""),113.3)</f>
        <v>113.3</v>
      </c>
      <c r="F113" s="1">
        <f ca="1">IFERROR(__xludf.DUMMYFUNCTION("""COMPUTED_VALUE"""),7139333)</f>
        <v>7139333</v>
      </c>
    </row>
    <row r="114" spans="1:6" ht="12.6">
      <c r="A114" s="2">
        <f ca="1">IFERROR(__xludf.DUMMYFUNCTION("""COMPUTED_VALUE"""),44726.6666666666)</f>
        <v>44726.666666666599</v>
      </c>
      <c r="B114" s="1">
        <f ca="1">IFERROR(__xludf.DUMMYFUNCTION("""COMPUTED_VALUE"""),113.3)</f>
        <v>113.3</v>
      </c>
      <c r="C114" s="1">
        <f ca="1">IFERROR(__xludf.DUMMYFUNCTION("""COMPUTED_VALUE"""),116.5)</f>
        <v>116.5</v>
      </c>
      <c r="D114" s="1">
        <f ca="1">IFERROR(__xludf.DUMMYFUNCTION("""COMPUTED_VALUE"""),110.27)</f>
        <v>110.27</v>
      </c>
      <c r="E114" s="1">
        <f ca="1">IFERROR(__xludf.DUMMYFUNCTION("""COMPUTED_VALUE"""),113.87)</f>
        <v>113.87</v>
      </c>
      <c r="F114" s="1">
        <f ca="1">IFERROR(__xludf.DUMMYFUNCTION("""COMPUTED_VALUE"""),7119013)</f>
        <v>7119013</v>
      </c>
    </row>
    <row r="115" spans="1:6" ht="12.6">
      <c r="A115" s="2">
        <f ca="1">IFERROR(__xludf.DUMMYFUNCTION("""COMPUTED_VALUE"""),44727.6666666666)</f>
        <v>44727.666666666599</v>
      </c>
      <c r="B115" s="1">
        <f ca="1">IFERROR(__xludf.DUMMYFUNCTION("""COMPUTED_VALUE"""),118.65)</f>
        <v>118.65</v>
      </c>
      <c r="C115" s="1">
        <f ca="1">IFERROR(__xludf.DUMMYFUNCTION("""COMPUTED_VALUE"""),124.35)</f>
        <v>124.35</v>
      </c>
      <c r="D115" s="1">
        <f ca="1">IFERROR(__xludf.DUMMYFUNCTION("""COMPUTED_VALUE"""),115.72)</f>
        <v>115.72</v>
      </c>
      <c r="E115" s="1">
        <f ca="1">IFERROR(__xludf.DUMMYFUNCTION("""COMPUTED_VALUE"""),122.54)</f>
        <v>122.54</v>
      </c>
      <c r="F115" s="1">
        <f ca="1">IFERROR(__xludf.DUMMYFUNCTION("""COMPUTED_VALUE"""),10479812)</f>
        <v>10479812</v>
      </c>
    </row>
    <row r="116" spans="1:6" ht="12.6">
      <c r="A116" s="2">
        <f ca="1">IFERROR(__xludf.DUMMYFUNCTION("""COMPUTED_VALUE"""),44728.6666666666)</f>
        <v>44728.666666666599</v>
      </c>
      <c r="B116" s="1">
        <f ca="1">IFERROR(__xludf.DUMMYFUNCTION("""COMPUTED_VALUE"""),118.19)</f>
        <v>118.19</v>
      </c>
      <c r="C116" s="1">
        <f ca="1">IFERROR(__xludf.DUMMYFUNCTION("""COMPUTED_VALUE"""),119.6)</f>
        <v>119.6</v>
      </c>
      <c r="D116" s="1">
        <f ca="1">IFERROR(__xludf.DUMMYFUNCTION("""COMPUTED_VALUE"""),113.75)</f>
        <v>113.75</v>
      </c>
      <c r="E116" s="1">
        <f ca="1">IFERROR(__xludf.DUMMYFUNCTION("""COMPUTED_VALUE"""),114.38)</f>
        <v>114.38</v>
      </c>
      <c r="F116" s="1">
        <f ca="1">IFERROR(__xludf.DUMMYFUNCTION("""COMPUTED_VALUE"""),6207314)</f>
        <v>6207314</v>
      </c>
    </row>
    <row r="117" spans="1:6" ht="12.6">
      <c r="A117" s="2">
        <f ca="1">IFERROR(__xludf.DUMMYFUNCTION("""COMPUTED_VALUE"""),44729.6666666666)</f>
        <v>44729.666666666599</v>
      </c>
      <c r="B117" s="1">
        <f ca="1">IFERROR(__xludf.DUMMYFUNCTION("""COMPUTED_VALUE"""),114.5)</f>
        <v>114.5</v>
      </c>
      <c r="C117" s="1">
        <f ca="1">IFERROR(__xludf.DUMMYFUNCTION("""COMPUTED_VALUE"""),120.58)</f>
        <v>120.58</v>
      </c>
      <c r="D117" s="1">
        <f ca="1">IFERROR(__xludf.DUMMYFUNCTION("""COMPUTED_VALUE"""),114.28)</f>
        <v>114.28</v>
      </c>
      <c r="E117" s="1">
        <f ca="1">IFERROR(__xludf.DUMMYFUNCTION("""COMPUTED_VALUE"""),119.38)</f>
        <v>119.38</v>
      </c>
      <c r="F117" s="1">
        <f ca="1">IFERROR(__xludf.DUMMYFUNCTION("""COMPUTED_VALUE"""),5754390)</f>
        <v>5754390</v>
      </c>
    </row>
    <row r="118" spans="1:6" ht="12.6">
      <c r="A118" s="2">
        <f ca="1">IFERROR(__xludf.DUMMYFUNCTION("""COMPUTED_VALUE"""),44733.6666666666)</f>
        <v>44733.666666666599</v>
      </c>
      <c r="B118" s="1">
        <f ca="1">IFERROR(__xludf.DUMMYFUNCTION("""COMPUTED_VALUE"""),122.6)</f>
        <v>122.6</v>
      </c>
      <c r="C118" s="1">
        <f ca="1">IFERROR(__xludf.DUMMYFUNCTION("""COMPUTED_VALUE"""),125.88)</f>
        <v>125.88</v>
      </c>
      <c r="D118" s="1">
        <f ca="1">IFERROR(__xludf.DUMMYFUNCTION("""COMPUTED_VALUE"""),122)</f>
        <v>122</v>
      </c>
      <c r="E118" s="1">
        <f ca="1">IFERROR(__xludf.DUMMYFUNCTION("""COMPUTED_VALUE"""),122.54)</f>
        <v>122.54</v>
      </c>
      <c r="F118" s="1">
        <f ca="1">IFERROR(__xludf.DUMMYFUNCTION("""COMPUTED_VALUE"""),5005586)</f>
        <v>5005586</v>
      </c>
    </row>
    <row r="119" spans="1:6" ht="12.6">
      <c r="A119" s="2">
        <f ca="1">IFERROR(__xludf.DUMMYFUNCTION("""COMPUTED_VALUE"""),44734.6666666666)</f>
        <v>44734.666666666599</v>
      </c>
      <c r="B119" s="1">
        <f ca="1">IFERROR(__xludf.DUMMYFUNCTION("""COMPUTED_VALUE"""),120.87)</f>
        <v>120.87</v>
      </c>
      <c r="C119" s="1">
        <f ca="1">IFERROR(__xludf.DUMMYFUNCTION("""COMPUTED_VALUE"""),129.98)</f>
        <v>129.97999999999999</v>
      </c>
      <c r="D119" s="1">
        <f ca="1">IFERROR(__xludf.DUMMYFUNCTION("""COMPUTED_VALUE"""),120.13)</f>
        <v>120.13</v>
      </c>
      <c r="E119" s="1">
        <f ca="1">IFERROR(__xludf.DUMMYFUNCTION("""COMPUTED_VALUE"""),127.36)</f>
        <v>127.36</v>
      </c>
      <c r="F119" s="1">
        <f ca="1">IFERROR(__xludf.DUMMYFUNCTION("""COMPUTED_VALUE"""),5996998)</f>
        <v>5996998</v>
      </c>
    </row>
    <row r="120" spans="1:6" ht="12.6">
      <c r="A120" s="2">
        <f ca="1">IFERROR(__xludf.DUMMYFUNCTION("""COMPUTED_VALUE"""),44735.6666666666)</f>
        <v>44735.666666666599</v>
      </c>
      <c r="B120" s="1">
        <f ca="1">IFERROR(__xludf.DUMMYFUNCTION("""COMPUTED_VALUE"""),136.28)</f>
        <v>136.28</v>
      </c>
      <c r="C120" s="1">
        <f ca="1">IFERROR(__xludf.DUMMYFUNCTION("""COMPUTED_VALUE"""),143.87)</f>
        <v>143.87</v>
      </c>
      <c r="D120" s="1">
        <f ca="1">IFERROR(__xludf.DUMMYFUNCTION("""COMPUTED_VALUE"""),131.55)</f>
        <v>131.55000000000001</v>
      </c>
      <c r="E120" s="1">
        <f ca="1">IFERROR(__xludf.DUMMYFUNCTION("""COMPUTED_VALUE"""),143.11)</f>
        <v>143.11000000000001</v>
      </c>
      <c r="F120" s="1">
        <f ca="1">IFERROR(__xludf.DUMMYFUNCTION("""COMPUTED_VALUE"""),16880221)</f>
        <v>16880221</v>
      </c>
    </row>
    <row r="121" spans="1:6" ht="12.6">
      <c r="A121" s="2">
        <f ca="1">IFERROR(__xludf.DUMMYFUNCTION("""COMPUTED_VALUE"""),44736.6666666666)</f>
        <v>44736.666666666599</v>
      </c>
      <c r="B121" s="1">
        <f ca="1">IFERROR(__xludf.DUMMYFUNCTION("""COMPUTED_VALUE"""),144)</f>
        <v>144</v>
      </c>
      <c r="C121" s="1">
        <f ca="1">IFERROR(__xludf.DUMMYFUNCTION("""COMPUTED_VALUE"""),152.02)</f>
        <v>152.02000000000001</v>
      </c>
      <c r="D121" s="1">
        <f ca="1">IFERROR(__xludf.DUMMYFUNCTION("""COMPUTED_VALUE"""),143.84)</f>
        <v>143.84</v>
      </c>
      <c r="E121" s="1">
        <f ca="1">IFERROR(__xludf.DUMMYFUNCTION("""COMPUTED_VALUE"""),151.53)</f>
        <v>151.53</v>
      </c>
      <c r="F121" s="1">
        <f ca="1">IFERROR(__xludf.DUMMYFUNCTION("""COMPUTED_VALUE"""),12204577)</f>
        <v>12204577</v>
      </c>
    </row>
    <row r="122" spans="1:6" ht="12.6">
      <c r="A122" s="2">
        <f ca="1">IFERROR(__xludf.DUMMYFUNCTION("""COMPUTED_VALUE"""),44739.6666666666)</f>
        <v>44739.666666666599</v>
      </c>
      <c r="B122" s="1">
        <f ca="1">IFERROR(__xludf.DUMMYFUNCTION("""COMPUTED_VALUE"""),150.38)</f>
        <v>150.38</v>
      </c>
      <c r="C122" s="1">
        <f ca="1">IFERROR(__xludf.DUMMYFUNCTION("""COMPUTED_VALUE"""),152.2)</f>
        <v>152.19999999999999</v>
      </c>
      <c r="D122" s="1">
        <f ca="1">IFERROR(__xludf.DUMMYFUNCTION("""COMPUTED_VALUE"""),144.29)</f>
        <v>144.29</v>
      </c>
      <c r="E122" s="1">
        <f ca="1">IFERROR(__xludf.DUMMYFUNCTION("""COMPUTED_VALUE"""),148.15)</f>
        <v>148.15</v>
      </c>
      <c r="F122" s="1">
        <f ca="1">IFERROR(__xludf.DUMMYFUNCTION("""COMPUTED_VALUE"""),7273535)</f>
        <v>7273535</v>
      </c>
    </row>
    <row r="123" spans="1:6" ht="12.6">
      <c r="A123" s="2">
        <f ca="1">IFERROR(__xludf.DUMMYFUNCTION("""COMPUTED_VALUE"""),44740.6666666666)</f>
        <v>44740.666666666599</v>
      </c>
      <c r="B123" s="1">
        <f ca="1">IFERROR(__xludf.DUMMYFUNCTION("""COMPUTED_VALUE"""),154.62)</f>
        <v>154.62</v>
      </c>
      <c r="C123" s="1">
        <f ca="1">IFERROR(__xludf.DUMMYFUNCTION("""COMPUTED_VALUE"""),154.62)</f>
        <v>154.62</v>
      </c>
      <c r="D123" s="1">
        <f ca="1">IFERROR(__xludf.DUMMYFUNCTION("""COMPUTED_VALUE"""),142.81)</f>
        <v>142.81</v>
      </c>
      <c r="E123" s="1">
        <f ca="1">IFERROR(__xludf.DUMMYFUNCTION("""COMPUTED_VALUE"""),143.76)</f>
        <v>143.76</v>
      </c>
      <c r="F123" s="1">
        <f ca="1">IFERROR(__xludf.DUMMYFUNCTION("""COMPUTED_VALUE"""),10125748)</f>
        <v>10125748</v>
      </c>
    </row>
    <row r="124" spans="1:6" ht="12.6">
      <c r="A124" s="2">
        <f ca="1">IFERROR(__xludf.DUMMYFUNCTION("""COMPUTED_VALUE"""),44741.6666666666)</f>
        <v>44741.666666666599</v>
      </c>
      <c r="B124" s="1">
        <f ca="1">IFERROR(__xludf.DUMMYFUNCTION("""COMPUTED_VALUE"""),141.65)</f>
        <v>141.65</v>
      </c>
      <c r="C124" s="1">
        <f ca="1">IFERROR(__xludf.DUMMYFUNCTION("""COMPUTED_VALUE"""),144.22)</f>
        <v>144.22</v>
      </c>
      <c r="D124" s="1">
        <f ca="1">IFERROR(__xludf.DUMMYFUNCTION("""COMPUTED_VALUE"""),139.35)</f>
        <v>139.35</v>
      </c>
      <c r="E124" s="1">
        <f ca="1">IFERROR(__xludf.DUMMYFUNCTION("""COMPUTED_VALUE"""),143.03)</f>
        <v>143.03</v>
      </c>
      <c r="F124" s="1">
        <f ca="1">IFERROR(__xludf.DUMMYFUNCTION("""COMPUTED_VALUE"""),4794689)</f>
        <v>4794689</v>
      </c>
    </row>
    <row r="125" spans="1:6" ht="12.6">
      <c r="A125" s="2">
        <f ca="1">IFERROR(__xludf.DUMMYFUNCTION("""COMPUTED_VALUE"""),44742.6666666666)</f>
        <v>44742.666666666599</v>
      </c>
      <c r="B125" s="1">
        <f ca="1">IFERROR(__xludf.DUMMYFUNCTION("""COMPUTED_VALUE"""),141.75)</f>
        <v>141.75</v>
      </c>
      <c r="C125" s="1">
        <f ca="1">IFERROR(__xludf.DUMMYFUNCTION("""COMPUTED_VALUE"""),142.98)</f>
        <v>142.97999999999999</v>
      </c>
      <c r="D125" s="1">
        <f ca="1">IFERROR(__xludf.DUMMYFUNCTION("""COMPUTED_VALUE"""),136.13)</f>
        <v>136.13</v>
      </c>
      <c r="E125" s="1">
        <f ca="1">IFERROR(__xludf.DUMMYFUNCTION("""COMPUTED_VALUE"""),139.06)</f>
        <v>139.06</v>
      </c>
      <c r="F125" s="1">
        <f ca="1">IFERROR(__xludf.DUMMYFUNCTION("""COMPUTED_VALUE"""),6208495)</f>
        <v>6208495</v>
      </c>
    </row>
    <row r="126" spans="1:6" ht="12.6">
      <c r="A126" s="2">
        <f ca="1">IFERROR(__xludf.DUMMYFUNCTION("""COMPUTED_VALUE"""),44743.6666666666)</f>
        <v>44743.666666666599</v>
      </c>
      <c r="B126" s="1">
        <f ca="1">IFERROR(__xludf.DUMMYFUNCTION("""COMPUTED_VALUE"""),140.09)</f>
        <v>140.09</v>
      </c>
      <c r="C126" s="1">
        <f ca="1">IFERROR(__xludf.DUMMYFUNCTION("""COMPUTED_VALUE"""),146.67)</f>
        <v>146.66999999999999</v>
      </c>
      <c r="D126" s="1">
        <f ca="1">IFERROR(__xludf.DUMMYFUNCTION("""COMPUTED_VALUE"""),139.01)</f>
        <v>139.01</v>
      </c>
      <c r="E126" s="1">
        <f ca="1">IFERROR(__xludf.DUMMYFUNCTION("""COMPUTED_VALUE"""),144.53)</f>
        <v>144.53</v>
      </c>
      <c r="F126" s="1">
        <f ca="1">IFERROR(__xludf.DUMMYFUNCTION("""COMPUTED_VALUE"""),5787959)</f>
        <v>5787959</v>
      </c>
    </row>
    <row r="127" spans="1:6" ht="12.6">
      <c r="A127" s="2">
        <f ca="1">IFERROR(__xludf.DUMMYFUNCTION("""COMPUTED_VALUE"""),44747.6666666666)</f>
        <v>44747.666666666599</v>
      </c>
      <c r="B127" s="1">
        <f ca="1">IFERROR(__xludf.DUMMYFUNCTION("""COMPUTED_VALUE"""),142)</f>
        <v>142</v>
      </c>
      <c r="C127" s="1">
        <f ca="1">IFERROR(__xludf.DUMMYFUNCTION("""COMPUTED_VALUE"""),155.6)</f>
        <v>155.6</v>
      </c>
      <c r="D127" s="1">
        <f ca="1">IFERROR(__xludf.DUMMYFUNCTION("""COMPUTED_VALUE"""),140.05)</f>
        <v>140.05000000000001</v>
      </c>
      <c r="E127" s="1">
        <f ca="1">IFERROR(__xludf.DUMMYFUNCTION("""COMPUTED_VALUE"""),154.9)</f>
        <v>154.9</v>
      </c>
      <c r="F127" s="1">
        <f ca="1">IFERROR(__xludf.DUMMYFUNCTION("""COMPUTED_VALUE"""),8432449)</f>
        <v>8432449</v>
      </c>
    </row>
    <row r="128" spans="1:6" ht="12.6">
      <c r="A128" s="2">
        <f ca="1">IFERROR(__xludf.DUMMYFUNCTION("""COMPUTED_VALUE"""),44748.6666666666)</f>
        <v>44748.666666666599</v>
      </c>
      <c r="B128" s="1">
        <f ca="1">IFERROR(__xludf.DUMMYFUNCTION("""COMPUTED_VALUE"""),154.96)</f>
        <v>154.96</v>
      </c>
      <c r="C128" s="1">
        <f ca="1">IFERROR(__xludf.DUMMYFUNCTION("""COMPUTED_VALUE"""),161.28)</f>
        <v>161.28</v>
      </c>
      <c r="D128" s="1">
        <f ca="1">IFERROR(__xludf.DUMMYFUNCTION("""COMPUTED_VALUE"""),152.12)</f>
        <v>152.12</v>
      </c>
      <c r="E128" s="1">
        <f ca="1">IFERROR(__xludf.DUMMYFUNCTION("""COMPUTED_VALUE"""),154)</f>
        <v>154</v>
      </c>
      <c r="F128" s="1">
        <f ca="1">IFERROR(__xludf.DUMMYFUNCTION("""COMPUTED_VALUE"""),7381227)</f>
        <v>7381227</v>
      </c>
    </row>
    <row r="129" spans="1:6" ht="12.6">
      <c r="A129" s="2">
        <f ca="1">IFERROR(__xludf.DUMMYFUNCTION("""COMPUTED_VALUE"""),44749.6666666666)</f>
        <v>44749.666666666599</v>
      </c>
      <c r="B129" s="1">
        <f ca="1">IFERROR(__xludf.DUMMYFUNCTION("""COMPUTED_VALUE"""),155.06)</f>
        <v>155.06</v>
      </c>
      <c r="C129" s="1">
        <f ca="1">IFERROR(__xludf.DUMMYFUNCTION("""COMPUTED_VALUE"""),159.61)</f>
        <v>159.61000000000001</v>
      </c>
      <c r="D129" s="1">
        <f ca="1">IFERROR(__xludf.DUMMYFUNCTION("""COMPUTED_VALUE"""),152.16)</f>
        <v>152.16</v>
      </c>
      <c r="E129" s="1">
        <f ca="1">IFERROR(__xludf.DUMMYFUNCTION("""COMPUTED_VALUE"""),159.07)</f>
        <v>159.07</v>
      </c>
      <c r="F129" s="1">
        <f ca="1">IFERROR(__xludf.DUMMYFUNCTION("""COMPUTED_VALUE"""),5823107)</f>
        <v>5823107</v>
      </c>
    </row>
    <row r="130" spans="1:6" ht="12.6">
      <c r="A130" s="2">
        <f ca="1">IFERROR(__xludf.DUMMYFUNCTION("""COMPUTED_VALUE"""),44750.6666666666)</f>
        <v>44750.666666666599</v>
      </c>
      <c r="B130" s="1">
        <f ca="1">IFERROR(__xludf.DUMMYFUNCTION("""COMPUTED_VALUE"""),156.27)</f>
        <v>156.27000000000001</v>
      </c>
      <c r="C130" s="1">
        <f ca="1">IFERROR(__xludf.DUMMYFUNCTION("""COMPUTED_VALUE"""),164.78)</f>
        <v>164.78</v>
      </c>
      <c r="D130" s="1">
        <f ca="1">IFERROR(__xludf.DUMMYFUNCTION("""COMPUTED_VALUE"""),153.1)</f>
        <v>153.1</v>
      </c>
      <c r="E130" s="1">
        <f ca="1">IFERROR(__xludf.DUMMYFUNCTION("""COMPUTED_VALUE"""),159.68)</f>
        <v>159.68</v>
      </c>
      <c r="F130" s="1">
        <f ca="1">IFERROR(__xludf.DUMMYFUNCTION("""COMPUTED_VALUE"""),6302316)</f>
        <v>6302316</v>
      </c>
    </row>
    <row r="131" spans="1:6" ht="12.6">
      <c r="A131" s="2">
        <f ca="1">IFERROR(__xludf.DUMMYFUNCTION("""COMPUTED_VALUE"""),44753.6666666666)</f>
        <v>44753.666666666599</v>
      </c>
      <c r="B131" s="1">
        <f ca="1">IFERROR(__xludf.DUMMYFUNCTION("""COMPUTED_VALUE"""),158.05)</f>
        <v>158.05000000000001</v>
      </c>
      <c r="C131" s="1">
        <f ca="1">IFERROR(__xludf.DUMMYFUNCTION("""COMPUTED_VALUE"""),159.4)</f>
        <v>159.4</v>
      </c>
      <c r="D131" s="1">
        <f ca="1">IFERROR(__xludf.DUMMYFUNCTION("""COMPUTED_VALUE"""),152.6)</f>
        <v>152.6</v>
      </c>
      <c r="E131" s="1">
        <f ca="1">IFERROR(__xludf.DUMMYFUNCTION("""COMPUTED_VALUE"""),155.4)</f>
        <v>155.4</v>
      </c>
      <c r="F131" s="1">
        <f ca="1">IFERROR(__xludf.DUMMYFUNCTION("""COMPUTED_VALUE"""),4141473)</f>
        <v>4141473</v>
      </c>
    </row>
    <row r="132" spans="1:6" ht="12.6">
      <c r="A132" s="2">
        <f ca="1">IFERROR(__xludf.DUMMYFUNCTION("""COMPUTED_VALUE"""),44754.6666666666)</f>
        <v>44754.666666666599</v>
      </c>
      <c r="B132" s="1">
        <f ca="1">IFERROR(__xludf.DUMMYFUNCTION("""COMPUTED_VALUE"""),157)</f>
        <v>157</v>
      </c>
      <c r="C132" s="1">
        <f ca="1">IFERROR(__xludf.DUMMYFUNCTION("""COMPUTED_VALUE"""),159.8)</f>
        <v>159.80000000000001</v>
      </c>
      <c r="D132" s="1">
        <f ca="1">IFERROR(__xludf.DUMMYFUNCTION("""COMPUTED_VALUE"""),144.18)</f>
        <v>144.18</v>
      </c>
      <c r="E132" s="1">
        <f ca="1">IFERROR(__xludf.DUMMYFUNCTION("""COMPUTED_VALUE"""),145.43)</f>
        <v>145.43</v>
      </c>
      <c r="F132" s="1">
        <f ca="1">IFERROR(__xludf.DUMMYFUNCTION("""COMPUTED_VALUE"""),6783474)</f>
        <v>6783474</v>
      </c>
    </row>
    <row r="133" spans="1:6" ht="12.6">
      <c r="A133" s="2">
        <f ca="1">IFERROR(__xludf.DUMMYFUNCTION("""COMPUTED_VALUE"""),44755.6666666666)</f>
        <v>44755.666666666599</v>
      </c>
      <c r="B133" s="1">
        <f ca="1">IFERROR(__xludf.DUMMYFUNCTION("""COMPUTED_VALUE"""),142.45)</f>
        <v>142.44999999999999</v>
      </c>
      <c r="C133" s="1">
        <f ca="1">IFERROR(__xludf.DUMMYFUNCTION("""COMPUTED_VALUE"""),154.29)</f>
        <v>154.29</v>
      </c>
      <c r="D133" s="1">
        <f ca="1">IFERROR(__xludf.DUMMYFUNCTION("""COMPUTED_VALUE"""),141.28)</f>
        <v>141.28</v>
      </c>
      <c r="E133" s="1">
        <f ca="1">IFERROR(__xludf.DUMMYFUNCTION("""COMPUTED_VALUE"""),149.6)</f>
        <v>149.6</v>
      </c>
      <c r="F133" s="1">
        <f ca="1">IFERROR(__xludf.DUMMYFUNCTION("""COMPUTED_VALUE"""),6728649)</f>
        <v>6728649</v>
      </c>
    </row>
    <row r="134" spans="1:6" ht="12.6">
      <c r="A134" s="2">
        <f ca="1">IFERROR(__xludf.DUMMYFUNCTION("""COMPUTED_VALUE"""),44756.6666666666)</f>
        <v>44756.666666666599</v>
      </c>
      <c r="B134" s="1">
        <f ca="1">IFERROR(__xludf.DUMMYFUNCTION("""COMPUTED_VALUE"""),148.6)</f>
        <v>148.6</v>
      </c>
      <c r="C134" s="1">
        <f ca="1">IFERROR(__xludf.DUMMYFUNCTION("""COMPUTED_VALUE"""),148.91)</f>
        <v>148.91</v>
      </c>
      <c r="D134" s="1">
        <f ca="1">IFERROR(__xludf.DUMMYFUNCTION("""COMPUTED_VALUE"""),141.57)</f>
        <v>141.57</v>
      </c>
      <c r="E134" s="1">
        <f ca="1">IFERROR(__xludf.DUMMYFUNCTION("""COMPUTED_VALUE"""),146.2)</f>
        <v>146.19999999999999</v>
      </c>
      <c r="F134" s="1">
        <f ca="1">IFERROR(__xludf.DUMMYFUNCTION("""COMPUTED_VALUE"""),5345742)</f>
        <v>5345742</v>
      </c>
    </row>
    <row r="135" spans="1:6" ht="12.6">
      <c r="A135" s="2">
        <f ca="1">IFERROR(__xludf.DUMMYFUNCTION("""COMPUTED_VALUE"""),44757.6666666666)</f>
        <v>44757.666666666599</v>
      </c>
      <c r="B135" s="1">
        <f ca="1">IFERROR(__xludf.DUMMYFUNCTION("""COMPUTED_VALUE"""),146.81)</f>
        <v>146.81</v>
      </c>
      <c r="C135" s="1">
        <f ca="1">IFERROR(__xludf.DUMMYFUNCTION("""COMPUTED_VALUE"""),150.22)</f>
        <v>150.22</v>
      </c>
      <c r="D135" s="1">
        <f ca="1">IFERROR(__xludf.DUMMYFUNCTION("""COMPUTED_VALUE"""),143.24)</f>
        <v>143.24</v>
      </c>
      <c r="E135" s="1">
        <f ca="1">IFERROR(__xludf.DUMMYFUNCTION("""COMPUTED_VALUE"""),147.95)</f>
        <v>147.94999999999999</v>
      </c>
      <c r="F135" s="1">
        <f ca="1">IFERROR(__xludf.DUMMYFUNCTION("""COMPUTED_VALUE"""),5836409)</f>
        <v>5836409</v>
      </c>
    </row>
    <row r="136" spans="1:6" ht="12.6">
      <c r="A136" s="2">
        <f ca="1">IFERROR(__xludf.DUMMYFUNCTION("""COMPUTED_VALUE"""),44760.6666666666)</f>
        <v>44760.666666666599</v>
      </c>
      <c r="B136" s="1">
        <f ca="1">IFERROR(__xludf.DUMMYFUNCTION("""COMPUTED_VALUE"""),150.5)</f>
        <v>150.5</v>
      </c>
      <c r="C136" s="1">
        <f ca="1">IFERROR(__xludf.DUMMYFUNCTION("""COMPUTED_VALUE"""),154.54)</f>
        <v>154.54</v>
      </c>
      <c r="D136" s="1">
        <f ca="1">IFERROR(__xludf.DUMMYFUNCTION("""COMPUTED_VALUE"""),145.8)</f>
        <v>145.80000000000001</v>
      </c>
      <c r="E136" s="1">
        <f ca="1">IFERROR(__xludf.DUMMYFUNCTION("""COMPUTED_VALUE"""),146.47)</f>
        <v>146.47</v>
      </c>
      <c r="F136" s="1">
        <f ca="1">IFERROR(__xludf.DUMMYFUNCTION("""COMPUTED_VALUE"""),5710545)</f>
        <v>5710545</v>
      </c>
    </row>
    <row r="137" spans="1:6" ht="12.6">
      <c r="A137" s="2">
        <f ca="1">IFERROR(__xludf.DUMMYFUNCTION("""COMPUTED_VALUE"""),44761.6666666666)</f>
        <v>44761.666666666599</v>
      </c>
      <c r="B137" s="1">
        <f ca="1">IFERROR(__xludf.DUMMYFUNCTION("""COMPUTED_VALUE"""),149)</f>
        <v>149</v>
      </c>
      <c r="C137" s="1">
        <f ca="1">IFERROR(__xludf.DUMMYFUNCTION("""COMPUTED_VALUE"""),149.25)</f>
        <v>149.25</v>
      </c>
      <c r="D137" s="1">
        <f ca="1">IFERROR(__xludf.DUMMYFUNCTION("""COMPUTED_VALUE"""),141.43)</f>
        <v>141.43</v>
      </c>
      <c r="E137" s="1">
        <f ca="1">IFERROR(__xludf.DUMMYFUNCTION("""COMPUTED_VALUE"""),146.46)</f>
        <v>146.46</v>
      </c>
      <c r="F137" s="1">
        <f ca="1">IFERROR(__xludf.DUMMYFUNCTION("""COMPUTED_VALUE"""),5782195)</f>
        <v>5782195</v>
      </c>
    </row>
    <row r="138" spans="1:6" ht="12.6">
      <c r="A138" s="2">
        <f ca="1">IFERROR(__xludf.DUMMYFUNCTION("""COMPUTED_VALUE"""),44762.6666666666)</f>
        <v>44762.666666666599</v>
      </c>
      <c r="B138" s="1">
        <f ca="1">IFERROR(__xludf.DUMMYFUNCTION("""COMPUTED_VALUE"""),147.94)</f>
        <v>147.94</v>
      </c>
      <c r="C138" s="1">
        <f ca="1">IFERROR(__xludf.DUMMYFUNCTION("""COMPUTED_VALUE"""),158.54)</f>
        <v>158.54</v>
      </c>
      <c r="D138" s="1">
        <f ca="1">IFERROR(__xludf.DUMMYFUNCTION("""COMPUTED_VALUE"""),147)</f>
        <v>147</v>
      </c>
      <c r="E138" s="1">
        <f ca="1">IFERROR(__xludf.DUMMYFUNCTION("""COMPUTED_VALUE"""),156.9)</f>
        <v>156.9</v>
      </c>
      <c r="F138" s="1">
        <f ca="1">IFERROR(__xludf.DUMMYFUNCTION("""COMPUTED_VALUE"""),6461486)</f>
        <v>6461486</v>
      </c>
    </row>
    <row r="139" spans="1:6" ht="12.6">
      <c r="A139" s="2">
        <f ca="1">IFERROR(__xludf.DUMMYFUNCTION("""COMPUTED_VALUE"""),44763.6666666666)</f>
        <v>44763.666666666599</v>
      </c>
      <c r="B139" s="1">
        <f ca="1">IFERROR(__xludf.DUMMYFUNCTION("""COMPUTED_VALUE"""),155.47)</f>
        <v>155.47</v>
      </c>
      <c r="C139" s="1">
        <f ca="1">IFERROR(__xludf.DUMMYFUNCTION("""COMPUTED_VALUE"""),161.3)</f>
        <v>161.30000000000001</v>
      </c>
      <c r="D139" s="1">
        <f ca="1">IFERROR(__xludf.DUMMYFUNCTION("""COMPUTED_VALUE"""),154.48)</f>
        <v>154.47999999999999</v>
      </c>
      <c r="E139" s="1">
        <f ca="1">IFERROR(__xludf.DUMMYFUNCTION("""COMPUTED_VALUE"""),157.73)</f>
        <v>157.72999999999999</v>
      </c>
      <c r="F139" s="1">
        <f ca="1">IFERROR(__xludf.DUMMYFUNCTION("""COMPUTED_VALUE"""),4598416)</f>
        <v>4598416</v>
      </c>
    </row>
    <row r="140" spans="1:6" ht="12.6">
      <c r="A140" s="2">
        <f ca="1">IFERROR(__xludf.DUMMYFUNCTION("""COMPUTED_VALUE"""),44764.6666666666)</f>
        <v>44764.666666666599</v>
      </c>
      <c r="B140" s="1">
        <f ca="1">IFERROR(__xludf.DUMMYFUNCTION("""COMPUTED_VALUE"""),157.64)</f>
        <v>157.63999999999999</v>
      </c>
      <c r="C140" s="1">
        <f ca="1">IFERROR(__xludf.DUMMYFUNCTION("""COMPUTED_VALUE"""),161.15)</f>
        <v>161.15</v>
      </c>
      <c r="D140" s="1">
        <f ca="1">IFERROR(__xludf.DUMMYFUNCTION("""COMPUTED_VALUE"""),142.12)</f>
        <v>142.12</v>
      </c>
      <c r="E140" s="1">
        <f ca="1">IFERROR(__xludf.DUMMYFUNCTION("""COMPUTED_VALUE"""),142.99)</f>
        <v>142.99</v>
      </c>
      <c r="F140" s="1">
        <f ca="1">IFERROR(__xludf.DUMMYFUNCTION("""COMPUTED_VALUE"""),7918718)</f>
        <v>7918718</v>
      </c>
    </row>
    <row r="141" spans="1:6" ht="12.6">
      <c r="A141" s="2">
        <f ca="1">IFERROR(__xludf.DUMMYFUNCTION("""COMPUTED_VALUE"""),44767.6666666666)</f>
        <v>44767.666666666599</v>
      </c>
      <c r="B141" s="1">
        <f ca="1">IFERROR(__xludf.DUMMYFUNCTION("""COMPUTED_VALUE"""),141)</f>
        <v>141</v>
      </c>
      <c r="C141" s="1">
        <f ca="1">IFERROR(__xludf.DUMMYFUNCTION("""COMPUTED_VALUE"""),142.95)</f>
        <v>142.94999999999999</v>
      </c>
      <c r="D141" s="1">
        <f ca="1">IFERROR(__xludf.DUMMYFUNCTION("""COMPUTED_VALUE"""),136.84)</f>
        <v>136.84</v>
      </c>
      <c r="E141" s="1">
        <f ca="1">IFERROR(__xludf.DUMMYFUNCTION("""COMPUTED_VALUE"""),140.26)</f>
        <v>140.26</v>
      </c>
      <c r="F141" s="1">
        <f ca="1">IFERROR(__xludf.DUMMYFUNCTION("""COMPUTED_VALUE"""),5922122)</f>
        <v>5922122</v>
      </c>
    </row>
    <row r="142" spans="1:6" ht="12.6">
      <c r="A142" s="2">
        <f ca="1">IFERROR(__xludf.DUMMYFUNCTION("""COMPUTED_VALUE"""),44768.6666666666)</f>
        <v>44768.666666666599</v>
      </c>
      <c r="B142" s="1">
        <f ca="1">IFERROR(__xludf.DUMMYFUNCTION("""COMPUTED_VALUE"""),137)</f>
        <v>137</v>
      </c>
      <c r="C142" s="1">
        <f ca="1">IFERROR(__xludf.DUMMYFUNCTION("""COMPUTED_VALUE"""),137.44)</f>
        <v>137.44</v>
      </c>
      <c r="D142" s="1">
        <f ca="1">IFERROR(__xludf.DUMMYFUNCTION("""COMPUTED_VALUE"""),129.78)</f>
        <v>129.78</v>
      </c>
      <c r="E142" s="1">
        <f ca="1">IFERROR(__xludf.DUMMYFUNCTION("""COMPUTED_VALUE"""),130.12)</f>
        <v>130.12</v>
      </c>
      <c r="F142" s="1">
        <f ca="1">IFERROR(__xludf.DUMMYFUNCTION("""COMPUTED_VALUE"""),7205759)</f>
        <v>7205759</v>
      </c>
    </row>
    <row r="143" spans="1:6" ht="12.6">
      <c r="A143" s="2">
        <f ca="1">IFERROR(__xludf.DUMMYFUNCTION("""COMPUTED_VALUE"""),44769.6666666666)</f>
        <v>44769.666666666599</v>
      </c>
      <c r="B143" s="1">
        <f ca="1">IFERROR(__xludf.DUMMYFUNCTION("""COMPUTED_VALUE"""),136.43)</f>
        <v>136.43</v>
      </c>
      <c r="C143" s="1">
        <f ca="1">IFERROR(__xludf.DUMMYFUNCTION("""COMPUTED_VALUE"""),142.65)</f>
        <v>142.65</v>
      </c>
      <c r="D143" s="1">
        <f ca="1">IFERROR(__xludf.DUMMYFUNCTION("""COMPUTED_VALUE"""),133.79)</f>
        <v>133.79</v>
      </c>
      <c r="E143" s="1">
        <f ca="1">IFERROR(__xludf.DUMMYFUNCTION("""COMPUTED_VALUE"""),141.3)</f>
        <v>141.30000000000001</v>
      </c>
      <c r="F143" s="1">
        <f ca="1">IFERROR(__xludf.DUMMYFUNCTION("""COMPUTED_VALUE"""),5513717)</f>
        <v>5513717</v>
      </c>
    </row>
    <row r="144" spans="1:6" ht="12.6">
      <c r="A144" s="2">
        <f ca="1">IFERROR(__xludf.DUMMYFUNCTION("""COMPUTED_VALUE"""),44770.6666666666)</f>
        <v>44770.666666666599</v>
      </c>
      <c r="B144" s="1">
        <f ca="1">IFERROR(__xludf.DUMMYFUNCTION("""COMPUTED_VALUE"""),140.22)</f>
        <v>140.22</v>
      </c>
      <c r="C144" s="1">
        <f ca="1">IFERROR(__xludf.DUMMYFUNCTION("""COMPUTED_VALUE"""),143.28)</f>
        <v>143.28</v>
      </c>
      <c r="D144" s="1">
        <f ca="1">IFERROR(__xludf.DUMMYFUNCTION("""COMPUTED_VALUE"""),134.32)</f>
        <v>134.32</v>
      </c>
      <c r="E144" s="1">
        <f ca="1">IFERROR(__xludf.DUMMYFUNCTION("""COMPUTED_VALUE"""),143.28)</f>
        <v>143.28</v>
      </c>
      <c r="F144" s="1">
        <f ca="1">IFERROR(__xludf.DUMMYFUNCTION("""COMPUTED_VALUE"""),5740717)</f>
        <v>5740717</v>
      </c>
    </row>
    <row r="145" spans="1:6" ht="12.6">
      <c r="A145" s="2">
        <f ca="1">IFERROR(__xludf.DUMMYFUNCTION("""COMPUTED_VALUE"""),44771.6666666666)</f>
        <v>44771.666666666599</v>
      </c>
      <c r="B145" s="1">
        <f ca="1">IFERROR(__xludf.DUMMYFUNCTION("""COMPUTED_VALUE"""),145)</f>
        <v>145</v>
      </c>
      <c r="C145" s="1">
        <f ca="1">IFERROR(__xludf.DUMMYFUNCTION("""COMPUTED_VALUE"""),149.97)</f>
        <v>149.97</v>
      </c>
      <c r="D145" s="1">
        <f ca="1">IFERROR(__xludf.DUMMYFUNCTION("""COMPUTED_VALUE"""),142.05)</f>
        <v>142.05000000000001</v>
      </c>
      <c r="E145" s="1">
        <f ca="1">IFERROR(__xludf.DUMMYFUNCTION("""COMPUTED_VALUE"""),149.91)</f>
        <v>149.91</v>
      </c>
      <c r="F145" s="1">
        <f ca="1">IFERROR(__xludf.DUMMYFUNCTION("""COMPUTED_VALUE"""),5250730)</f>
        <v>5250730</v>
      </c>
    </row>
    <row r="146" spans="1:6" ht="12.6">
      <c r="A146" s="2">
        <f ca="1">IFERROR(__xludf.DUMMYFUNCTION("""COMPUTED_VALUE"""),44774.6666666666)</f>
        <v>44774.666666666599</v>
      </c>
      <c r="B146" s="1">
        <f ca="1">IFERROR(__xludf.DUMMYFUNCTION("""COMPUTED_VALUE"""),146.65)</f>
        <v>146.65</v>
      </c>
      <c r="C146" s="1">
        <f ca="1">IFERROR(__xludf.DUMMYFUNCTION("""COMPUTED_VALUE"""),153.85)</f>
        <v>153.85</v>
      </c>
      <c r="D146" s="1">
        <f ca="1">IFERROR(__xludf.DUMMYFUNCTION("""COMPUTED_VALUE"""),143.38)</f>
        <v>143.38</v>
      </c>
      <c r="E146" s="1">
        <f ca="1">IFERROR(__xludf.DUMMYFUNCTION("""COMPUTED_VALUE"""),150.98)</f>
        <v>150.97999999999999</v>
      </c>
      <c r="F146" s="1">
        <f ca="1">IFERROR(__xludf.DUMMYFUNCTION("""COMPUTED_VALUE"""),4463512)</f>
        <v>4463512</v>
      </c>
    </row>
    <row r="147" spans="1:6" ht="12.6">
      <c r="A147" s="2">
        <f ca="1">IFERROR(__xludf.DUMMYFUNCTION("""COMPUTED_VALUE"""),44775.6666666666)</f>
        <v>44775.666666666599</v>
      </c>
      <c r="B147" s="1">
        <f ca="1">IFERROR(__xludf.DUMMYFUNCTION("""COMPUTED_VALUE"""),143.12)</f>
        <v>143.12</v>
      </c>
      <c r="C147" s="1">
        <f ca="1">IFERROR(__xludf.DUMMYFUNCTION("""COMPUTED_VALUE"""),156.65)</f>
        <v>156.65</v>
      </c>
      <c r="D147" s="1">
        <f ca="1">IFERROR(__xludf.DUMMYFUNCTION("""COMPUTED_VALUE"""),143.04)</f>
        <v>143.04</v>
      </c>
      <c r="E147" s="1">
        <f ca="1">IFERROR(__xludf.DUMMYFUNCTION("""COMPUTED_VALUE"""),153.37)</f>
        <v>153.37</v>
      </c>
      <c r="F147" s="1">
        <f ca="1">IFERROR(__xludf.DUMMYFUNCTION("""COMPUTED_VALUE"""),8107441)</f>
        <v>8107441</v>
      </c>
    </row>
    <row r="148" spans="1:6" ht="12.6">
      <c r="A148" s="2">
        <f ca="1">IFERROR(__xludf.DUMMYFUNCTION("""COMPUTED_VALUE"""),44776.6666666666)</f>
        <v>44776.666666666599</v>
      </c>
      <c r="B148" s="1">
        <f ca="1">IFERROR(__xludf.DUMMYFUNCTION("""COMPUTED_VALUE"""),155.4)</f>
        <v>155.4</v>
      </c>
      <c r="C148" s="1">
        <f ca="1">IFERROR(__xludf.DUMMYFUNCTION("""COMPUTED_VALUE"""),163.25)</f>
        <v>163.25</v>
      </c>
      <c r="D148" s="1">
        <f ca="1">IFERROR(__xludf.DUMMYFUNCTION("""COMPUTED_VALUE"""),155.4)</f>
        <v>155.4</v>
      </c>
      <c r="E148" s="1">
        <f ca="1">IFERROR(__xludf.DUMMYFUNCTION("""COMPUTED_VALUE"""),162.37)</f>
        <v>162.37</v>
      </c>
      <c r="F148" s="1">
        <f ca="1">IFERROR(__xludf.DUMMYFUNCTION("""COMPUTED_VALUE"""),4851409)</f>
        <v>4851409</v>
      </c>
    </row>
    <row r="149" spans="1:6" ht="12.6">
      <c r="A149" s="2">
        <f ca="1">IFERROR(__xludf.DUMMYFUNCTION("""COMPUTED_VALUE"""),44777.6666666666)</f>
        <v>44777.666666666599</v>
      </c>
      <c r="B149" s="1">
        <f ca="1">IFERROR(__xludf.DUMMYFUNCTION("""COMPUTED_VALUE"""),156.78)</f>
        <v>156.78</v>
      </c>
      <c r="C149" s="1">
        <f ca="1">IFERROR(__xludf.DUMMYFUNCTION("""COMPUTED_VALUE"""),161.59)</f>
        <v>161.59</v>
      </c>
      <c r="D149" s="1">
        <f ca="1">IFERROR(__xludf.DUMMYFUNCTION("""COMPUTED_VALUE"""),154.61)</f>
        <v>154.61000000000001</v>
      </c>
      <c r="E149" s="1">
        <f ca="1">IFERROR(__xludf.DUMMYFUNCTION("""COMPUTED_VALUE"""),160.76)</f>
        <v>160.76</v>
      </c>
      <c r="F149" s="1">
        <f ca="1">IFERROR(__xludf.DUMMYFUNCTION("""COMPUTED_VALUE"""),6346993)</f>
        <v>6346993</v>
      </c>
    </row>
    <row r="150" spans="1:6" ht="12.6">
      <c r="A150" s="2">
        <f ca="1">IFERROR(__xludf.DUMMYFUNCTION("""COMPUTED_VALUE"""),44778.6666666666)</f>
        <v>44778.666666666599</v>
      </c>
      <c r="B150" s="1">
        <f ca="1">IFERROR(__xludf.DUMMYFUNCTION("""COMPUTED_VALUE"""),155.94)</f>
        <v>155.94</v>
      </c>
      <c r="C150" s="1">
        <f ca="1">IFERROR(__xludf.DUMMYFUNCTION("""COMPUTED_VALUE"""),168.41)</f>
        <v>168.41</v>
      </c>
      <c r="D150" s="1">
        <f ca="1">IFERROR(__xludf.DUMMYFUNCTION("""COMPUTED_VALUE"""),155.79)</f>
        <v>155.79</v>
      </c>
      <c r="E150" s="1">
        <f ca="1">IFERROR(__xludf.DUMMYFUNCTION("""COMPUTED_VALUE"""),165.53)</f>
        <v>165.53</v>
      </c>
      <c r="F150" s="1">
        <f ca="1">IFERROR(__xludf.DUMMYFUNCTION("""COMPUTED_VALUE"""),6519515)</f>
        <v>6519515</v>
      </c>
    </row>
    <row r="151" spans="1:6" ht="12.6">
      <c r="A151" s="2">
        <f ca="1">IFERROR(__xludf.DUMMYFUNCTION("""COMPUTED_VALUE"""),44781.6666666666)</f>
        <v>44781.666666666599</v>
      </c>
      <c r="B151" s="1">
        <f ca="1">IFERROR(__xludf.DUMMYFUNCTION("""COMPUTED_VALUE"""),166.17)</f>
        <v>166.17</v>
      </c>
      <c r="C151" s="1">
        <f ca="1">IFERROR(__xludf.DUMMYFUNCTION("""COMPUTED_VALUE"""),175.8)</f>
        <v>175.8</v>
      </c>
      <c r="D151" s="1">
        <f ca="1">IFERROR(__xludf.DUMMYFUNCTION("""COMPUTED_VALUE"""),166.17)</f>
        <v>166.17</v>
      </c>
      <c r="E151" s="1">
        <f ca="1">IFERROR(__xludf.DUMMYFUNCTION("""COMPUTED_VALUE"""),170.85)</f>
        <v>170.85</v>
      </c>
      <c r="F151" s="1">
        <f ca="1">IFERROR(__xludf.DUMMYFUNCTION("""COMPUTED_VALUE"""),7010542)</f>
        <v>7010542</v>
      </c>
    </row>
    <row r="152" spans="1:6" ht="12.6">
      <c r="A152" s="2">
        <f ca="1">IFERROR(__xludf.DUMMYFUNCTION("""COMPUTED_VALUE"""),44782.6666666666)</f>
        <v>44782.666666666599</v>
      </c>
      <c r="B152" s="1">
        <f ca="1">IFERROR(__xludf.DUMMYFUNCTION("""COMPUTED_VALUE"""),168.06)</f>
        <v>168.06</v>
      </c>
      <c r="C152" s="1">
        <f ca="1">IFERROR(__xludf.DUMMYFUNCTION("""COMPUTED_VALUE"""),169.19)</f>
        <v>169.19</v>
      </c>
      <c r="D152" s="1">
        <f ca="1">IFERROR(__xludf.DUMMYFUNCTION("""COMPUTED_VALUE"""),159)</f>
        <v>159</v>
      </c>
      <c r="E152" s="1">
        <f ca="1">IFERROR(__xludf.DUMMYFUNCTION("""COMPUTED_VALUE"""),160.55)</f>
        <v>160.55000000000001</v>
      </c>
      <c r="F152" s="1">
        <f ca="1">IFERROR(__xludf.DUMMYFUNCTION("""COMPUTED_VALUE"""),5224413)</f>
        <v>5224413</v>
      </c>
    </row>
    <row r="153" spans="1:6" ht="12.6">
      <c r="A153" s="2">
        <f ca="1">IFERROR(__xludf.DUMMYFUNCTION("""COMPUTED_VALUE"""),44783.6666666666)</f>
        <v>44783.666666666599</v>
      </c>
      <c r="B153" s="1">
        <f ca="1">IFERROR(__xludf.DUMMYFUNCTION("""COMPUTED_VALUE"""),169.52)</f>
        <v>169.52</v>
      </c>
      <c r="C153" s="1">
        <f ca="1">IFERROR(__xludf.DUMMYFUNCTION("""COMPUTED_VALUE"""),174.97)</f>
        <v>174.97</v>
      </c>
      <c r="D153" s="1">
        <f ca="1">IFERROR(__xludf.DUMMYFUNCTION("""COMPUTED_VALUE"""),168.62)</f>
        <v>168.62</v>
      </c>
      <c r="E153" s="1">
        <f ca="1">IFERROR(__xludf.DUMMYFUNCTION("""COMPUTED_VALUE"""),174.4)</f>
        <v>174.4</v>
      </c>
      <c r="F153" s="1">
        <f ca="1">IFERROR(__xludf.DUMMYFUNCTION("""COMPUTED_VALUE"""),5664080)</f>
        <v>5664080</v>
      </c>
    </row>
    <row r="154" spans="1:6" ht="12.6">
      <c r="A154" s="2">
        <f ca="1">IFERROR(__xludf.DUMMYFUNCTION("""COMPUTED_VALUE"""),44784.6666666666)</f>
        <v>44784.666666666599</v>
      </c>
      <c r="B154" s="1">
        <f ca="1">IFERROR(__xludf.DUMMYFUNCTION("""COMPUTED_VALUE"""),178.91)</f>
        <v>178.91</v>
      </c>
      <c r="C154" s="1">
        <f ca="1">IFERROR(__xludf.DUMMYFUNCTION("""COMPUTED_VALUE"""),179.95)</f>
        <v>179.95</v>
      </c>
      <c r="D154" s="1">
        <f ca="1">IFERROR(__xludf.DUMMYFUNCTION("""COMPUTED_VALUE"""),167.24)</f>
        <v>167.24</v>
      </c>
      <c r="E154" s="1">
        <f ca="1">IFERROR(__xludf.DUMMYFUNCTION("""COMPUTED_VALUE"""),167.88)</f>
        <v>167.88</v>
      </c>
      <c r="F154" s="1">
        <f ca="1">IFERROR(__xludf.DUMMYFUNCTION("""COMPUTED_VALUE"""),5681291)</f>
        <v>5681291</v>
      </c>
    </row>
    <row r="155" spans="1:6" ht="12.6">
      <c r="A155" s="2">
        <f ca="1">IFERROR(__xludf.DUMMYFUNCTION("""COMPUTED_VALUE"""),44785.6666666666)</f>
        <v>44785.666666666599</v>
      </c>
      <c r="B155" s="1">
        <f ca="1">IFERROR(__xludf.DUMMYFUNCTION("""COMPUTED_VALUE"""),166.19)</f>
        <v>166.19</v>
      </c>
      <c r="C155" s="1">
        <f ca="1">IFERROR(__xludf.DUMMYFUNCTION("""COMPUTED_VALUE"""),169.55)</f>
        <v>169.55</v>
      </c>
      <c r="D155" s="1">
        <f ca="1">IFERROR(__xludf.DUMMYFUNCTION("""COMPUTED_VALUE"""),163.51)</f>
        <v>163.51</v>
      </c>
      <c r="E155" s="1">
        <f ca="1">IFERROR(__xludf.DUMMYFUNCTION("""COMPUTED_VALUE"""),168.68)</f>
        <v>168.68</v>
      </c>
      <c r="F155" s="1">
        <f ca="1">IFERROR(__xludf.DUMMYFUNCTION("""COMPUTED_VALUE"""),4699603)</f>
        <v>4699603</v>
      </c>
    </row>
    <row r="156" spans="1:6" ht="12.6">
      <c r="A156" s="2">
        <f ca="1">IFERROR(__xludf.DUMMYFUNCTION("""COMPUTED_VALUE"""),44788.6666666666)</f>
        <v>44788.666666666599</v>
      </c>
      <c r="B156" s="1">
        <f ca="1">IFERROR(__xludf.DUMMYFUNCTION("""COMPUTED_VALUE"""),167.8)</f>
        <v>167.8</v>
      </c>
      <c r="C156" s="1">
        <f ca="1">IFERROR(__xludf.DUMMYFUNCTION("""COMPUTED_VALUE"""),171.67)</f>
        <v>171.67</v>
      </c>
      <c r="D156" s="1">
        <f ca="1">IFERROR(__xludf.DUMMYFUNCTION("""COMPUTED_VALUE"""),166.61)</f>
        <v>166.61</v>
      </c>
      <c r="E156" s="1">
        <f ca="1">IFERROR(__xludf.DUMMYFUNCTION("""COMPUTED_VALUE"""),170.44)</f>
        <v>170.44</v>
      </c>
      <c r="F156" s="1">
        <f ca="1">IFERROR(__xludf.DUMMYFUNCTION("""COMPUTED_VALUE"""),2858289)</f>
        <v>2858289</v>
      </c>
    </row>
    <row r="157" spans="1:6" ht="12.6">
      <c r="A157" s="2">
        <f ca="1">IFERROR(__xludf.DUMMYFUNCTION("""COMPUTED_VALUE"""),44789.6666666666)</f>
        <v>44789.666666666599</v>
      </c>
      <c r="B157" s="1">
        <f ca="1">IFERROR(__xludf.DUMMYFUNCTION("""COMPUTED_VALUE"""),162)</f>
        <v>162</v>
      </c>
      <c r="C157" s="1">
        <f ca="1">IFERROR(__xludf.DUMMYFUNCTION("""COMPUTED_VALUE"""),167.49)</f>
        <v>167.49</v>
      </c>
      <c r="D157" s="1">
        <f ca="1">IFERROR(__xludf.DUMMYFUNCTION("""COMPUTED_VALUE"""),158.74)</f>
        <v>158.74</v>
      </c>
      <c r="E157" s="1">
        <f ca="1">IFERROR(__xludf.DUMMYFUNCTION("""COMPUTED_VALUE"""),167.35)</f>
        <v>167.35</v>
      </c>
      <c r="F157" s="1">
        <f ca="1">IFERROR(__xludf.DUMMYFUNCTION("""COMPUTED_VALUE"""),8487860)</f>
        <v>8487860</v>
      </c>
    </row>
    <row r="158" spans="1:6" ht="12.6">
      <c r="A158" s="2">
        <f ca="1">IFERROR(__xludf.DUMMYFUNCTION("""COMPUTED_VALUE"""),44790.6666666666)</f>
        <v>44790.666666666599</v>
      </c>
      <c r="B158" s="1">
        <f ca="1">IFERROR(__xludf.DUMMYFUNCTION("""COMPUTED_VALUE"""),164.09)</f>
        <v>164.09</v>
      </c>
      <c r="C158" s="1">
        <f ca="1">IFERROR(__xludf.DUMMYFUNCTION("""COMPUTED_VALUE"""),166.47)</f>
        <v>166.47</v>
      </c>
      <c r="D158" s="1">
        <f ca="1">IFERROR(__xludf.DUMMYFUNCTION("""COMPUTED_VALUE"""),157.07)</f>
        <v>157.07</v>
      </c>
      <c r="E158" s="1">
        <f ca="1">IFERROR(__xludf.DUMMYFUNCTION("""COMPUTED_VALUE"""),161.29)</f>
        <v>161.29</v>
      </c>
      <c r="F158" s="1">
        <f ca="1">IFERROR(__xludf.DUMMYFUNCTION("""COMPUTED_VALUE"""),6578698)</f>
        <v>6578698</v>
      </c>
    </row>
    <row r="159" spans="1:6" ht="12.6">
      <c r="A159" s="2">
        <f ca="1">IFERROR(__xludf.DUMMYFUNCTION("""COMPUTED_VALUE"""),44791.6666666666)</f>
        <v>44791.666666666599</v>
      </c>
      <c r="B159" s="1">
        <f ca="1">IFERROR(__xludf.DUMMYFUNCTION("""COMPUTED_VALUE"""),162.32)</f>
        <v>162.32</v>
      </c>
      <c r="C159" s="1">
        <f ca="1">IFERROR(__xludf.DUMMYFUNCTION("""COMPUTED_VALUE"""),162.8)</f>
        <v>162.80000000000001</v>
      </c>
      <c r="D159" s="1">
        <f ca="1">IFERROR(__xludf.DUMMYFUNCTION("""COMPUTED_VALUE"""),159.45)</f>
        <v>159.44999999999999</v>
      </c>
      <c r="E159" s="1">
        <f ca="1">IFERROR(__xludf.DUMMYFUNCTION("""COMPUTED_VALUE"""),161.75)</f>
        <v>161.75</v>
      </c>
      <c r="F159" s="1">
        <f ca="1">IFERROR(__xludf.DUMMYFUNCTION("""COMPUTED_VALUE"""),3289468)</f>
        <v>3289468</v>
      </c>
    </row>
    <row r="160" spans="1:6" ht="12.6">
      <c r="A160" s="2">
        <f ca="1">IFERROR(__xludf.DUMMYFUNCTION("""COMPUTED_VALUE"""),44792.6666666666)</f>
        <v>44792.666666666599</v>
      </c>
      <c r="B160" s="1">
        <f ca="1">IFERROR(__xludf.DUMMYFUNCTION("""COMPUTED_VALUE"""),159.65)</f>
        <v>159.65</v>
      </c>
      <c r="C160" s="1">
        <f ca="1">IFERROR(__xludf.DUMMYFUNCTION("""COMPUTED_VALUE"""),159.88)</f>
        <v>159.88</v>
      </c>
      <c r="D160" s="1">
        <f ca="1">IFERROR(__xludf.DUMMYFUNCTION("""COMPUTED_VALUE"""),151.63)</f>
        <v>151.63</v>
      </c>
      <c r="E160" s="1">
        <f ca="1">IFERROR(__xludf.DUMMYFUNCTION("""COMPUTED_VALUE"""),153.94)</f>
        <v>153.94</v>
      </c>
      <c r="F160" s="1">
        <f ca="1">IFERROR(__xludf.DUMMYFUNCTION("""COMPUTED_VALUE"""),5412141)</f>
        <v>5412141</v>
      </c>
    </row>
    <row r="161" spans="1:6" ht="12.6">
      <c r="A161" s="2">
        <f ca="1">IFERROR(__xludf.DUMMYFUNCTION("""COMPUTED_VALUE"""),44795.6666666666)</f>
        <v>44795.666666666599</v>
      </c>
      <c r="B161" s="1">
        <f ca="1">IFERROR(__xludf.DUMMYFUNCTION("""COMPUTED_VALUE"""),149.95)</f>
        <v>149.94999999999999</v>
      </c>
      <c r="C161" s="1">
        <f ca="1">IFERROR(__xludf.DUMMYFUNCTION("""COMPUTED_VALUE"""),153.9)</f>
        <v>153.9</v>
      </c>
      <c r="D161" s="1">
        <f ca="1">IFERROR(__xludf.DUMMYFUNCTION("""COMPUTED_VALUE"""),147.73)</f>
        <v>147.72999999999999</v>
      </c>
      <c r="E161" s="1">
        <f ca="1">IFERROR(__xludf.DUMMYFUNCTION("""COMPUTED_VALUE"""),151.61)</f>
        <v>151.61000000000001</v>
      </c>
      <c r="F161" s="1">
        <f ca="1">IFERROR(__xludf.DUMMYFUNCTION("""COMPUTED_VALUE"""),5550780)</f>
        <v>5550780</v>
      </c>
    </row>
    <row r="162" spans="1:6" ht="12.6">
      <c r="A162" s="2">
        <f ca="1">IFERROR(__xludf.DUMMYFUNCTION("""COMPUTED_VALUE"""),44796.6666666666)</f>
        <v>44796.666666666599</v>
      </c>
      <c r="B162" s="1">
        <f ca="1">IFERROR(__xludf.DUMMYFUNCTION("""COMPUTED_VALUE"""),151.5)</f>
        <v>151.5</v>
      </c>
      <c r="C162" s="1">
        <f ca="1">IFERROR(__xludf.DUMMYFUNCTION("""COMPUTED_VALUE"""),158.9)</f>
        <v>158.9</v>
      </c>
      <c r="D162" s="1">
        <f ca="1">IFERROR(__xludf.DUMMYFUNCTION("""COMPUTED_VALUE"""),151)</f>
        <v>151</v>
      </c>
      <c r="E162" s="1">
        <f ca="1">IFERROR(__xludf.DUMMYFUNCTION("""COMPUTED_VALUE"""),153.07)</f>
        <v>153.07</v>
      </c>
      <c r="F162" s="1">
        <f ca="1">IFERROR(__xludf.DUMMYFUNCTION("""COMPUTED_VALUE"""),4570297)</f>
        <v>4570297</v>
      </c>
    </row>
    <row r="163" spans="1:6" ht="12.6">
      <c r="A163" s="2">
        <f ca="1">IFERROR(__xludf.DUMMYFUNCTION("""COMPUTED_VALUE"""),44797.6666666666)</f>
        <v>44797.666666666599</v>
      </c>
      <c r="B163" s="1">
        <f ca="1">IFERROR(__xludf.DUMMYFUNCTION("""COMPUTED_VALUE"""),153.19)</f>
        <v>153.19</v>
      </c>
      <c r="C163" s="1">
        <f ca="1">IFERROR(__xludf.DUMMYFUNCTION("""COMPUTED_VALUE"""),161.98)</f>
        <v>161.97999999999999</v>
      </c>
      <c r="D163" s="1">
        <f ca="1">IFERROR(__xludf.DUMMYFUNCTION("""COMPUTED_VALUE"""),153.19)</f>
        <v>153.19</v>
      </c>
      <c r="E163" s="1">
        <f ca="1">IFERROR(__xludf.DUMMYFUNCTION("""COMPUTED_VALUE"""),159.49)</f>
        <v>159.49</v>
      </c>
      <c r="F163" s="1">
        <f ca="1">IFERROR(__xludf.DUMMYFUNCTION("""COMPUTED_VALUE"""),10260669)</f>
        <v>10260669</v>
      </c>
    </row>
    <row r="164" spans="1:6" ht="12.6">
      <c r="A164" s="2">
        <f ca="1">IFERROR(__xludf.DUMMYFUNCTION("""COMPUTED_VALUE"""),44798.6666666666)</f>
        <v>44798.666666666599</v>
      </c>
      <c r="B164" s="1">
        <f ca="1">IFERROR(__xludf.DUMMYFUNCTION("""COMPUTED_VALUE"""),191.25)</f>
        <v>191.25</v>
      </c>
      <c r="C164" s="1">
        <f ca="1">IFERROR(__xludf.DUMMYFUNCTION("""COMPUTED_VALUE"""),196.99)</f>
        <v>196.99</v>
      </c>
      <c r="D164" s="1">
        <f ca="1">IFERROR(__xludf.DUMMYFUNCTION("""COMPUTED_VALUE"""),184.12)</f>
        <v>184.12</v>
      </c>
      <c r="E164" s="1">
        <f ca="1">IFERROR(__xludf.DUMMYFUNCTION("""COMPUTED_VALUE"""),196.28)</f>
        <v>196.28</v>
      </c>
      <c r="F164" s="1">
        <f ca="1">IFERROR(__xludf.DUMMYFUNCTION("""COMPUTED_VALUE"""),25258447)</f>
        <v>25258447</v>
      </c>
    </row>
    <row r="165" spans="1:6" ht="12.6">
      <c r="A165" s="2">
        <f ca="1">IFERROR(__xludf.DUMMYFUNCTION("""COMPUTED_VALUE"""),44799.6666666666)</f>
        <v>44799.666666666599</v>
      </c>
      <c r="B165" s="1">
        <f ca="1">IFERROR(__xludf.DUMMYFUNCTION("""COMPUTED_VALUE"""),196)</f>
        <v>196</v>
      </c>
      <c r="C165" s="1">
        <f ca="1">IFERROR(__xludf.DUMMYFUNCTION("""COMPUTED_VALUE"""),205.66)</f>
        <v>205.66</v>
      </c>
      <c r="D165" s="1">
        <f ca="1">IFERROR(__xludf.DUMMYFUNCTION("""COMPUTED_VALUE"""),194.83)</f>
        <v>194.83</v>
      </c>
      <c r="E165" s="1">
        <f ca="1">IFERROR(__xludf.DUMMYFUNCTION("""COMPUTED_VALUE"""),197.71)</f>
        <v>197.71</v>
      </c>
      <c r="F165" s="1">
        <f ca="1">IFERROR(__xludf.DUMMYFUNCTION("""COMPUTED_VALUE"""),20065928)</f>
        <v>20065928</v>
      </c>
    </row>
    <row r="166" spans="1:6" ht="12.6">
      <c r="A166" s="2">
        <f ca="1">IFERROR(__xludf.DUMMYFUNCTION("""COMPUTED_VALUE"""),44802.6666666666)</f>
        <v>44802.666666666599</v>
      </c>
      <c r="B166" s="1">
        <f ca="1">IFERROR(__xludf.DUMMYFUNCTION("""COMPUTED_VALUE"""),194)</f>
        <v>194</v>
      </c>
      <c r="C166" s="1">
        <f ca="1">IFERROR(__xludf.DUMMYFUNCTION("""COMPUTED_VALUE"""),196.8)</f>
        <v>196.8</v>
      </c>
      <c r="D166" s="1">
        <f ca="1">IFERROR(__xludf.DUMMYFUNCTION("""COMPUTED_VALUE"""),183.29)</f>
        <v>183.29</v>
      </c>
      <c r="E166" s="1">
        <f ca="1">IFERROR(__xludf.DUMMYFUNCTION("""COMPUTED_VALUE"""),186.43)</f>
        <v>186.43</v>
      </c>
      <c r="F166" s="1">
        <f ca="1">IFERROR(__xludf.DUMMYFUNCTION("""COMPUTED_VALUE"""),12045560)</f>
        <v>12045560</v>
      </c>
    </row>
    <row r="167" spans="1:6" ht="12.6">
      <c r="A167" s="2">
        <f ca="1">IFERROR(__xludf.DUMMYFUNCTION("""COMPUTED_VALUE"""),44803.6666666666)</f>
        <v>44803.666666666599</v>
      </c>
      <c r="B167" s="1">
        <f ca="1">IFERROR(__xludf.DUMMYFUNCTION("""COMPUTED_VALUE"""),188.83)</f>
        <v>188.83</v>
      </c>
      <c r="C167" s="1">
        <f ca="1">IFERROR(__xludf.DUMMYFUNCTION("""COMPUTED_VALUE"""),191.11)</f>
        <v>191.11</v>
      </c>
      <c r="D167" s="1">
        <f ca="1">IFERROR(__xludf.DUMMYFUNCTION("""COMPUTED_VALUE"""),180.28)</f>
        <v>180.28</v>
      </c>
      <c r="E167" s="1">
        <f ca="1">IFERROR(__xludf.DUMMYFUNCTION("""COMPUTED_VALUE"""),184.74)</f>
        <v>184.74</v>
      </c>
      <c r="F167" s="1">
        <f ca="1">IFERROR(__xludf.DUMMYFUNCTION("""COMPUTED_VALUE"""),8443463)</f>
        <v>8443463</v>
      </c>
    </row>
    <row r="168" spans="1:6" ht="12.6">
      <c r="A168" s="2">
        <f ca="1">IFERROR(__xludf.DUMMYFUNCTION("""COMPUTED_VALUE"""),44804.6666666666)</f>
        <v>44804.666666666599</v>
      </c>
      <c r="B168" s="1">
        <f ca="1">IFERROR(__xludf.DUMMYFUNCTION("""COMPUTED_VALUE"""),187.27)</f>
        <v>187.27</v>
      </c>
      <c r="C168" s="1">
        <f ca="1">IFERROR(__xludf.DUMMYFUNCTION("""COMPUTED_VALUE"""),188.8)</f>
        <v>188.8</v>
      </c>
      <c r="D168" s="1">
        <f ca="1">IFERROR(__xludf.DUMMYFUNCTION("""COMPUTED_VALUE"""),180.14)</f>
        <v>180.14</v>
      </c>
      <c r="E168" s="1">
        <f ca="1">IFERROR(__xludf.DUMMYFUNCTION("""COMPUTED_VALUE"""),180.95)</f>
        <v>180.95</v>
      </c>
      <c r="F168" s="1">
        <f ca="1">IFERROR(__xludf.DUMMYFUNCTION("""COMPUTED_VALUE"""),6554536)</f>
        <v>6554536</v>
      </c>
    </row>
    <row r="169" spans="1:6" ht="12.6">
      <c r="A169" s="2">
        <f ca="1">IFERROR(__xludf.DUMMYFUNCTION("""COMPUTED_VALUE"""),44805.6666666666)</f>
        <v>44805.666666666599</v>
      </c>
      <c r="B169" s="1">
        <f ca="1">IFERROR(__xludf.DUMMYFUNCTION("""COMPUTED_VALUE"""),178.06)</f>
        <v>178.06</v>
      </c>
      <c r="C169" s="1">
        <f ca="1">IFERROR(__xludf.DUMMYFUNCTION("""COMPUTED_VALUE"""),178.17)</f>
        <v>178.17</v>
      </c>
      <c r="D169" s="1">
        <f ca="1">IFERROR(__xludf.DUMMYFUNCTION("""COMPUTED_VALUE"""),165.89)</f>
        <v>165.89</v>
      </c>
      <c r="E169" s="1">
        <f ca="1">IFERROR(__xludf.DUMMYFUNCTION("""COMPUTED_VALUE"""),173.15)</f>
        <v>173.15</v>
      </c>
      <c r="F169" s="1">
        <f ca="1">IFERROR(__xludf.DUMMYFUNCTION("""COMPUTED_VALUE"""),10505690)</f>
        <v>10505690</v>
      </c>
    </row>
    <row r="170" spans="1:6" ht="12.6">
      <c r="A170" s="2">
        <f ca="1">IFERROR(__xludf.DUMMYFUNCTION("""COMPUTED_VALUE"""),44806.6666666666)</f>
        <v>44806.666666666599</v>
      </c>
      <c r="B170" s="1">
        <f ca="1">IFERROR(__xludf.DUMMYFUNCTION("""COMPUTED_VALUE"""),175)</f>
        <v>175</v>
      </c>
      <c r="C170" s="1">
        <f ca="1">IFERROR(__xludf.DUMMYFUNCTION("""COMPUTED_VALUE"""),178.42)</f>
        <v>178.42</v>
      </c>
      <c r="D170" s="1">
        <f ca="1">IFERROR(__xludf.DUMMYFUNCTION("""COMPUTED_VALUE"""),170.39)</f>
        <v>170.39</v>
      </c>
      <c r="E170" s="1">
        <f ca="1">IFERROR(__xludf.DUMMYFUNCTION("""COMPUTED_VALUE"""),171.49)</f>
        <v>171.49</v>
      </c>
      <c r="F170" s="1">
        <f ca="1">IFERROR(__xludf.DUMMYFUNCTION("""COMPUTED_VALUE"""),5650571)</f>
        <v>5650571</v>
      </c>
    </row>
    <row r="171" spans="1:6" ht="12.6">
      <c r="A171" s="2">
        <f ca="1">IFERROR(__xludf.DUMMYFUNCTION("""COMPUTED_VALUE"""),44810.6666666666)</f>
        <v>44810.666666666599</v>
      </c>
      <c r="B171" s="1">
        <f ca="1">IFERROR(__xludf.DUMMYFUNCTION("""COMPUTED_VALUE"""),170)</f>
        <v>170</v>
      </c>
      <c r="C171" s="1">
        <f ca="1">IFERROR(__xludf.DUMMYFUNCTION("""COMPUTED_VALUE"""),174.2)</f>
        <v>174.2</v>
      </c>
      <c r="D171" s="1">
        <f ca="1">IFERROR(__xludf.DUMMYFUNCTION("""COMPUTED_VALUE"""),168.46)</f>
        <v>168.46</v>
      </c>
      <c r="E171" s="1">
        <f ca="1">IFERROR(__xludf.DUMMYFUNCTION("""COMPUTED_VALUE"""),169.8)</f>
        <v>169.8</v>
      </c>
      <c r="F171" s="1">
        <f ca="1">IFERROR(__xludf.DUMMYFUNCTION("""COMPUTED_VALUE"""),6166605)</f>
        <v>6166605</v>
      </c>
    </row>
    <row r="172" spans="1:6" ht="12.6">
      <c r="A172" s="2">
        <f ca="1">IFERROR(__xludf.DUMMYFUNCTION("""COMPUTED_VALUE"""),44811.6666666666)</f>
        <v>44811.666666666599</v>
      </c>
      <c r="B172" s="1">
        <f ca="1">IFERROR(__xludf.DUMMYFUNCTION("""COMPUTED_VALUE"""),170.75)</f>
        <v>170.75</v>
      </c>
      <c r="C172" s="1">
        <f ca="1">IFERROR(__xludf.DUMMYFUNCTION("""COMPUTED_VALUE"""),178.22)</f>
        <v>178.22</v>
      </c>
      <c r="D172" s="1">
        <f ca="1">IFERROR(__xludf.DUMMYFUNCTION("""COMPUTED_VALUE"""),167.79)</f>
        <v>167.79</v>
      </c>
      <c r="E172" s="1">
        <f ca="1">IFERROR(__xludf.DUMMYFUNCTION("""COMPUTED_VALUE"""),177.76)</f>
        <v>177.76</v>
      </c>
      <c r="F172" s="1">
        <f ca="1">IFERROR(__xludf.DUMMYFUNCTION("""COMPUTED_VALUE"""),5629714)</f>
        <v>5629714</v>
      </c>
    </row>
    <row r="173" spans="1:6" ht="12.6">
      <c r="A173" s="2">
        <f ca="1">IFERROR(__xludf.DUMMYFUNCTION("""COMPUTED_VALUE"""),44812.6666666666)</f>
        <v>44812.666666666599</v>
      </c>
      <c r="B173" s="1">
        <f ca="1">IFERROR(__xludf.DUMMYFUNCTION("""COMPUTED_VALUE"""),175.3)</f>
        <v>175.3</v>
      </c>
      <c r="C173" s="1">
        <f ca="1">IFERROR(__xludf.DUMMYFUNCTION("""COMPUTED_VALUE"""),182.27)</f>
        <v>182.27</v>
      </c>
      <c r="D173" s="1">
        <f ca="1">IFERROR(__xludf.DUMMYFUNCTION("""COMPUTED_VALUE"""),174.35)</f>
        <v>174.35</v>
      </c>
      <c r="E173" s="1">
        <f ca="1">IFERROR(__xludf.DUMMYFUNCTION("""COMPUTED_VALUE"""),179.48)</f>
        <v>179.48</v>
      </c>
      <c r="F173" s="1">
        <f ca="1">IFERROR(__xludf.DUMMYFUNCTION("""COMPUTED_VALUE"""),4499437)</f>
        <v>4499437</v>
      </c>
    </row>
    <row r="174" spans="1:6" ht="12.6">
      <c r="A174" s="2">
        <f ca="1">IFERROR(__xludf.DUMMYFUNCTION("""COMPUTED_VALUE"""),44813.6666666666)</f>
        <v>44813.666666666599</v>
      </c>
      <c r="B174" s="1">
        <f ca="1">IFERROR(__xludf.DUMMYFUNCTION("""COMPUTED_VALUE"""),181.11)</f>
        <v>181.11</v>
      </c>
      <c r="C174" s="1">
        <f ca="1">IFERROR(__xludf.DUMMYFUNCTION("""COMPUTED_VALUE"""),189.19)</f>
        <v>189.19</v>
      </c>
      <c r="D174" s="1">
        <f ca="1">IFERROR(__xludf.DUMMYFUNCTION("""COMPUTED_VALUE"""),181.01)</f>
        <v>181.01</v>
      </c>
      <c r="E174" s="1">
        <f ca="1">IFERROR(__xludf.DUMMYFUNCTION("""COMPUTED_VALUE"""),188.19)</f>
        <v>188.19</v>
      </c>
      <c r="F174" s="1">
        <f ca="1">IFERROR(__xludf.DUMMYFUNCTION("""COMPUTED_VALUE"""),5486045)</f>
        <v>5486045</v>
      </c>
    </row>
    <row r="175" spans="1:6" ht="12.6">
      <c r="A175" s="2">
        <f ca="1">IFERROR(__xludf.DUMMYFUNCTION("""COMPUTED_VALUE"""),44816.6666666666)</f>
        <v>44816.666666666599</v>
      </c>
      <c r="B175" s="1">
        <f ca="1">IFERROR(__xludf.DUMMYFUNCTION("""COMPUTED_VALUE"""),190)</f>
        <v>190</v>
      </c>
      <c r="C175" s="1">
        <f ca="1">IFERROR(__xludf.DUMMYFUNCTION("""COMPUTED_VALUE"""),195.34)</f>
        <v>195.34</v>
      </c>
      <c r="D175" s="1">
        <f ca="1">IFERROR(__xludf.DUMMYFUNCTION("""COMPUTED_VALUE"""),188.27)</f>
        <v>188.27</v>
      </c>
      <c r="E175" s="1">
        <f ca="1">IFERROR(__xludf.DUMMYFUNCTION("""COMPUTED_VALUE"""),195.21)</f>
        <v>195.21</v>
      </c>
      <c r="F175" s="1">
        <f ca="1">IFERROR(__xludf.DUMMYFUNCTION("""COMPUTED_VALUE"""),5118592)</f>
        <v>5118592</v>
      </c>
    </row>
    <row r="176" spans="1:6" ht="12.6">
      <c r="A176" s="2">
        <f ca="1">IFERROR(__xludf.DUMMYFUNCTION("""COMPUTED_VALUE"""),44817.6666666666)</f>
        <v>44817.666666666599</v>
      </c>
      <c r="B176" s="1">
        <f ca="1">IFERROR(__xludf.DUMMYFUNCTION("""COMPUTED_VALUE"""),183)</f>
        <v>183</v>
      </c>
      <c r="C176" s="1">
        <f ca="1">IFERROR(__xludf.DUMMYFUNCTION("""COMPUTED_VALUE"""),190.16)</f>
        <v>190.16</v>
      </c>
      <c r="D176" s="1">
        <f ca="1">IFERROR(__xludf.DUMMYFUNCTION("""COMPUTED_VALUE"""),179.93)</f>
        <v>179.93</v>
      </c>
      <c r="E176" s="1">
        <f ca="1">IFERROR(__xludf.DUMMYFUNCTION("""COMPUTED_VALUE"""),187.43)</f>
        <v>187.43</v>
      </c>
      <c r="F176" s="1">
        <f ca="1">IFERROR(__xludf.DUMMYFUNCTION("""COMPUTED_VALUE"""),6699909)</f>
        <v>6699909</v>
      </c>
    </row>
    <row r="177" spans="1:6" ht="12.6">
      <c r="A177" s="2">
        <f ca="1">IFERROR(__xludf.DUMMYFUNCTION("""COMPUTED_VALUE"""),44818.6666666666)</f>
        <v>44818.666666666599</v>
      </c>
      <c r="B177" s="1">
        <f ca="1">IFERROR(__xludf.DUMMYFUNCTION("""COMPUTED_VALUE"""),187.8)</f>
        <v>187.8</v>
      </c>
      <c r="C177" s="1">
        <f ca="1">IFERROR(__xludf.DUMMYFUNCTION("""COMPUTED_VALUE"""),199.36)</f>
        <v>199.36</v>
      </c>
      <c r="D177" s="1">
        <f ca="1">IFERROR(__xludf.DUMMYFUNCTION("""COMPUTED_VALUE"""),185.11)</f>
        <v>185.11</v>
      </c>
      <c r="E177" s="1">
        <f ca="1">IFERROR(__xludf.DUMMYFUNCTION("""COMPUTED_VALUE"""),197.98)</f>
        <v>197.98</v>
      </c>
      <c r="F177" s="1">
        <f ca="1">IFERROR(__xludf.DUMMYFUNCTION("""COMPUTED_VALUE"""),7329884)</f>
        <v>7329884</v>
      </c>
    </row>
    <row r="178" spans="1:6" ht="12.6">
      <c r="A178" s="2">
        <f ca="1">IFERROR(__xludf.DUMMYFUNCTION("""COMPUTED_VALUE"""),44819.6666666666)</f>
        <v>44819.666666666599</v>
      </c>
      <c r="B178" s="1">
        <f ca="1">IFERROR(__xludf.DUMMYFUNCTION("""COMPUTED_VALUE"""),194.6)</f>
        <v>194.6</v>
      </c>
      <c r="C178" s="1">
        <f ca="1">IFERROR(__xludf.DUMMYFUNCTION("""COMPUTED_VALUE"""),203.62)</f>
        <v>203.62</v>
      </c>
      <c r="D178" s="1">
        <f ca="1">IFERROR(__xludf.DUMMYFUNCTION("""COMPUTED_VALUE"""),193.71)</f>
        <v>193.71</v>
      </c>
      <c r="E178" s="1">
        <f ca="1">IFERROR(__xludf.DUMMYFUNCTION("""COMPUTED_VALUE"""),196.49)</f>
        <v>196.49</v>
      </c>
      <c r="F178" s="1">
        <f ca="1">IFERROR(__xludf.DUMMYFUNCTION("""COMPUTED_VALUE"""),9619444)</f>
        <v>9619444</v>
      </c>
    </row>
    <row r="179" spans="1:6" ht="12.6">
      <c r="A179" s="2">
        <f ca="1">IFERROR(__xludf.DUMMYFUNCTION("""COMPUTED_VALUE"""),44820.6666666666)</f>
        <v>44820.666666666599</v>
      </c>
      <c r="B179" s="1">
        <f ca="1">IFERROR(__xludf.DUMMYFUNCTION("""COMPUTED_VALUE"""),192.67)</f>
        <v>192.67</v>
      </c>
      <c r="C179" s="1">
        <f ca="1">IFERROR(__xludf.DUMMYFUNCTION("""COMPUTED_VALUE"""),193.66)</f>
        <v>193.66</v>
      </c>
      <c r="D179" s="1">
        <f ca="1">IFERROR(__xludf.DUMMYFUNCTION("""COMPUTED_VALUE"""),182.06)</f>
        <v>182.06</v>
      </c>
      <c r="E179" s="1">
        <f ca="1">IFERROR(__xludf.DUMMYFUNCTION("""COMPUTED_VALUE"""),184.67)</f>
        <v>184.67</v>
      </c>
      <c r="F179" s="1">
        <f ca="1">IFERROR(__xludf.DUMMYFUNCTION("""COMPUTED_VALUE"""),17813418)</f>
        <v>17813418</v>
      </c>
    </row>
    <row r="180" spans="1:6" ht="12.6">
      <c r="A180" s="2">
        <f ca="1">IFERROR(__xludf.DUMMYFUNCTION("""COMPUTED_VALUE"""),44823.6666666666)</f>
        <v>44823.666666666599</v>
      </c>
      <c r="B180" s="1">
        <f ca="1">IFERROR(__xludf.DUMMYFUNCTION("""COMPUTED_VALUE"""),183)</f>
        <v>183</v>
      </c>
      <c r="C180" s="1">
        <f ca="1">IFERROR(__xludf.DUMMYFUNCTION("""COMPUTED_VALUE"""),188)</f>
        <v>188</v>
      </c>
      <c r="D180" s="1">
        <f ca="1">IFERROR(__xludf.DUMMYFUNCTION("""COMPUTED_VALUE"""),181.32)</f>
        <v>181.32</v>
      </c>
      <c r="E180" s="1">
        <f ca="1">IFERROR(__xludf.DUMMYFUNCTION("""COMPUTED_VALUE"""),187.7)</f>
        <v>187.7</v>
      </c>
      <c r="F180" s="1">
        <f ca="1">IFERROR(__xludf.DUMMYFUNCTION("""COMPUTED_VALUE"""),5645642)</f>
        <v>5645642</v>
      </c>
    </row>
    <row r="181" spans="1:6" ht="12.6">
      <c r="A181" s="2">
        <f ca="1">IFERROR(__xludf.DUMMYFUNCTION("""COMPUTED_VALUE"""),44824.6666666666)</f>
        <v>44824.666666666599</v>
      </c>
      <c r="B181" s="1">
        <f ca="1">IFERROR(__xludf.DUMMYFUNCTION("""COMPUTED_VALUE"""),185.55)</f>
        <v>185.55</v>
      </c>
      <c r="C181" s="1">
        <f ca="1">IFERROR(__xludf.DUMMYFUNCTION("""COMPUTED_VALUE"""),189.39)</f>
        <v>189.39</v>
      </c>
      <c r="D181" s="1">
        <f ca="1">IFERROR(__xludf.DUMMYFUNCTION("""COMPUTED_VALUE"""),182.63)</f>
        <v>182.63</v>
      </c>
      <c r="E181" s="1">
        <f ca="1">IFERROR(__xludf.DUMMYFUNCTION("""COMPUTED_VALUE"""),182.74)</f>
        <v>182.74</v>
      </c>
      <c r="F181" s="1">
        <f ca="1">IFERROR(__xludf.DUMMYFUNCTION("""COMPUTED_VALUE"""),5059390)</f>
        <v>5059390</v>
      </c>
    </row>
    <row r="182" spans="1:6" ht="12.6">
      <c r="A182" s="2">
        <f ca="1">IFERROR(__xludf.DUMMYFUNCTION("""COMPUTED_VALUE"""),44825.6666666666)</f>
        <v>44825.666666666599</v>
      </c>
      <c r="B182" s="1">
        <f ca="1">IFERROR(__xludf.DUMMYFUNCTION("""COMPUTED_VALUE"""),183.2)</f>
        <v>183.2</v>
      </c>
      <c r="C182" s="1">
        <f ca="1">IFERROR(__xludf.DUMMYFUNCTION("""COMPUTED_VALUE"""),188.91)</f>
        <v>188.91</v>
      </c>
      <c r="D182" s="1">
        <f ca="1">IFERROR(__xludf.DUMMYFUNCTION("""COMPUTED_VALUE"""),178.68)</f>
        <v>178.68</v>
      </c>
      <c r="E182" s="1">
        <f ca="1">IFERROR(__xludf.DUMMYFUNCTION("""COMPUTED_VALUE"""),178.72)</f>
        <v>178.72</v>
      </c>
      <c r="F182" s="1">
        <f ca="1">IFERROR(__xludf.DUMMYFUNCTION("""COMPUTED_VALUE"""),5461851)</f>
        <v>5461851</v>
      </c>
    </row>
    <row r="183" spans="1:6" ht="12.6">
      <c r="A183" s="2">
        <f ca="1">IFERROR(__xludf.DUMMYFUNCTION("""COMPUTED_VALUE"""),44826.6666666666)</f>
        <v>44826.666666666599</v>
      </c>
      <c r="B183" s="1">
        <f ca="1">IFERROR(__xludf.DUMMYFUNCTION("""COMPUTED_VALUE"""),178.84)</f>
        <v>178.84</v>
      </c>
      <c r="C183" s="1">
        <f ca="1">IFERROR(__xludf.DUMMYFUNCTION("""COMPUTED_VALUE"""),182.02)</f>
        <v>182.02</v>
      </c>
      <c r="D183" s="1">
        <f ca="1">IFERROR(__xludf.DUMMYFUNCTION("""COMPUTED_VALUE"""),170.85)</f>
        <v>170.85</v>
      </c>
      <c r="E183" s="1">
        <f ca="1">IFERROR(__xludf.DUMMYFUNCTION("""COMPUTED_VALUE"""),171.79)</f>
        <v>171.79</v>
      </c>
      <c r="F183" s="1">
        <f ca="1">IFERROR(__xludf.DUMMYFUNCTION("""COMPUTED_VALUE"""),4940397)</f>
        <v>4940397</v>
      </c>
    </row>
    <row r="184" spans="1:6" ht="12.6">
      <c r="A184" s="2">
        <f ca="1">IFERROR(__xludf.DUMMYFUNCTION("""COMPUTED_VALUE"""),44827.6666666666)</f>
        <v>44827.666666666599</v>
      </c>
      <c r="B184" s="1">
        <f ca="1">IFERROR(__xludf.DUMMYFUNCTION("""COMPUTED_VALUE"""),170)</f>
        <v>170</v>
      </c>
      <c r="C184" s="1">
        <f ca="1">IFERROR(__xludf.DUMMYFUNCTION("""COMPUTED_VALUE"""),174.74)</f>
        <v>174.74</v>
      </c>
      <c r="D184" s="1">
        <f ca="1">IFERROR(__xludf.DUMMYFUNCTION("""COMPUTED_VALUE"""),167.14)</f>
        <v>167.14</v>
      </c>
      <c r="E184" s="1">
        <f ca="1">IFERROR(__xludf.DUMMYFUNCTION("""COMPUTED_VALUE"""),172.13)</f>
        <v>172.13</v>
      </c>
      <c r="F184" s="1">
        <f ca="1">IFERROR(__xludf.DUMMYFUNCTION("""COMPUTED_VALUE"""),6000266)</f>
        <v>6000266</v>
      </c>
    </row>
    <row r="185" spans="1:6" ht="12.6">
      <c r="A185" s="2">
        <f ca="1">IFERROR(__xludf.DUMMYFUNCTION("""COMPUTED_VALUE"""),44830.6666666666)</f>
        <v>44830.666666666599</v>
      </c>
      <c r="B185" s="1">
        <f ca="1">IFERROR(__xludf.DUMMYFUNCTION("""COMPUTED_VALUE"""),171.25)</f>
        <v>171.25</v>
      </c>
      <c r="C185" s="1">
        <f ca="1">IFERROR(__xludf.DUMMYFUNCTION("""COMPUTED_VALUE"""),176.91)</f>
        <v>176.91</v>
      </c>
      <c r="D185" s="1">
        <f ca="1">IFERROR(__xludf.DUMMYFUNCTION("""COMPUTED_VALUE"""),164.25)</f>
        <v>164.25</v>
      </c>
      <c r="E185" s="1">
        <f ca="1">IFERROR(__xludf.DUMMYFUNCTION("""COMPUTED_VALUE"""),165.11)</f>
        <v>165.11</v>
      </c>
      <c r="F185" s="1">
        <f ca="1">IFERROR(__xludf.DUMMYFUNCTION("""COMPUTED_VALUE"""),6180538)</f>
        <v>6180538</v>
      </c>
    </row>
    <row r="186" spans="1:6" ht="12.6">
      <c r="A186" s="2">
        <f ca="1">IFERROR(__xludf.DUMMYFUNCTION("""COMPUTED_VALUE"""),44831.6666666666)</f>
        <v>44831.666666666599</v>
      </c>
      <c r="B186" s="1">
        <f ca="1">IFERROR(__xludf.DUMMYFUNCTION("""COMPUTED_VALUE"""),170.3)</f>
        <v>170.3</v>
      </c>
      <c r="C186" s="1">
        <f ca="1">IFERROR(__xludf.DUMMYFUNCTION("""COMPUTED_VALUE"""),174.78)</f>
        <v>174.78</v>
      </c>
      <c r="D186" s="1">
        <f ca="1">IFERROR(__xludf.DUMMYFUNCTION("""COMPUTED_VALUE"""),165.5)</f>
        <v>165.5</v>
      </c>
      <c r="E186" s="1">
        <f ca="1">IFERROR(__xludf.DUMMYFUNCTION("""COMPUTED_VALUE"""),169.86)</f>
        <v>169.86</v>
      </c>
      <c r="F186" s="1">
        <f ca="1">IFERROR(__xludf.DUMMYFUNCTION("""COMPUTED_VALUE"""),5913111)</f>
        <v>5913111</v>
      </c>
    </row>
    <row r="187" spans="1:6" ht="12.6">
      <c r="A187" s="2">
        <f ca="1">IFERROR(__xludf.DUMMYFUNCTION("""COMPUTED_VALUE"""),44832.6666666666)</f>
        <v>44832.666666666599</v>
      </c>
      <c r="B187" s="1">
        <f ca="1">IFERROR(__xludf.DUMMYFUNCTION("""COMPUTED_VALUE"""),170.48)</f>
        <v>170.48</v>
      </c>
      <c r="C187" s="1">
        <f ca="1">IFERROR(__xludf.DUMMYFUNCTION("""COMPUTED_VALUE"""),174.96)</f>
        <v>174.96</v>
      </c>
      <c r="D187" s="1">
        <f ca="1">IFERROR(__xludf.DUMMYFUNCTION("""COMPUTED_VALUE"""),168.64)</f>
        <v>168.64</v>
      </c>
      <c r="E187" s="1">
        <f ca="1">IFERROR(__xludf.DUMMYFUNCTION("""COMPUTED_VALUE"""),173.84)</f>
        <v>173.84</v>
      </c>
      <c r="F187" s="1">
        <f ca="1">IFERROR(__xludf.DUMMYFUNCTION("""COMPUTED_VALUE"""),4399367)</f>
        <v>4399367</v>
      </c>
    </row>
    <row r="188" spans="1:6" ht="12.6">
      <c r="A188" s="2">
        <f ca="1">IFERROR(__xludf.DUMMYFUNCTION("""COMPUTED_VALUE"""),44833.6666666666)</f>
        <v>44833.666666666599</v>
      </c>
      <c r="B188" s="1">
        <f ca="1">IFERROR(__xludf.DUMMYFUNCTION("""COMPUTED_VALUE"""),170.38)</f>
        <v>170.38</v>
      </c>
      <c r="C188" s="1">
        <f ca="1">IFERROR(__xludf.DUMMYFUNCTION("""COMPUTED_VALUE"""),173.33)</f>
        <v>173.33</v>
      </c>
      <c r="D188" s="1">
        <f ca="1">IFERROR(__xludf.DUMMYFUNCTION("""COMPUTED_VALUE"""),166.08)</f>
        <v>166.08</v>
      </c>
      <c r="E188" s="1">
        <f ca="1">IFERROR(__xludf.DUMMYFUNCTION("""COMPUTED_VALUE"""),170.34)</f>
        <v>170.34</v>
      </c>
      <c r="F188" s="1">
        <f ca="1">IFERROR(__xludf.DUMMYFUNCTION("""COMPUTED_VALUE"""),4193798)</f>
        <v>4193798</v>
      </c>
    </row>
    <row r="189" spans="1:6" ht="12.6">
      <c r="A189" s="2">
        <f ca="1">IFERROR(__xludf.DUMMYFUNCTION("""COMPUTED_VALUE"""),44834.6666666666)</f>
        <v>44834.666666666599</v>
      </c>
      <c r="B189" s="1">
        <f ca="1">IFERROR(__xludf.DUMMYFUNCTION("""COMPUTED_VALUE"""),168.7)</f>
        <v>168.7</v>
      </c>
      <c r="C189" s="1">
        <f ca="1">IFERROR(__xludf.DUMMYFUNCTION("""COMPUTED_VALUE"""),178.46)</f>
        <v>178.46</v>
      </c>
      <c r="D189" s="1">
        <f ca="1">IFERROR(__xludf.DUMMYFUNCTION("""COMPUTED_VALUE"""),168.41)</f>
        <v>168.41</v>
      </c>
      <c r="E189" s="1">
        <f ca="1">IFERROR(__xludf.DUMMYFUNCTION("""COMPUTED_VALUE"""),169.96)</f>
        <v>169.96</v>
      </c>
      <c r="F189" s="1">
        <f ca="1">IFERROR(__xludf.DUMMYFUNCTION("""COMPUTED_VALUE"""),5494688)</f>
        <v>5494688</v>
      </c>
    </row>
    <row r="190" spans="1:6" ht="12.6">
      <c r="A190" s="2">
        <f ca="1">IFERROR(__xludf.DUMMYFUNCTION("""COMPUTED_VALUE"""),44837.6666666666)</f>
        <v>44837.666666666599</v>
      </c>
      <c r="B190" s="1">
        <f ca="1">IFERROR(__xludf.DUMMYFUNCTION("""COMPUTED_VALUE"""),170.81)</f>
        <v>170.81</v>
      </c>
      <c r="C190" s="1">
        <f ca="1">IFERROR(__xludf.DUMMYFUNCTION("""COMPUTED_VALUE"""),174.65)</f>
        <v>174.65</v>
      </c>
      <c r="D190" s="1">
        <f ca="1">IFERROR(__xludf.DUMMYFUNCTION("""COMPUTED_VALUE"""),161.77)</f>
        <v>161.77000000000001</v>
      </c>
      <c r="E190" s="1">
        <f ca="1">IFERROR(__xludf.DUMMYFUNCTION("""COMPUTED_VALUE"""),172.51)</f>
        <v>172.51</v>
      </c>
      <c r="F190" s="1">
        <f ca="1">IFERROR(__xludf.DUMMYFUNCTION("""COMPUTED_VALUE"""),7354475)</f>
        <v>7354475</v>
      </c>
    </row>
    <row r="191" spans="1:6" ht="12.6">
      <c r="A191" s="2">
        <f ca="1">IFERROR(__xludf.DUMMYFUNCTION("""COMPUTED_VALUE"""),44838.6666666666)</f>
        <v>44838.666666666599</v>
      </c>
      <c r="B191" s="1">
        <f ca="1">IFERROR(__xludf.DUMMYFUNCTION("""COMPUTED_VALUE"""),180)</f>
        <v>180</v>
      </c>
      <c r="C191" s="1">
        <f ca="1">IFERROR(__xludf.DUMMYFUNCTION("""COMPUTED_VALUE"""),184.02)</f>
        <v>184.02</v>
      </c>
      <c r="D191" s="1">
        <f ca="1">IFERROR(__xludf.DUMMYFUNCTION("""COMPUTED_VALUE"""),178.04)</f>
        <v>178.04</v>
      </c>
      <c r="E191" s="1">
        <f ca="1">IFERROR(__xludf.DUMMYFUNCTION("""COMPUTED_VALUE"""),183.81)</f>
        <v>183.81</v>
      </c>
      <c r="F191" s="1">
        <f ca="1">IFERROR(__xludf.DUMMYFUNCTION("""COMPUTED_VALUE"""),7314391)</f>
        <v>7314391</v>
      </c>
    </row>
    <row r="192" spans="1:6" ht="12.6">
      <c r="A192" s="2">
        <f ca="1">IFERROR(__xludf.DUMMYFUNCTION("""COMPUTED_VALUE"""),44839.6666666666)</f>
        <v>44839.666666666599</v>
      </c>
      <c r="B192" s="1">
        <f ca="1">IFERROR(__xludf.DUMMYFUNCTION("""COMPUTED_VALUE"""),180.52)</f>
        <v>180.52</v>
      </c>
      <c r="C192" s="1">
        <f ca="1">IFERROR(__xludf.DUMMYFUNCTION("""COMPUTED_VALUE"""),186.54)</f>
        <v>186.54</v>
      </c>
      <c r="D192" s="1">
        <f ca="1">IFERROR(__xludf.DUMMYFUNCTION("""COMPUTED_VALUE"""),176.28)</f>
        <v>176.28</v>
      </c>
      <c r="E192" s="1">
        <f ca="1">IFERROR(__xludf.DUMMYFUNCTION("""COMPUTED_VALUE"""),185.35)</f>
        <v>185.35</v>
      </c>
      <c r="F192" s="1">
        <f ca="1">IFERROR(__xludf.DUMMYFUNCTION("""COMPUTED_VALUE"""),5278421)</f>
        <v>5278421</v>
      </c>
    </row>
    <row r="193" spans="1:6" ht="12.6">
      <c r="A193" s="2">
        <f ca="1">IFERROR(__xludf.DUMMYFUNCTION("""COMPUTED_VALUE"""),44840.6666666666)</f>
        <v>44840.666666666599</v>
      </c>
      <c r="B193" s="1">
        <f ca="1">IFERROR(__xludf.DUMMYFUNCTION("""COMPUTED_VALUE"""),185.05)</f>
        <v>185.05</v>
      </c>
      <c r="C193" s="1">
        <f ca="1">IFERROR(__xludf.DUMMYFUNCTION("""COMPUTED_VALUE"""),189.75)</f>
        <v>189.75</v>
      </c>
      <c r="D193" s="1">
        <f ca="1">IFERROR(__xludf.DUMMYFUNCTION("""COMPUTED_VALUE"""),182.71)</f>
        <v>182.71</v>
      </c>
      <c r="E193" s="1">
        <f ca="1">IFERROR(__xludf.DUMMYFUNCTION("""COMPUTED_VALUE"""),188.91)</f>
        <v>188.91</v>
      </c>
      <c r="F193" s="1">
        <f ca="1">IFERROR(__xludf.DUMMYFUNCTION("""COMPUTED_VALUE"""),5291025)</f>
        <v>5291025</v>
      </c>
    </row>
    <row r="194" spans="1:6" ht="12.6">
      <c r="A194" s="2">
        <f ca="1">IFERROR(__xludf.DUMMYFUNCTION("""COMPUTED_VALUE"""),44841.6666666666)</f>
        <v>44841.666666666599</v>
      </c>
      <c r="B194" s="1">
        <f ca="1">IFERROR(__xludf.DUMMYFUNCTION("""COMPUTED_VALUE"""),183.24)</f>
        <v>183.24</v>
      </c>
      <c r="C194" s="1">
        <f ca="1">IFERROR(__xludf.DUMMYFUNCTION("""COMPUTED_VALUE"""),183.44)</f>
        <v>183.44</v>
      </c>
      <c r="D194" s="1">
        <f ca="1">IFERROR(__xludf.DUMMYFUNCTION("""COMPUTED_VALUE"""),174.54)</f>
        <v>174.54</v>
      </c>
      <c r="E194" s="1">
        <f ca="1">IFERROR(__xludf.DUMMYFUNCTION("""COMPUTED_VALUE"""),175.1)</f>
        <v>175.1</v>
      </c>
      <c r="F194" s="1">
        <f ca="1">IFERROR(__xludf.DUMMYFUNCTION("""COMPUTED_VALUE"""),5408859)</f>
        <v>5408859</v>
      </c>
    </row>
    <row r="195" spans="1:6" ht="12.6">
      <c r="A195" s="2">
        <f ca="1">IFERROR(__xludf.DUMMYFUNCTION("""COMPUTED_VALUE"""),44844.6666666666)</f>
        <v>44844.666666666599</v>
      </c>
      <c r="B195" s="1">
        <f ca="1">IFERROR(__xludf.DUMMYFUNCTION("""COMPUTED_VALUE"""),176.14)</f>
        <v>176.14</v>
      </c>
      <c r="C195" s="1">
        <f ca="1">IFERROR(__xludf.DUMMYFUNCTION("""COMPUTED_VALUE"""),176.73)</f>
        <v>176.73</v>
      </c>
      <c r="D195" s="1">
        <f ca="1">IFERROR(__xludf.DUMMYFUNCTION("""COMPUTED_VALUE"""),157)</f>
        <v>157</v>
      </c>
      <c r="E195" s="1">
        <f ca="1">IFERROR(__xludf.DUMMYFUNCTION("""COMPUTED_VALUE"""),159.05)</f>
        <v>159.05000000000001</v>
      </c>
      <c r="F195" s="1">
        <f ca="1">IFERROR(__xludf.DUMMYFUNCTION("""COMPUTED_VALUE"""),7934776)</f>
        <v>7934776</v>
      </c>
    </row>
    <row r="196" spans="1:6" ht="12.6">
      <c r="A196" s="2">
        <f ca="1">IFERROR(__xludf.DUMMYFUNCTION("""COMPUTED_VALUE"""),44845.6666666666)</f>
        <v>44845.666666666599</v>
      </c>
      <c r="B196" s="1">
        <f ca="1">IFERROR(__xludf.DUMMYFUNCTION("""COMPUTED_VALUE"""),157.66)</f>
        <v>157.66</v>
      </c>
      <c r="C196" s="1">
        <f ca="1">IFERROR(__xludf.DUMMYFUNCTION("""COMPUTED_VALUE"""),158.4)</f>
        <v>158.4</v>
      </c>
      <c r="D196" s="1">
        <f ca="1">IFERROR(__xludf.DUMMYFUNCTION("""COMPUTED_VALUE"""),145.75)</f>
        <v>145.75</v>
      </c>
      <c r="E196" s="1">
        <f ca="1">IFERROR(__xludf.DUMMYFUNCTION("""COMPUTED_VALUE"""),153.53)</f>
        <v>153.53</v>
      </c>
      <c r="F196" s="1">
        <f ca="1">IFERROR(__xludf.DUMMYFUNCTION("""COMPUTED_VALUE"""),11775348)</f>
        <v>11775348</v>
      </c>
    </row>
    <row r="197" spans="1:6" ht="12.6">
      <c r="A197" s="2">
        <f ca="1">IFERROR(__xludf.DUMMYFUNCTION("""COMPUTED_VALUE"""),44846.6666666666)</f>
        <v>44846.666666666599</v>
      </c>
      <c r="B197" s="1">
        <f ca="1">IFERROR(__xludf.DUMMYFUNCTION("""COMPUTED_VALUE"""),154.45)</f>
        <v>154.44999999999999</v>
      </c>
      <c r="C197" s="1">
        <f ca="1">IFERROR(__xludf.DUMMYFUNCTION("""COMPUTED_VALUE"""),159.2)</f>
        <v>159.19999999999999</v>
      </c>
      <c r="D197" s="1">
        <f ca="1">IFERROR(__xludf.DUMMYFUNCTION("""COMPUTED_VALUE"""),147.88)</f>
        <v>147.88</v>
      </c>
      <c r="E197" s="1">
        <f ca="1">IFERROR(__xludf.DUMMYFUNCTION("""COMPUTED_VALUE"""),158.53)</f>
        <v>158.53</v>
      </c>
      <c r="F197" s="1">
        <f ca="1">IFERROR(__xludf.DUMMYFUNCTION("""COMPUTED_VALUE"""),6810150)</f>
        <v>6810150</v>
      </c>
    </row>
    <row r="198" spans="1:6" ht="12.6">
      <c r="A198" s="2">
        <f ca="1">IFERROR(__xludf.DUMMYFUNCTION("""COMPUTED_VALUE"""),44847.6666666666)</f>
        <v>44847.666666666599</v>
      </c>
      <c r="B198" s="1">
        <f ca="1">IFERROR(__xludf.DUMMYFUNCTION("""COMPUTED_VALUE"""),148.7)</f>
        <v>148.69999999999999</v>
      </c>
      <c r="C198" s="1">
        <f ca="1">IFERROR(__xludf.DUMMYFUNCTION("""COMPUTED_VALUE"""),158.12)</f>
        <v>158.12</v>
      </c>
      <c r="D198" s="1">
        <f ca="1">IFERROR(__xludf.DUMMYFUNCTION("""COMPUTED_VALUE"""),145.62)</f>
        <v>145.62</v>
      </c>
      <c r="E198" s="1">
        <f ca="1">IFERROR(__xludf.DUMMYFUNCTION("""COMPUTED_VALUE"""),156.25)</f>
        <v>156.25</v>
      </c>
      <c r="F198" s="1">
        <f ca="1">IFERROR(__xludf.DUMMYFUNCTION("""COMPUTED_VALUE"""),10040053)</f>
        <v>10040053</v>
      </c>
    </row>
    <row r="199" spans="1:6" ht="12.6">
      <c r="A199" s="2">
        <f ca="1">IFERROR(__xludf.DUMMYFUNCTION("""COMPUTED_VALUE"""),44848.6666666666)</f>
        <v>44848.666666666599</v>
      </c>
      <c r="B199" s="1">
        <f ca="1">IFERROR(__xludf.DUMMYFUNCTION("""COMPUTED_VALUE"""),159.35)</f>
        <v>159.35</v>
      </c>
      <c r="C199" s="1">
        <f ca="1">IFERROR(__xludf.DUMMYFUNCTION("""COMPUTED_VALUE"""),163.86)</f>
        <v>163.86</v>
      </c>
      <c r="D199" s="1">
        <f ca="1">IFERROR(__xludf.DUMMYFUNCTION("""COMPUTED_VALUE"""),152)</f>
        <v>152</v>
      </c>
      <c r="E199" s="1">
        <f ca="1">IFERROR(__xludf.DUMMYFUNCTION("""COMPUTED_VALUE"""),152.38)</f>
        <v>152.38</v>
      </c>
      <c r="F199" s="1">
        <f ca="1">IFERROR(__xludf.DUMMYFUNCTION("""COMPUTED_VALUE"""),7112672)</f>
        <v>7112672</v>
      </c>
    </row>
    <row r="200" spans="1:6" ht="12.6">
      <c r="A200" s="2">
        <f ca="1">IFERROR(__xludf.DUMMYFUNCTION("""COMPUTED_VALUE"""),44851.6666666666)</f>
        <v>44851.666666666599</v>
      </c>
      <c r="B200" s="1">
        <f ca="1">IFERROR(__xludf.DUMMYFUNCTION("""COMPUTED_VALUE"""),158.5)</f>
        <v>158.5</v>
      </c>
      <c r="C200" s="1">
        <f ca="1">IFERROR(__xludf.DUMMYFUNCTION("""COMPUTED_VALUE"""),168.48)</f>
        <v>168.48</v>
      </c>
      <c r="D200" s="1">
        <f ca="1">IFERROR(__xludf.DUMMYFUNCTION("""COMPUTED_VALUE"""),156.69)</f>
        <v>156.69</v>
      </c>
      <c r="E200" s="1">
        <f ca="1">IFERROR(__xludf.DUMMYFUNCTION("""COMPUTED_VALUE"""),167.54)</f>
        <v>167.54</v>
      </c>
      <c r="F200" s="1">
        <f ca="1">IFERROR(__xludf.DUMMYFUNCTION("""COMPUTED_VALUE"""),7588637)</f>
        <v>7588637</v>
      </c>
    </row>
    <row r="201" spans="1:6" ht="12.6">
      <c r="A201" s="2">
        <f ca="1">IFERROR(__xludf.DUMMYFUNCTION("""COMPUTED_VALUE"""),44852.6666666666)</f>
        <v>44852.666666666599</v>
      </c>
      <c r="B201" s="1">
        <f ca="1">IFERROR(__xludf.DUMMYFUNCTION("""COMPUTED_VALUE"""),174.8)</f>
        <v>174.8</v>
      </c>
      <c r="C201" s="1">
        <f ca="1">IFERROR(__xludf.DUMMYFUNCTION("""COMPUTED_VALUE"""),178.46)</f>
        <v>178.46</v>
      </c>
      <c r="D201" s="1">
        <f ca="1">IFERROR(__xludf.DUMMYFUNCTION("""COMPUTED_VALUE"""),171.42)</f>
        <v>171.42</v>
      </c>
      <c r="E201" s="1">
        <f ca="1">IFERROR(__xludf.DUMMYFUNCTION("""COMPUTED_VALUE"""),173.17)</f>
        <v>173.17</v>
      </c>
      <c r="F201" s="1">
        <f ca="1">IFERROR(__xludf.DUMMYFUNCTION("""COMPUTED_VALUE"""),8277873)</f>
        <v>8277873</v>
      </c>
    </row>
    <row r="202" spans="1:6" ht="12.6">
      <c r="A202" s="2">
        <f ca="1">IFERROR(__xludf.DUMMYFUNCTION("""COMPUTED_VALUE"""),44853.6666666666)</f>
        <v>44853.666666666599</v>
      </c>
      <c r="B202" s="1">
        <f ca="1">IFERROR(__xludf.DUMMYFUNCTION("""COMPUTED_VALUE"""),169.78)</f>
        <v>169.78</v>
      </c>
      <c r="C202" s="1">
        <f ca="1">IFERROR(__xludf.DUMMYFUNCTION("""COMPUTED_VALUE"""),174.32)</f>
        <v>174.32</v>
      </c>
      <c r="D202" s="1">
        <f ca="1">IFERROR(__xludf.DUMMYFUNCTION("""COMPUTED_VALUE"""),168.21)</f>
        <v>168.21</v>
      </c>
      <c r="E202" s="1">
        <f ca="1">IFERROR(__xludf.DUMMYFUNCTION("""COMPUTED_VALUE"""),171.04)</f>
        <v>171.04</v>
      </c>
      <c r="F202" s="1">
        <f ca="1">IFERROR(__xludf.DUMMYFUNCTION("""COMPUTED_VALUE"""),3096535)</f>
        <v>3096535</v>
      </c>
    </row>
    <row r="203" spans="1:6" ht="12.6">
      <c r="A203" s="2">
        <f ca="1">IFERROR(__xludf.DUMMYFUNCTION("""COMPUTED_VALUE"""),44854.6666666666)</f>
        <v>44854.666666666599</v>
      </c>
      <c r="B203" s="1">
        <f ca="1">IFERROR(__xludf.DUMMYFUNCTION("""COMPUTED_VALUE"""),171.8)</f>
        <v>171.8</v>
      </c>
      <c r="C203" s="1">
        <f ca="1">IFERROR(__xludf.DUMMYFUNCTION("""COMPUTED_VALUE"""),179.95)</f>
        <v>179.95</v>
      </c>
      <c r="D203" s="1">
        <f ca="1">IFERROR(__xludf.DUMMYFUNCTION("""COMPUTED_VALUE"""),171.01)</f>
        <v>171.01</v>
      </c>
      <c r="E203" s="1">
        <f ca="1">IFERROR(__xludf.DUMMYFUNCTION("""COMPUTED_VALUE"""),174.04)</f>
        <v>174.04</v>
      </c>
      <c r="F203" s="1">
        <f ca="1">IFERROR(__xludf.DUMMYFUNCTION("""COMPUTED_VALUE"""),4625941)</f>
        <v>4625941</v>
      </c>
    </row>
    <row r="204" spans="1:6" ht="12.6">
      <c r="A204" s="2">
        <f ca="1">IFERROR(__xludf.DUMMYFUNCTION("""COMPUTED_VALUE"""),44855.6666666666)</f>
        <v>44855.666666666599</v>
      </c>
      <c r="B204" s="1">
        <f ca="1">IFERROR(__xludf.DUMMYFUNCTION("""COMPUTED_VALUE"""),171.75)</f>
        <v>171.75</v>
      </c>
      <c r="C204" s="1">
        <f ca="1">IFERROR(__xludf.DUMMYFUNCTION("""COMPUTED_VALUE"""),177.52)</f>
        <v>177.52</v>
      </c>
      <c r="D204" s="1">
        <f ca="1">IFERROR(__xludf.DUMMYFUNCTION("""COMPUTED_VALUE"""),166.72)</f>
        <v>166.72</v>
      </c>
      <c r="E204" s="1">
        <f ca="1">IFERROR(__xludf.DUMMYFUNCTION("""COMPUTED_VALUE"""),177.1)</f>
        <v>177.1</v>
      </c>
      <c r="F204" s="1">
        <f ca="1">IFERROR(__xludf.DUMMYFUNCTION("""COMPUTED_VALUE"""),4027553)</f>
        <v>4027553</v>
      </c>
    </row>
    <row r="205" spans="1:6" ht="12.6">
      <c r="A205" s="2">
        <f ca="1">IFERROR(__xludf.DUMMYFUNCTION("""COMPUTED_VALUE"""),44858.6666666666)</f>
        <v>44858.666666666599</v>
      </c>
      <c r="B205" s="1">
        <f ca="1">IFERROR(__xludf.DUMMYFUNCTION("""COMPUTED_VALUE"""),178)</f>
        <v>178</v>
      </c>
      <c r="C205" s="1">
        <f ca="1">IFERROR(__xludf.DUMMYFUNCTION("""COMPUTED_VALUE"""),178.05)</f>
        <v>178.05</v>
      </c>
      <c r="D205" s="1">
        <f ca="1">IFERROR(__xludf.DUMMYFUNCTION("""COMPUTED_VALUE"""),169.76)</f>
        <v>169.76</v>
      </c>
      <c r="E205" s="1">
        <f ca="1">IFERROR(__xludf.DUMMYFUNCTION("""COMPUTED_VALUE"""),174.77)</f>
        <v>174.77</v>
      </c>
      <c r="F205" s="1">
        <f ca="1">IFERROR(__xludf.DUMMYFUNCTION("""COMPUTED_VALUE"""),3253567)</f>
        <v>3253567</v>
      </c>
    </row>
    <row r="206" spans="1:6" ht="12.6">
      <c r="A206" s="2">
        <f ca="1">IFERROR(__xludf.DUMMYFUNCTION("""COMPUTED_VALUE"""),44859.6666666666)</f>
        <v>44859.666666666599</v>
      </c>
      <c r="B206" s="1">
        <f ca="1">IFERROR(__xludf.DUMMYFUNCTION("""COMPUTED_VALUE"""),177.25)</f>
        <v>177.25</v>
      </c>
      <c r="C206" s="1">
        <f ca="1">IFERROR(__xludf.DUMMYFUNCTION("""COMPUTED_VALUE"""),183.46)</f>
        <v>183.46</v>
      </c>
      <c r="D206" s="1">
        <f ca="1">IFERROR(__xludf.DUMMYFUNCTION("""COMPUTED_VALUE"""),176.21)</f>
        <v>176.21</v>
      </c>
      <c r="E206" s="1">
        <f ca="1">IFERROR(__xludf.DUMMYFUNCTION("""COMPUTED_VALUE"""),181.82)</f>
        <v>181.82</v>
      </c>
      <c r="F206" s="1">
        <f ca="1">IFERROR(__xludf.DUMMYFUNCTION("""COMPUTED_VALUE"""),3652123)</f>
        <v>3652123</v>
      </c>
    </row>
    <row r="207" spans="1:6" ht="12.6">
      <c r="A207" s="2">
        <f ca="1">IFERROR(__xludf.DUMMYFUNCTION("""COMPUTED_VALUE"""),44860.6666666666)</f>
        <v>44860.666666666599</v>
      </c>
      <c r="B207" s="1">
        <f ca="1">IFERROR(__xludf.DUMMYFUNCTION("""COMPUTED_VALUE"""),169.8)</f>
        <v>169.8</v>
      </c>
      <c r="C207" s="1">
        <f ca="1">IFERROR(__xludf.DUMMYFUNCTION("""COMPUTED_VALUE"""),179.58)</f>
        <v>179.58</v>
      </c>
      <c r="D207" s="1">
        <f ca="1">IFERROR(__xludf.DUMMYFUNCTION("""COMPUTED_VALUE"""),167.78)</f>
        <v>167.78</v>
      </c>
      <c r="E207" s="1">
        <f ca="1">IFERROR(__xludf.DUMMYFUNCTION("""COMPUTED_VALUE"""),169.45)</f>
        <v>169.45</v>
      </c>
      <c r="F207" s="1">
        <f ca="1">IFERROR(__xludf.DUMMYFUNCTION("""COMPUTED_VALUE"""),6582709)</f>
        <v>6582709</v>
      </c>
    </row>
    <row r="208" spans="1:6" ht="12.6">
      <c r="A208" s="2">
        <f ca="1">IFERROR(__xludf.DUMMYFUNCTION("""COMPUTED_VALUE"""),44861.6666666666)</f>
        <v>44861.666666666599</v>
      </c>
      <c r="B208" s="1">
        <f ca="1">IFERROR(__xludf.DUMMYFUNCTION("""COMPUTED_VALUE"""),171.64)</f>
        <v>171.64</v>
      </c>
      <c r="C208" s="1">
        <f ca="1">IFERROR(__xludf.DUMMYFUNCTION("""COMPUTED_VALUE"""),175.18)</f>
        <v>175.18</v>
      </c>
      <c r="D208" s="1">
        <f ca="1">IFERROR(__xludf.DUMMYFUNCTION("""COMPUTED_VALUE"""),168.1)</f>
        <v>168.1</v>
      </c>
      <c r="E208" s="1">
        <f ca="1">IFERROR(__xludf.DUMMYFUNCTION("""COMPUTED_VALUE"""),169.11)</f>
        <v>169.11</v>
      </c>
      <c r="F208" s="1">
        <f ca="1">IFERROR(__xludf.DUMMYFUNCTION("""COMPUTED_VALUE"""),4082195)</f>
        <v>4082195</v>
      </c>
    </row>
    <row r="209" spans="1:6" ht="12.6">
      <c r="A209" s="2">
        <f ca="1">IFERROR(__xludf.DUMMYFUNCTION("""COMPUTED_VALUE"""),44862.6666666666)</f>
        <v>44862.666666666599</v>
      </c>
      <c r="B209" s="1">
        <f ca="1">IFERROR(__xludf.DUMMYFUNCTION("""COMPUTED_VALUE"""),162.64)</f>
        <v>162.63999999999999</v>
      </c>
      <c r="C209" s="1">
        <f ca="1">IFERROR(__xludf.DUMMYFUNCTION("""COMPUTED_VALUE"""),164.3)</f>
        <v>164.3</v>
      </c>
      <c r="D209" s="1">
        <f ca="1">IFERROR(__xludf.DUMMYFUNCTION("""COMPUTED_VALUE"""),155.03)</f>
        <v>155.03</v>
      </c>
      <c r="E209" s="1">
        <f ca="1">IFERROR(__xludf.DUMMYFUNCTION("""COMPUTED_VALUE"""),159.69)</f>
        <v>159.69</v>
      </c>
      <c r="F209" s="1">
        <f ca="1">IFERROR(__xludf.DUMMYFUNCTION("""COMPUTED_VALUE"""),7836579)</f>
        <v>7836579</v>
      </c>
    </row>
    <row r="210" spans="1:6" ht="12.6">
      <c r="A210" s="2">
        <f ca="1">IFERROR(__xludf.DUMMYFUNCTION("""COMPUTED_VALUE"""),44865.6666666666)</f>
        <v>44865.666666666599</v>
      </c>
      <c r="B210" s="1">
        <f ca="1">IFERROR(__xludf.DUMMYFUNCTION("""COMPUTED_VALUE"""),159.25)</f>
        <v>159.25</v>
      </c>
      <c r="C210" s="1">
        <f ca="1">IFERROR(__xludf.DUMMYFUNCTION("""COMPUTED_VALUE"""),161.88)</f>
        <v>161.88</v>
      </c>
      <c r="D210" s="1">
        <f ca="1">IFERROR(__xludf.DUMMYFUNCTION("""COMPUTED_VALUE"""),155.85)</f>
        <v>155.85</v>
      </c>
      <c r="E210" s="1">
        <f ca="1">IFERROR(__xludf.DUMMYFUNCTION("""COMPUTED_VALUE"""),160.3)</f>
        <v>160.30000000000001</v>
      </c>
      <c r="F210" s="1">
        <f ca="1">IFERROR(__xludf.DUMMYFUNCTION("""COMPUTED_VALUE"""),4302471)</f>
        <v>4302471</v>
      </c>
    </row>
    <row r="211" spans="1:6" ht="12.6">
      <c r="A211" s="2">
        <f ca="1">IFERROR(__xludf.DUMMYFUNCTION("""COMPUTED_VALUE"""),44866.6666666666)</f>
        <v>44866.666666666599</v>
      </c>
      <c r="B211" s="1">
        <f ca="1">IFERROR(__xludf.DUMMYFUNCTION("""COMPUTED_VALUE"""),164.74)</f>
        <v>164.74</v>
      </c>
      <c r="C211" s="1">
        <f ca="1">IFERROR(__xludf.DUMMYFUNCTION("""COMPUTED_VALUE"""),167.41)</f>
        <v>167.41</v>
      </c>
      <c r="D211" s="1">
        <f ca="1">IFERROR(__xludf.DUMMYFUNCTION("""COMPUTED_VALUE"""),158.74)</f>
        <v>158.74</v>
      </c>
      <c r="E211" s="1">
        <f ca="1">IFERROR(__xludf.DUMMYFUNCTION("""COMPUTED_VALUE"""),159.5)</f>
        <v>159.5</v>
      </c>
      <c r="F211" s="1">
        <f ca="1">IFERROR(__xludf.DUMMYFUNCTION("""COMPUTED_VALUE"""),3153090)</f>
        <v>3153090</v>
      </c>
    </row>
    <row r="212" spans="1:6" ht="12.6">
      <c r="A212" s="2">
        <f ca="1">IFERROR(__xludf.DUMMYFUNCTION("""COMPUTED_VALUE"""),44867.6666666666)</f>
        <v>44867.666666666599</v>
      </c>
      <c r="B212" s="1">
        <f ca="1">IFERROR(__xludf.DUMMYFUNCTION("""COMPUTED_VALUE"""),157.75)</f>
        <v>157.75</v>
      </c>
      <c r="C212" s="1">
        <f ca="1">IFERROR(__xludf.DUMMYFUNCTION("""COMPUTED_VALUE"""),157.99)</f>
        <v>157.99</v>
      </c>
      <c r="D212" s="1">
        <f ca="1">IFERROR(__xludf.DUMMYFUNCTION("""COMPUTED_VALUE"""),147.25)</f>
        <v>147.25</v>
      </c>
      <c r="E212" s="1">
        <f ca="1">IFERROR(__xludf.DUMMYFUNCTION("""COMPUTED_VALUE"""),147.75)</f>
        <v>147.75</v>
      </c>
      <c r="F212" s="1">
        <f ca="1">IFERROR(__xludf.DUMMYFUNCTION("""COMPUTED_VALUE"""),6244013)</f>
        <v>6244013</v>
      </c>
    </row>
    <row r="213" spans="1:6" ht="12.6">
      <c r="A213" s="2">
        <f ca="1">IFERROR(__xludf.DUMMYFUNCTION("""COMPUTED_VALUE"""),44868.6666666666)</f>
        <v>44868.666666666599</v>
      </c>
      <c r="B213" s="1">
        <f ca="1">IFERROR(__xludf.DUMMYFUNCTION("""COMPUTED_VALUE"""),146.61)</f>
        <v>146.61000000000001</v>
      </c>
      <c r="C213" s="1">
        <f ca="1">IFERROR(__xludf.DUMMYFUNCTION("""COMPUTED_VALUE"""),157.19)</f>
        <v>157.19</v>
      </c>
      <c r="D213" s="1">
        <f ca="1">IFERROR(__xludf.DUMMYFUNCTION("""COMPUTED_VALUE"""),146.2)</f>
        <v>146.19999999999999</v>
      </c>
      <c r="E213" s="1">
        <f ca="1">IFERROR(__xludf.DUMMYFUNCTION("""COMPUTED_VALUE"""),150.47)</f>
        <v>150.47</v>
      </c>
      <c r="F213" s="1">
        <f ca="1">IFERROR(__xludf.DUMMYFUNCTION("""COMPUTED_VALUE"""),5935973)</f>
        <v>5935973</v>
      </c>
    </row>
    <row r="214" spans="1:6" ht="12.6">
      <c r="A214" s="2">
        <f ca="1">IFERROR(__xludf.DUMMYFUNCTION("""COMPUTED_VALUE"""),44869.6666666666)</f>
        <v>44869.666666666599</v>
      </c>
      <c r="B214" s="1">
        <f ca="1">IFERROR(__xludf.DUMMYFUNCTION("""COMPUTED_VALUE"""),148.73)</f>
        <v>148.72999999999999</v>
      </c>
      <c r="C214" s="1">
        <f ca="1">IFERROR(__xludf.DUMMYFUNCTION("""COMPUTED_VALUE"""),148.75)</f>
        <v>148.75</v>
      </c>
      <c r="D214" s="1">
        <f ca="1">IFERROR(__xludf.DUMMYFUNCTION("""COMPUTED_VALUE"""),129.36)</f>
        <v>129.36000000000001</v>
      </c>
      <c r="E214" s="1">
        <f ca="1">IFERROR(__xludf.DUMMYFUNCTION("""COMPUTED_VALUE"""),132.31)</f>
        <v>132.31</v>
      </c>
      <c r="F214" s="1">
        <f ca="1">IFERROR(__xludf.DUMMYFUNCTION("""COMPUTED_VALUE"""),10787660)</f>
        <v>10787660</v>
      </c>
    </row>
    <row r="215" spans="1:6" ht="12.6">
      <c r="A215" s="2">
        <f ca="1">IFERROR(__xludf.DUMMYFUNCTION("""COMPUTED_VALUE"""),44872.6666666666)</f>
        <v>44872.666666666599</v>
      </c>
      <c r="B215" s="1">
        <f ca="1">IFERROR(__xludf.DUMMYFUNCTION("""COMPUTED_VALUE"""),133.46)</f>
        <v>133.46</v>
      </c>
      <c r="C215" s="1">
        <f ca="1">IFERROR(__xludf.DUMMYFUNCTION("""COMPUTED_VALUE"""),134.08)</f>
        <v>134.08000000000001</v>
      </c>
      <c r="D215" s="1">
        <f ca="1">IFERROR(__xludf.DUMMYFUNCTION("""COMPUTED_VALUE"""),126.3)</f>
        <v>126.3</v>
      </c>
      <c r="E215" s="1">
        <f ca="1">IFERROR(__xludf.DUMMYFUNCTION("""COMPUTED_VALUE"""),129.1)</f>
        <v>129.1</v>
      </c>
      <c r="F215" s="1">
        <f ca="1">IFERROR(__xludf.DUMMYFUNCTION("""COMPUTED_VALUE"""),5756412)</f>
        <v>5756412</v>
      </c>
    </row>
    <row r="216" spans="1:6" ht="12.6">
      <c r="A216" s="2">
        <f ca="1">IFERROR(__xludf.DUMMYFUNCTION("""COMPUTED_VALUE"""),44873.6666666666)</f>
        <v>44873.666666666599</v>
      </c>
      <c r="B216" s="1">
        <f ca="1">IFERROR(__xludf.DUMMYFUNCTION("""COMPUTED_VALUE"""),130.91)</f>
        <v>130.91</v>
      </c>
      <c r="C216" s="1">
        <f ca="1">IFERROR(__xludf.DUMMYFUNCTION("""COMPUTED_VALUE"""),133.67)</f>
        <v>133.66999999999999</v>
      </c>
      <c r="D216" s="1">
        <f ca="1">IFERROR(__xludf.DUMMYFUNCTION("""COMPUTED_VALUE"""),124.89)</f>
        <v>124.89</v>
      </c>
      <c r="E216" s="1">
        <f ca="1">IFERROR(__xludf.DUMMYFUNCTION("""COMPUTED_VALUE"""),129.16)</f>
        <v>129.16</v>
      </c>
      <c r="F216" s="1">
        <f ca="1">IFERROR(__xludf.DUMMYFUNCTION("""COMPUTED_VALUE"""),5532853)</f>
        <v>5532853</v>
      </c>
    </row>
    <row r="217" spans="1:6" ht="12.6">
      <c r="A217" s="2">
        <f ca="1">IFERROR(__xludf.DUMMYFUNCTION("""COMPUTED_VALUE"""),44874.6666666666)</f>
        <v>44874.666666666599</v>
      </c>
      <c r="B217" s="1">
        <f ca="1">IFERROR(__xludf.DUMMYFUNCTION("""COMPUTED_VALUE"""),126.52)</f>
        <v>126.52</v>
      </c>
      <c r="C217" s="1">
        <f ca="1">IFERROR(__xludf.DUMMYFUNCTION("""COMPUTED_VALUE"""),128.8)</f>
        <v>128.80000000000001</v>
      </c>
      <c r="D217" s="1">
        <f ca="1">IFERROR(__xludf.DUMMYFUNCTION("""COMPUTED_VALUE"""),122.77)</f>
        <v>122.77</v>
      </c>
      <c r="E217" s="1">
        <f ca="1">IFERROR(__xludf.DUMMYFUNCTION("""COMPUTED_VALUE"""),126.26)</f>
        <v>126.26</v>
      </c>
      <c r="F217" s="1">
        <f ca="1">IFERROR(__xludf.DUMMYFUNCTION("""COMPUTED_VALUE"""),6133055)</f>
        <v>6133055</v>
      </c>
    </row>
    <row r="218" spans="1:6" ht="12.6">
      <c r="A218" s="2">
        <f ca="1">IFERROR(__xludf.DUMMYFUNCTION("""COMPUTED_VALUE"""),44875.6666666666)</f>
        <v>44875.666666666599</v>
      </c>
      <c r="B218" s="1">
        <f ca="1">IFERROR(__xludf.DUMMYFUNCTION("""COMPUTED_VALUE"""),140.1)</f>
        <v>140.1</v>
      </c>
      <c r="C218" s="1">
        <f ca="1">IFERROR(__xludf.DUMMYFUNCTION("""COMPUTED_VALUE"""),149.27)</f>
        <v>149.27000000000001</v>
      </c>
      <c r="D218" s="1">
        <f ca="1">IFERROR(__xludf.DUMMYFUNCTION("""COMPUTED_VALUE"""),139.7)</f>
        <v>139.69999999999999</v>
      </c>
      <c r="E218" s="1">
        <f ca="1">IFERROR(__xludf.DUMMYFUNCTION("""COMPUTED_VALUE"""),145.38)</f>
        <v>145.38</v>
      </c>
      <c r="F218" s="1">
        <f ca="1">IFERROR(__xludf.DUMMYFUNCTION("""COMPUTED_VALUE"""),9755188)</f>
        <v>9755188</v>
      </c>
    </row>
    <row r="219" spans="1:6" ht="12.6">
      <c r="A219" s="2">
        <f ca="1">IFERROR(__xludf.DUMMYFUNCTION("""COMPUTED_VALUE"""),44876.6666666666)</f>
        <v>44876.666666666599</v>
      </c>
      <c r="B219" s="1">
        <f ca="1">IFERROR(__xludf.DUMMYFUNCTION("""COMPUTED_VALUE"""),146.64)</f>
        <v>146.63999999999999</v>
      </c>
      <c r="C219" s="1">
        <f ca="1">IFERROR(__xludf.DUMMYFUNCTION("""COMPUTED_VALUE"""),162.37)</f>
        <v>162.37</v>
      </c>
      <c r="D219" s="1">
        <f ca="1">IFERROR(__xludf.DUMMYFUNCTION("""COMPUTED_VALUE"""),143.79)</f>
        <v>143.79</v>
      </c>
      <c r="E219" s="1">
        <f ca="1">IFERROR(__xludf.DUMMYFUNCTION("""COMPUTED_VALUE"""),159.41)</f>
        <v>159.41</v>
      </c>
      <c r="F219" s="1">
        <f ca="1">IFERROR(__xludf.DUMMYFUNCTION("""COMPUTED_VALUE"""),8671662)</f>
        <v>8671662</v>
      </c>
    </row>
    <row r="220" spans="1:6" ht="12.6">
      <c r="A220" s="2">
        <f ca="1">IFERROR(__xludf.DUMMYFUNCTION("""COMPUTED_VALUE"""),44879.6666666666)</f>
        <v>44879.666666666599</v>
      </c>
      <c r="B220" s="1">
        <f ca="1">IFERROR(__xludf.DUMMYFUNCTION("""COMPUTED_VALUE"""),157.33)</f>
        <v>157.33000000000001</v>
      </c>
      <c r="C220" s="1">
        <f ca="1">IFERROR(__xludf.DUMMYFUNCTION("""COMPUTED_VALUE"""),160.9)</f>
        <v>160.9</v>
      </c>
      <c r="D220" s="1">
        <f ca="1">IFERROR(__xludf.DUMMYFUNCTION("""COMPUTED_VALUE"""),152.47)</f>
        <v>152.47</v>
      </c>
      <c r="E220" s="1">
        <f ca="1">IFERROR(__xludf.DUMMYFUNCTION("""COMPUTED_VALUE"""),157.84)</f>
        <v>157.84</v>
      </c>
      <c r="F220" s="1">
        <f ca="1">IFERROR(__xludf.DUMMYFUNCTION("""COMPUTED_VALUE"""),4577600)</f>
        <v>4577600</v>
      </c>
    </row>
    <row r="221" spans="1:6" ht="12.6">
      <c r="A221" s="2">
        <f ca="1">IFERROR(__xludf.DUMMYFUNCTION("""COMPUTED_VALUE"""),44880.6666666666)</f>
        <v>44880.666666666599</v>
      </c>
      <c r="B221" s="1">
        <f ca="1">IFERROR(__xludf.DUMMYFUNCTION("""COMPUTED_VALUE"""),165.59)</f>
        <v>165.59</v>
      </c>
      <c r="C221" s="1">
        <f ca="1">IFERROR(__xludf.DUMMYFUNCTION("""COMPUTED_VALUE"""),168)</f>
        <v>168</v>
      </c>
      <c r="D221" s="1">
        <f ca="1">IFERROR(__xludf.DUMMYFUNCTION("""COMPUTED_VALUE"""),160.6)</f>
        <v>160.6</v>
      </c>
      <c r="E221" s="1">
        <f ca="1">IFERROR(__xludf.DUMMYFUNCTION("""COMPUTED_VALUE"""),163.49)</f>
        <v>163.49</v>
      </c>
      <c r="F221" s="1">
        <f ca="1">IFERROR(__xludf.DUMMYFUNCTION("""COMPUTED_VALUE"""),4142807)</f>
        <v>4142807</v>
      </c>
    </row>
    <row r="222" spans="1:6" ht="12.6">
      <c r="A222" s="2">
        <f ca="1">IFERROR(__xludf.DUMMYFUNCTION("""COMPUTED_VALUE"""),44881.6666666666)</f>
        <v>44881.666666666599</v>
      </c>
      <c r="B222" s="1">
        <f ca="1">IFERROR(__xludf.DUMMYFUNCTION("""COMPUTED_VALUE"""),159.63)</f>
        <v>159.63</v>
      </c>
      <c r="C222" s="1">
        <f ca="1">IFERROR(__xludf.DUMMYFUNCTION("""COMPUTED_VALUE"""),161.49)</f>
        <v>161.49</v>
      </c>
      <c r="D222" s="1">
        <f ca="1">IFERROR(__xludf.DUMMYFUNCTION("""COMPUTED_VALUE"""),153.91)</f>
        <v>153.91</v>
      </c>
      <c r="E222" s="1">
        <f ca="1">IFERROR(__xludf.DUMMYFUNCTION("""COMPUTED_VALUE"""),154.15)</f>
        <v>154.15</v>
      </c>
      <c r="F222" s="1">
        <f ca="1">IFERROR(__xludf.DUMMYFUNCTION("""COMPUTED_VALUE"""),3800697)</f>
        <v>3800697</v>
      </c>
    </row>
    <row r="223" spans="1:6" ht="12.6">
      <c r="A223" s="2">
        <f ca="1">IFERROR(__xludf.DUMMYFUNCTION("""COMPUTED_VALUE"""),44882.6666666666)</f>
        <v>44882.666666666599</v>
      </c>
      <c r="B223" s="1">
        <f ca="1">IFERROR(__xludf.DUMMYFUNCTION("""COMPUTED_VALUE"""),149.73)</f>
        <v>149.72999999999999</v>
      </c>
      <c r="C223" s="1">
        <f ca="1">IFERROR(__xludf.DUMMYFUNCTION("""COMPUTED_VALUE"""),151.79)</f>
        <v>151.79</v>
      </c>
      <c r="D223" s="1">
        <f ca="1">IFERROR(__xludf.DUMMYFUNCTION("""COMPUTED_VALUE"""),145.31)</f>
        <v>145.31</v>
      </c>
      <c r="E223" s="1">
        <f ca="1">IFERROR(__xludf.DUMMYFUNCTION("""COMPUTED_VALUE"""),147.69)</f>
        <v>147.69</v>
      </c>
      <c r="F223" s="1">
        <f ca="1">IFERROR(__xludf.DUMMYFUNCTION("""COMPUTED_VALUE"""),4557930)</f>
        <v>4557930</v>
      </c>
    </row>
    <row r="224" spans="1:6" ht="12.6">
      <c r="A224" s="2">
        <f ca="1">IFERROR(__xludf.DUMMYFUNCTION("""COMPUTED_VALUE"""),44883.6666666666)</f>
        <v>44883.666666666599</v>
      </c>
      <c r="B224" s="1">
        <f ca="1">IFERROR(__xludf.DUMMYFUNCTION("""COMPUTED_VALUE"""),151.24)</f>
        <v>151.24</v>
      </c>
      <c r="C224" s="1">
        <f ca="1">IFERROR(__xludf.DUMMYFUNCTION("""COMPUTED_VALUE"""),151.52)</f>
        <v>151.52000000000001</v>
      </c>
      <c r="D224" s="1">
        <f ca="1">IFERROR(__xludf.DUMMYFUNCTION("""COMPUTED_VALUE"""),144.71)</f>
        <v>144.71</v>
      </c>
      <c r="E224" s="1">
        <f ca="1">IFERROR(__xludf.DUMMYFUNCTION("""COMPUTED_VALUE"""),146.2)</f>
        <v>146.19999999999999</v>
      </c>
      <c r="F224" s="1">
        <f ca="1">IFERROR(__xludf.DUMMYFUNCTION("""COMPUTED_VALUE"""),3133115)</f>
        <v>3133115</v>
      </c>
    </row>
    <row r="225" spans="1:6" ht="12.6">
      <c r="A225" s="2">
        <f ca="1">IFERROR(__xludf.DUMMYFUNCTION("""COMPUTED_VALUE"""),44886.6666666666)</f>
        <v>44886.666666666599</v>
      </c>
      <c r="B225" s="1">
        <f ca="1">IFERROR(__xludf.DUMMYFUNCTION("""COMPUTED_VALUE"""),143.26)</f>
        <v>143.26</v>
      </c>
      <c r="C225" s="1">
        <f ca="1">IFERROR(__xludf.DUMMYFUNCTION("""COMPUTED_VALUE"""),144.56)</f>
        <v>144.56</v>
      </c>
      <c r="D225" s="1">
        <f ca="1">IFERROR(__xludf.DUMMYFUNCTION("""COMPUTED_VALUE"""),138.4)</f>
        <v>138.4</v>
      </c>
      <c r="E225" s="1">
        <f ca="1">IFERROR(__xludf.DUMMYFUNCTION("""COMPUTED_VALUE"""),141.14)</f>
        <v>141.13999999999999</v>
      </c>
      <c r="F225" s="1">
        <f ca="1">IFERROR(__xludf.DUMMYFUNCTION("""COMPUTED_VALUE"""),3535053)</f>
        <v>3535053</v>
      </c>
    </row>
    <row r="226" spans="1:6" ht="12.6">
      <c r="A226" s="2">
        <f ca="1">IFERROR(__xludf.DUMMYFUNCTION("""COMPUTED_VALUE"""),44887.6666666666)</f>
        <v>44887.666666666599</v>
      </c>
      <c r="B226" s="1">
        <f ca="1">IFERROR(__xludf.DUMMYFUNCTION("""COMPUTED_VALUE"""),142.51)</f>
        <v>142.51</v>
      </c>
      <c r="C226" s="1">
        <f ca="1">IFERROR(__xludf.DUMMYFUNCTION("""COMPUTED_VALUE"""),143.63)</f>
        <v>143.63</v>
      </c>
      <c r="D226" s="1">
        <f ca="1">IFERROR(__xludf.DUMMYFUNCTION("""COMPUTED_VALUE"""),136.51)</f>
        <v>136.51</v>
      </c>
      <c r="E226" s="1">
        <f ca="1">IFERROR(__xludf.DUMMYFUNCTION("""COMPUTED_VALUE"""),143.36)</f>
        <v>143.36000000000001</v>
      </c>
      <c r="F226" s="1">
        <f ca="1">IFERROR(__xludf.DUMMYFUNCTION("""COMPUTED_VALUE"""),4006243)</f>
        <v>4006243</v>
      </c>
    </row>
    <row r="227" spans="1:6" ht="12.6">
      <c r="A227" s="2">
        <f ca="1">IFERROR(__xludf.DUMMYFUNCTION("""COMPUTED_VALUE"""),44888.6666666666)</f>
        <v>44888.666666666599</v>
      </c>
      <c r="B227" s="1">
        <f ca="1">IFERROR(__xludf.DUMMYFUNCTION("""COMPUTED_VALUE"""),143.73)</f>
        <v>143.72999999999999</v>
      </c>
      <c r="C227" s="1">
        <f ca="1">IFERROR(__xludf.DUMMYFUNCTION("""COMPUTED_VALUE"""),148.13)</f>
        <v>148.13</v>
      </c>
      <c r="D227" s="1">
        <f ca="1">IFERROR(__xludf.DUMMYFUNCTION("""COMPUTED_VALUE"""),140.26)</f>
        <v>140.26</v>
      </c>
      <c r="E227" s="1">
        <f ca="1">IFERROR(__xludf.DUMMYFUNCTION("""COMPUTED_VALUE"""),146.45)</f>
        <v>146.44999999999999</v>
      </c>
      <c r="F227" s="1">
        <f ca="1">IFERROR(__xludf.DUMMYFUNCTION("""COMPUTED_VALUE"""),4295870)</f>
        <v>4295870</v>
      </c>
    </row>
    <row r="228" spans="1:6" ht="12.6">
      <c r="A228" s="2">
        <f ca="1">IFERROR(__xludf.DUMMYFUNCTION("""COMPUTED_VALUE"""),44890.5416666666)</f>
        <v>44890.541666666599</v>
      </c>
      <c r="B228" s="1">
        <f ca="1">IFERROR(__xludf.DUMMYFUNCTION("""COMPUTED_VALUE"""),144.7)</f>
        <v>144.69999999999999</v>
      </c>
      <c r="C228" s="1">
        <f ca="1">IFERROR(__xludf.DUMMYFUNCTION("""COMPUTED_VALUE"""),145.14)</f>
        <v>145.13999999999999</v>
      </c>
      <c r="D228" s="1">
        <f ca="1">IFERROR(__xludf.DUMMYFUNCTION("""COMPUTED_VALUE"""),141.66)</f>
        <v>141.66</v>
      </c>
      <c r="E228" s="1">
        <f ca="1">IFERROR(__xludf.DUMMYFUNCTION("""COMPUTED_VALUE"""),144.72)</f>
        <v>144.72</v>
      </c>
      <c r="F228" s="1">
        <f ca="1">IFERROR(__xludf.DUMMYFUNCTION("""COMPUTED_VALUE"""),1823470)</f>
        <v>1823470</v>
      </c>
    </row>
    <row r="229" spans="1:6" ht="12.6">
      <c r="A229" s="2">
        <f ca="1">IFERROR(__xludf.DUMMYFUNCTION("""COMPUTED_VALUE"""),44893.6666666666)</f>
        <v>44893.666666666599</v>
      </c>
      <c r="B229" s="1">
        <f ca="1">IFERROR(__xludf.DUMMYFUNCTION("""COMPUTED_VALUE"""),143.2)</f>
        <v>143.19999999999999</v>
      </c>
      <c r="C229" s="1">
        <f ca="1">IFERROR(__xludf.DUMMYFUNCTION("""COMPUTED_VALUE"""),146.21)</f>
        <v>146.21</v>
      </c>
      <c r="D229" s="1">
        <f ca="1">IFERROR(__xludf.DUMMYFUNCTION("""COMPUTED_VALUE"""),140.58)</f>
        <v>140.58000000000001</v>
      </c>
      <c r="E229" s="1">
        <f ca="1">IFERROR(__xludf.DUMMYFUNCTION("""COMPUTED_VALUE"""),141.07)</f>
        <v>141.07</v>
      </c>
      <c r="F229" s="1">
        <f ca="1">IFERROR(__xludf.DUMMYFUNCTION("""COMPUTED_VALUE"""),3527099)</f>
        <v>3527099</v>
      </c>
    </row>
    <row r="230" spans="1:6" ht="12.6">
      <c r="A230" s="2">
        <f ca="1">IFERROR(__xludf.DUMMYFUNCTION("""COMPUTED_VALUE"""),44894.6666666666)</f>
        <v>44894.666666666599</v>
      </c>
      <c r="B230" s="1">
        <f ca="1">IFERROR(__xludf.DUMMYFUNCTION("""COMPUTED_VALUE"""),141.13)</f>
        <v>141.13</v>
      </c>
      <c r="C230" s="1">
        <f ca="1">IFERROR(__xludf.DUMMYFUNCTION("""COMPUTED_VALUE"""),141.57)</f>
        <v>141.57</v>
      </c>
      <c r="D230" s="1">
        <f ca="1">IFERROR(__xludf.DUMMYFUNCTION("""COMPUTED_VALUE"""),136.25)</f>
        <v>136.25</v>
      </c>
      <c r="E230" s="1">
        <f ca="1">IFERROR(__xludf.DUMMYFUNCTION("""COMPUTED_VALUE"""),136.56)</f>
        <v>136.56</v>
      </c>
      <c r="F230" s="1">
        <f ca="1">IFERROR(__xludf.DUMMYFUNCTION("""COMPUTED_VALUE"""),3725156)</f>
        <v>3725156</v>
      </c>
    </row>
    <row r="231" spans="1:6" ht="12.6">
      <c r="A231" s="2">
        <f ca="1">IFERROR(__xludf.DUMMYFUNCTION("""COMPUTED_VALUE"""),44895.6666666666)</f>
        <v>44895.666666666599</v>
      </c>
      <c r="B231" s="1">
        <f ca="1">IFERROR(__xludf.DUMMYFUNCTION("""COMPUTED_VALUE"""),134.87)</f>
        <v>134.87</v>
      </c>
      <c r="C231" s="1">
        <f ca="1">IFERROR(__xludf.DUMMYFUNCTION("""COMPUTED_VALUE"""),142.97)</f>
        <v>142.97</v>
      </c>
      <c r="D231" s="1">
        <f ca="1">IFERROR(__xludf.DUMMYFUNCTION("""COMPUTED_VALUE"""),131.97)</f>
        <v>131.97</v>
      </c>
      <c r="E231" s="1">
        <f ca="1">IFERROR(__xludf.DUMMYFUNCTION("""COMPUTED_VALUE"""),142.9)</f>
        <v>142.9</v>
      </c>
      <c r="F231" s="1">
        <f ca="1">IFERROR(__xludf.DUMMYFUNCTION("""COMPUTED_VALUE"""),12668706)</f>
        <v>12668706</v>
      </c>
    </row>
    <row r="232" spans="1:6" ht="12.6">
      <c r="A232" s="2">
        <f ca="1">IFERROR(__xludf.DUMMYFUNCTION("""COMPUTED_VALUE"""),44896.6666666666)</f>
        <v>44896.666666666599</v>
      </c>
      <c r="B232" s="1">
        <f ca="1">IFERROR(__xludf.DUMMYFUNCTION("""COMPUTED_VALUE"""),144.51)</f>
        <v>144.51</v>
      </c>
      <c r="C232" s="1">
        <f ca="1">IFERROR(__xludf.DUMMYFUNCTION("""COMPUTED_VALUE"""),155)</f>
        <v>155</v>
      </c>
      <c r="D232" s="1">
        <f ca="1">IFERROR(__xludf.DUMMYFUNCTION("""COMPUTED_VALUE"""),143.25)</f>
        <v>143.25</v>
      </c>
      <c r="E232" s="1">
        <f ca="1">IFERROR(__xludf.DUMMYFUNCTION("""COMPUTED_VALUE"""),154.04)</f>
        <v>154.04</v>
      </c>
      <c r="F232" s="1">
        <f ca="1">IFERROR(__xludf.DUMMYFUNCTION("""COMPUTED_VALUE"""),16528816)</f>
        <v>16528816</v>
      </c>
    </row>
    <row r="233" spans="1:6" ht="12.6">
      <c r="A233" s="2">
        <f ca="1">IFERROR(__xludf.DUMMYFUNCTION("""COMPUTED_VALUE"""),44897.6666666666)</f>
        <v>44897.666666666599</v>
      </c>
      <c r="B233" s="1">
        <f ca="1">IFERROR(__xludf.DUMMYFUNCTION("""COMPUTED_VALUE"""),149.4)</f>
        <v>149.4</v>
      </c>
      <c r="C233" s="1">
        <f ca="1">IFERROR(__xludf.DUMMYFUNCTION("""COMPUTED_VALUE"""),153.51)</f>
        <v>153.51</v>
      </c>
      <c r="D233" s="1">
        <f ca="1">IFERROR(__xludf.DUMMYFUNCTION("""COMPUTED_VALUE"""),147)</f>
        <v>147</v>
      </c>
      <c r="E233" s="1">
        <f ca="1">IFERROR(__xludf.DUMMYFUNCTION("""COMPUTED_VALUE"""),149.74)</f>
        <v>149.74</v>
      </c>
      <c r="F233" s="1">
        <f ca="1">IFERROR(__xludf.DUMMYFUNCTION("""COMPUTED_VALUE"""),6909559)</f>
        <v>6909559</v>
      </c>
    </row>
    <row r="234" spans="1:6" ht="12.6">
      <c r="A234" s="2">
        <f ca="1">IFERROR(__xludf.DUMMYFUNCTION("""COMPUTED_VALUE"""),44900.6666666666)</f>
        <v>44900.666666666599</v>
      </c>
      <c r="B234" s="1">
        <f ca="1">IFERROR(__xludf.DUMMYFUNCTION("""COMPUTED_VALUE"""),147.98)</f>
        <v>147.97999999999999</v>
      </c>
      <c r="C234" s="1">
        <f ca="1">IFERROR(__xludf.DUMMYFUNCTION("""COMPUTED_VALUE"""),148.94)</f>
        <v>148.94</v>
      </c>
      <c r="D234" s="1">
        <f ca="1">IFERROR(__xludf.DUMMYFUNCTION("""COMPUTED_VALUE"""),135.51)</f>
        <v>135.51</v>
      </c>
      <c r="E234" s="1">
        <f ca="1">IFERROR(__xludf.DUMMYFUNCTION("""COMPUTED_VALUE"""),135.63)</f>
        <v>135.63</v>
      </c>
      <c r="F234" s="1">
        <f ca="1">IFERROR(__xludf.DUMMYFUNCTION("""COMPUTED_VALUE"""),9420451)</f>
        <v>9420451</v>
      </c>
    </row>
    <row r="235" spans="1:6" ht="12.6">
      <c r="A235" s="2">
        <f ca="1">IFERROR(__xludf.DUMMYFUNCTION("""COMPUTED_VALUE"""),44901.6666666666)</f>
        <v>44901.666666666599</v>
      </c>
      <c r="B235" s="1">
        <f ca="1">IFERROR(__xludf.DUMMYFUNCTION("""COMPUTED_VALUE"""),136.02)</f>
        <v>136.02000000000001</v>
      </c>
      <c r="C235" s="1">
        <f ca="1">IFERROR(__xludf.DUMMYFUNCTION("""COMPUTED_VALUE"""),137.98)</f>
        <v>137.97999999999999</v>
      </c>
      <c r="D235" s="1">
        <f ca="1">IFERROR(__xludf.DUMMYFUNCTION("""COMPUTED_VALUE"""),132.51)</f>
        <v>132.51</v>
      </c>
      <c r="E235" s="1">
        <f ca="1">IFERROR(__xludf.DUMMYFUNCTION("""COMPUTED_VALUE"""),136.73)</f>
        <v>136.72999999999999</v>
      </c>
      <c r="F235" s="1">
        <f ca="1">IFERROR(__xludf.DUMMYFUNCTION("""COMPUTED_VALUE"""),6452074)</f>
        <v>6452074</v>
      </c>
    </row>
    <row r="236" spans="1:6" ht="12.6">
      <c r="A236" s="2">
        <f ca="1">IFERROR(__xludf.DUMMYFUNCTION("""COMPUTED_VALUE"""),44902.6666666666)</f>
        <v>44902.666666666599</v>
      </c>
      <c r="B236" s="1">
        <f ca="1">IFERROR(__xludf.DUMMYFUNCTION("""COMPUTED_VALUE"""),137.2)</f>
        <v>137.19999999999999</v>
      </c>
      <c r="C236" s="1">
        <f ca="1">IFERROR(__xludf.DUMMYFUNCTION("""COMPUTED_VALUE"""),140.24)</f>
        <v>140.24</v>
      </c>
      <c r="D236" s="1">
        <f ca="1">IFERROR(__xludf.DUMMYFUNCTION("""COMPUTED_VALUE"""),134.2)</f>
        <v>134.19999999999999</v>
      </c>
      <c r="E236" s="1">
        <f ca="1">IFERROR(__xludf.DUMMYFUNCTION("""COMPUTED_VALUE"""),137.41)</f>
        <v>137.41</v>
      </c>
      <c r="F236" s="1">
        <f ca="1">IFERROR(__xludf.DUMMYFUNCTION("""COMPUTED_VALUE"""),5861205)</f>
        <v>5861205</v>
      </c>
    </row>
    <row r="237" spans="1:6" ht="12.6">
      <c r="A237" s="2">
        <f ca="1">IFERROR(__xludf.DUMMYFUNCTION("""COMPUTED_VALUE"""),44903.6666666666)</f>
        <v>44903.666666666599</v>
      </c>
      <c r="B237" s="1">
        <f ca="1">IFERROR(__xludf.DUMMYFUNCTION("""COMPUTED_VALUE"""),139.28)</f>
        <v>139.28</v>
      </c>
      <c r="C237" s="1">
        <f ca="1">IFERROR(__xludf.DUMMYFUNCTION("""COMPUTED_VALUE"""),144.97)</f>
        <v>144.97</v>
      </c>
      <c r="D237" s="1">
        <f ca="1">IFERROR(__xludf.DUMMYFUNCTION("""COMPUTED_VALUE"""),135.59)</f>
        <v>135.59</v>
      </c>
      <c r="E237" s="1">
        <f ca="1">IFERROR(__xludf.DUMMYFUNCTION("""COMPUTED_VALUE"""),142.87)</f>
        <v>142.87</v>
      </c>
      <c r="F237" s="1">
        <f ca="1">IFERROR(__xludf.DUMMYFUNCTION("""COMPUTED_VALUE"""),5654535)</f>
        <v>5654535</v>
      </c>
    </row>
    <row r="238" spans="1:6" ht="12.6">
      <c r="A238" s="2">
        <f ca="1">IFERROR(__xludf.DUMMYFUNCTION("""COMPUTED_VALUE"""),44904.6666666666)</f>
        <v>44904.666666666599</v>
      </c>
      <c r="B238" s="1">
        <f ca="1">IFERROR(__xludf.DUMMYFUNCTION("""COMPUTED_VALUE"""),142.59)</f>
        <v>142.59</v>
      </c>
      <c r="C238" s="1">
        <f ca="1">IFERROR(__xludf.DUMMYFUNCTION("""COMPUTED_VALUE"""),148.68)</f>
        <v>148.68</v>
      </c>
      <c r="D238" s="1">
        <f ca="1">IFERROR(__xludf.DUMMYFUNCTION("""COMPUTED_VALUE"""),141.82)</f>
        <v>141.82</v>
      </c>
      <c r="E238" s="1">
        <f ca="1">IFERROR(__xludf.DUMMYFUNCTION("""COMPUTED_VALUE"""),144.53)</f>
        <v>144.53</v>
      </c>
      <c r="F238" s="1">
        <f ca="1">IFERROR(__xludf.DUMMYFUNCTION("""COMPUTED_VALUE"""),4635825)</f>
        <v>4635825</v>
      </c>
    </row>
    <row r="239" spans="1:6" ht="12.6">
      <c r="A239" s="2">
        <f ca="1">IFERROR(__xludf.DUMMYFUNCTION("""COMPUTED_VALUE"""),44907.6666666666)</f>
        <v>44907.666666666599</v>
      </c>
      <c r="B239" s="1">
        <f ca="1">IFERROR(__xludf.DUMMYFUNCTION("""COMPUTED_VALUE"""),144.18)</f>
        <v>144.18</v>
      </c>
      <c r="C239" s="1">
        <f ca="1">IFERROR(__xludf.DUMMYFUNCTION("""COMPUTED_VALUE"""),151.4)</f>
        <v>151.4</v>
      </c>
      <c r="D239" s="1">
        <f ca="1">IFERROR(__xludf.DUMMYFUNCTION("""COMPUTED_VALUE"""),144.17)</f>
        <v>144.16999999999999</v>
      </c>
      <c r="E239" s="1">
        <f ca="1">IFERROR(__xludf.DUMMYFUNCTION("""COMPUTED_VALUE"""),150.88)</f>
        <v>150.88</v>
      </c>
      <c r="F239" s="1">
        <f ca="1">IFERROR(__xludf.DUMMYFUNCTION("""COMPUTED_VALUE"""),5909767)</f>
        <v>5909767</v>
      </c>
    </row>
    <row r="240" spans="1:6" ht="12.6">
      <c r="A240" s="2">
        <f ca="1">IFERROR(__xludf.DUMMYFUNCTION("""COMPUTED_VALUE"""),44908.6666666666)</f>
        <v>44908.666666666599</v>
      </c>
      <c r="B240" s="1">
        <f ca="1">IFERROR(__xludf.DUMMYFUNCTION("""COMPUTED_VALUE"""),160)</f>
        <v>160</v>
      </c>
      <c r="C240" s="1">
        <f ca="1">IFERROR(__xludf.DUMMYFUNCTION("""COMPUTED_VALUE"""),162.7)</f>
        <v>162.69999999999999</v>
      </c>
      <c r="D240" s="1">
        <f ca="1">IFERROR(__xludf.DUMMYFUNCTION("""COMPUTED_VALUE"""),150.08)</f>
        <v>150.08000000000001</v>
      </c>
      <c r="E240" s="1">
        <f ca="1">IFERROR(__xludf.DUMMYFUNCTION("""COMPUTED_VALUE"""),150.58)</f>
        <v>150.58000000000001</v>
      </c>
      <c r="F240" s="1">
        <f ca="1">IFERROR(__xludf.DUMMYFUNCTION("""COMPUTED_VALUE"""),7242052)</f>
        <v>7242052</v>
      </c>
    </row>
    <row r="241" spans="1:6" ht="12.6">
      <c r="A241" s="2">
        <f ca="1">IFERROR(__xludf.DUMMYFUNCTION("""COMPUTED_VALUE"""),44909.6666666666)</f>
        <v>44909.666666666599</v>
      </c>
      <c r="B241" s="1">
        <f ca="1">IFERROR(__xludf.DUMMYFUNCTION("""COMPUTED_VALUE"""),151.52)</f>
        <v>151.52000000000001</v>
      </c>
      <c r="C241" s="1">
        <f ca="1">IFERROR(__xludf.DUMMYFUNCTION("""COMPUTED_VALUE"""),156.31)</f>
        <v>156.31</v>
      </c>
      <c r="D241" s="1">
        <f ca="1">IFERROR(__xludf.DUMMYFUNCTION("""COMPUTED_VALUE"""),146.58)</f>
        <v>146.58000000000001</v>
      </c>
      <c r="E241" s="1">
        <f ca="1">IFERROR(__xludf.DUMMYFUNCTION("""COMPUTED_VALUE"""),149.2)</f>
        <v>149.19999999999999</v>
      </c>
      <c r="F241" s="1">
        <f ca="1">IFERROR(__xludf.DUMMYFUNCTION("""COMPUTED_VALUE"""),6486154)</f>
        <v>6486154</v>
      </c>
    </row>
    <row r="242" spans="1:6" ht="12.6">
      <c r="A242" s="2">
        <f ca="1">IFERROR(__xludf.DUMMYFUNCTION("""COMPUTED_VALUE"""),44910.6666666666)</f>
        <v>44910.666666666599</v>
      </c>
      <c r="B242" s="1">
        <f ca="1">IFERROR(__xludf.DUMMYFUNCTION("""COMPUTED_VALUE"""),144.37)</f>
        <v>144.37</v>
      </c>
      <c r="C242" s="1">
        <f ca="1">IFERROR(__xludf.DUMMYFUNCTION("""COMPUTED_VALUE"""),148.4)</f>
        <v>148.4</v>
      </c>
      <c r="D242" s="1">
        <f ca="1">IFERROR(__xludf.DUMMYFUNCTION("""COMPUTED_VALUE"""),142.22)</f>
        <v>142.22</v>
      </c>
      <c r="E242" s="1">
        <f ca="1">IFERROR(__xludf.DUMMYFUNCTION("""COMPUTED_VALUE"""),142.65)</f>
        <v>142.65</v>
      </c>
      <c r="F242" s="1">
        <f ca="1">IFERROR(__xludf.DUMMYFUNCTION("""COMPUTED_VALUE"""),4467890)</f>
        <v>4467890</v>
      </c>
    </row>
    <row r="243" spans="1:6" ht="12.6">
      <c r="A243" s="2">
        <f ca="1">IFERROR(__xludf.DUMMYFUNCTION("""COMPUTED_VALUE"""),44911.6666666666)</f>
        <v>44911.666666666599</v>
      </c>
      <c r="B243" s="1">
        <f ca="1">IFERROR(__xludf.DUMMYFUNCTION("""COMPUTED_VALUE"""),142.44)</f>
        <v>142.44</v>
      </c>
      <c r="C243" s="1">
        <f ca="1">IFERROR(__xludf.DUMMYFUNCTION("""COMPUTED_VALUE"""),144.83)</f>
        <v>144.83000000000001</v>
      </c>
      <c r="D243" s="1">
        <f ca="1">IFERROR(__xludf.DUMMYFUNCTION("""COMPUTED_VALUE"""),139)</f>
        <v>139</v>
      </c>
      <c r="E243" s="1">
        <f ca="1">IFERROR(__xludf.DUMMYFUNCTION("""COMPUTED_VALUE"""),142.45)</f>
        <v>142.44999999999999</v>
      </c>
      <c r="F243" s="1">
        <f ca="1">IFERROR(__xludf.DUMMYFUNCTION("""COMPUTED_VALUE"""),6432756)</f>
        <v>6432756</v>
      </c>
    </row>
    <row r="244" spans="1:6" ht="12.6">
      <c r="A244" s="2">
        <f ca="1">IFERROR(__xludf.DUMMYFUNCTION("""COMPUTED_VALUE"""),44914.6666666666)</f>
        <v>44914.666666666599</v>
      </c>
      <c r="B244" s="1">
        <f ca="1">IFERROR(__xludf.DUMMYFUNCTION("""COMPUTED_VALUE"""),140.34)</f>
        <v>140.34</v>
      </c>
      <c r="C244" s="1">
        <f ca="1">IFERROR(__xludf.DUMMYFUNCTION("""COMPUTED_VALUE"""),143.26)</f>
        <v>143.26</v>
      </c>
      <c r="D244" s="1">
        <f ca="1">IFERROR(__xludf.DUMMYFUNCTION("""COMPUTED_VALUE"""),137.23)</f>
        <v>137.22999999999999</v>
      </c>
      <c r="E244" s="1">
        <f ca="1">IFERROR(__xludf.DUMMYFUNCTION("""COMPUTED_VALUE"""),138.1)</f>
        <v>138.1</v>
      </c>
      <c r="F244" s="1">
        <f ca="1">IFERROR(__xludf.DUMMYFUNCTION("""COMPUTED_VALUE"""),3851536)</f>
        <v>3851536</v>
      </c>
    </row>
    <row r="245" spans="1:6" ht="12.6">
      <c r="A245" s="2">
        <f ca="1">IFERROR(__xludf.DUMMYFUNCTION("""COMPUTED_VALUE"""),44915.6666666666)</f>
        <v>44915.666666666599</v>
      </c>
      <c r="B245" s="1">
        <f ca="1">IFERROR(__xludf.DUMMYFUNCTION("""COMPUTED_VALUE"""),135)</f>
        <v>135</v>
      </c>
      <c r="C245" s="1">
        <f ca="1">IFERROR(__xludf.DUMMYFUNCTION("""COMPUTED_VALUE"""),141.99)</f>
        <v>141.99</v>
      </c>
      <c r="D245" s="1">
        <f ca="1">IFERROR(__xludf.DUMMYFUNCTION("""COMPUTED_VALUE"""),134.79)</f>
        <v>134.79</v>
      </c>
      <c r="E245" s="1">
        <f ca="1">IFERROR(__xludf.DUMMYFUNCTION("""COMPUTED_VALUE"""),141.21)</f>
        <v>141.21</v>
      </c>
      <c r="F245" s="1">
        <f ca="1">IFERROR(__xludf.DUMMYFUNCTION("""COMPUTED_VALUE"""),3622313)</f>
        <v>3622313</v>
      </c>
    </row>
    <row r="246" spans="1:6" ht="12.6">
      <c r="A246" s="2">
        <f ca="1">IFERROR(__xludf.DUMMYFUNCTION("""COMPUTED_VALUE"""),44916.6666666666)</f>
        <v>44916.666666666599</v>
      </c>
      <c r="B246" s="1">
        <f ca="1">IFERROR(__xludf.DUMMYFUNCTION("""COMPUTED_VALUE"""),141.72)</f>
        <v>141.72</v>
      </c>
      <c r="C246" s="1">
        <f ca="1">IFERROR(__xludf.DUMMYFUNCTION("""COMPUTED_VALUE"""),146.81)</f>
        <v>146.81</v>
      </c>
      <c r="D246" s="1">
        <f ca="1">IFERROR(__xludf.DUMMYFUNCTION("""COMPUTED_VALUE"""),137.88)</f>
        <v>137.88</v>
      </c>
      <c r="E246" s="1">
        <f ca="1">IFERROR(__xludf.DUMMYFUNCTION("""COMPUTED_VALUE"""),146.75)</f>
        <v>146.75</v>
      </c>
      <c r="F246" s="1">
        <f ca="1">IFERROR(__xludf.DUMMYFUNCTION("""COMPUTED_VALUE"""),3649535)</f>
        <v>3649535</v>
      </c>
    </row>
    <row r="247" spans="1:6" ht="12.6">
      <c r="A247" s="2">
        <f ca="1">IFERROR(__xludf.DUMMYFUNCTION("""COMPUTED_VALUE"""),44917.6666666666)</f>
        <v>44917.666666666599</v>
      </c>
      <c r="B247" s="1">
        <f ca="1">IFERROR(__xludf.DUMMYFUNCTION("""COMPUTED_VALUE"""),143.03)</f>
        <v>143.03</v>
      </c>
      <c r="C247" s="1">
        <f ca="1">IFERROR(__xludf.DUMMYFUNCTION("""COMPUTED_VALUE"""),144.4)</f>
        <v>144.4</v>
      </c>
      <c r="D247" s="1">
        <f ca="1">IFERROR(__xludf.DUMMYFUNCTION("""COMPUTED_VALUE"""),137.77)</f>
        <v>137.77000000000001</v>
      </c>
      <c r="E247" s="1">
        <f ca="1">IFERROR(__xludf.DUMMYFUNCTION("""COMPUTED_VALUE"""),140.37)</f>
        <v>140.37</v>
      </c>
      <c r="F247" s="1">
        <f ca="1">IFERROR(__xludf.DUMMYFUNCTION("""COMPUTED_VALUE"""),4408688)</f>
        <v>4408688</v>
      </c>
    </row>
    <row r="248" spans="1:6" ht="12.6">
      <c r="A248" s="2">
        <f ca="1">IFERROR(__xludf.DUMMYFUNCTION("""COMPUTED_VALUE"""),44918.6666666666)</f>
        <v>44918.666666666599</v>
      </c>
      <c r="B248" s="1">
        <f ca="1">IFERROR(__xludf.DUMMYFUNCTION("""COMPUTED_VALUE"""),138.78)</f>
        <v>138.78</v>
      </c>
      <c r="C248" s="1">
        <f ca="1">IFERROR(__xludf.DUMMYFUNCTION("""COMPUTED_VALUE"""),139.51)</f>
        <v>139.51</v>
      </c>
      <c r="D248" s="1">
        <f ca="1">IFERROR(__xludf.DUMMYFUNCTION("""COMPUTED_VALUE"""),135.22)</f>
        <v>135.22</v>
      </c>
      <c r="E248" s="1">
        <f ca="1">IFERROR(__xludf.DUMMYFUNCTION("""COMPUTED_VALUE"""),138.49)</f>
        <v>138.49</v>
      </c>
      <c r="F248" s="1">
        <f ca="1">IFERROR(__xludf.DUMMYFUNCTION("""COMPUTED_VALUE"""),2669576)</f>
        <v>2669576</v>
      </c>
    </row>
    <row r="249" spans="1:6" ht="12.6">
      <c r="A249" s="2">
        <f ca="1">IFERROR(__xludf.DUMMYFUNCTION("""COMPUTED_VALUE"""),44922.6666666666)</f>
        <v>44922.666666666599</v>
      </c>
      <c r="B249" s="1">
        <f ca="1">IFERROR(__xludf.DUMMYFUNCTION("""COMPUTED_VALUE"""),136.34)</f>
        <v>136.34</v>
      </c>
      <c r="C249" s="1">
        <f ca="1">IFERROR(__xludf.DUMMYFUNCTION("""COMPUTED_VALUE"""),139.18)</f>
        <v>139.18</v>
      </c>
      <c r="D249" s="1">
        <f ca="1">IFERROR(__xludf.DUMMYFUNCTION("""COMPUTED_VALUE"""),133.59)</f>
        <v>133.59</v>
      </c>
      <c r="E249" s="1">
        <f ca="1">IFERROR(__xludf.DUMMYFUNCTION("""COMPUTED_VALUE"""),137.76)</f>
        <v>137.76</v>
      </c>
      <c r="F249" s="1">
        <f ca="1">IFERROR(__xludf.DUMMYFUNCTION("""COMPUTED_VALUE"""),2706977)</f>
        <v>2706977</v>
      </c>
    </row>
    <row r="250" spans="1:6" ht="12.6">
      <c r="A250" s="2">
        <f ca="1">IFERROR(__xludf.DUMMYFUNCTION("""COMPUTED_VALUE"""),44923.6666666666)</f>
        <v>44923.666666666599</v>
      </c>
      <c r="B250" s="1">
        <f ca="1">IFERROR(__xludf.DUMMYFUNCTION("""COMPUTED_VALUE"""),137.14)</f>
        <v>137.13999999999999</v>
      </c>
      <c r="C250" s="1">
        <f ca="1">IFERROR(__xludf.DUMMYFUNCTION("""COMPUTED_VALUE"""),139.56)</f>
        <v>139.56</v>
      </c>
      <c r="D250" s="1">
        <f ca="1">IFERROR(__xludf.DUMMYFUNCTION("""COMPUTED_VALUE"""),136)</f>
        <v>136</v>
      </c>
      <c r="E250" s="1">
        <f ca="1">IFERROR(__xludf.DUMMYFUNCTION("""COMPUTED_VALUE"""),138.42)</f>
        <v>138.41999999999999</v>
      </c>
      <c r="F250" s="1">
        <f ca="1">IFERROR(__xludf.DUMMYFUNCTION("""COMPUTED_VALUE"""),2963594)</f>
        <v>2963594</v>
      </c>
    </row>
    <row r="251" spans="1:6" ht="12.6">
      <c r="A251" s="2">
        <f ca="1">IFERROR(__xludf.DUMMYFUNCTION("""COMPUTED_VALUE"""),44924.6666666666)</f>
        <v>44924.666666666599</v>
      </c>
      <c r="B251" s="1">
        <f ca="1">IFERROR(__xludf.DUMMYFUNCTION("""COMPUTED_VALUE"""),139.2)</f>
        <v>139.19999999999999</v>
      </c>
      <c r="C251" s="1">
        <f ca="1">IFERROR(__xludf.DUMMYFUNCTION("""COMPUTED_VALUE"""),143.95)</f>
        <v>143.94999999999999</v>
      </c>
      <c r="D251" s="1">
        <f ca="1">IFERROR(__xludf.DUMMYFUNCTION("""COMPUTED_VALUE"""),137.99)</f>
        <v>137.99</v>
      </c>
      <c r="E251" s="1">
        <f ca="1">IFERROR(__xludf.DUMMYFUNCTION("""COMPUTED_VALUE"""),142.38)</f>
        <v>142.38</v>
      </c>
      <c r="F251" s="1">
        <f ca="1">IFERROR(__xludf.DUMMYFUNCTION("""COMPUTED_VALUE"""),3468842)</f>
        <v>3468842</v>
      </c>
    </row>
    <row r="252" spans="1:6" ht="12.6">
      <c r="A252" s="2">
        <f ca="1">IFERROR(__xludf.DUMMYFUNCTION("""COMPUTED_VALUE"""),44925.6666666666)</f>
        <v>44925.666666666599</v>
      </c>
      <c r="B252" s="1">
        <f ca="1">IFERROR(__xludf.DUMMYFUNCTION("""COMPUTED_VALUE"""),139.3)</f>
        <v>139.30000000000001</v>
      </c>
      <c r="C252" s="1">
        <f ca="1">IFERROR(__xludf.DUMMYFUNCTION("""COMPUTED_VALUE"""),143.61)</f>
        <v>143.61000000000001</v>
      </c>
      <c r="D252" s="1">
        <f ca="1">IFERROR(__xludf.DUMMYFUNCTION("""COMPUTED_VALUE"""),138.82)</f>
        <v>138.82</v>
      </c>
      <c r="E252" s="1">
        <f ca="1">IFERROR(__xludf.DUMMYFUNCTION("""COMPUTED_VALUE"""),143.54)</f>
        <v>143.54</v>
      </c>
      <c r="F252" s="1">
        <f ca="1">IFERROR(__xludf.DUMMYFUNCTION("""COMPUTED_VALUE"""),2901853)</f>
        <v>2901853</v>
      </c>
    </row>
    <row r="253" spans="1:6" ht="12.6">
      <c r="A253" s="2">
        <f ca="1">IFERROR(__xludf.DUMMYFUNCTION("""COMPUTED_VALUE"""),44929.6666666666)</f>
        <v>44929.666666666599</v>
      </c>
      <c r="B253" s="1">
        <f ca="1">IFERROR(__xludf.DUMMYFUNCTION("""COMPUTED_VALUE"""),146.48)</f>
        <v>146.47999999999999</v>
      </c>
      <c r="C253" s="1">
        <f ca="1">IFERROR(__xludf.DUMMYFUNCTION("""COMPUTED_VALUE"""),149.2)</f>
        <v>149.19999999999999</v>
      </c>
      <c r="D253" s="1">
        <f ca="1">IFERROR(__xludf.DUMMYFUNCTION("""COMPUTED_VALUE"""),135.34)</f>
        <v>135.34</v>
      </c>
      <c r="E253" s="1">
        <f ca="1">IFERROR(__xludf.DUMMYFUNCTION("""COMPUTED_VALUE"""),135.5)</f>
        <v>135.5</v>
      </c>
      <c r="F253" s="1">
        <f ca="1">IFERROR(__xludf.DUMMYFUNCTION("""COMPUTED_VALUE"""),4441952)</f>
        <v>4441952</v>
      </c>
    </row>
    <row r="254" spans="1:6" ht="12.6">
      <c r="A254" s="2">
        <f ca="1">IFERROR(__xludf.DUMMYFUNCTION("""COMPUTED_VALUE"""),44930.6666666666)</f>
        <v>44930.666666666599</v>
      </c>
      <c r="B254" s="1">
        <f ca="1">IFERROR(__xludf.DUMMYFUNCTION("""COMPUTED_VALUE"""),137.28)</f>
        <v>137.28</v>
      </c>
      <c r="C254" s="1">
        <f ca="1">IFERROR(__xludf.DUMMYFUNCTION("""COMPUTED_VALUE"""),137.6)</f>
        <v>137.6</v>
      </c>
      <c r="D254" s="1">
        <f ca="1">IFERROR(__xludf.DUMMYFUNCTION("""COMPUTED_VALUE"""),128.58)</f>
        <v>128.58000000000001</v>
      </c>
      <c r="E254" s="1">
        <f ca="1">IFERROR(__xludf.DUMMYFUNCTION("""COMPUTED_VALUE"""),130.44)</f>
        <v>130.44</v>
      </c>
      <c r="F254" s="1">
        <f ca="1">IFERROR(__xludf.DUMMYFUNCTION("""COMPUTED_VALUE"""),6672904)</f>
        <v>6672904</v>
      </c>
    </row>
    <row r="255" spans="1:6" ht="12.6">
      <c r="A255" s="2">
        <f ca="1">IFERROR(__xludf.DUMMYFUNCTION("""COMPUTED_VALUE"""),44931.6666666666)</f>
        <v>44931.666666666599</v>
      </c>
      <c r="B255" s="1">
        <f ca="1">IFERROR(__xludf.DUMMYFUNCTION("""COMPUTED_VALUE"""),129.3)</f>
        <v>129.30000000000001</v>
      </c>
      <c r="C255" s="1">
        <f ca="1">IFERROR(__xludf.DUMMYFUNCTION("""COMPUTED_VALUE"""),129.49)</f>
        <v>129.49</v>
      </c>
      <c r="D255" s="1">
        <f ca="1">IFERROR(__xludf.DUMMYFUNCTION("""COMPUTED_VALUE"""),121.04)</f>
        <v>121.04</v>
      </c>
      <c r="E255" s="1">
        <f ca="1">IFERROR(__xludf.DUMMYFUNCTION("""COMPUTED_VALUE"""),121.56)</f>
        <v>121.56</v>
      </c>
      <c r="F255" s="1">
        <f ca="1">IFERROR(__xludf.DUMMYFUNCTION("""COMPUTED_VALUE"""),8231751)</f>
        <v>8231751</v>
      </c>
    </row>
    <row r="256" spans="1:6" ht="12.6">
      <c r="A256" s="2">
        <f ca="1">IFERROR(__xludf.DUMMYFUNCTION("""COMPUTED_VALUE"""),44932.6666666666)</f>
        <v>44932.666666666599</v>
      </c>
      <c r="B256" s="1">
        <f ca="1">IFERROR(__xludf.DUMMYFUNCTION("""COMPUTED_VALUE"""),122.09)</f>
        <v>122.09</v>
      </c>
      <c r="C256" s="1">
        <f ca="1">IFERROR(__xludf.DUMMYFUNCTION("""COMPUTED_VALUE"""),126.07)</f>
        <v>126.07</v>
      </c>
      <c r="D256" s="1">
        <f ca="1">IFERROR(__xludf.DUMMYFUNCTION("""COMPUTED_VALUE"""),119.27)</f>
        <v>119.27</v>
      </c>
      <c r="E256" s="1">
        <f ca="1">IFERROR(__xludf.DUMMYFUNCTION("""COMPUTED_VALUE"""),124.06)</f>
        <v>124.06</v>
      </c>
      <c r="F256" s="1">
        <f ca="1">IFERROR(__xludf.DUMMYFUNCTION("""COMPUTED_VALUE"""),5827362)</f>
        <v>5827362</v>
      </c>
    </row>
    <row r="257" spans="1:6" ht="12.6">
      <c r="A257" s="2">
        <f ca="1">IFERROR(__xludf.DUMMYFUNCTION("""COMPUTED_VALUE"""),44935.6666666666)</f>
        <v>44935.666666666599</v>
      </c>
      <c r="B257" s="1">
        <f ca="1">IFERROR(__xludf.DUMMYFUNCTION("""COMPUTED_VALUE"""),127.23)</f>
        <v>127.23</v>
      </c>
      <c r="C257" s="1">
        <f ca="1">IFERROR(__xludf.DUMMYFUNCTION("""COMPUTED_VALUE"""),137.64)</f>
        <v>137.63999999999999</v>
      </c>
      <c r="D257" s="1">
        <f ca="1">IFERROR(__xludf.DUMMYFUNCTION("""COMPUTED_VALUE"""),126.67)</f>
        <v>126.67</v>
      </c>
      <c r="E257" s="1">
        <f ca="1">IFERROR(__xludf.DUMMYFUNCTION("""COMPUTED_VALUE"""),134.43)</f>
        <v>134.43</v>
      </c>
      <c r="F257" s="1">
        <f ca="1">IFERROR(__xludf.DUMMYFUNCTION("""COMPUTED_VALUE"""),8192948)</f>
        <v>8192948</v>
      </c>
    </row>
    <row r="258" spans="1:6" ht="12.6">
      <c r="A258" s="2">
        <f ca="1">IFERROR(__xludf.DUMMYFUNCTION("""COMPUTED_VALUE"""),44936.6666666666)</f>
        <v>44936.666666666599</v>
      </c>
      <c r="B258" s="1">
        <f ca="1">IFERROR(__xludf.DUMMYFUNCTION("""COMPUTED_VALUE"""),134.86)</f>
        <v>134.86000000000001</v>
      </c>
      <c r="C258" s="1">
        <f ca="1">IFERROR(__xludf.DUMMYFUNCTION("""COMPUTED_VALUE"""),138.45)</f>
        <v>138.44999999999999</v>
      </c>
      <c r="D258" s="1">
        <f ca="1">IFERROR(__xludf.DUMMYFUNCTION("""COMPUTED_VALUE"""),133.74)</f>
        <v>133.74</v>
      </c>
      <c r="E258" s="1">
        <f ca="1">IFERROR(__xludf.DUMMYFUNCTION("""COMPUTED_VALUE"""),137.94)</f>
        <v>137.94</v>
      </c>
      <c r="F258" s="1">
        <f ca="1">IFERROR(__xludf.DUMMYFUNCTION("""COMPUTED_VALUE"""),4518407)</f>
        <v>4518407</v>
      </c>
    </row>
    <row r="259" spans="1:6" ht="12.6">
      <c r="A259" s="2">
        <f ca="1">IFERROR(__xludf.DUMMYFUNCTION("""COMPUTED_VALUE"""),44937.6666666666)</f>
        <v>44937.666666666599</v>
      </c>
      <c r="B259" s="1">
        <f ca="1">IFERROR(__xludf.DUMMYFUNCTION("""COMPUTED_VALUE"""),138.2)</f>
        <v>138.19999999999999</v>
      </c>
      <c r="C259" s="1">
        <f ca="1">IFERROR(__xludf.DUMMYFUNCTION("""COMPUTED_VALUE"""),141.07)</f>
        <v>141.07</v>
      </c>
      <c r="D259" s="1">
        <f ca="1">IFERROR(__xludf.DUMMYFUNCTION("""COMPUTED_VALUE"""),136.55)</f>
        <v>136.55000000000001</v>
      </c>
      <c r="E259" s="1">
        <f ca="1">IFERROR(__xludf.DUMMYFUNCTION("""COMPUTED_VALUE"""),139.71)</f>
        <v>139.71</v>
      </c>
      <c r="F259" s="1">
        <f ca="1">IFERROR(__xludf.DUMMYFUNCTION("""COMPUTED_VALUE"""),4290297)</f>
        <v>4290297</v>
      </c>
    </row>
    <row r="260" spans="1:6" ht="12.6">
      <c r="A260" s="2">
        <f ca="1">IFERROR(__xludf.DUMMYFUNCTION("""COMPUTED_VALUE"""),44938.6666666666)</f>
        <v>44938.666666666599</v>
      </c>
      <c r="B260" s="1">
        <f ca="1">IFERROR(__xludf.DUMMYFUNCTION("""COMPUTED_VALUE"""),140.39)</f>
        <v>140.38999999999999</v>
      </c>
      <c r="C260" s="1">
        <f ca="1">IFERROR(__xludf.DUMMYFUNCTION("""COMPUTED_VALUE"""),142.16)</f>
        <v>142.16</v>
      </c>
      <c r="D260" s="1">
        <f ca="1">IFERROR(__xludf.DUMMYFUNCTION("""COMPUTED_VALUE"""),135.1)</f>
        <v>135.1</v>
      </c>
      <c r="E260" s="1">
        <f ca="1">IFERROR(__xludf.DUMMYFUNCTION("""COMPUTED_VALUE"""),142.14)</f>
        <v>142.13999999999999</v>
      </c>
      <c r="F260" s="1">
        <f ca="1">IFERROR(__xludf.DUMMYFUNCTION("""COMPUTED_VALUE"""),3810038)</f>
        <v>3810038</v>
      </c>
    </row>
    <row r="261" spans="1:6" ht="12.6">
      <c r="A261" s="2">
        <f ca="1">IFERROR(__xludf.DUMMYFUNCTION("""COMPUTED_VALUE"""),44939.6666666666)</f>
        <v>44939.666666666599</v>
      </c>
      <c r="B261" s="1">
        <f ca="1">IFERROR(__xludf.DUMMYFUNCTION("""COMPUTED_VALUE"""),139.3)</f>
        <v>139.30000000000001</v>
      </c>
      <c r="C261" s="1">
        <f ca="1">IFERROR(__xludf.DUMMYFUNCTION("""COMPUTED_VALUE"""),141.77)</f>
        <v>141.77000000000001</v>
      </c>
      <c r="D261" s="1">
        <f ca="1">IFERROR(__xludf.DUMMYFUNCTION("""COMPUTED_VALUE"""),137.31)</f>
        <v>137.31</v>
      </c>
      <c r="E261" s="1">
        <f ca="1">IFERROR(__xludf.DUMMYFUNCTION("""COMPUTED_VALUE"""),140.87)</f>
        <v>140.87</v>
      </c>
      <c r="F261" s="1">
        <f ca="1">IFERROR(__xludf.DUMMYFUNCTION("""COMPUTED_VALUE"""),4919267)</f>
        <v>4919267</v>
      </c>
    </row>
    <row r="262" spans="1:6" ht="12.6">
      <c r="A262" s="2">
        <f ca="1">IFERROR(__xludf.DUMMYFUNCTION("""COMPUTED_VALUE"""),44943.6666666666)</f>
        <v>44943.666666666599</v>
      </c>
      <c r="B262" s="1">
        <f ca="1">IFERROR(__xludf.DUMMYFUNCTION("""COMPUTED_VALUE"""),141.15)</f>
        <v>141.15</v>
      </c>
      <c r="C262" s="1">
        <f ca="1">IFERROR(__xludf.DUMMYFUNCTION("""COMPUTED_VALUE"""),147.32)</f>
        <v>147.32</v>
      </c>
      <c r="D262" s="1">
        <f ca="1">IFERROR(__xludf.DUMMYFUNCTION("""COMPUTED_VALUE"""),139.46)</f>
        <v>139.46</v>
      </c>
      <c r="E262" s="1">
        <f ca="1">IFERROR(__xludf.DUMMYFUNCTION("""COMPUTED_VALUE"""),145.72)</f>
        <v>145.72</v>
      </c>
      <c r="F262" s="1">
        <f ca="1">IFERROR(__xludf.DUMMYFUNCTION("""COMPUTED_VALUE"""),4607410)</f>
        <v>4607410</v>
      </c>
    </row>
    <row r="263" spans="1:6" ht="12.6">
      <c r="A263" s="2">
        <f ca="1">IFERROR(__xludf.DUMMYFUNCTION("""COMPUTED_VALUE"""),44944.6666666666)</f>
        <v>44944.666666666599</v>
      </c>
      <c r="B263" s="1">
        <f ca="1">IFERROR(__xludf.DUMMYFUNCTION("""COMPUTED_VALUE"""),147.45)</f>
        <v>147.44999999999999</v>
      </c>
      <c r="C263" s="1">
        <f ca="1">IFERROR(__xludf.DUMMYFUNCTION("""COMPUTED_VALUE"""),148.57)</f>
        <v>148.57</v>
      </c>
      <c r="D263" s="1">
        <f ca="1">IFERROR(__xludf.DUMMYFUNCTION("""COMPUTED_VALUE"""),140.04)</f>
        <v>140.04</v>
      </c>
      <c r="E263" s="1">
        <f ca="1">IFERROR(__xludf.DUMMYFUNCTION("""COMPUTED_VALUE"""),140.11)</f>
        <v>140.11000000000001</v>
      </c>
      <c r="F263" s="1">
        <f ca="1">IFERROR(__xludf.DUMMYFUNCTION("""COMPUTED_VALUE"""),4336969)</f>
        <v>4336969</v>
      </c>
    </row>
    <row r="264" spans="1:6" ht="12.6">
      <c r="A264" s="2">
        <f ca="1">IFERROR(__xludf.DUMMYFUNCTION("""COMPUTED_VALUE"""),44945.6666666666)</f>
        <v>44945.666666666599</v>
      </c>
      <c r="B264" s="1">
        <f ca="1">IFERROR(__xludf.DUMMYFUNCTION("""COMPUTED_VALUE"""),137.5)</f>
        <v>137.5</v>
      </c>
      <c r="C264" s="1">
        <f ca="1">IFERROR(__xludf.DUMMYFUNCTION("""COMPUTED_VALUE"""),140.55)</f>
        <v>140.55000000000001</v>
      </c>
      <c r="D264" s="1">
        <f ca="1">IFERROR(__xludf.DUMMYFUNCTION("""COMPUTED_VALUE"""),135.08)</f>
        <v>135.08000000000001</v>
      </c>
      <c r="E264" s="1">
        <f ca="1">IFERROR(__xludf.DUMMYFUNCTION("""COMPUTED_VALUE"""),135.24)</f>
        <v>135.24</v>
      </c>
      <c r="F264" s="1">
        <f ca="1">IFERROR(__xludf.DUMMYFUNCTION("""COMPUTED_VALUE"""),4916404)</f>
        <v>4916404</v>
      </c>
    </row>
    <row r="265" spans="1:6" ht="12.6">
      <c r="A265" s="2">
        <f ca="1">IFERROR(__xludf.DUMMYFUNCTION("""COMPUTED_VALUE"""),44946.6666666666)</f>
        <v>44946.666666666599</v>
      </c>
      <c r="B265" s="1">
        <f ca="1">IFERROR(__xludf.DUMMYFUNCTION("""COMPUTED_VALUE"""),136.45)</f>
        <v>136.44999999999999</v>
      </c>
      <c r="C265" s="1">
        <f ca="1">IFERROR(__xludf.DUMMYFUNCTION("""COMPUTED_VALUE"""),145.08)</f>
        <v>145.08000000000001</v>
      </c>
      <c r="D265" s="1">
        <f ca="1">IFERROR(__xludf.DUMMYFUNCTION("""COMPUTED_VALUE"""),135.32)</f>
        <v>135.32</v>
      </c>
      <c r="E265" s="1">
        <f ca="1">IFERROR(__xludf.DUMMYFUNCTION("""COMPUTED_VALUE"""),144.82)</f>
        <v>144.82</v>
      </c>
      <c r="F265" s="1">
        <f ca="1">IFERROR(__xludf.DUMMYFUNCTION("""COMPUTED_VALUE"""),4714237)</f>
        <v>4714237</v>
      </c>
    </row>
    <row r="266" spans="1:6" ht="12.6">
      <c r="A266" s="2">
        <f ca="1">IFERROR(__xludf.DUMMYFUNCTION("""COMPUTED_VALUE"""),44949.6666666666)</f>
        <v>44949.666666666599</v>
      </c>
      <c r="B266" s="1">
        <f ca="1">IFERROR(__xludf.DUMMYFUNCTION("""COMPUTED_VALUE"""),146.5)</f>
        <v>146.5</v>
      </c>
      <c r="C266" s="1">
        <f ca="1">IFERROR(__xludf.DUMMYFUNCTION("""COMPUTED_VALUE"""),150.92)</f>
        <v>150.91999999999999</v>
      </c>
      <c r="D266" s="1">
        <f ca="1">IFERROR(__xludf.DUMMYFUNCTION("""COMPUTED_VALUE"""),144.74)</f>
        <v>144.74</v>
      </c>
      <c r="E266" s="1">
        <f ca="1">IFERROR(__xludf.DUMMYFUNCTION("""COMPUTED_VALUE"""),150.3)</f>
        <v>150.30000000000001</v>
      </c>
      <c r="F266" s="1">
        <f ca="1">IFERROR(__xludf.DUMMYFUNCTION("""COMPUTED_VALUE"""),4562743)</f>
        <v>4562743</v>
      </c>
    </row>
    <row r="267" spans="1:6" ht="12.6">
      <c r="A267" s="2">
        <f ca="1">IFERROR(__xludf.DUMMYFUNCTION("""COMPUTED_VALUE"""),44950.6666666666)</f>
        <v>44950.666666666599</v>
      </c>
      <c r="B267" s="1">
        <f ca="1">IFERROR(__xludf.DUMMYFUNCTION("""COMPUTED_VALUE"""),148.13)</f>
        <v>148.13</v>
      </c>
      <c r="C267" s="1">
        <f ca="1">IFERROR(__xludf.DUMMYFUNCTION("""COMPUTED_VALUE"""),152.76)</f>
        <v>152.76</v>
      </c>
      <c r="D267" s="1">
        <f ca="1">IFERROR(__xludf.DUMMYFUNCTION("""COMPUTED_VALUE"""),145.26)</f>
        <v>145.26</v>
      </c>
      <c r="E267" s="1">
        <f ca="1">IFERROR(__xludf.DUMMYFUNCTION("""COMPUTED_VALUE"""),145.79)</f>
        <v>145.79</v>
      </c>
      <c r="F267" s="1">
        <f ca="1">IFERROR(__xludf.DUMMYFUNCTION("""COMPUTED_VALUE"""),4086142)</f>
        <v>4086142</v>
      </c>
    </row>
    <row r="268" spans="1:6" ht="12.6">
      <c r="A268" s="2">
        <f ca="1">IFERROR(__xludf.DUMMYFUNCTION("""COMPUTED_VALUE"""),44951.6666666666)</f>
        <v>44951.666666666599</v>
      </c>
      <c r="B268" s="1">
        <f ca="1">IFERROR(__xludf.DUMMYFUNCTION("""COMPUTED_VALUE"""),138.27)</f>
        <v>138.27000000000001</v>
      </c>
      <c r="C268" s="1">
        <f ca="1">IFERROR(__xludf.DUMMYFUNCTION("""COMPUTED_VALUE"""),144.93)</f>
        <v>144.93</v>
      </c>
      <c r="D268" s="1">
        <f ca="1">IFERROR(__xludf.DUMMYFUNCTION("""COMPUTED_VALUE"""),134.34)</f>
        <v>134.34</v>
      </c>
      <c r="E268" s="1">
        <f ca="1">IFERROR(__xludf.DUMMYFUNCTION("""COMPUTED_VALUE"""),144.44)</f>
        <v>144.44</v>
      </c>
      <c r="F268" s="1">
        <f ca="1">IFERROR(__xludf.DUMMYFUNCTION("""COMPUTED_VALUE"""),7460129)</f>
        <v>7460129</v>
      </c>
    </row>
    <row r="269" spans="1:6" ht="12.6">
      <c r="A269" s="2">
        <f ca="1">IFERROR(__xludf.DUMMYFUNCTION("""COMPUTED_VALUE"""),44952.6666666666)</f>
        <v>44952.666666666599</v>
      </c>
      <c r="B269" s="1">
        <f ca="1">IFERROR(__xludf.DUMMYFUNCTION("""COMPUTED_VALUE"""),148.67)</f>
        <v>148.66999999999999</v>
      </c>
      <c r="C269" s="1">
        <f ca="1">IFERROR(__xludf.DUMMYFUNCTION("""COMPUTED_VALUE"""),152.49)</f>
        <v>152.49</v>
      </c>
      <c r="D269" s="1">
        <f ca="1">IFERROR(__xludf.DUMMYFUNCTION("""COMPUTED_VALUE"""),144.76)</f>
        <v>144.76</v>
      </c>
      <c r="E269" s="1">
        <f ca="1">IFERROR(__xludf.DUMMYFUNCTION("""COMPUTED_VALUE"""),152.45)</f>
        <v>152.44999999999999</v>
      </c>
      <c r="F269" s="1">
        <f ca="1">IFERROR(__xludf.DUMMYFUNCTION("""COMPUTED_VALUE"""),4450235)</f>
        <v>4450235</v>
      </c>
    </row>
    <row r="270" spans="1:6" ht="12.6">
      <c r="A270" s="2">
        <f ca="1">IFERROR(__xludf.DUMMYFUNCTION("""COMPUTED_VALUE"""),44953.6666666666)</f>
        <v>44953.666666666599</v>
      </c>
      <c r="B270" s="1">
        <f ca="1">IFERROR(__xludf.DUMMYFUNCTION("""COMPUTED_VALUE"""),150.59)</f>
        <v>150.59</v>
      </c>
      <c r="C270" s="1">
        <f ca="1">IFERROR(__xludf.DUMMYFUNCTION("""COMPUTED_VALUE"""),161.32)</f>
        <v>161.32</v>
      </c>
      <c r="D270" s="1">
        <f ca="1">IFERROR(__xludf.DUMMYFUNCTION("""COMPUTED_VALUE"""),150.38)</f>
        <v>150.38</v>
      </c>
      <c r="E270" s="1">
        <f ca="1">IFERROR(__xludf.DUMMYFUNCTION("""COMPUTED_VALUE"""),159.36)</f>
        <v>159.36000000000001</v>
      </c>
      <c r="F270" s="1">
        <f ca="1">IFERROR(__xludf.DUMMYFUNCTION("""COMPUTED_VALUE"""),11486765)</f>
        <v>11486765</v>
      </c>
    </row>
    <row r="271" spans="1:6" ht="12.6">
      <c r="A271" s="2">
        <f ca="1">IFERROR(__xludf.DUMMYFUNCTION("""COMPUTED_VALUE"""),44956.6666666666)</f>
        <v>44956.666666666599</v>
      </c>
      <c r="B271" s="1">
        <f ca="1">IFERROR(__xludf.DUMMYFUNCTION("""COMPUTED_VALUE"""),156.78)</f>
        <v>156.78</v>
      </c>
      <c r="C271" s="1">
        <f ca="1">IFERROR(__xludf.DUMMYFUNCTION("""COMPUTED_VALUE"""),159.73)</f>
        <v>159.72999999999999</v>
      </c>
      <c r="D271" s="1">
        <f ca="1">IFERROR(__xludf.DUMMYFUNCTION("""COMPUTED_VALUE"""),152.81)</f>
        <v>152.81</v>
      </c>
      <c r="E271" s="1">
        <f ca="1">IFERROR(__xludf.DUMMYFUNCTION("""COMPUTED_VALUE"""),152.92)</f>
        <v>152.91999999999999</v>
      </c>
      <c r="F271" s="1">
        <f ca="1">IFERROR(__xludf.DUMMYFUNCTION("""COMPUTED_VALUE"""),4239451)</f>
        <v>4239451</v>
      </c>
    </row>
    <row r="272" spans="1:6" ht="12.6">
      <c r="A272" s="2">
        <f ca="1">IFERROR(__xludf.DUMMYFUNCTION("""COMPUTED_VALUE"""),44957.6666666666)</f>
        <v>44957.666666666599</v>
      </c>
      <c r="B272" s="1">
        <f ca="1">IFERROR(__xludf.DUMMYFUNCTION("""COMPUTED_VALUE"""),153.77)</f>
        <v>153.77000000000001</v>
      </c>
      <c r="C272" s="1">
        <f ca="1">IFERROR(__xludf.DUMMYFUNCTION("""COMPUTED_VALUE"""),157.25)</f>
        <v>157.25</v>
      </c>
      <c r="D272" s="1">
        <f ca="1">IFERROR(__xludf.DUMMYFUNCTION("""COMPUTED_VALUE"""),151.21)</f>
        <v>151.21</v>
      </c>
      <c r="E272" s="1">
        <f ca="1">IFERROR(__xludf.DUMMYFUNCTION("""COMPUTED_VALUE"""),156.44)</f>
        <v>156.44</v>
      </c>
      <c r="F272" s="1">
        <f ca="1">IFERROR(__xludf.DUMMYFUNCTION("""COMPUTED_VALUE"""),5216153)</f>
        <v>5216153</v>
      </c>
    </row>
    <row r="273" spans="1:6" ht="12.6">
      <c r="A273" s="2">
        <f ca="1">IFERROR(__xludf.DUMMYFUNCTION("""COMPUTED_VALUE"""),44958.6666666666)</f>
        <v>44958.666666666599</v>
      </c>
      <c r="B273" s="1">
        <f ca="1">IFERROR(__xludf.DUMMYFUNCTION("""COMPUTED_VALUE"""),158.59)</f>
        <v>158.59</v>
      </c>
      <c r="C273" s="1">
        <f ca="1">IFERROR(__xludf.DUMMYFUNCTION("""COMPUTED_VALUE"""),166.83)</f>
        <v>166.83</v>
      </c>
      <c r="D273" s="1">
        <f ca="1">IFERROR(__xludf.DUMMYFUNCTION("""COMPUTED_VALUE"""),155.44)</f>
        <v>155.44</v>
      </c>
      <c r="E273" s="1">
        <f ca="1">IFERROR(__xludf.DUMMYFUNCTION("""COMPUTED_VALUE"""),165.22)</f>
        <v>165.22</v>
      </c>
      <c r="F273" s="1">
        <f ca="1">IFERROR(__xludf.DUMMYFUNCTION("""COMPUTED_VALUE"""),5056080)</f>
        <v>5056080</v>
      </c>
    </row>
    <row r="274" spans="1:6" ht="12.6">
      <c r="A274" s="2">
        <f ca="1">IFERROR(__xludf.DUMMYFUNCTION("""COMPUTED_VALUE"""),44959.6666666666)</f>
        <v>44959.666666666599</v>
      </c>
      <c r="B274" s="1">
        <f ca="1">IFERROR(__xludf.DUMMYFUNCTION("""COMPUTED_VALUE"""),173.84)</f>
        <v>173.84</v>
      </c>
      <c r="C274" s="1">
        <f ca="1">IFERROR(__xludf.DUMMYFUNCTION("""COMPUTED_VALUE"""),178.7)</f>
        <v>178.7</v>
      </c>
      <c r="D274" s="1">
        <f ca="1">IFERROR(__xludf.DUMMYFUNCTION("""COMPUTED_VALUE"""),170.26)</f>
        <v>170.26</v>
      </c>
      <c r="E274" s="1">
        <f ca="1">IFERROR(__xludf.DUMMYFUNCTION("""COMPUTED_VALUE"""),178.05)</f>
        <v>178.05</v>
      </c>
      <c r="F274" s="1">
        <f ca="1">IFERROR(__xludf.DUMMYFUNCTION("""COMPUTED_VALUE"""),8578224)</f>
        <v>8578224</v>
      </c>
    </row>
    <row r="275" spans="1:6" ht="12.6">
      <c r="A275" s="2">
        <f ca="1">IFERROR(__xludf.DUMMYFUNCTION("""COMPUTED_VALUE"""),44960.6666666666)</f>
        <v>44960.666666666599</v>
      </c>
      <c r="B275" s="1">
        <f ca="1">IFERROR(__xludf.DUMMYFUNCTION("""COMPUTED_VALUE"""),168)</f>
        <v>168</v>
      </c>
      <c r="C275" s="1">
        <f ca="1">IFERROR(__xludf.DUMMYFUNCTION("""COMPUTED_VALUE"""),175.49)</f>
        <v>175.49</v>
      </c>
      <c r="D275" s="1">
        <f ca="1">IFERROR(__xludf.DUMMYFUNCTION("""COMPUTED_VALUE"""),163)</f>
        <v>163</v>
      </c>
      <c r="E275" s="1">
        <f ca="1">IFERROR(__xludf.DUMMYFUNCTION("""COMPUTED_VALUE"""),163.29)</f>
        <v>163.29</v>
      </c>
      <c r="F275" s="1">
        <f ca="1">IFERROR(__xludf.DUMMYFUNCTION("""COMPUTED_VALUE"""),7312943)</f>
        <v>7312943</v>
      </c>
    </row>
    <row r="276" spans="1:6" ht="12.6">
      <c r="A276" s="2">
        <f ca="1">IFERROR(__xludf.DUMMYFUNCTION("""COMPUTED_VALUE"""),44963.6666666666)</f>
        <v>44963.666666666599</v>
      </c>
      <c r="B276" s="1">
        <f ca="1">IFERROR(__xludf.DUMMYFUNCTION("""COMPUTED_VALUE"""),159.74)</f>
        <v>159.74</v>
      </c>
      <c r="C276" s="1">
        <f ca="1">IFERROR(__xludf.DUMMYFUNCTION("""COMPUTED_VALUE"""),163.52)</f>
        <v>163.52000000000001</v>
      </c>
      <c r="D276" s="1">
        <f ca="1">IFERROR(__xludf.DUMMYFUNCTION("""COMPUTED_VALUE"""),156.79)</f>
        <v>156.79</v>
      </c>
      <c r="E276" s="1">
        <f ca="1">IFERROR(__xludf.DUMMYFUNCTION("""COMPUTED_VALUE"""),158.07)</f>
        <v>158.07</v>
      </c>
      <c r="F276" s="1">
        <f ca="1">IFERROR(__xludf.DUMMYFUNCTION("""COMPUTED_VALUE"""),5708704)</f>
        <v>5708704</v>
      </c>
    </row>
    <row r="277" spans="1:6" ht="12.6">
      <c r="A277" s="2">
        <f ca="1">IFERROR(__xludf.DUMMYFUNCTION("""COMPUTED_VALUE"""),44964.6666666666)</f>
        <v>44964.666666666599</v>
      </c>
      <c r="B277" s="1">
        <f ca="1">IFERROR(__xludf.DUMMYFUNCTION("""COMPUTED_VALUE"""),157.93)</f>
        <v>157.93</v>
      </c>
      <c r="C277" s="1">
        <f ca="1">IFERROR(__xludf.DUMMYFUNCTION("""COMPUTED_VALUE"""),161.5)</f>
        <v>161.5</v>
      </c>
      <c r="D277" s="1">
        <f ca="1">IFERROR(__xludf.DUMMYFUNCTION("""COMPUTED_VALUE"""),154.42)</f>
        <v>154.41999999999999</v>
      </c>
      <c r="E277" s="1">
        <f ca="1">IFERROR(__xludf.DUMMYFUNCTION("""COMPUTED_VALUE"""),160.77)</f>
        <v>160.77000000000001</v>
      </c>
      <c r="F277" s="1">
        <f ca="1">IFERROR(__xludf.DUMMYFUNCTION("""COMPUTED_VALUE"""),5343248)</f>
        <v>5343248</v>
      </c>
    </row>
    <row r="278" spans="1:6" ht="12.6">
      <c r="A278" s="2">
        <f ca="1">IFERROR(__xludf.DUMMYFUNCTION("""COMPUTED_VALUE"""),44965.6666666666)</f>
        <v>44965.666666666599</v>
      </c>
      <c r="B278" s="1">
        <f ca="1">IFERROR(__xludf.DUMMYFUNCTION("""COMPUTED_VALUE"""),161.26)</f>
        <v>161.26</v>
      </c>
      <c r="C278" s="1">
        <f ca="1">IFERROR(__xludf.DUMMYFUNCTION("""COMPUTED_VALUE"""),165)</f>
        <v>165</v>
      </c>
      <c r="D278" s="1">
        <f ca="1">IFERROR(__xludf.DUMMYFUNCTION("""COMPUTED_VALUE"""),158.04)</f>
        <v>158.04</v>
      </c>
      <c r="E278" s="1">
        <f ca="1">IFERROR(__xludf.DUMMYFUNCTION("""COMPUTED_VALUE"""),159.06)</f>
        <v>159.06</v>
      </c>
      <c r="F278" s="1">
        <f ca="1">IFERROR(__xludf.DUMMYFUNCTION("""COMPUTED_VALUE"""),3845306)</f>
        <v>3845306</v>
      </c>
    </row>
    <row r="279" spans="1:6" ht="12.6">
      <c r="A279" s="2">
        <f ca="1">IFERROR(__xludf.DUMMYFUNCTION("""COMPUTED_VALUE"""),44966.6666666666)</f>
        <v>44966.666666666599</v>
      </c>
      <c r="B279" s="1">
        <f ca="1">IFERROR(__xludf.DUMMYFUNCTION("""COMPUTED_VALUE"""),161.94)</f>
        <v>161.94</v>
      </c>
      <c r="C279" s="1">
        <f ca="1">IFERROR(__xludf.DUMMYFUNCTION("""COMPUTED_VALUE"""),166.72)</f>
        <v>166.72</v>
      </c>
      <c r="D279" s="1">
        <f ca="1">IFERROR(__xludf.DUMMYFUNCTION("""COMPUTED_VALUE"""),161.27)</f>
        <v>161.27000000000001</v>
      </c>
      <c r="E279" s="1">
        <f ca="1">IFERROR(__xludf.DUMMYFUNCTION("""COMPUTED_VALUE"""),162.68)</f>
        <v>162.68</v>
      </c>
      <c r="F279" s="1">
        <f ca="1">IFERROR(__xludf.DUMMYFUNCTION("""COMPUTED_VALUE"""),4534121)</f>
        <v>4534121</v>
      </c>
    </row>
    <row r="280" spans="1:6" ht="12.6">
      <c r="A280" s="2">
        <f ca="1">IFERROR(__xludf.DUMMYFUNCTION("""COMPUTED_VALUE"""),44967.6666666666)</f>
        <v>44967.666666666599</v>
      </c>
      <c r="B280" s="1">
        <f ca="1">IFERROR(__xludf.DUMMYFUNCTION("""COMPUTED_VALUE"""),159.66)</f>
        <v>159.66</v>
      </c>
      <c r="C280" s="1">
        <f ca="1">IFERROR(__xludf.DUMMYFUNCTION("""COMPUTED_VALUE"""),162.01)</f>
        <v>162.01</v>
      </c>
      <c r="D280" s="1">
        <f ca="1">IFERROR(__xludf.DUMMYFUNCTION("""COMPUTED_VALUE"""),154.73)</f>
        <v>154.72999999999999</v>
      </c>
      <c r="E280" s="1">
        <f ca="1">IFERROR(__xludf.DUMMYFUNCTION("""COMPUTED_VALUE"""),157.33)</f>
        <v>157.33000000000001</v>
      </c>
      <c r="F280" s="1">
        <f ca="1">IFERROR(__xludf.DUMMYFUNCTION("""COMPUTED_VALUE"""),4156649)</f>
        <v>4156649</v>
      </c>
    </row>
    <row r="281" spans="1:6" ht="12.6">
      <c r="A281" s="2">
        <f ca="1">IFERROR(__xludf.DUMMYFUNCTION("""COMPUTED_VALUE"""),44970.6666666666)</f>
        <v>44970.666666666599</v>
      </c>
      <c r="B281" s="1">
        <f ca="1">IFERROR(__xludf.DUMMYFUNCTION("""COMPUTED_VALUE"""),158.5)</f>
        <v>158.5</v>
      </c>
      <c r="C281" s="1">
        <f ca="1">IFERROR(__xludf.DUMMYFUNCTION("""COMPUTED_VALUE"""),165.06)</f>
        <v>165.06</v>
      </c>
      <c r="D281" s="1">
        <f ca="1">IFERROR(__xludf.DUMMYFUNCTION("""COMPUTED_VALUE"""),157.05)</f>
        <v>157.05000000000001</v>
      </c>
      <c r="E281" s="1">
        <f ca="1">IFERROR(__xludf.DUMMYFUNCTION("""COMPUTED_VALUE"""),161.96)</f>
        <v>161.96</v>
      </c>
      <c r="F281" s="1">
        <f ca="1">IFERROR(__xludf.DUMMYFUNCTION("""COMPUTED_VALUE"""),3615724)</f>
        <v>3615724</v>
      </c>
    </row>
    <row r="282" spans="1:6" ht="12.6">
      <c r="A282" s="2">
        <f ca="1">IFERROR(__xludf.DUMMYFUNCTION("""COMPUTED_VALUE"""),44971.6666666666)</f>
        <v>44971.666666666599</v>
      </c>
      <c r="B282" s="1">
        <f ca="1">IFERROR(__xludf.DUMMYFUNCTION("""COMPUTED_VALUE"""),159.97)</f>
        <v>159.97</v>
      </c>
      <c r="C282" s="1">
        <f ca="1">IFERROR(__xludf.DUMMYFUNCTION("""COMPUTED_VALUE"""),171.94)</f>
        <v>171.94</v>
      </c>
      <c r="D282" s="1">
        <f ca="1">IFERROR(__xludf.DUMMYFUNCTION("""COMPUTED_VALUE"""),158.24)</f>
        <v>158.24</v>
      </c>
      <c r="E282" s="1">
        <f ca="1">IFERROR(__xludf.DUMMYFUNCTION("""COMPUTED_VALUE"""),171.02)</f>
        <v>171.02</v>
      </c>
      <c r="F282" s="1">
        <f ca="1">IFERROR(__xludf.DUMMYFUNCTION("""COMPUTED_VALUE"""),4994848)</f>
        <v>4994848</v>
      </c>
    </row>
    <row r="283" spans="1:6" ht="12.6">
      <c r="A283" s="2">
        <f ca="1">IFERROR(__xludf.DUMMYFUNCTION("""COMPUTED_VALUE"""),44972.6666666666)</f>
        <v>44972.666666666599</v>
      </c>
      <c r="B283" s="1">
        <f ca="1">IFERROR(__xludf.DUMMYFUNCTION("""COMPUTED_VALUE"""),171.4)</f>
        <v>171.4</v>
      </c>
      <c r="C283" s="1">
        <f ca="1">IFERROR(__xludf.DUMMYFUNCTION("""COMPUTED_VALUE"""),175.95)</f>
        <v>175.95</v>
      </c>
      <c r="D283" s="1">
        <f ca="1">IFERROR(__xludf.DUMMYFUNCTION("""COMPUTED_VALUE"""),170.07)</f>
        <v>170.07</v>
      </c>
      <c r="E283" s="1">
        <f ca="1">IFERROR(__xludf.DUMMYFUNCTION("""COMPUTED_VALUE"""),175.28)</f>
        <v>175.28</v>
      </c>
      <c r="F283" s="1">
        <f ca="1">IFERROR(__xludf.DUMMYFUNCTION("""COMPUTED_VALUE"""),4445096)</f>
        <v>4445096</v>
      </c>
    </row>
    <row r="284" spans="1:6" ht="12.6">
      <c r="A284" s="2">
        <f ca="1">IFERROR(__xludf.DUMMYFUNCTION("""COMPUTED_VALUE"""),44973.6666666666)</f>
        <v>44973.666666666599</v>
      </c>
      <c r="B284" s="1">
        <f ca="1">IFERROR(__xludf.DUMMYFUNCTION("""COMPUTED_VALUE"""),171)</f>
        <v>171</v>
      </c>
      <c r="C284" s="1">
        <f ca="1">IFERROR(__xludf.DUMMYFUNCTION("""COMPUTED_VALUE"""),172.72)</f>
        <v>172.72</v>
      </c>
      <c r="D284" s="1">
        <f ca="1">IFERROR(__xludf.DUMMYFUNCTION("""COMPUTED_VALUE"""),163.92)</f>
        <v>163.92</v>
      </c>
      <c r="E284" s="1">
        <f ca="1">IFERROR(__xludf.DUMMYFUNCTION("""COMPUTED_VALUE"""),164.4)</f>
        <v>164.4</v>
      </c>
      <c r="F284" s="1">
        <f ca="1">IFERROR(__xludf.DUMMYFUNCTION("""COMPUTED_VALUE"""),4784586)</f>
        <v>4784586</v>
      </c>
    </row>
    <row r="285" spans="1:6" ht="12.6">
      <c r="A285" s="2">
        <f ca="1">IFERROR(__xludf.DUMMYFUNCTION("""COMPUTED_VALUE"""),44974.6666666666)</f>
        <v>44974.666666666599</v>
      </c>
      <c r="B285" s="1">
        <f ca="1">IFERROR(__xludf.DUMMYFUNCTION("""COMPUTED_VALUE"""),160.5)</f>
        <v>160.5</v>
      </c>
      <c r="C285" s="1">
        <f ca="1">IFERROR(__xludf.DUMMYFUNCTION("""COMPUTED_VALUE"""),160.77)</f>
        <v>160.77000000000001</v>
      </c>
      <c r="D285" s="1">
        <f ca="1">IFERROR(__xludf.DUMMYFUNCTION("""COMPUTED_VALUE"""),151.55)</f>
        <v>151.55000000000001</v>
      </c>
      <c r="E285" s="1">
        <f ca="1">IFERROR(__xludf.DUMMYFUNCTION("""COMPUTED_VALUE"""),154.08)</f>
        <v>154.08000000000001</v>
      </c>
      <c r="F285" s="1">
        <f ca="1">IFERROR(__xludf.DUMMYFUNCTION("""COMPUTED_VALUE"""),7951490)</f>
        <v>7951490</v>
      </c>
    </row>
    <row r="286" spans="1:6" ht="12.6">
      <c r="A286" s="2">
        <f ca="1">IFERROR(__xludf.DUMMYFUNCTION("""COMPUTED_VALUE"""),44978.6666666666)</f>
        <v>44978.666666666599</v>
      </c>
      <c r="B286" s="1">
        <f ca="1">IFERROR(__xludf.DUMMYFUNCTION("""COMPUTED_VALUE"""),150.6)</f>
        <v>150.6</v>
      </c>
      <c r="C286" s="1">
        <f ca="1">IFERROR(__xludf.DUMMYFUNCTION("""COMPUTED_VALUE"""),155)</f>
        <v>155</v>
      </c>
      <c r="D286" s="1">
        <f ca="1">IFERROR(__xludf.DUMMYFUNCTION("""COMPUTED_VALUE"""),150.08)</f>
        <v>150.08000000000001</v>
      </c>
      <c r="E286" s="1">
        <f ca="1">IFERROR(__xludf.DUMMYFUNCTION("""COMPUTED_VALUE"""),151.26)</f>
        <v>151.26</v>
      </c>
      <c r="F286" s="1">
        <f ca="1">IFERROR(__xludf.DUMMYFUNCTION("""COMPUTED_VALUE"""),3410995)</f>
        <v>3410995</v>
      </c>
    </row>
    <row r="287" spans="1:6" ht="12.6">
      <c r="A287" s="2">
        <f ca="1">IFERROR(__xludf.DUMMYFUNCTION("""COMPUTED_VALUE"""),44979.6666666666)</f>
        <v>44979.666666666599</v>
      </c>
      <c r="B287" s="1">
        <f ca="1">IFERROR(__xludf.DUMMYFUNCTION("""COMPUTED_VALUE"""),149.5)</f>
        <v>149.5</v>
      </c>
      <c r="C287" s="1">
        <f ca="1">IFERROR(__xludf.DUMMYFUNCTION("""COMPUTED_VALUE"""),155.38)</f>
        <v>155.38</v>
      </c>
      <c r="D287" s="1">
        <f ca="1">IFERROR(__xludf.DUMMYFUNCTION("""COMPUTED_VALUE"""),149.5)</f>
        <v>149.5</v>
      </c>
      <c r="E287" s="1">
        <f ca="1">IFERROR(__xludf.DUMMYFUNCTION("""COMPUTED_VALUE"""),150.66)</f>
        <v>150.66</v>
      </c>
      <c r="F287" s="1">
        <f ca="1">IFERROR(__xludf.DUMMYFUNCTION("""COMPUTED_VALUE"""),4101858)</f>
        <v>4101858</v>
      </c>
    </row>
    <row r="288" spans="1:6" ht="12.6">
      <c r="A288" s="2">
        <f ca="1">IFERROR(__xludf.DUMMYFUNCTION("""COMPUTED_VALUE"""),44980.6666666666)</f>
        <v>44980.666666666599</v>
      </c>
      <c r="B288" s="1">
        <f ca="1">IFERROR(__xludf.DUMMYFUNCTION("""COMPUTED_VALUE"""),153.5)</f>
        <v>153.5</v>
      </c>
      <c r="C288" s="1">
        <f ca="1">IFERROR(__xludf.DUMMYFUNCTION("""COMPUTED_VALUE"""),154.09)</f>
        <v>154.09</v>
      </c>
      <c r="D288" s="1">
        <f ca="1">IFERROR(__xludf.DUMMYFUNCTION("""COMPUTED_VALUE"""),147.75)</f>
        <v>147.75</v>
      </c>
      <c r="E288" s="1">
        <f ca="1">IFERROR(__xludf.DUMMYFUNCTION("""COMPUTED_VALUE"""),153.12)</f>
        <v>153.12</v>
      </c>
      <c r="F288" s="1">
        <f ca="1">IFERROR(__xludf.DUMMYFUNCTION("""COMPUTED_VALUE"""),4105824)</f>
        <v>4105824</v>
      </c>
    </row>
    <row r="289" spans="1:6" ht="12.6">
      <c r="A289" s="2">
        <f ca="1">IFERROR(__xludf.DUMMYFUNCTION("""COMPUTED_VALUE"""),44981.6666666666)</f>
        <v>44981.666666666599</v>
      </c>
      <c r="B289" s="1">
        <f ca="1">IFERROR(__xludf.DUMMYFUNCTION("""COMPUTED_VALUE"""),149.85)</f>
        <v>149.85</v>
      </c>
      <c r="C289" s="1">
        <f ca="1">IFERROR(__xludf.DUMMYFUNCTION("""COMPUTED_VALUE"""),150.75)</f>
        <v>150.75</v>
      </c>
      <c r="D289" s="1">
        <f ca="1">IFERROR(__xludf.DUMMYFUNCTION("""COMPUTED_VALUE"""),145.28)</f>
        <v>145.28</v>
      </c>
      <c r="E289" s="1">
        <f ca="1">IFERROR(__xludf.DUMMYFUNCTION("""COMPUTED_VALUE"""),148.44)</f>
        <v>148.44</v>
      </c>
      <c r="F289" s="1">
        <f ca="1">IFERROR(__xludf.DUMMYFUNCTION("""COMPUTED_VALUE"""),3791718)</f>
        <v>3791718</v>
      </c>
    </row>
    <row r="290" spans="1:6" ht="12.6">
      <c r="A290" s="2">
        <f ca="1">IFERROR(__xludf.DUMMYFUNCTION("""COMPUTED_VALUE"""),44984.6666666666)</f>
        <v>44984.666666666599</v>
      </c>
      <c r="B290" s="1">
        <f ca="1">IFERROR(__xludf.DUMMYFUNCTION("""COMPUTED_VALUE"""),150.2)</f>
        <v>150.19999999999999</v>
      </c>
      <c r="C290" s="1">
        <f ca="1">IFERROR(__xludf.DUMMYFUNCTION("""COMPUTED_VALUE"""),154.7)</f>
        <v>154.69999999999999</v>
      </c>
      <c r="D290" s="1">
        <f ca="1">IFERROR(__xludf.DUMMYFUNCTION("""COMPUTED_VALUE"""),148.58)</f>
        <v>148.58000000000001</v>
      </c>
      <c r="E290" s="1">
        <f ca="1">IFERROR(__xludf.DUMMYFUNCTION("""COMPUTED_VALUE"""),154.65)</f>
        <v>154.65</v>
      </c>
      <c r="F290" s="1">
        <f ca="1">IFERROR(__xludf.DUMMYFUNCTION("""COMPUTED_VALUE"""),4499976)</f>
        <v>4499976</v>
      </c>
    </row>
    <row r="291" spans="1:6" ht="12.6">
      <c r="A291" s="2">
        <f ca="1">IFERROR(__xludf.DUMMYFUNCTION("""COMPUTED_VALUE"""),44985.6666666666)</f>
        <v>44985.666666666599</v>
      </c>
      <c r="B291" s="1">
        <f ca="1">IFERROR(__xludf.DUMMYFUNCTION("""COMPUTED_VALUE"""),154.68)</f>
        <v>154.68</v>
      </c>
      <c r="C291" s="1">
        <f ca="1">IFERROR(__xludf.DUMMYFUNCTION("""COMPUTED_VALUE"""),155.72)</f>
        <v>155.72</v>
      </c>
      <c r="D291" s="1">
        <f ca="1">IFERROR(__xludf.DUMMYFUNCTION("""COMPUTED_VALUE"""),152.93)</f>
        <v>152.93</v>
      </c>
      <c r="E291" s="1">
        <f ca="1">IFERROR(__xludf.DUMMYFUNCTION("""COMPUTED_VALUE"""),154.38)</f>
        <v>154.38</v>
      </c>
      <c r="F291" s="1">
        <f ca="1">IFERROR(__xludf.DUMMYFUNCTION("""COMPUTED_VALUE"""),4395010)</f>
        <v>4395010</v>
      </c>
    </row>
    <row r="292" spans="1:6" ht="12.6">
      <c r="A292" s="2">
        <f ca="1">IFERROR(__xludf.DUMMYFUNCTION("""COMPUTED_VALUE"""),44986.6666666666)</f>
        <v>44986.666666666599</v>
      </c>
      <c r="B292" s="1">
        <f ca="1">IFERROR(__xludf.DUMMYFUNCTION("""COMPUTED_VALUE"""),154.22)</f>
        <v>154.22</v>
      </c>
      <c r="C292" s="1">
        <f ca="1">IFERROR(__xludf.DUMMYFUNCTION("""COMPUTED_VALUE"""),156.65)</f>
        <v>156.65</v>
      </c>
      <c r="D292" s="1">
        <f ca="1">IFERROR(__xludf.DUMMYFUNCTION("""COMPUTED_VALUE"""),153)</f>
        <v>153</v>
      </c>
      <c r="E292" s="1">
        <f ca="1">IFERROR(__xludf.DUMMYFUNCTION("""COMPUTED_VALUE"""),154.5)</f>
        <v>154.5</v>
      </c>
      <c r="F292" s="1">
        <f ca="1">IFERROR(__xludf.DUMMYFUNCTION("""COMPUTED_VALUE"""),8186394)</f>
        <v>8186394</v>
      </c>
    </row>
    <row r="293" spans="1:6" ht="12.6">
      <c r="A293" s="2">
        <f ca="1">IFERROR(__xludf.DUMMYFUNCTION("""COMPUTED_VALUE"""),44987.6666666666)</f>
        <v>44987.666666666599</v>
      </c>
      <c r="B293" s="1">
        <f ca="1">IFERROR(__xludf.DUMMYFUNCTION("""COMPUTED_VALUE"""),139.04)</f>
        <v>139.04</v>
      </c>
      <c r="C293" s="1">
        <f ca="1">IFERROR(__xludf.DUMMYFUNCTION("""COMPUTED_VALUE"""),140.15)</f>
        <v>140.15</v>
      </c>
      <c r="D293" s="1">
        <f ca="1">IFERROR(__xludf.DUMMYFUNCTION("""COMPUTED_VALUE"""),131.12)</f>
        <v>131.12</v>
      </c>
      <c r="E293" s="1">
        <f ca="1">IFERROR(__xludf.DUMMYFUNCTION("""COMPUTED_VALUE"""),135.28)</f>
        <v>135.28</v>
      </c>
      <c r="F293" s="1">
        <f ca="1">IFERROR(__xludf.DUMMYFUNCTION("""COMPUTED_VALUE"""),25866458)</f>
        <v>25866458</v>
      </c>
    </row>
    <row r="294" spans="1:6" ht="12.6">
      <c r="A294" s="2">
        <f ca="1">IFERROR(__xludf.DUMMYFUNCTION("""COMPUTED_VALUE"""),44988.6666666666)</f>
        <v>44988.666666666599</v>
      </c>
      <c r="B294" s="1">
        <f ca="1">IFERROR(__xludf.DUMMYFUNCTION("""COMPUTED_VALUE"""),135.51)</f>
        <v>135.51</v>
      </c>
      <c r="C294" s="1">
        <f ca="1">IFERROR(__xludf.DUMMYFUNCTION("""COMPUTED_VALUE"""),143.33)</f>
        <v>143.33000000000001</v>
      </c>
      <c r="D294" s="1">
        <f ca="1">IFERROR(__xludf.DUMMYFUNCTION("""COMPUTED_VALUE"""),135.5)</f>
        <v>135.5</v>
      </c>
      <c r="E294" s="1">
        <f ca="1">IFERROR(__xludf.DUMMYFUNCTION("""COMPUTED_VALUE"""),142.11)</f>
        <v>142.11000000000001</v>
      </c>
      <c r="F294" s="1">
        <f ca="1">IFERROR(__xludf.DUMMYFUNCTION("""COMPUTED_VALUE"""),9894354)</f>
        <v>9894354</v>
      </c>
    </row>
    <row r="295" spans="1:6" ht="12.6">
      <c r="A295" s="2">
        <f ca="1">IFERROR(__xludf.DUMMYFUNCTION("""COMPUTED_VALUE"""),44991.6666666666)</f>
        <v>44991.666666666599</v>
      </c>
      <c r="B295" s="1">
        <f ca="1">IFERROR(__xludf.DUMMYFUNCTION("""COMPUTED_VALUE"""),142.65)</f>
        <v>142.65</v>
      </c>
      <c r="C295" s="1">
        <f ca="1">IFERROR(__xludf.DUMMYFUNCTION("""COMPUTED_VALUE"""),146.74)</f>
        <v>146.74</v>
      </c>
      <c r="D295" s="1">
        <f ca="1">IFERROR(__xludf.DUMMYFUNCTION("""COMPUTED_VALUE"""),140.85)</f>
        <v>140.85</v>
      </c>
      <c r="E295" s="1">
        <f ca="1">IFERROR(__xludf.DUMMYFUNCTION("""COMPUTED_VALUE"""),142.07)</f>
        <v>142.07</v>
      </c>
      <c r="F295" s="1">
        <f ca="1">IFERROR(__xludf.DUMMYFUNCTION("""COMPUTED_VALUE"""),5419188)</f>
        <v>5419188</v>
      </c>
    </row>
    <row r="296" spans="1:6" ht="12.6">
      <c r="A296" s="2">
        <f ca="1">IFERROR(__xludf.DUMMYFUNCTION("""COMPUTED_VALUE"""),44992.6666666666)</f>
        <v>44992.666666666599</v>
      </c>
      <c r="B296" s="1">
        <f ca="1">IFERROR(__xludf.DUMMYFUNCTION("""COMPUTED_VALUE"""),141)</f>
        <v>141</v>
      </c>
      <c r="C296" s="1">
        <f ca="1">IFERROR(__xludf.DUMMYFUNCTION("""COMPUTED_VALUE"""),146.19)</f>
        <v>146.19</v>
      </c>
      <c r="D296" s="1">
        <f ca="1">IFERROR(__xludf.DUMMYFUNCTION("""COMPUTED_VALUE"""),140.1)</f>
        <v>140.1</v>
      </c>
      <c r="E296" s="1">
        <f ca="1">IFERROR(__xludf.DUMMYFUNCTION("""COMPUTED_VALUE"""),142.45)</f>
        <v>142.44999999999999</v>
      </c>
      <c r="F296" s="1">
        <f ca="1">IFERROR(__xludf.DUMMYFUNCTION("""COMPUTED_VALUE"""),4371918)</f>
        <v>4371918</v>
      </c>
    </row>
    <row r="297" spans="1:6" ht="12.6">
      <c r="A297" s="2">
        <f ca="1">IFERROR(__xludf.DUMMYFUNCTION("""COMPUTED_VALUE"""),44993.6666666666)</f>
        <v>44993.666666666599</v>
      </c>
      <c r="B297" s="1">
        <f ca="1">IFERROR(__xludf.DUMMYFUNCTION("""COMPUTED_VALUE"""),140.23)</f>
        <v>140.22999999999999</v>
      </c>
      <c r="C297" s="1">
        <f ca="1">IFERROR(__xludf.DUMMYFUNCTION("""COMPUTED_VALUE"""),144.38)</f>
        <v>144.38</v>
      </c>
      <c r="D297" s="1">
        <f ca="1">IFERROR(__xludf.DUMMYFUNCTION("""COMPUTED_VALUE"""),139.29)</f>
        <v>139.29</v>
      </c>
      <c r="E297" s="1">
        <f ca="1">IFERROR(__xludf.DUMMYFUNCTION("""COMPUTED_VALUE"""),142.65)</f>
        <v>142.65</v>
      </c>
      <c r="F297" s="1">
        <f ca="1">IFERROR(__xludf.DUMMYFUNCTION("""COMPUTED_VALUE"""),3831703)</f>
        <v>3831703</v>
      </c>
    </row>
    <row r="298" spans="1:6" ht="12.6">
      <c r="A298" s="2">
        <f ca="1">IFERROR(__xludf.DUMMYFUNCTION("""COMPUTED_VALUE"""),44994.6666666666)</f>
        <v>44994.666666666599</v>
      </c>
      <c r="B298" s="1">
        <f ca="1">IFERROR(__xludf.DUMMYFUNCTION("""COMPUTED_VALUE"""),141.38)</f>
        <v>141.38</v>
      </c>
      <c r="C298" s="1">
        <f ca="1">IFERROR(__xludf.DUMMYFUNCTION("""COMPUTED_VALUE"""),144.1)</f>
        <v>144.1</v>
      </c>
      <c r="D298" s="1">
        <f ca="1">IFERROR(__xludf.DUMMYFUNCTION("""COMPUTED_VALUE"""),136.05)</f>
        <v>136.05000000000001</v>
      </c>
      <c r="E298" s="1">
        <f ca="1">IFERROR(__xludf.DUMMYFUNCTION("""COMPUTED_VALUE"""),136.3)</f>
        <v>136.30000000000001</v>
      </c>
      <c r="F298" s="1">
        <f ca="1">IFERROR(__xludf.DUMMYFUNCTION("""COMPUTED_VALUE"""),5078181)</f>
        <v>5078181</v>
      </c>
    </row>
    <row r="299" spans="1:6" ht="12.6">
      <c r="A299" s="2">
        <f ca="1">IFERROR(__xludf.DUMMYFUNCTION("""COMPUTED_VALUE"""),44995.6666666666)</f>
        <v>44995.666666666599</v>
      </c>
      <c r="B299" s="1">
        <f ca="1">IFERROR(__xludf.DUMMYFUNCTION("""COMPUTED_VALUE"""),135.02)</f>
        <v>135.02000000000001</v>
      </c>
      <c r="C299" s="1">
        <f ca="1">IFERROR(__xludf.DUMMYFUNCTION("""COMPUTED_VALUE"""),135.79)</f>
        <v>135.79</v>
      </c>
      <c r="D299" s="1">
        <f ca="1">IFERROR(__xludf.DUMMYFUNCTION("""COMPUTED_VALUE"""),128.56)</f>
        <v>128.56</v>
      </c>
      <c r="E299" s="1">
        <f ca="1">IFERROR(__xludf.DUMMYFUNCTION("""COMPUTED_VALUE"""),131.46)</f>
        <v>131.46</v>
      </c>
      <c r="F299" s="1">
        <f ca="1">IFERROR(__xludf.DUMMYFUNCTION("""COMPUTED_VALUE"""),8882289)</f>
        <v>8882289</v>
      </c>
    </row>
    <row r="300" spans="1:6" ht="12.6">
      <c r="A300" s="2">
        <f ca="1">IFERROR(__xludf.DUMMYFUNCTION("""COMPUTED_VALUE"""),44998.6666666666)</f>
        <v>44998.666666666599</v>
      </c>
      <c r="B300" s="1">
        <f ca="1">IFERROR(__xludf.DUMMYFUNCTION("""COMPUTED_VALUE"""),129.98)</f>
        <v>129.97999999999999</v>
      </c>
      <c r="C300" s="1">
        <f ca="1">IFERROR(__xludf.DUMMYFUNCTION("""COMPUTED_VALUE"""),140.46)</f>
        <v>140.46</v>
      </c>
      <c r="D300" s="1">
        <f ca="1">IFERROR(__xludf.DUMMYFUNCTION("""COMPUTED_VALUE"""),128.76)</f>
        <v>128.76</v>
      </c>
      <c r="E300" s="1">
        <f ca="1">IFERROR(__xludf.DUMMYFUNCTION("""COMPUTED_VALUE"""),137.73)</f>
        <v>137.72999999999999</v>
      </c>
      <c r="F300" s="1">
        <f ca="1">IFERROR(__xludf.DUMMYFUNCTION("""COMPUTED_VALUE"""),7589634)</f>
        <v>7589634</v>
      </c>
    </row>
    <row r="301" spans="1:6" ht="12.6">
      <c r="A301" s="2">
        <f ca="1">IFERROR(__xludf.DUMMYFUNCTION("""COMPUTED_VALUE"""),44999.6666666666)</f>
        <v>44999.666666666599</v>
      </c>
      <c r="B301" s="1">
        <f ca="1">IFERROR(__xludf.DUMMYFUNCTION("""COMPUTED_VALUE"""),138.64)</f>
        <v>138.63999999999999</v>
      </c>
      <c r="C301" s="1">
        <f ca="1">IFERROR(__xludf.DUMMYFUNCTION("""COMPUTED_VALUE"""),140.08)</f>
        <v>140.08000000000001</v>
      </c>
      <c r="D301" s="1">
        <f ca="1">IFERROR(__xludf.DUMMYFUNCTION("""COMPUTED_VALUE"""),134.88)</f>
        <v>134.88</v>
      </c>
      <c r="E301" s="1">
        <f ca="1">IFERROR(__xludf.DUMMYFUNCTION("""COMPUTED_VALUE"""),139.82)</f>
        <v>139.82</v>
      </c>
      <c r="F301" s="1">
        <f ca="1">IFERROR(__xludf.DUMMYFUNCTION("""COMPUTED_VALUE"""),6550384)</f>
        <v>6550384</v>
      </c>
    </row>
    <row r="302" spans="1:6" ht="12.6">
      <c r="A302" s="2">
        <f ca="1">IFERROR(__xludf.DUMMYFUNCTION("""COMPUTED_VALUE"""),45000.6666666666)</f>
        <v>45000.666666666599</v>
      </c>
      <c r="B302" s="1">
        <f ca="1">IFERROR(__xludf.DUMMYFUNCTION("""COMPUTED_VALUE"""),136.28)</f>
        <v>136.28</v>
      </c>
      <c r="C302" s="1">
        <f ca="1">IFERROR(__xludf.DUMMYFUNCTION("""COMPUTED_VALUE"""),140.17)</f>
        <v>140.16999999999999</v>
      </c>
      <c r="D302" s="1">
        <f ca="1">IFERROR(__xludf.DUMMYFUNCTION("""COMPUTED_VALUE"""),135.3)</f>
        <v>135.30000000000001</v>
      </c>
      <c r="E302" s="1">
        <f ca="1">IFERROR(__xludf.DUMMYFUNCTION("""COMPUTED_VALUE"""),139.58)</f>
        <v>139.58000000000001</v>
      </c>
      <c r="F302" s="1">
        <f ca="1">IFERROR(__xludf.DUMMYFUNCTION("""COMPUTED_VALUE"""),4008229)</f>
        <v>4008229</v>
      </c>
    </row>
    <row r="303" spans="1:6" ht="12.6">
      <c r="A303" s="2">
        <f ca="1">IFERROR(__xludf.DUMMYFUNCTION("""COMPUTED_VALUE"""),45001.6666666666)</f>
        <v>45001.666666666599</v>
      </c>
      <c r="B303" s="1">
        <f ca="1">IFERROR(__xludf.DUMMYFUNCTION("""COMPUTED_VALUE"""),140)</f>
        <v>140</v>
      </c>
      <c r="C303" s="1">
        <f ca="1">IFERROR(__xludf.DUMMYFUNCTION("""COMPUTED_VALUE"""),142.44)</f>
        <v>142.44</v>
      </c>
      <c r="D303" s="1">
        <f ca="1">IFERROR(__xludf.DUMMYFUNCTION("""COMPUTED_VALUE"""),137.4)</f>
        <v>137.4</v>
      </c>
      <c r="E303" s="1">
        <f ca="1">IFERROR(__xludf.DUMMYFUNCTION("""COMPUTED_VALUE"""),138.92)</f>
        <v>138.91999999999999</v>
      </c>
      <c r="F303" s="1">
        <f ca="1">IFERROR(__xludf.DUMMYFUNCTION("""COMPUTED_VALUE"""),4689052)</f>
        <v>4689052</v>
      </c>
    </row>
    <row r="304" spans="1:6" ht="12.6">
      <c r="A304" s="2">
        <f ca="1">IFERROR(__xludf.DUMMYFUNCTION("""COMPUTED_VALUE"""),45002.6666666666)</f>
        <v>45002.666666666599</v>
      </c>
      <c r="B304" s="1">
        <f ca="1">IFERROR(__xludf.DUMMYFUNCTION("""COMPUTED_VALUE"""),138.64)</f>
        <v>138.63999999999999</v>
      </c>
      <c r="C304" s="1">
        <f ca="1">IFERROR(__xludf.DUMMYFUNCTION("""COMPUTED_VALUE"""),139.44)</f>
        <v>139.44</v>
      </c>
      <c r="D304" s="1">
        <f ca="1">IFERROR(__xludf.DUMMYFUNCTION("""COMPUTED_VALUE"""),133.56)</f>
        <v>133.56</v>
      </c>
      <c r="E304" s="1">
        <f ca="1">IFERROR(__xludf.DUMMYFUNCTION("""COMPUTED_VALUE"""),135.62)</f>
        <v>135.62</v>
      </c>
      <c r="F304" s="1">
        <f ca="1">IFERROR(__xludf.DUMMYFUNCTION("""COMPUTED_VALUE"""),5409629)</f>
        <v>5409629</v>
      </c>
    </row>
    <row r="305" spans="1:6" ht="12.6">
      <c r="A305" s="2">
        <f ca="1">IFERROR(__xludf.DUMMYFUNCTION("""COMPUTED_VALUE"""),45005.6666666666)</f>
        <v>45005.666666666599</v>
      </c>
      <c r="B305" s="1">
        <f ca="1">IFERROR(__xludf.DUMMYFUNCTION("""COMPUTED_VALUE"""),133.81)</f>
        <v>133.81</v>
      </c>
      <c r="C305" s="1">
        <f ca="1">IFERROR(__xludf.DUMMYFUNCTION("""COMPUTED_VALUE"""),135.58)</f>
        <v>135.58000000000001</v>
      </c>
      <c r="D305" s="1">
        <f ca="1">IFERROR(__xludf.DUMMYFUNCTION("""COMPUTED_VALUE"""),131.62)</f>
        <v>131.62</v>
      </c>
      <c r="E305" s="1">
        <f ca="1">IFERROR(__xludf.DUMMYFUNCTION("""COMPUTED_VALUE"""),135.47)</f>
        <v>135.47</v>
      </c>
      <c r="F305" s="1">
        <f ca="1">IFERROR(__xludf.DUMMYFUNCTION("""COMPUTED_VALUE"""),3577383)</f>
        <v>3577383</v>
      </c>
    </row>
    <row r="306" spans="1:6" ht="12.6">
      <c r="A306" s="2">
        <f ca="1">IFERROR(__xludf.DUMMYFUNCTION("""COMPUTED_VALUE"""),45006.6666666666)</f>
        <v>45006.666666666599</v>
      </c>
      <c r="B306" s="1">
        <f ca="1">IFERROR(__xludf.DUMMYFUNCTION("""COMPUTED_VALUE"""),136.97)</f>
        <v>136.97</v>
      </c>
      <c r="C306" s="1">
        <f ca="1">IFERROR(__xludf.DUMMYFUNCTION("""COMPUTED_VALUE"""),142.29)</f>
        <v>142.29</v>
      </c>
      <c r="D306" s="1">
        <f ca="1">IFERROR(__xludf.DUMMYFUNCTION("""COMPUTED_VALUE"""),135.31)</f>
        <v>135.31</v>
      </c>
      <c r="E306" s="1">
        <f ca="1">IFERROR(__xludf.DUMMYFUNCTION("""COMPUTED_VALUE"""),141.47)</f>
        <v>141.47</v>
      </c>
      <c r="F306" s="1">
        <f ca="1">IFERROR(__xludf.DUMMYFUNCTION("""COMPUTED_VALUE"""),4402331)</f>
        <v>4402331</v>
      </c>
    </row>
    <row r="307" spans="1:6" ht="12.6">
      <c r="A307" s="2">
        <f ca="1">IFERROR(__xludf.DUMMYFUNCTION("""COMPUTED_VALUE"""),45007.6666666666)</f>
        <v>45007.666666666599</v>
      </c>
      <c r="B307" s="1">
        <f ca="1">IFERROR(__xludf.DUMMYFUNCTION("""COMPUTED_VALUE"""),141.2)</f>
        <v>141.19999999999999</v>
      </c>
      <c r="C307" s="1">
        <f ca="1">IFERROR(__xludf.DUMMYFUNCTION("""COMPUTED_VALUE"""),142.8)</f>
        <v>142.80000000000001</v>
      </c>
      <c r="D307" s="1">
        <f ca="1">IFERROR(__xludf.DUMMYFUNCTION("""COMPUTED_VALUE"""),135.48)</f>
        <v>135.47999999999999</v>
      </c>
      <c r="E307" s="1">
        <f ca="1">IFERROR(__xludf.DUMMYFUNCTION("""COMPUTED_VALUE"""),135.63)</f>
        <v>135.63</v>
      </c>
      <c r="F307" s="1">
        <f ca="1">IFERROR(__xludf.DUMMYFUNCTION("""COMPUTED_VALUE"""),4525711)</f>
        <v>4525711</v>
      </c>
    </row>
    <row r="308" spans="1:6" ht="12.6">
      <c r="A308" s="2">
        <f ca="1">IFERROR(__xludf.DUMMYFUNCTION("""COMPUTED_VALUE"""),45008.6666666666)</f>
        <v>45008.666666666599</v>
      </c>
      <c r="B308" s="1">
        <f ca="1">IFERROR(__xludf.DUMMYFUNCTION("""COMPUTED_VALUE"""),137.99)</f>
        <v>137.99</v>
      </c>
      <c r="C308" s="1">
        <f ca="1">IFERROR(__xludf.DUMMYFUNCTION("""COMPUTED_VALUE"""),141.1)</f>
        <v>141.1</v>
      </c>
      <c r="D308" s="1">
        <f ca="1">IFERROR(__xludf.DUMMYFUNCTION("""COMPUTED_VALUE"""),135.03)</f>
        <v>135.03</v>
      </c>
      <c r="E308" s="1">
        <f ca="1">IFERROR(__xludf.DUMMYFUNCTION("""COMPUTED_VALUE"""),140.57)</f>
        <v>140.57</v>
      </c>
      <c r="F308" s="1">
        <f ca="1">IFERROR(__xludf.DUMMYFUNCTION("""COMPUTED_VALUE"""),6318822)</f>
        <v>6318822</v>
      </c>
    </row>
    <row r="309" spans="1:6" ht="12.6">
      <c r="A309" s="2">
        <f ca="1">IFERROR(__xludf.DUMMYFUNCTION("""COMPUTED_VALUE"""),45009.6666666666)</f>
        <v>45009.666666666599</v>
      </c>
      <c r="B309" s="1">
        <f ca="1">IFERROR(__xludf.DUMMYFUNCTION("""COMPUTED_VALUE"""),139.3)</f>
        <v>139.30000000000001</v>
      </c>
      <c r="C309" s="1">
        <f ca="1">IFERROR(__xludf.DUMMYFUNCTION("""COMPUTED_VALUE"""),141.98)</f>
        <v>141.97999999999999</v>
      </c>
      <c r="D309" s="1">
        <f ca="1">IFERROR(__xludf.DUMMYFUNCTION("""COMPUTED_VALUE"""),135.55)</f>
        <v>135.55000000000001</v>
      </c>
      <c r="E309" s="1">
        <f ca="1">IFERROR(__xludf.DUMMYFUNCTION("""COMPUTED_VALUE"""),136.53)</f>
        <v>136.53</v>
      </c>
      <c r="F309" s="1">
        <f ca="1">IFERROR(__xludf.DUMMYFUNCTION("""COMPUTED_VALUE"""),3657496)</f>
        <v>3657496</v>
      </c>
    </row>
    <row r="310" spans="1:6" ht="12.6">
      <c r="A310" s="2">
        <f ca="1">IFERROR(__xludf.DUMMYFUNCTION("""COMPUTED_VALUE"""),45012.6666666666)</f>
        <v>45012.666666666599</v>
      </c>
      <c r="B310" s="1">
        <f ca="1">IFERROR(__xludf.DUMMYFUNCTION("""COMPUTED_VALUE"""),136.49)</f>
        <v>136.49</v>
      </c>
      <c r="C310" s="1">
        <f ca="1">IFERROR(__xludf.DUMMYFUNCTION("""COMPUTED_VALUE"""),137.87)</f>
        <v>137.87</v>
      </c>
      <c r="D310" s="1">
        <f ca="1">IFERROR(__xludf.DUMMYFUNCTION("""COMPUTED_VALUE"""),134.4)</f>
        <v>134.4</v>
      </c>
      <c r="E310" s="1">
        <f ca="1">IFERROR(__xludf.DUMMYFUNCTION("""COMPUTED_VALUE"""),134.97)</f>
        <v>134.97</v>
      </c>
      <c r="F310" s="1">
        <f ca="1">IFERROR(__xludf.DUMMYFUNCTION("""COMPUTED_VALUE"""),3940424)</f>
        <v>3940424</v>
      </c>
    </row>
    <row r="311" spans="1:6" ht="12.6">
      <c r="A311" s="2">
        <f ca="1">IFERROR(__xludf.DUMMYFUNCTION("""COMPUTED_VALUE"""),45013.6666666666)</f>
        <v>45013.666666666599</v>
      </c>
      <c r="B311" s="1">
        <f ca="1">IFERROR(__xludf.DUMMYFUNCTION("""COMPUTED_VALUE"""),136)</f>
        <v>136</v>
      </c>
      <c r="C311" s="1">
        <f ca="1">IFERROR(__xludf.DUMMYFUNCTION("""COMPUTED_VALUE"""),136.72)</f>
        <v>136.72</v>
      </c>
      <c r="D311" s="1">
        <f ca="1">IFERROR(__xludf.DUMMYFUNCTION("""COMPUTED_VALUE"""),134.17)</f>
        <v>134.16999999999999</v>
      </c>
      <c r="E311" s="1">
        <f ca="1">IFERROR(__xludf.DUMMYFUNCTION("""COMPUTED_VALUE"""),134.81)</f>
        <v>134.81</v>
      </c>
      <c r="F311" s="1">
        <f ca="1">IFERROR(__xludf.DUMMYFUNCTION("""COMPUTED_VALUE"""),2692733)</f>
        <v>2692733</v>
      </c>
    </row>
    <row r="312" spans="1:6" ht="12.6">
      <c r="A312" s="2">
        <f ca="1">IFERROR(__xludf.DUMMYFUNCTION("""COMPUTED_VALUE"""),45014.6666666666)</f>
        <v>45014.666666666599</v>
      </c>
      <c r="B312" s="1">
        <f ca="1">IFERROR(__xludf.DUMMYFUNCTION("""COMPUTED_VALUE"""),136.26)</f>
        <v>136.26</v>
      </c>
      <c r="C312" s="1">
        <f ca="1">IFERROR(__xludf.DUMMYFUNCTION("""COMPUTED_VALUE"""),138.6)</f>
        <v>138.6</v>
      </c>
      <c r="D312" s="1">
        <f ca="1">IFERROR(__xludf.DUMMYFUNCTION("""COMPUTED_VALUE"""),135.6)</f>
        <v>135.6</v>
      </c>
      <c r="E312" s="1">
        <f ca="1">IFERROR(__xludf.DUMMYFUNCTION("""COMPUTED_VALUE"""),137.46)</f>
        <v>137.46</v>
      </c>
      <c r="F312" s="1">
        <f ca="1">IFERROR(__xludf.DUMMYFUNCTION("""COMPUTED_VALUE"""),4051078)</f>
        <v>4051078</v>
      </c>
    </row>
    <row r="313" spans="1:6" ht="12.6">
      <c r="A313" s="2">
        <f ca="1">IFERROR(__xludf.DUMMYFUNCTION("""COMPUTED_VALUE"""),45015.6666666666)</f>
        <v>45015.666666666599</v>
      </c>
      <c r="B313" s="1">
        <f ca="1">IFERROR(__xludf.DUMMYFUNCTION("""COMPUTED_VALUE"""),139.99)</f>
        <v>139.99</v>
      </c>
      <c r="C313" s="1">
        <f ca="1">IFERROR(__xludf.DUMMYFUNCTION("""COMPUTED_VALUE"""),145.33)</f>
        <v>145.33000000000001</v>
      </c>
      <c r="D313" s="1">
        <f ca="1">IFERROR(__xludf.DUMMYFUNCTION("""COMPUTED_VALUE"""),138.76)</f>
        <v>138.76</v>
      </c>
      <c r="E313" s="1">
        <f ca="1">IFERROR(__xludf.DUMMYFUNCTION("""COMPUTED_VALUE"""),142.11)</f>
        <v>142.11000000000001</v>
      </c>
      <c r="F313" s="1">
        <f ca="1">IFERROR(__xludf.DUMMYFUNCTION("""COMPUTED_VALUE"""),5171853)</f>
        <v>5171853</v>
      </c>
    </row>
    <row r="314" spans="1:6" ht="12.6">
      <c r="A314" s="2">
        <f ca="1">IFERROR(__xludf.DUMMYFUNCTION("""COMPUTED_VALUE"""),45016.6666666666)</f>
        <v>45016.666666666599</v>
      </c>
      <c r="B314" s="1">
        <f ca="1">IFERROR(__xludf.DUMMYFUNCTION("""COMPUTED_VALUE"""),142.81)</f>
        <v>142.81</v>
      </c>
      <c r="C314" s="1">
        <f ca="1">IFERROR(__xludf.DUMMYFUNCTION("""COMPUTED_VALUE"""),154.44)</f>
        <v>154.44</v>
      </c>
      <c r="D314" s="1">
        <f ca="1">IFERROR(__xludf.DUMMYFUNCTION("""COMPUTED_VALUE"""),141.83)</f>
        <v>141.83000000000001</v>
      </c>
      <c r="E314" s="1">
        <f ca="1">IFERROR(__xludf.DUMMYFUNCTION("""COMPUTED_VALUE"""),154.29)</f>
        <v>154.29</v>
      </c>
      <c r="F314" s="1">
        <f ca="1">IFERROR(__xludf.DUMMYFUNCTION("""COMPUTED_VALUE"""),8611582)</f>
        <v>8611582</v>
      </c>
    </row>
    <row r="315" spans="1:6" ht="12.6">
      <c r="A315" s="2">
        <f ca="1">IFERROR(__xludf.DUMMYFUNCTION("""COMPUTED_VALUE"""),45019.6666666666)</f>
        <v>45019.666666666599</v>
      </c>
      <c r="B315" s="1">
        <f ca="1">IFERROR(__xludf.DUMMYFUNCTION("""COMPUTED_VALUE"""),152.78)</f>
        <v>152.78</v>
      </c>
      <c r="C315" s="1">
        <f ca="1">IFERROR(__xludf.DUMMYFUNCTION("""COMPUTED_VALUE"""),154.25)</f>
        <v>154.25</v>
      </c>
      <c r="D315" s="1">
        <f ca="1">IFERROR(__xludf.DUMMYFUNCTION("""COMPUTED_VALUE"""),148.72)</f>
        <v>148.72</v>
      </c>
      <c r="E315" s="1">
        <f ca="1">IFERROR(__xludf.DUMMYFUNCTION("""COMPUTED_VALUE"""),150)</f>
        <v>150</v>
      </c>
      <c r="F315" s="1">
        <f ca="1">IFERROR(__xludf.DUMMYFUNCTION("""COMPUTED_VALUE"""),4290127)</f>
        <v>4290127</v>
      </c>
    </row>
    <row r="316" spans="1:6" ht="12.6">
      <c r="A316" s="2">
        <f ca="1">IFERROR(__xludf.DUMMYFUNCTION("""COMPUTED_VALUE"""),45020.6666666666)</f>
        <v>45020.666666666599</v>
      </c>
      <c r="B316" s="1">
        <f ca="1">IFERROR(__xludf.DUMMYFUNCTION("""COMPUTED_VALUE"""),151)</f>
        <v>151</v>
      </c>
      <c r="C316" s="1">
        <f ca="1">IFERROR(__xludf.DUMMYFUNCTION("""COMPUTED_VALUE"""),158)</f>
        <v>158</v>
      </c>
      <c r="D316" s="1">
        <f ca="1">IFERROR(__xludf.DUMMYFUNCTION("""COMPUTED_VALUE"""),150.75)</f>
        <v>150.75</v>
      </c>
      <c r="E316" s="1">
        <f ca="1">IFERROR(__xludf.DUMMYFUNCTION("""COMPUTED_VALUE"""),155.43)</f>
        <v>155.43</v>
      </c>
      <c r="F316" s="1">
        <f ca="1">IFERROR(__xludf.DUMMYFUNCTION("""COMPUTED_VALUE"""),9213654)</f>
        <v>9213654</v>
      </c>
    </row>
    <row r="317" spans="1:6" ht="12.6">
      <c r="A317" s="2">
        <f ca="1">IFERROR(__xludf.DUMMYFUNCTION("""COMPUTED_VALUE"""),45021.6666666666)</f>
        <v>45021.666666666599</v>
      </c>
      <c r="B317" s="1">
        <f ca="1">IFERROR(__xludf.DUMMYFUNCTION("""COMPUTED_VALUE"""),154.83)</f>
        <v>154.83000000000001</v>
      </c>
      <c r="C317" s="1">
        <f ca="1">IFERROR(__xludf.DUMMYFUNCTION("""COMPUTED_VALUE"""),156.04)</f>
        <v>156.04</v>
      </c>
      <c r="D317" s="1">
        <f ca="1">IFERROR(__xludf.DUMMYFUNCTION("""COMPUTED_VALUE"""),144.14)</f>
        <v>144.13999999999999</v>
      </c>
      <c r="E317" s="1">
        <f ca="1">IFERROR(__xludf.DUMMYFUNCTION("""COMPUTED_VALUE"""),146.48)</f>
        <v>146.47999999999999</v>
      </c>
      <c r="F317" s="1">
        <f ca="1">IFERROR(__xludf.DUMMYFUNCTION("""COMPUTED_VALUE"""),5422068)</f>
        <v>5422068</v>
      </c>
    </row>
    <row r="318" spans="1:6" ht="12.6">
      <c r="A318" s="2">
        <f ca="1">IFERROR(__xludf.DUMMYFUNCTION("""COMPUTED_VALUE"""),45022.6666666666)</f>
        <v>45022.666666666599</v>
      </c>
      <c r="B318" s="1">
        <f ca="1">IFERROR(__xludf.DUMMYFUNCTION("""COMPUTED_VALUE"""),144.59)</f>
        <v>144.59</v>
      </c>
      <c r="C318" s="1">
        <f ca="1">IFERROR(__xludf.DUMMYFUNCTION("""COMPUTED_VALUE"""),146.06)</f>
        <v>146.06</v>
      </c>
      <c r="D318" s="1">
        <f ca="1">IFERROR(__xludf.DUMMYFUNCTION("""COMPUTED_VALUE"""),140.88)</f>
        <v>140.88</v>
      </c>
      <c r="E318" s="1">
        <f ca="1">IFERROR(__xludf.DUMMYFUNCTION("""COMPUTED_VALUE"""),145.68)</f>
        <v>145.68</v>
      </c>
      <c r="F318" s="1">
        <f ca="1">IFERROR(__xludf.DUMMYFUNCTION("""COMPUTED_VALUE"""),3326902)</f>
        <v>3326902</v>
      </c>
    </row>
    <row r="319" spans="1:6" ht="12.6">
      <c r="A319" s="2">
        <f ca="1">IFERROR(__xludf.DUMMYFUNCTION("""COMPUTED_VALUE"""),45026.6666666666)</f>
        <v>45026.666666666599</v>
      </c>
      <c r="B319" s="1">
        <f ca="1">IFERROR(__xludf.DUMMYFUNCTION("""COMPUTED_VALUE"""),143.34)</f>
        <v>143.34</v>
      </c>
      <c r="C319" s="1">
        <f ca="1">IFERROR(__xludf.DUMMYFUNCTION("""COMPUTED_VALUE"""),147.99)</f>
        <v>147.99</v>
      </c>
      <c r="D319" s="1">
        <f ca="1">IFERROR(__xludf.DUMMYFUNCTION("""COMPUTED_VALUE"""),141.6)</f>
        <v>141.6</v>
      </c>
      <c r="E319" s="1">
        <f ca="1">IFERROR(__xludf.DUMMYFUNCTION("""COMPUTED_VALUE"""),147.77)</f>
        <v>147.77000000000001</v>
      </c>
      <c r="F319" s="1">
        <f ca="1">IFERROR(__xludf.DUMMYFUNCTION("""COMPUTED_VALUE"""),3484912)</f>
        <v>3484912</v>
      </c>
    </row>
    <row r="320" spans="1:6" ht="12.6">
      <c r="A320" s="2">
        <f ca="1">IFERROR(__xludf.DUMMYFUNCTION("""COMPUTED_VALUE"""),45027.6666666666)</f>
        <v>45027.666666666599</v>
      </c>
      <c r="B320" s="1">
        <f ca="1">IFERROR(__xludf.DUMMYFUNCTION("""COMPUTED_VALUE"""),139.68)</f>
        <v>139.68</v>
      </c>
      <c r="C320" s="1">
        <f ca="1">IFERROR(__xludf.DUMMYFUNCTION("""COMPUTED_VALUE"""),142.4)</f>
        <v>142.4</v>
      </c>
      <c r="D320" s="1">
        <f ca="1">IFERROR(__xludf.DUMMYFUNCTION("""COMPUTED_VALUE"""),136.59)</f>
        <v>136.59</v>
      </c>
      <c r="E320" s="1">
        <f ca="1">IFERROR(__xludf.DUMMYFUNCTION("""COMPUTED_VALUE"""),139.19)</f>
        <v>139.19</v>
      </c>
      <c r="F320" s="1">
        <f ca="1">IFERROR(__xludf.DUMMYFUNCTION("""COMPUTED_VALUE"""),10945816)</f>
        <v>10945816</v>
      </c>
    </row>
    <row r="321" spans="1:6" ht="12.6">
      <c r="A321" s="2">
        <f ca="1">IFERROR(__xludf.DUMMYFUNCTION("""COMPUTED_VALUE"""),45028.6666666666)</f>
        <v>45028.666666666599</v>
      </c>
      <c r="B321" s="1">
        <f ca="1">IFERROR(__xludf.DUMMYFUNCTION("""COMPUTED_VALUE"""),141.9)</f>
        <v>141.9</v>
      </c>
      <c r="C321" s="1">
        <f ca="1">IFERROR(__xludf.DUMMYFUNCTION("""COMPUTED_VALUE"""),144.5)</f>
        <v>144.5</v>
      </c>
      <c r="D321" s="1">
        <f ca="1">IFERROR(__xludf.DUMMYFUNCTION("""COMPUTED_VALUE"""),139.32)</f>
        <v>139.32</v>
      </c>
      <c r="E321" s="1">
        <f ca="1">IFERROR(__xludf.DUMMYFUNCTION("""COMPUTED_VALUE"""),139.66)</f>
        <v>139.66</v>
      </c>
      <c r="F321" s="1">
        <f ca="1">IFERROR(__xludf.DUMMYFUNCTION("""COMPUTED_VALUE"""),6993540)</f>
        <v>6993540</v>
      </c>
    </row>
    <row r="322" spans="1:6" ht="12.6">
      <c r="A322" s="2">
        <f ca="1">IFERROR(__xludf.DUMMYFUNCTION("""COMPUTED_VALUE"""),45029.6666666666)</f>
        <v>45029.666666666599</v>
      </c>
      <c r="B322" s="1">
        <f ca="1">IFERROR(__xludf.DUMMYFUNCTION("""COMPUTED_VALUE"""),141.09)</f>
        <v>141.09</v>
      </c>
      <c r="C322" s="1">
        <f ca="1">IFERROR(__xludf.DUMMYFUNCTION("""COMPUTED_VALUE"""),144.55)</f>
        <v>144.55000000000001</v>
      </c>
      <c r="D322" s="1">
        <f ca="1">IFERROR(__xludf.DUMMYFUNCTION("""COMPUTED_VALUE"""),140.55)</f>
        <v>140.55000000000001</v>
      </c>
      <c r="E322" s="1">
        <f ca="1">IFERROR(__xludf.DUMMYFUNCTION("""COMPUTED_VALUE"""),141.38)</f>
        <v>141.38</v>
      </c>
      <c r="F322" s="1">
        <f ca="1">IFERROR(__xludf.DUMMYFUNCTION("""COMPUTED_VALUE"""),4832512)</f>
        <v>4832512</v>
      </c>
    </row>
    <row r="323" spans="1:6" ht="12.6">
      <c r="A323" s="2">
        <f ca="1">IFERROR(__xludf.DUMMYFUNCTION("""COMPUTED_VALUE"""),45030.6666666666)</f>
        <v>45030.666666666599</v>
      </c>
      <c r="B323" s="1">
        <f ca="1">IFERROR(__xludf.DUMMYFUNCTION("""COMPUTED_VALUE"""),140)</f>
        <v>140</v>
      </c>
      <c r="C323" s="1">
        <f ca="1">IFERROR(__xludf.DUMMYFUNCTION("""COMPUTED_VALUE"""),142.2)</f>
        <v>142.19999999999999</v>
      </c>
      <c r="D323" s="1">
        <f ca="1">IFERROR(__xludf.DUMMYFUNCTION("""COMPUTED_VALUE"""),138.31)</f>
        <v>138.31</v>
      </c>
      <c r="E323" s="1">
        <f ca="1">IFERROR(__xludf.DUMMYFUNCTION("""COMPUTED_VALUE"""),142.13)</f>
        <v>142.13</v>
      </c>
      <c r="F323" s="1">
        <f ca="1">IFERROR(__xludf.DUMMYFUNCTION("""COMPUTED_VALUE"""),5472627)</f>
        <v>5472627</v>
      </c>
    </row>
    <row r="324" spans="1:6" ht="12.6">
      <c r="A324" s="2">
        <f ca="1">IFERROR(__xludf.DUMMYFUNCTION("""COMPUTED_VALUE"""),45033.6666666666)</f>
        <v>45033.666666666599</v>
      </c>
      <c r="B324" s="1">
        <f ca="1">IFERROR(__xludf.DUMMYFUNCTION("""COMPUTED_VALUE"""),142.13)</f>
        <v>142.13</v>
      </c>
      <c r="C324" s="1">
        <f ca="1">IFERROR(__xludf.DUMMYFUNCTION("""COMPUTED_VALUE"""),145.85)</f>
        <v>145.85</v>
      </c>
      <c r="D324" s="1">
        <f ca="1">IFERROR(__xludf.DUMMYFUNCTION("""COMPUTED_VALUE"""),141.83)</f>
        <v>141.83000000000001</v>
      </c>
      <c r="E324" s="1">
        <f ca="1">IFERROR(__xludf.DUMMYFUNCTION("""COMPUTED_VALUE"""),145.26)</f>
        <v>145.26</v>
      </c>
      <c r="F324" s="1">
        <f ca="1">IFERROR(__xludf.DUMMYFUNCTION("""COMPUTED_VALUE"""),3970463)</f>
        <v>3970463</v>
      </c>
    </row>
    <row r="325" spans="1:6" ht="12.6">
      <c r="A325" s="2">
        <f ca="1">IFERROR(__xludf.DUMMYFUNCTION("""COMPUTED_VALUE"""),45034.6666666666)</f>
        <v>45034.666666666599</v>
      </c>
      <c r="B325" s="1">
        <f ca="1">IFERROR(__xludf.DUMMYFUNCTION("""COMPUTED_VALUE"""),147.53)</f>
        <v>147.53</v>
      </c>
      <c r="C325" s="1">
        <f ca="1">IFERROR(__xludf.DUMMYFUNCTION("""COMPUTED_VALUE"""),147.57)</f>
        <v>147.57</v>
      </c>
      <c r="D325" s="1">
        <f ca="1">IFERROR(__xludf.DUMMYFUNCTION("""COMPUTED_VALUE"""),142.17)</f>
        <v>142.16999999999999</v>
      </c>
      <c r="E325" s="1">
        <f ca="1">IFERROR(__xludf.DUMMYFUNCTION("""COMPUTED_VALUE"""),145.89)</f>
        <v>145.88999999999999</v>
      </c>
      <c r="F325" s="1">
        <f ca="1">IFERROR(__xludf.DUMMYFUNCTION("""COMPUTED_VALUE"""),4021831)</f>
        <v>4021831</v>
      </c>
    </row>
    <row r="326" spans="1:6" ht="12.6">
      <c r="A326" s="2">
        <f ca="1">IFERROR(__xludf.DUMMYFUNCTION("""COMPUTED_VALUE"""),45035.6666666666)</f>
        <v>45035.666666666599</v>
      </c>
      <c r="B326" s="1">
        <f ca="1">IFERROR(__xludf.DUMMYFUNCTION("""COMPUTED_VALUE"""),144.45)</f>
        <v>144.44999999999999</v>
      </c>
      <c r="C326" s="1">
        <f ca="1">IFERROR(__xludf.DUMMYFUNCTION("""COMPUTED_VALUE"""),146.46)</f>
        <v>146.46</v>
      </c>
      <c r="D326" s="1">
        <f ca="1">IFERROR(__xludf.DUMMYFUNCTION("""COMPUTED_VALUE"""),143.65)</f>
        <v>143.65</v>
      </c>
      <c r="E326" s="1">
        <f ca="1">IFERROR(__xludf.DUMMYFUNCTION("""COMPUTED_VALUE"""),144.55)</f>
        <v>144.55000000000001</v>
      </c>
      <c r="F326" s="1">
        <f ca="1">IFERROR(__xludf.DUMMYFUNCTION("""COMPUTED_VALUE"""),2887438)</f>
        <v>2887438</v>
      </c>
    </row>
    <row r="327" spans="1:6" ht="12.6">
      <c r="A327" s="2">
        <f ca="1">IFERROR(__xludf.DUMMYFUNCTION("""COMPUTED_VALUE"""),45036.6666666666)</f>
        <v>45036.666666666599</v>
      </c>
      <c r="B327" s="1">
        <f ca="1">IFERROR(__xludf.DUMMYFUNCTION("""COMPUTED_VALUE"""),142.3)</f>
        <v>142.30000000000001</v>
      </c>
      <c r="C327" s="1">
        <f ca="1">IFERROR(__xludf.DUMMYFUNCTION("""COMPUTED_VALUE"""),144.13)</f>
        <v>144.13</v>
      </c>
      <c r="D327" s="1">
        <f ca="1">IFERROR(__xludf.DUMMYFUNCTION("""COMPUTED_VALUE"""),141.74)</f>
        <v>141.74</v>
      </c>
      <c r="E327" s="1">
        <f ca="1">IFERROR(__xludf.DUMMYFUNCTION("""COMPUTED_VALUE"""),142.72)</f>
        <v>142.72</v>
      </c>
      <c r="F327" s="1">
        <f ca="1">IFERROR(__xludf.DUMMYFUNCTION("""COMPUTED_VALUE"""),2993922)</f>
        <v>2993922</v>
      </c>
    </row>
    <row r="328" spans="1:6" ht="12.6">
      <c r="A328" s="2">
        <f ca="1">IFERROR(__xludf.DUMMYFUNCTION("""COMPUTED_VALUE"""),45037.6666666666)</f>
        <v>45037.666666666599</v>
      </c>
      <c r="B328" s="1">
        <f ca="1">IFERROR(__xludf.DUMMYFUNCTION("""COMPUTED_VALUE"""),144.07)</f>
        <v>144.07</v>
      </c>
      <c r="C328" s="1">
        <f ca="1">IFERROR(__xludf.DUMMYFUNCTION("""COMPUTED_VALUE"""),146.8)</f>
        <v>146.80000000000001</v>
      </c>
      <c r="D328" s="1">
        <f ca="1">IFERROR(__xludf.DUMMYFUNCTION("""COMPUTED_VALUE"""),143.52)</f>
        <v>143.52000000000001</v>
      </c>
      <c r="E328" s="1">
        <f ca="1">IFERROR(__xludf.DUMMYFUNCTION("""COMPUTED_VALUE"""),145.19)</f>
        <v>145.19</v>
      </c>
      <c r="F328" s="1">
        <f ca="1">IFERROR(__xludf.DUMMYFUNCTION("""COMPUTED_VALUE"""),3672166)</f>
        <v>3672166</v>
      </c>
    </row>
    <row r="329" spans="1:6" ht="12.6">
      <c r="A329" s="2">
        <f ca="1">IFERROR(__xludf.DUMMYFUNCTION("""COMPUTED_VALUE"""),45040.6666666666)</f>
        <v>45040.666666666599</v>
      </c>
      <c r="B329" s="1">
        <f ca="1">IFERROR(__xludf.DUMMYFUNCTION("""COMPUTED_VALUE"""),144.85)</f>
        <v>144.85</v>
      </c>
      <c r="C329" s="1">
        <f ca="1">IFERROR(__xludf.DUMMYFUNCTION("""COMPUTED_VALUE"""),145.81)</f>
        <v>145.81</v>
      </c>
      <c r="D329" s="1">
        <f ca="1">IFERROR(__xludf.DUMMYFUNCTION("""COMPUTED_VALUE"""),140.77)</f>
        <v>140.77000000000001</v>
      </c>
      <c r="E329" s="1">
        <f ca="1">IFERROR(__xludf.DUMMYFUNCTION("""COMPUTED_VALUE"""),142.51)</f>
        <v>142.51</v>
      </c>
      <c r="F329" s="1">
        <f ca="1">IFERROR(__xludf.DUMMYFUNCTION("""COMPUTED_VALUE"""),3472436)</f>
        <v>3472436</v>
      </c>
    </row>
    <row r="330" spans="1:6" ht="12.6">
      <c r="A330" s="2">
        <f ca="1">IFERROR(__xludf.DUMMYFUNCTION("""COMPUTED_VALUE"""),45041.6666666666)</f>
        <v>45041.666666666599</v>
      </c>
      <c r="B330" s="1">
        <f ca="1">IFERROR(__xludf.DUMMYFUNCTION("""COMPUTED_VALUE"""),140.56)</f>
        <v>140.56</v>
      </c>
      <c r="C330" s="1">
        <f ca="1">IFERROR(__xludf.DUMMYFUNCTION("""COMPUTED_VALUE"""),140.66)</f>
        <v>140.66</v>
      </c>
      <c r="D330" s="1">
        <f ca="1">IFERROR(__xludf.DUMMYFUNCTION("""COMPUTED_VALUE"""),135.26)</f>
        <v>135.26</v>
      </c>
      <c r="E330" s="1">
        <f ca="1">IFERROR(__xludf.DUMMYFUNCTION("""COMPUTED_VALUE"""),135.48)</f>
        <v>135.47999999999999</v>
      </c>
      <c r="F330" s="1">
        <f ca="1">IFERROR(__xludf.DUMMYFUNCTION("""COMPUTED_VALUE"""),7176410)</f>
        <v>7176410</v>
      </c>
    </row>
    <row r="331" spans="1:6" ht="12.6">
      <c r="A331" s="2">
        <f ca="1">IFERROR(__xludf.DUMMYFUNCTION("""COMPUTED_VALUE"""),45042.6666666666)</f>
        <v>45042.666666666599</v>
      </c>
      <c r="B331" s="1">
        <f ca="1">IFERROR(__xludf.DUMMYFUNCTION("""COMPUTED_VALUE"""),142.78)</f>
        <v>142.78</v>
      </c>
      <c r="C331" s="1">
        <f ca="1">IFERROR(__xludf.DUMMYFUNCTION("""COMPUTED_VALUE"""),149.28)</f>
        <v>149.28</v>
      </c>
      <c r="D331" s="1">
        <f ca="1">IFERROR(__xludf.DUMMYFUNCTION("""COMPUTED_VALUE"""),142.6)</f>
        <v>142.6</v>
      </c>
      <c r="E331" s="1">
        <f ca="1">IFERROR(__xludf.DUMMYFUNCTION("""COMPUTED_VALUE"""),147.06)</f>
        <v>147.06</v>
      </c>
      <c r="F331" s="1">
        <f ca="1">IFERROR(__xludf.DUMMYFUNCTION("""COMPUTED_VALUE"""),9439700)</f>
        <v>9439700</v>
      </c>
    </row>
    <row r="332" spans="1:6" ht="12.6">
      <c r="A332" s="2">
        <f ca="1">IFERROR(__xludf.DUMMYFUNCTION("""COMPUTED_VALUE"""),45043.6666666666)</f>
        <v>45043.666666666599</v>
      </c>
      <c r="B332" s="1">
        <f ca="1">IFERROR(__xludf.DUMMYFUNCTION("""COMPUTED_VALUE"""),148.32)</f>
        <v>148.32</v>
      </c>
      <c r="C332" s="1">
        <f ca="1">IFERROR(__xludf.DUMMYFUNCTION("""COMPUTED_VALUE"""),149.88)</f>
        <v>149.88</v>
      </c>
      <c r="D332" s="1">
        <f ca="1">IFERROR(__xludf.DUMMYFUNCTION("""COMPUTED_VALUE"""),145.13)</f>
        <v>145.13</v>
      </c>
      <c r="E332" s="1">
        <f ca="1">IFERROR(__xludf.DUMMYFUNCTION("""COMPUTED_VALUE"""),148.77)</f>
        <v>148.77000000000001</v>
      </c>
      <c r="F332" s="1">
        <f ca="1">IFERROR(__xludf.DUMMYFUNCTION("""COMPUTED_VALUE"""),5736423)</f>
        <v>5736423</v>
      </c>
    </row>
    <row r="333" spans="1:6" ht="12.6">
      <c r="A333" s="2">
        <f ca="1">IFERROR(__xludf.DUMMYFUNCTION("""COMPUTED_VALUE"""),45044.6666666666)</f>
        <v>45044.666666666599</v>
      </c>
      <c r="B333" s="1">
        <f ca="1">IFERROR(__xludf.DUMMYFUNCTION("""COMPUTED_VALUE"""),145.67)</f>
        <v>145.66999999999999</v>
      </c>
      <c r="C333" s="1">
        <f ca="1">IFERROR(__xludf.DUMMYFUNCTION("""COMPUTED_VALUE"""),148.76)</f>
        <v>148.76</v>
      </c>
      <c r="D333" s="1">
        <f ca="1">IFERROR(__xludf.DUMMYFUNCTION("""COMPUTED_VALUE"""),140.87)</f>
        <v>140.87</v>
      </c>
      <c r="E333" s="1">
        <f ca="1">IFERROR(__xludf.DUMMYFUNCTION("""COMPUTED_VALUE"""),148.08)</f>
        <v>148.08000000000001</v>
      </c>
      <c r="F333" s="1">
        <f ca="1">IFERROR(__xludf.DUMMYFUNCTION("""COMPUTED_VALUE"""),5223139)</f>
        <v>5223139</v>
      </c>
    </row>
    <row r="334" spans="1:6" ht="12.6">
      <c r="A334" s="2">
        <f ca="1">IFERROR(__xludf.DUMMYFUNCTION("""COMPUTED_VALUE"""),45047.6666666666)</f>
        <v>45047.666666666599</v>
      </c>
      <c r="B334" s="1">
        <f ca="1">IFERROR(__xludf.DUMMYFUNCTION("""COMPUTED_VALUE"""),148.15)</f>
        <v>148.15</v>
      </c>
      <c r="C334" s="1">
        <f ca="1">IFERROR(__xludf.DUMMYFUNCTION("""COMPUTED_VALUE"""),148.46)</f>
        <v>148.46</v>
      </c>
      <c r="D334" s="1">
        <f ca="1">IFERROR(__xludf.DUMMYFUNCTION("""COMPUTED_VALUE"""),145.01)</f>
        <v>145.01</v>
      </c>
      <c r="E334" s="1">
        <f ca="1">IFERROR(__xludf.DUMMYFUNCTION("""COMPUTED_VALUE"""),146.97)</f>
        <v>146.97</v>
      </c>
      <c r="F334" s="1">
        <f ca="1">IFERROR(__xludf.DUMMYFUNCTION("""COMPUTED_VALUE"""),3011139)</f>
        <v>3011139</v>
      </c>
    </row>
    <row r="335" spans="1:6" ht="12.6">
      <c r="A335" s="2">
        <f ca="1">IFERROR(__xludf.DUMMYFUNCTION("""COMPUTED_VALUE"""),45048.6666666666)</f>
        <v>45048.666666666599</v>
      </c>
      <c r="B335" s="1">
        <f ca="1">IFERROR(__xludf.DUMMYFUNCTION("""COMPUTED_VALUE"""),146.44)</f>
        <v>146.44</v>
      </c>
      <c r="C335" s="1">
        <f ca="1">IFERROR(__xludf.DUMMYFUNCTION("""COMPUTED_VALUE"""),147.05)</f>
        <v>147.05000000000001</v>
      </c>
      <c r="D335" s="1">
        <f ca="1">IFERROR(__xludf.DUMMYFUNCTION("""COMPUTED_VALUE"""),143.54)</f>
        <v>143.54</v>
      </c>
      <c r="E335" s="1">
        <f ca="1">IFERROR(__xludf.DUMMYFUNCTION("""COMPUTED_VALUE"""),144.84)</f>
        <v>144.84</v>
      </c>
      <c r="F335" s="1">
        <f ca="1">IFERROR(__xludf.DUMMYFUNCTION("""COMPUTED_VALUE"""),2845502)</f>
        <v>2845502</v>
      </c>
    </row>
    <row r="336" spans="1:6" ht="12.6">
      <c r="A336" s="2">
        <f ca="1">IFERROR(__xludf.DUMMYFUNCTION("""COMPUTED_VALUE"""),45049.6666666666)</f>
        <v>45049.666666666599</v>
      </c>
      <c r="B336" s="1">
        <f ca="1">IFERROR(__xludf.DUMMYFUNCTION("""COMPUTED_VALUE"""),144.07)</f>
        <v>144.07</v>
      </c>
      <c r="C336" s="1">
        <f ca="1">IFERROR(__xludf.DUMMYFUNCTION("""COMPUTED_VALUE"""),147.59)</f>
        <v>147.59</v>
      </c>
      <c r="D336" s="1">
        <f ca="1">IFERROR(__xludf.DUMMYFUNCTION("""COMPUTED_VALUE"""),142.44)</f>
        <v>142.44</v>
      </c>
      <c r="E336" s="1">
        <f ca="1">IFERROR(__xludf.DUMMYFUNCTION("""COMPUTED_VALUE"""),144.64)</f>
        <v>144.63999999999999</v>
      </c>
      <c r="F336" s="1">
        <f ca="1">IFERROR(__xludf.DUMMYFUNCTION("""COMPUTED_VALUE"""),3309104)</f>
        <v>3309104</v>
      </c>
    </row>
    <row r="337" spans="1:6" ht="12.6">
      <c r="A337" s="2">
        <f ca="1">IFERROR(__xludf.DUMMYFUNCTION("""COMPUTED_VALUE"""),45050.6666666666)</f>
        <v>45050.666666666599</v>
      </c>
      <c r="B337" s="1">
        <f ca="1">IFERROR(__xludf.DUMMYFUNCTION("""COMPUTED_VALUE"""),148.98)</f>
        <v>148.97999999999999</v>
      </c>
      <c r="C337" s="1">
        <f ca="1">IFERROR(__xludf.DUMMYFUNCTION("""COMPUTED_VALUE"""),156.59)</f>
        <v>156.59</v>
      </c>
      <c r="D337" s="1">
        <f ca="1">IFERROR(__xludf.DUMMYFUNCTION("""COMPUTED_VALUE"""),148.86)</f>
        <v>148.86000000000001</v>
      </c>
      <c r="E337" s="1">
        <f ca="1">IFERROR(__xludf.DUMMYFUNCTION("""COMPUTED_VALUE"""),155.27)</f>
        <v>155.27000000000001</v>
      </c>
      <c r="F337" s="1">
        <f ca="1">IFERROR(__xludf.DUMMYFUNCTION("""COMPUTED_VALUE"""),7030450)</f>
        <v>7030450</v>
      </c>
    </row>
    <row r="338" spans="1:6" ht="12.6">
      <c r="A338" s="2">
        <f ca="1">IFERROR(__xludf.DUMMYFUNCTION("""COMPUTED_VALUE"""),45051.6666666666)</f>
        <v>45051.666666666599</v>
      </c>
      <c r="B338" s="1">
        <f ca="1">IFERROR(__xludf.DUMMYFUNCTION("""COMPUTED_VALUE"""),155.75)</f>
        <v>155.75</v>
      </c>
      <c r="C338" s="1">
        <f ca="1">IFERROR(__xludf.DUMMYFUNCTION("""COMPUTED_VALUE"""),159.05)</f>
        <v>159.05000000000001</v>
      </c>
      <c r="D338" s="1">
        <f ca="1">IFERROR(__xludf.DUMMYFUNCTION("""COMPUTED_VALUE"""),153)</f>
        <v>153</v>
      </c>
      <c r="E338" s="1">
        <f ca="1">IFERROR(__xludf.DUMMYFUNCTION("""COMPUTED_VALUE"""),154.17)</f>
        <v>154.16999999999999</v>
      </c>
      <c r="F338" s="1">
        <f ca="1">IFERROR(__xludf.DUMMYFUNCTION("""COMPUTED_VALUE"""),4538512)</f>
        <v>4538512</v>
      </c>
    </row>
    <row r="339" spans="1:6" ht="12.6">
      <c r="A339" s="2">
        <f ca="1">IFERROR(__xludf.DUMMYFUNCTION("""COMPUTED_VALUE"""),45054.6666666666)</f>
        <v>45054.666666666599</v>
      </c>
      <c r="B339" s="1">
        <f ca="1">IFERROR(__xludf.DUMMYFUNCTION("""COMPUTED_VALUE"""),160.11)</f>
        <v>160.11000000000001</v>
      </c>
      <c r="C339" s="1">
        <f ca="1">IFERROR(__xludf.DUMMYFUNCTION("""COMPUTED_VALUE"""),163.18)</f>
        <v>163.18</v>
      </c>
      <c r="D339" s="1">
        <f ca="1">IFERROR(__xludf.DUMMYFUNCTION("""COMPUTED_VALUE"""),156.29)</f>
        <v>156.29</v>
      </c>
      <c r="E339" s="1">
        <f ca="1">IFERROR(__xludf.DUMMYFUNCTION("""COMPUTED_VALUE"""),160.42)</f>
        <v>160.41999999999999</v>
      </c>
      <c r="F339" s="1">
        <f ca="1">IFERROR(__xludf.DUMMYFUNCTION("""COMPUTED_VALUE"""),5587240)</f>
        <v>5587240</v>
      </c>
    </row>
    <row r="340" spans="1:6" ht="12.6">
      <c r="A340" s="2">
        <f ca="1">IFERROR(__xludf.DUMMYFUNCTION("""COMPUTED_VALUE"""),45055.6666666666)</f>
        <v>45055.666666666599</v>
      </c>
      <c r="B340" s="1">
        <f ca="1">IFERROR(__xludf.DUMMYFUNCTION("""COMPUTED_VALUE"""),158.97)</f>
        <v>158.97</v>
      </c>
      <c r="C340" s="1">
        <f ca="1">IFERROR(__xludf.DUMMYFUNCTION("""COMPUTED_VALUE"""),164.56)</f>
        <v>164.56</v>
      </c>
      <c r="D340" s="1">
        <f ca="1">IFERROR(__xludf.DUMMYFUNCTION("""COMPUTED_VALUE"""),158.61)</f>
        <v>158.61000000000001</v>
      </c>
      <c r="E340" s="1">
        <f ca="1">IFERROR(__xludf.DUMMYFUNCTION("""COMPUTED_VALUE"""),163.87)</f>
        <v>163.87</v>
      </c>
      <c r="F340" s="1">
        <f ca="1">IFERROR(__xludf.DUMMYFUNCTION("""COMPUTED_VALUE"""),3770447)</f>
        <v>3770447</v>
      </c>
    </row>
    <row r="341" spans="1:6" ht="12.6">
      <c r="A341" s="2">
        <f ca="1">IFERROR(__xludf.DUMMYFUNCTION("""COMPUTED_VALUE"""),45056.6666666666)</f>
        <v>45056.666666666599</v>
      </c>
      <c r="B341" s="1">
        <f ca="1">IFERROR(__xludf.DUMMYFUNCTION("""COMPUTED_VALUE"""),165.81)</f>
        <v>165.81</v>
      </c>
      <c r="C341" s="1">
        <f ca="1">IFERROR(__xludf.DUMMYFUNCTION("""COMPUTED_VALUE"""),173.27)</f>
        <v>173.27</v>
      </c>
      <c r="D341" s="1">
        <f ca="1">IFERROR(__xludf.DUMMYFUNCTION("""COMPUTED_VALUE"""),165.2)</f>
        <v>165.2</v>
      </c>
      <c r="E341" s="1">
        <f ca="1">IFERROR(__xludf.DUMMYFUNCTION("""COMPUTED_VALUE"""),172.04)</f>
        <v>172.04</v>
      </c>
      <c r="F341" s="1">
        <f ca="1">IFERROR(__xludf.DUMMYFUNCTION("""COMPUTED_VALUE"""),6799409)</f>
        <v>6799409</v>
      </c>
    </row>
    <row r="342" spans="1:6" ht="12.6">
      <c r="A342" s="2">
        <f ca="1">IFERROR(__xludf.DUMMYFUNCTION("""COMPUTED_VALUE"""),45057.6666666666)</f>
        <v>45057.666666666599</v>
      </c>
      <c r="B342" s="1">
        <f ca="1">IFERROR(__xludf.DUMMYFUNCTION("""COMPUTED_VALUE"""),170.21)</f>
        <v>170.21</v>
      </c>
      <c r="C342" s="1">
        <f ca="1">IFERROR(__xludf.DUMMYFUNCTION("""COMPUTED_VALUE"""),171.78)</f>
        <v>171.78</v>
      </c>
      <c r="D342" s="1">
        <f ca="1">IFERROR(__xludf.DUMMYFUNCTION("""COMPUTED_VALUE"""),168.85)</f>
        <v>168.85</v>
      </c>
      <c r="E342" s="1">
        <f ca="1">IFERROR(__xludf.DUMMYFUNCTION("""COMPUTED_VALUE"""),170.07)</f>
        <v>170.07</v>
      </c>
      <c r="F342" s="1">
        <f ca="1">IFERROR(__xludf.DUMMYFUNCTION("""COMPUTED_VALUE"""),3466383)</f>
        <v>3466383</v>
      </c>
    </row>
    <row r="343" spans="1:6" ht="12.6">
      <c r="A343" s="2">
        <f ca="1">IFERROR(__xludf.DUMMYFUNCTION("""COMPUTED_VALUE"""),45058.6666666666)</f>
        <v>45058.666666666599</v>
      </c>
      <c r="B343" s="1">
        <f ca="1">IFERROR(__xludf.DUMMYFUNCTION("""COMPUTED_VALUE"""),169.2)</f>
        <v>169.2</v>
      </c>
      <c r="C343" s="1">
        <f ca="1">IFERROR(__xludf.DUMMYFUNCTION("""COMPUTED_VALUE"""),171.32)</f>
        <v>171.32</v>
      </c>
      <c r="D343" s="1">
        <f ca="1">IFERROR(__xludf.DUMMYFUNCTION("""COMPUTED_VALUE"""),166.42)</f>
        <v>166.42</v>
      </c>
      <c r="E343" s="1">
        <f ca="1">IFERROR(__xludf.DUMMYFUNCTION("""COMPUTED_VALUE"""),167.4)</f>
        <v>167.4</v>
      </c>
      <c r="F343" s="1">
        <f ca="1">IFERROR(__xludf.DUMMYFUNCTION("""COMPUTED_VALUE"""),4041019)</f>
        <v>4041019</v>
      </c>
    </row>
    <row r="344" spans="1:6" ht="12.6">
      <c r="A344" s="2">
        <f ca="1">IFERROR(__xludf.DUMMYFUNCTION("""COMPUTED_VALUE"""),45061.6666666666)</f>
        <v>45061.666666666599</v>
      </c>
      <c r="B344" s="1">
        <f ca="1">IFERROR(__xludf.DUMMYFUNCTION("""COMPUTED_VALUE"""),167.66)</f>
        <v>167.66</v>
      </c>
      <c r="C344" s="1">
        <f ca="1">IFERROR(__xludf.DUMMYFUNCTION("""COMPUTED_VALUE"""),172.88)</f>
        <v>172.88</v>
      </c>
      <c r="D344" s="1">
        <f ca="1">IFERROR(__xludf.DUMMYFUNCTION("""COMPUTED_VALUE"""),166.9)</f>
        <v>166.9</v>
      </c>
      <c r="E344" s="1">
        <f ca="1">IFERROR(__xludf.DUMMYFUNCTION("""COMPUTED_VALUE"""),172.05)</f>
        <v>172.05</v>
      </c>
      <c r="F344" s="1">
        <f ca="1">IFERROR(__xludf.DUMMYFUNCTION("""COMPUTED_VALUE"""),3436500)</f>
        <v>3436500</v>
      </c>
    </row>
    <row r="345" spans="1:6" ht="12.6">
      <c r="A345" s="2">
        <f ca="1">IFERROR(__xludf.DUMMYFUNCTION("""COMPUTED_VALUE"""),45062.6666666666)</f>
        <v>45062.666666666599</v>
      </c>
      <c r="B345" s="1">
        <f ca="1">IFERROR(__xludf.DUMMYFUNCTION("""COMPUTED_VALUE"""),170.14)</f>
        <v>170.14</v>
      </c>
      <c r="C345" s="1">
        <f ca="1">IFERROR(__xludf.DUMMYFUNCTION("""COMPUTED_VALUE"""),173.05)</f>
        <v>173.05</v>
      </c>
      <c r="D345" s="1">
        <f ca="1">IFERROR(__xludf.DUMMYFUNCTION("""COMPUTED_VALUE"""),168.79)</f>
        <v>168.79</v>
      </c>
      <c r="E345" s="1">
        <f ca="1">IFERROR(__xludf.DUMMYFUNCTION("""COMPUTED_VALUE"""),171.71)</f>
        <v>171.71</v>
      </c>
      <c r="F345" s="1">
        <f ca="1">IFERROR(__xludf.DUMMYFUNCTION("""COMPUTED_VALUE"""),3482860)</f>
        <v>3482860</v>
      </c>
    </row>
    <row r="346" spans="1:6" ht="12.6">
      <c r="A346" s="2">
        <f ca="1">IFERROR(__xludf.DUMMYFUNCTION("""COMPUTED_VALUE"""),45063.6666666666)</f>
        <v>45063.666666666599</v>
      </c>
      <c r="B346" s="1">
        <f ca="1">IFERROR(__xludf.DUMMYFUNCTION("""COMPUTED_VALUE"""),172.09)</f>
        <v>172.09</v>
      </c>
      <c r="C346" s="1">
        <f ca="1">IFERROR(__xludf.DUMMYFUNCTION("""COMPUTED_VALUE"""),174.55)</f>
        <v>174.55</v>
      </c>
      <c r="D346" s="1">
        <f ca="1">IFERROR(__xludf.DUMMYFUNCTION("""COMPUTED_VALUE"""),170.3)</f>
        <v>170.3</v>
      </c>
      <c r="E346" s="1">
        <f ca="1">IFERROR(__xludf.DUMMYFUNCTION("""COMPUTED_VALUE"""),174.02)</f>
        <v>174.02</v>
      </c>
      <c r="F346" s="1">
        <f ca="1">IFERROR(__xludf.DUMMYFUNCTION("""COMPUTED_VALUE"""),4335566)</f>
        <v>4335566</v>
      </c>
    </row>
    <row r="347" spans="1:6" ht="12.6">
      <c r="A347" s="2">
        <f ca="1">IFERROR(__xludf.DUMMYFUNCTION("""COMPUTED_VALUE"""),45064.6666666666)</f>
        <v>45064.666666666599</v>
      </c>
      <c r="B347" s="1">
        <f ca="1">IFERROR(__xludf.DUMMYFUNCTION("""COMPUTED_VALUE"""),175.97)</f>
        <v>175.97</v>
      </c>
      <c r="C347" s="1">
        <f ca="1">IFERROR(__xludf.DUMMYFUNCTION("""COMPUTED_VALUE"""),185)</f>
        <v>185</v>
      </c>
      <c r="D347" s="1">
        <f ca="1">IFERROR(__xludf.DUMMYFUNCTION("""COMPUTED_VALUE"""),175.51)</f>
        <v>175.51</v>
      </c>
      <c r="E347" s="1">
        <f ca="1">IFERROR(__xludf.DUMMYFUNCTION("""COMPUTED_VALUE"""),184.31)</f>
        <v>184.31</v>
      </c>
      <c r="F347" s="1">
        <f ca="1">IFERROR(__xludf.DUMMYFUNCTION("""COMPUTED_VALUE"""),7229138)</f>
        <v>7229138</v>
      </c>
    </row>
    <row r="348" spans="1:6" ht="12.6">
      <c r="A348" s="2">
        <f ca="1">IFERROR(__xludf.DUMMYFUNCTION("""COMPUTED_VALUE"""),45065.6666666666)</f>
        <v>45065.666666666599</v>
      </c>
      <c r="B348" s="1">
        <f ca="1">IFERROR(__xludf.DUMMYFUNCTION("""COMPUTED_VALUE"""),181.18)</f>
        <v>181.18</v>
      </c>
      <c r="C348" s="1">
        <f ca="1">IFERROR(__xludf.DUMMYFUNCTION("""COMPUTED_VALUE"""),182.46)</f>
        <v>182.46</v>
      </c>
      <c r="D348" s="1">
        <f ca="1">IFERROR(__xludf.DUMMYFUNCTION("""COMPUTED_VALUE"""),175.71)</f>
        <v>175.71</v>
      </c>
      <c r="E348" s="1">
        <f ca="1">IFERROR(__xludf.DUMMYFUNCTION("""COMPUTED_VALUE"""),176.82)</f>
        <v>176.82</v>
      </c>
      <c r="F348" s="1">
        <f ca="1">IFERROR(__xludf.DUMMYFUNCTION("""COMPUTED_VALUE"""),6704978)</f>
        <v>6704978</v>
      </c>
    </row>
    <row r="349" spans="1:6" ht="12.6">
      <c r="A349" s="2">
        <f ca="1">IFERROR(__xludf.DUMMYFUNCTION("""COMPUTED_VALUE"""),45068.6666666666)</f>
        <v>45068.666666666599</v>
      </c>
      <c r="B349" s="1">
        <f ca="1">IFERROR(__xludf.DUMMYFUNCTION("""COMPUTED_VALUE"""),176.51)</f>
        <v>176.51</v>
      </c>
      <c r="C349" s="1">
        <f ca="1">IFERROR(__xludf.DUMMYFUNCTION("""COMPUTED_VALUE"""),182.2)</f>
        <v>182.2</v>
      </c>
      <c r="D349" s="1">
        <f ca="1">IFERROR(__xludf.DUMMYFUNCTION("""COMPUTED_VALUE"""),175.39)</f>
        <v>175.39</v>
      </c>
      <c r="E349" s="1">
        <f ca="1">IFERROR(__xludf.DUMMYFUNCTION("""COMPUTED_VALUE"""),178.47)</f>
        <v>178.47</v>
      </c>
      <c r="F349" s="1">
        <f ca="1">IFERROR(__xludf.DUMMYFUNCTION("""COMPUTED_VALUE"""),4424320)</f>
        <v>4424320</v>
      </c>
    </row>
    <row r="350" spans="1:6" ht="12.6">
      <c r="A350" s="2">
        <f ca="1">IFERROR(__xludf.DUMMYFUNCTION("""COMPUTED_VALUE"""),45069.6666666666)</f>
        <v>45069.666666666599</v>
      </c>
      <c r="B350" s="1">
        <f ca="1">IFERROR(__xludf.DUMMYFUNCTION("""COMPUTED_VALUE"""),177.04)</f>
        <v>177.04</v>
      </c>
      <c r="C350" s="1">
        <f ca="1">IFERROR(__xludf.DUMMYFUNCTION("""COMPUTED_VALUE"""),182.5)</f>
        <v>182.5</v>
      </c>
      <c r="D350" s="1">
        <f ca="1">IFERROR(__xludf.DUMMYFUNCTION("""COMPUTED_VALUE"""),175.08)</f>
        <v>175.08</v>
      </c>
      <c r="E350" s="1">
        <f ca="1">IFERROR(__xludf.DUMMYFUNCTION("""COMPUTED_VALUE"""),175.16)</f>
        <v>175.16</v>
      </c>
      <c r="F350" s="1">
        <f ca="1">IFERROR(__xludf.DUMMYFUNCTION("""COMPUTED_VALUE"""),4558489)</f>
        <v>4558489</v>
      </c>
    </row>
    <row r="351" spans="1:6" ht="12.6">
      <c r="A351" s="2">
        <f ca="1">IFERROR(__xludf.DUMMYFUNCTION("""COMPUTED_VALUE"""),45070.6666666666)</f>
        <v>45070.666666666599</v>
      </c>
      <c r="B351" s="1">
        <f ca="1">IFERROR(__xludf.DUMMYFUNCTION("""COMPUTED_VALUE"""),173.64)</f>
        <v>173.64</v>
      </c>
      <c r="C351" s="1">
        <f ca="1">IFERROR(__xludf.DUMMYFUNCTION("""COMPUTED_VALUE"""),178.4)</f>
        <v>178.4</v>
      </c>
      <c r="D351" s="1">
        <f ca="1">IFERROR(__xludf.DUMMYFUNCTION("""COMPUTED_VALUE"""),172.12)</f>
        <v>172.12</v>
      </c>
      <c r="E351" s="1">
        <f ca="1">IFERROR(__xludf.DUMMYFUNCTION("""COMPUTED_VALUE"""),177.14)</f>
        <v>177.14</v>
      </c>
      <c r="F351" s="1">
        <f ca="1">IFERROR(__xludf.DUMMYFUNCTION("""COMPUTED_VALUE"""),10020835)</f>
        <v>10020835</v>
      </c>
    </row>
    <row r="352" spans="1:6" ht="12.6">
      <c r="A352" s="2">
        <f ca="1">IFERROR(__xludf.DUMMYFUNCTION("""COMPUTED_VALUE"""),45071.6666666666)</f>
        <v>45071.666666666599</v>
      </c>
      <c r="B352" s="1">
        <f ca="1">IFERROR(__xludf.DUMMYFUNCTION("""COMPUTED_VALUE"""),150.47)</f>
        <v>150.47</v>
      </c>
      <c r="C352" s="1">
        <f ca="1">IFERROR(__xludf.DUMMYFUNCTION("""COMPUTED_VALUE"""),158.73)</f>
        <v>158.72999999999999</v>
      </c>
      <c r="D352" s="1">
        <f ca="1">IFERROR(__xludf.DUMMYFUNCTION("""COMPUTED_VALUE"""),143.11)</f>
        <v>143.11000000000001</v>
      </c>
      <c r="E352" s="1">
        <f ca="1">IFERROR(__xludf.DUMMYFUNCTION("""COMPUTED_VALUE"""),147.91)</f>
        <v>147.91</v>
      </c>
      <c r="F352" s="1">
        <f ca="1">IFERROR(__xludf.DUMMYFUNCTION("""COMPUTED_VALUE"""),23969998)</f>
        <v>23969998</v>
      </c>
    </row>
    <row r="353" spans="1:6" ht="12.6">
      <c r="A353" s="2">
        <f ca="1">IFERROR(__xludf.DUMMYFUNCTION("""COMPUTED_VALUE"""),45072.6666666666)</f>
        <v>45072.666666666599</v>
      </c>
      <c r="B353" s="1">
        <f ca="1">IFERROR(__xludf.DUMMYFUNCTION("""COMPUTED_VALUE"""),146.86)</f>
        <v>146.86000000000001</v>
      </c>
      <c r="C353" s="1">
        <f ca="1">IFERROR(__xludf.DUMMYFUNCTION("""COMPUTED_VALUE"""),152.9)</f>
        <v>152.9</v>
      </c>
      <c r="D353" s="1">
        <f ca="1">IFERROR(__xludf.DUMMYFUNCTION("""COMPUTED_VALUE"""),144.82)</f>
        <v>144.82</v>
      </c>
      <c r="E353" s="1">
        <f ca="1">IFERROR(__xludf.DUMMYFUNCTION("""COMPUTED_VALUE"""),150.01)</f>
        <v>150.01</v>
      </c>
      <c r="F353" s="1">
        <f ca="1">IFERROR(__xludf.DUMMYFUNCTION("""COMPUTED_VALUE"""),11512197)</f>
        <v>11512197</v>
      </c>
    </row>
    <row r="354" spans="1:6" ht="12.6">
      <c r="A354" s="2">
        <f ca="1">IFERROR(__xludf.DUMMYFUNCTION("""COMPUTED_VALUE"""),45076.6666666666)</f>
        <v>45076.666666666599</v>
      </c>
      <c r="B354" s="1">
        <f ca="1">IFERROR(__xludf.DUMMYFUNCTION("""COMPUTED_VALUE"""),151.18)</f>
        <v>151.18</v>
      </c>
      <c r="C354" s="1">
        <f ca="1">IFERROR(__xludf.DUMMYFUNCTION("""COMPUTED_VALUE"""),159.99)</f>
        <v>159.99</v>
      </c>
      <c r="D354" s="1">
        <f ca="1">IFERROR(__xludf.DUMMYFUNCTION("""COMPUTED_VALUE"""),150.5)</f>
        <v>150.5</v>
      </c>
      <c r="E354" s="1">
        <f ca="1">IFERROR(__xludf.DUMMYFUNCTION("""COMPUTED_VALUE"""),158.65)</f>
        <v>158.65</v>
      </c>
      <c r="F354" s="1">
        <f ca="1">IFERROR(__xludf.DUMMYFUNCTION("""COMPUTED_VALUE"""),9655841)</f>
        <v>9655841</v>
      </c>
    </row>
    <row r="355" spans="1:6" ht="12.6">
      <c r="A355" s="2">
        <f ca="1">IFERROR(__xludf.DUMMYFUNCTION("""COMPUTED_VALUE"""),45077.6666666666)</f>
        <v>45077.666666666599</v>
      </c>
      <c r="B355" s="1">
        <f ca="1">IFERROR(__xludf.DUMMYFUNCTION("""COMPUTED_VALUE"""),158)</f>
        <v>158</v>
      </c>
      <c r="C355" s="1">
        <f ca="1">IFERROR(__xludf.DUMMYFUNCTION("""COMPUTED_VALUE"""),168.98)</f>
        <v>168.98</v>
      </c>
      <c r="D355" s="1">
        <f ca="1">IFERROR(__xludf.DUMMYFUNCTION("""COMPUTED_VALUE"""),157.43)</f>
        <v>157.43</v>
      </c>
      <c r="E355" s="1">
        <f ca="1">IFERROR(__xludf.DUMMYFUNCTION("""COMPUTED_VALUE"""),165.36)</f>
        <v>165.36</v>
      </c>
      <c r="F355" s="1">
        <f ca="1">IFERROR(__xludf.DUMMYFUNCTION("""COMPUTED_VALUE"""),14605655)</f>
        <v>14605655</v>
      </c>
    </row>
    <row r="356" spans="1:6" ht="12.6">
      <c r="A356" s="2">
        <f ca="1">IFERROR(__xludf.DUMMYFUNCTION("""COMPUTED_VALUE"""),45078.6666666666)</f>
        <v>45078.666666666599</v>
      </c>
      <c r="B356" s="1">
        <f ca="1">IFERROR(__xludf.DUMMYFUNCTION("""COMPUTED_VALUE"""),160.37)</f>
        <v>160.37</v>
      </c>
      <c r="C356" s="1">
        <f ca="1">IFERROR(__xludf.DUMMYFUNCTION("""COMPUTED_VALUE"""),169.46)</f>
        <v>169.46</v>
      </c>
      <c r="D356" s="1">
        <f ca="1">IFERROR(__xludf.DUMMYFUNCTION("""COMPUTED_VALUE"""),160)</f>
        <v>160</v>
      </c>
      <c r="E356" s="1">
        <f ca="1">IFERROR(__xludf.DUMMYFUNCTION("""COMPUTED_VALUE"""),167.28)</f>
        <v>167.28</v>
      </c>
      <c r="F356" s="1">
        <f ca="1">IFERROR(__xludf.DUMMYFUNCTION("""COMPUTED_VALUE"""),5597720)</f>
        <v>5597720</v>
      </c>
    </row>
    <row r="357" spans="1:6" ht="12.6">
      <c r="A357" s="2">
        <f ca="1">IFERROR(__xludf.DUMMYFUNCTION("""COMPUTED_VALUE"""),45079.6666666666)</f>
        <v>45079.666666666599</v>
      </c>
      <c r="B357" s="1">
        <f ca="1">IFERROR(__xludf.DUMMYFUNCTION("""COMPUTED_VALUE"""),172.3)</f>
        <v>172.3</v>
      </c>
      <c r="C357" s="1">
        <f ca="1">IFERROR(__xludf.DUMMYFUNCTION("""COMPUTED_VALUE"""),182.95)</f>
        <v>182.95</v>
      </c>
      <c r="D357" s="1">
        <f ca="1">IFERROR(__xludf.DUMMYFUNCTION("""COMPUTED_VALUE"""),172.08)</f>
        <v>172.08</v>
      </c>
      <c r="E357" s="1">
        <f ca="1">IFERROR(__xludf.DUMMYFUNCTION("""COMPUTED_VALUE"""),175.21)</f>
        <v>175.21</v>
      </c>
      <c r="F357" s="1">
        <f ca="1">IFERROR(__xludf.DUMMYFUNCTION("""COMPUTED_VALUE"""),9757340)</f>
        <v>9757340</v>
      </c>
    </row>
    <row r="358" spans="1:6" ht="12.6">
      <c r="A358" s="2">
        <f ca="1">IFERROR(__xludf.DUMMYFUNCTION("""COMPUTED_VALUE"""),45082.6666666666)</f>
        <v>45082.666666666599</v>
      </c>
      <c r="B358" s="1">
        <f ca="1">IFERROR(__xludf.DUMMYFUNCTION("""COMPUTED_VALUE"""),175.81)</f>
        <v>175.81</v>
      </c>
      <c r="C358" s="1">
        <f ca="1">IFERROR(__xludf.DUMMYFUNCTION("""COMPUTED_VALUE"""),183.55)</f>
        <v>183.55</v>
      </c>
      <c r="D358" s="1">
        <f ca="1">IFERROR(__xludf.DUMMYFUNCTION("""COMPUTED_VALUE"""),175.5)</f>
        <v>175.5</v>
      </c>
      <c r="E358" s="1">
        <f ca="1">IFERROR(__xludf.DUMMYFUNCTION("""COMPUTED_VALUE"""),181.75)</f>
        <v>181.75</v>
      </c>
      <c r="F358" s="1">
        <f ca="1">IFERROR(__xludf.DUMMYFUNCTION("""COMPUTED_VALUE"""),5608728)</f>
        <v>5608728</v>
      </c>
    </row>
    <row r="359" spans="1:6" ht="12.6">
      <c r="A359" s="2">
        <f ca="1">IFERROR(__xludf.DUMMYFUNCTION("""COMPUTED_VALUE"""),45083.6666666666)</f>
        <v>45083.666666666599</v>
      </c>
      <c r="B359" s="1">
        <f ca="1">IFERROR(__xludf.DUMMYFUNCTION("""COMPUTED_VALUE"""),181.25)</f>
        <v>181.25</v>
      </c>
      <c r="C359" s="1">
        <f ca="1">IFERROR(__xludf.DUMMYFUNCTION("""COMPUTED_VALUE"""),185.04)</f>
        <v>185.04</v>
      </c>
      <c r="D359" s="1">
        <f ca="1">IFERROR(__xludf.DUMMYFUNCTION("""COMPUTED_VALUE"""),181.17)</f>
        <v>181.17</v>
      </c>
      <c r="E359" s="1">
        <f ca="1">IFERROR(__xludf.DUMMYFUNCTION("""COMPUTED_VALUE"""),182.22)</f>
        <v>182.22</v>
      </c>
      <c r="F359" s="1">
        <f ca="1">IFERROR(__xludf.DUMMYFUNCTION("""COMPUTED_VALUE"""),5827714)</f>
        <v>5827714</v>
      </c>
    </row>
    <row r="360" spans="1:6" ht="12.6">
      <c r="A360" s="2">
        <f ca="1">IFERROR(__xludf.DUMMYFUNCTION("""COMPUTED_VALUE"""),45084.6666666666)</f>
        <v>45084.666666666599</v>
      </c>
      <c r="B360" s="1">
        <f ca="1">IFERROR(__xludf.DUMMYFUNCTION("""COMPUTED_VALUE"""),182.01)</f>
        <v>182.01</v>
      </c>
      <c r="C360" s="1">
        <f ca="1">IFERROR(__xludf.DUMMYFUNCTION("""COMPUTED_VALUE"""),183)</f>
        <v>183</v>
      </c>
      <c r="D360" s="1">
        <f ca="1">IFERROR(__xludf.DUMMYFUNCTION("""COMPUTED_VALUE"""),167.37)</f>
        <v>167.37</v>
      </c>
      <c r="E360" s="1">
        <f ca="1">IFERROR(__xludf.DUMMYFUNCTION("""COMPUTED_VALUE"""),169.07)</f>
        <v>169.07</v>
      </c>
      <c r="F360" s="1">
        <f ca="1">IFERROR(__xludf.DUMMYFUNCTION("""COMPUTED_VALUE"""),8407551)</f>
        <v>8407551</v>
      </c>
    </row>
    <row r="361" spans="1:6" ht="12.6">
      <c r="A361" s="2">
        <f ca="1">IFERROR(__xludf.DUMMYFUNCTION("""COMPUTED_VALUE"""),45085.6666666666)</f>
        <v>45085.666666666599</v>
      </c>
      <c r="B361" s="1">
        <f ca="1">IFERROR(__xludf.DUMMYFUNCTION("""COMPUTED_VALUE"""),167.66)</f>
        <v>167.66</v>
      </c>
      <c r="C361" s="1">
        <f ca="1">IFERROR(__xludf.DUMMYFUNCTION("""COMPUTED_VALUE"""),174.66)</f>
        <v>174.66</v>
      </c>
      <c r="D361" s="1">
        <f ca="1">IFERROR(__xludf.DUMMYFUNCTION("""COMPUTED_VALUE"""),166.4)</f>
        <v>166.4</v>
      </c>
      <c r="E361" s="1">
        <f ca="1">IFERROR(__xludf.DUMMYFUNCTION("""COMPUTED_VALUE"""),174.31)</f>
        <v>174.31</v>
      </c>
      <c r="F361" s="1">
        <f ca="1">IFERROR(__xludf.DUMMYFUNCTION("""COMPUTED_VALUE"""),5847401)</f>
        <v>5847401</v>
      </c>
    </row>
    <row r="362" spans="1:6" ht="12.6">
      <c r="A362" s="2">
        <f ca="1">IFERROR(__xludf.DUMMYFUNCTION("""COMPUTED_VALUE"""),45086.6666666666)</f>
        <v>45086.666666666599</v>
      </c>
      <c r="B362" s="1">
        <f ca="1">IFERROR(__xludf.DUMMYFUNCTION("""COMPUTED_VALUE"""),174.31)</f>
        <v>174.31</v>
      </c>
      <c r="C362" s="1">
        <f ca="1">IFERROR(__xludf.DUMMYFUNCTION("""COMPUTED_VALUE"""),176.53)</f>
        <v>176.53</v>
      </c>
      <c r="D362" s="1">
        <f ca="1">IFERROR(__xludf.DUMMYFUNCTION("""COMPUTED_VALUE"""),169.29)</f>
        <v>169.29</v>
      </c>
      <c r="E362" s="1">
        <f ca="1">IFERROR(__xludf.DUMMYFUNCTION("""COMPUTED_VALUE"""),170.65)</f>
        <v>170.65</v>
      </c>
      <c r="F362" s="1">
        <f ca="1">IFERROR(__xludf.DUMMYFUNCTION("""COMPUTED_VALUE"""),5314504)</f>
        <v>5314504</v>
      </c>
    </row>
    <row r="363" spans="1:6" ht="12.6">
      <c r="A363" s="2">
        <f ca="1">IFERROR(__xludf.DUMMYFUNCTION("""COMPUTED_VALUE"""),45089.6666666666)</f>
        <v>45089.666666666599</v>
      </c>
      <c r="B363" s="1">
        <f ca="1">IFERROR(__xludf.DUMMYFUNCTION("""COMPUTED_VALUE"""),170.27)</f>
        <v>170.27</v>
      </c>
      <c r="C363" s="1">
        <f ca="1">IFERROR(__xludf.DUMMYFUNCTION("""COMPUTED_VALUE"""),172.38)</f>
        <v>172.38</v>
      </c>
      <c r="D363" s="1">
        <f ca="1">IFERROR(__xludf.DUMMYFUNCTION("""COMPUTED_VALUE"""),167.84)</f>
        <v>167.84</v>
      </c>
      <c r="E363" s="1">
        <f ca="1">IFERROR(__xludf.DUMMYFUNCTION("""COMPUTED_VALUE"""),171.89)</f>
        <v>171.89</v>
      </c>
      <c r="F363" s="1">
        <f ca="1">IFERROR(__xludf.DUMMYFUNCTION("""COMPUTED_VALUE"""),5098018)</f>
        <v>5098018</v>
      </c>
    </row>
    <row r="364" spans="1:6" ht="12.6">
      <c r="A364" s="2">
        <f ca="1">IFERROR(__xludf.DUMMYFUNCTION("""COMPUTED_VALUE"""),45090.6666666666)</f>
        <v>45090.666666666599</v>
      </c>
      <c r="B364" s="1">
        <f ca="1">IFERROR(__xludf.DUMMYFUNCTION("""COMPUTED_VALUE"""),173.03)</f>
        <v>173.03</v>
      </c>
      <c r="C364" s="1">
        <f ca="1">IFERROR(__xludf.DUMMYFUNCTION("""COMPUTED_VALUE"""),174.86)</f>
        <v>174.86</v>
      </c>
      <c r="D364" s="1">
        <f ca="1">IFERROR(__xludf.DUMMYFUNCTION("""COMPUTED_VALUE"""),168.76)</f>
        <v>168.76</v>
      </c>
      <c r="E364" s="1">
        <f ca="1">IFERROR(__xludf.DUMMYFUNCTION("""COMPUTED_VALUE"""),173.44)</f>
        <v>173.44</v>
      </c>
      <c r="F364" s="1">
        <f ca="1">IFERROR(__xludf.DUMMYFUNCTION("""COMPUTED_VALUE"""),4182986)</f>
        <v>4182986</v>
      </c>
    </row>
    <row r="365" spans="1:6" ht="12.6">
      <c r="A365" s="2">
        <f ca="1">IFERROR(__xludf.DUMMYFUNCTION("""COMPUTED_VALUE"""),45091.6666666666)</f>
        <v>45091.666666666599</v>
      </c>
      <c r="B365" s="1">
        <f ca="1">IFERROR(__xludf.DUMMYFUNCTION("""COMPUTED_VALUE"""),172.73)</f>
        <v>172.73</v>
      </c>
      <c r="C365" s="1">
        <f ca="1">IFERROR(__xludf.DUMMYFUNCTION("""COMPUTED_VALUE"""),181.33)</f>
        <v>181.33</v>
      </c>
      <c r="D365" s="1">
        <f ca="1">IFERROR(__xludf.DUMMYFUNCTION("""COMPUTED_VALUE"""),171.11)</f>
        <v>171.11</v>
      </c>
      <c r="E365" s="1">
        <f ca="1">IFERROR(__xludf.DUMMYFUNCTION("""COMPUTED_VALUE"""),181.07)</f>
        <v>181.07</v>
      </c>
      <c r="F365" s="1">
        <f ca="1">IFERROR(__xludf.DUMMYFUNCTION("""COMPUTED_VALUE"""),6664442)</f>
        <v>6664442</v>
      </c>
    </row>
    <row r="366" spans="1:6" ht="12.6">
      <c r="A366" s="2">
        <f ca="1">IFERROR(__xludf.DUMMYFUNCTION("""COMPUTED_VALUE"""),45092.6666666666)</f>
        <v>45092.666666666599</v>
      </c>
      <c r="B366" s="1">
        <f ca="1">IFERROR(__xludf.DUMMYFUNCTION("""COMPUTED_VALUE"""),179.18)</f>
        <v>179.18</v>
      </c>
      <c r="C366" s="1">
        <f ca="1">IFERROR(__xludf.DUMMYFUNCTION("""COMPUTED_VALUE"""),191.65)</f>
        <v>191.65</v>
      </c>
      <c r="D366" s="1">
        <f ca="1">IFERROR(__xludf.DUMMYFUNCTION("""COMPUTED_VALUE"""),178.35)</f>
        <v>178.35</v>
      </c>
      <c r="E366" s="1">
        <f ca="1">IFERROR(__xludf.DUMMYFUNCTION("""COMPUTED_VALUE"""),190.98)</f>
        <v>190.98</v>
      </c>
      <c r="F366" s="1">
        <f ca="1">IFERROR(__xludf.DUMMYFUNCTION("""COMPUTED_VALUE"""),9779343)</f>
        <v>9779343</v>
      </c>
    </row>
    <row r="367" spans="1:6" ht="12.6">
      <c r="A367" s="2">
        <f ca="1">IFERROR(__xludf.DUMMYFUNCTION("""COMPUTED_VALUE"""),45093.6666666666)</f>
        <v>45093.666666666599</v>
      </c>
      <c r="B367" s="1">
        <f ca="1">IFERROR(__xludf.DUMMYFUNCTION("""COMPUTED_VALUE"""),191.57)</f>
        <v>191.57</v>
      </c>
      <c r="C367" s="1">
        <f ca="1">IFERROR(__xludf.DUMMYFUNCTION("""COMPUTED_VALUE"""),193.94)</f>
        <v>193.94</v>
      </c>
      <c r="D367" s="1">
        <f ca="1">IFERROR(__xludf.DUMMYFUNCTION("""COMPUTED_VALUE"""),182.92)</f>
        <v>182.92</v>
      </c>
      <c r="E367" s="1">
        <f ca="1">IFERROR(__xludf.DUMMYFUNCTION("""COMPUTED_VALUE"""),184.18)</f>
        <v>184.18</v>
      </c>
      <c r="F367" s="1">
        <f ca="1">IFERROR(__xludf.DUMMYFUNCTION("""COMPUTED_VALUE"""),6589530)</f>
        <v>6589530</v>
      </c>
    </row>
    <row r="368" spans="1:6" ht="12.6">
      <c r="A368" s="2">
        <f ca="1">IFERROR(__xludf.DUMMYFUNCTION("""COMPUTED_VALUE"""),45097.6666666666)</f>
        <v>45097.666666666599</v>
      </c>
      <c r="B368" s="1">
        <f ca="1">IFERROR(__xludf.DUMMYFUNCTION("""COMPUTED_VALUE"""),183.3)</f>
        <v>183.3</v>
      </c>
      <c r="C368" s="1">
        <f ca="1">IFERROR(__xludf.DUMMYFUNCTION("""COMPUTED_VALUE"""),185.67)</f>
        <v>185.67</v>
      </c>
      <c r="D368" s="1">
        <f ca="1">IFERROR(__xludf.DUMMYFUNCTION("""COMPUTED_VALUE"""),176.71)</f>
        <v>176.71</v>
      </c>
      <c r="E368" s="1">
        <f ca="1">IFERROR(__xludf.DUMMYFUNCTION("""COMPUTED_VALUE"""),179.08)</f>
        <v>179.08</v>
      </c>
      <c r="F368" s="1">
        <f ca="1">IFERROR(__xludf.DUMMYFUNCTION("""COMPUTED_VALUE"""),5305499)</f>
        <v>5305499</v>
      </c>
    </row>
    <row r="369" spans="1:6" ht="12.6">
      <c r="A369" s="2">
        <f ca="1">IFERROR(__xludf.DUMMYFUNCTION("""COMPUTED_VALUE"""),45098.6666666666)</f>
        <v>45098.666666666599</v>
      </c>
      <c r="B369" s="1">
        <f ca="1">IFERROR(__xludf.DUMMYFUNCTION("""COMPUTED_VALUE"""),180.7)</f>
        <v>180.7</v>
      </c>
      <c r="C369" s="1">
        <f ca="1">IFERROR(__xludf.DUMMYFUNCTION("""COMPUTED_VALUE"""),183.6)</f>
        <v>183.6</v>
      </c>
      <c r="D369" s="1">
        <f ca="1">IFERROR(__xludf.DUMMYFUNCTION("""COMPUTED_VALUE"""),173.26)</f>
        <v>173.26</v>
      </c>
      <c r="E369" s="1">
        <f ca="1">IFERROR(__xludf.DUMMYFUNCTION("""COMPUTED_VALUE"""),173.39)</f>
        <v>173.39</v>
      </c>
      <c r="F369" s="1">
        <f ca="1">IFERROR(__xludf.DUMMYFUNCTION("""COMPUTED_VALUE"""),5463254)</f>
        <v>5463254</v>
      </c>
    </row>
    <row r="370" spans="1:6" ht="12.6">
      <c r="A370" s="2">
        <f ca="1">IFERROR(__xludf.DUMMYFUNCTION("""COMPUTED_VALUE"""),45099.6666666666)</f>
        <v>45099.666666666599</v>
      </c>
      <c r="B370" s="1">
        <f ca="1">IFERROR(__xludf.DUMMYFUNCTION("""COMPUTED_VALUE"""),171.18)</f>
        <v>171.18</v>
      </c>
      <c r="C370" s="1">
        <f ca="1">IFERROR(__xludf.DUMMYFUNCTION("""COMPUTED_VALUE"""),179.74)</f>
        <v>179.74</v>
      </c>
      <c r="D370" s="1">
        <f ca="1">IFERROR(__xludf.DUMMYFUNCTION("""COMPUTED_VALUE"""),170.82)</f>
        <v>170.82</v>
      </c>
      <c r="E370" s="1">
        <f ca="1">IFERROR(__xludf.DUMMYFUNCTION("""COMPUTED_VALUE"""),178.6)</f>
        <v>178.6</v>
      </c>
      <c r="F370" s="1">
        <f ca="1">IFERROR(__xludf.DUMMYFUNCTION("""COMPUTED_VALUE"""),5189855)</f>
        <v>5189855</v>
      </c>
    </row>
    <row r="371" spans="1:6" ht="12.6">
      <c r="A371" s="2">
        <f ca="1">IFERROR(__xludf.DUMMYFUNCTION("""COMPUTED_VALUE"""),45100.6666666666)</f>
        <v>45100.666666666599</v>
      </c>
      <c r="B371" s="1">
        <f ca="1">IFERROR(__xludf.DUMMYFUNCTION("""COMPUTED_VALUE"""),175.75)</f>
        <v>175.75</v>
      </c>
      <c r="C371" s="1">
        <f ca="1">IFERROR(__xludf.DUMMYFUNCTION("""COMPUTED_VALUE"""),181.82)</f>
        <v>181.82</v>
      </c>
      <c r="D371" s="1">
        <f ca="1">IFERROR(__xludf.DUMMYFUNCTION("""COMPUTED_VALUE"""),174.61)</f>
        <v>174.61</v>
      </c>
      <c r="E371" s="1">
        <f ca="1">IFERROR(__xludf.DUMMYFUNCTION("""COMPUTED_VALUE"""),178.25)</f>
        <v>178.25</v>
      </c>
      <c r="F371" s="1">
        <f ca="1">IFERROR(__xludf.DUMMYFUNCTION("""COMPUTED_VALUE"""),6259299)</f>
        <v>6259299</v>
      </c>
    </row>
    <row r="372" spans="1:6" ht="12.6">
      <c r="A372" s="2">
        <f ca="1">IFERROR(__xludf.DUMMYFUNCTION("""COMPUTED_VALUE"""),45103.6666666666)</f>
        <v>45103.666666666599</v>
      </c>
      <c r="B372" s="1">
        <f ca="1">IFERROR(__xludf.DUMMYFUNCTION("""COMPUTED_VALUE"""),180.59)</f>
        <v>180.59</v>
      </c>
      <c r="C372" s="1">
        <f ca="1">IFERROR(__xludf.DUMMYFUNCTION("""COMPUTED_VALUE"""),183.39)</f>
        <v>183.39</v>
      </c>
      <c r="D372" s="1">
        <f ca="1">IFERROR(__xludf.DUMMYFUNCTION("""COMPUTED_VALUE"""),169.51)</f>
        <v>169.51</v>
      </c>
      <c r="E372" s="1">
        <f ca="1">IFERROR(__xludf.DUMMYFUNCTION("""COMPUTED_VALUE"""),169.84)</f>
        <v>169.84</v>
      </c>
      <c r="F372" s="1">
        <f ca="1">IFERROR(__xludf.DUMMYFUNCTION("""COMPUTED_VALUE"""),6906768)</f>
        <v>6906768</v>
      </c>
    </row>
    <row r="373" spans="1:6" ht="12.6">
      <c r="A373" s="2">
        <f ca="1">IFERROR(__xludf.DUMMYFUNCTION("""COMPUTED_VALUE"""),45104.6666666666)</f>
        <v>45104.666666666599</v>
      </c>
      <c r="B373" s="1">
        <f ca="1">IFERROR(__xludf.DUMMYFUNCTION("""COMPUTED_VALUE"""),176.99)</f>
        <v>176.99</v>
      </c>
      <c r="C373" s="1">
        <f ca="1">IFERROR(__xludf.DUMMYFUNCTION("""COMPUTED_VALUE"""),179.15)</f>
        <v>179.15</v>
      </c>
      <c r="D373" s="1">
        <f ca="1">IFERROR(__xludf.DUMMYFUNCTION("""COMPUTED_VALUE"""),170.56)</f>
        <v>170.56</v>
      </c>
      <c r="E373" s="1">
        <f ca="1">IFERROR(__xludf.DUMMYFUNCTION("""COMPUTED_VALUE"""),177.02)</f>
        <v>177.02</v>
      </c>
      <c r="F373" s="1">
        <f ca="1">IFERROR(__xludf.DUMMYFUNCTION("""COMPUTED_VALUE"""),9516416)</f>
        <v>9516416</v>
      </c>
    </row>
    <row r="374" spans="1:6" ht="12.6">
      <c r="A374" s="2">
        <f ca="1">IFERROR(__xludf.DUMMYFUNCTION("""COMPUTED_VALUE"""),45105.6666666666)</f>
        <v>45105.666666666599</v>
      </c>
      <c r="B374" s="1">
        <f ca="1">IFERROR(__xludf.DUMMYFUNCTION("""COMPUTED_VALUE"""),179.18)</f>
        <v>179.18</v>
      </c>
      <c r="C374" s="1">
        <f ca="1">IFERROR(__xludf.DUMMYFUNCTION("""COMPUTED_VALUE"""),191.94)</f>
        <v>191.94</v>
      </c>
      <c r="D374" s="1">
        <f ca="1">IFERROR(__xludf.DUMMYFUNCTION("""COMPUTED_VALUE"""),178.85)</f>
        <v>178.85</v>
      </c>
      <c r="E374" s="1">
        <f ca="1">IFERROR(__xludf.DUMMYFUNCTION("""COMPUTED_VALUE"""),183.85)</f>
        <v>183.85</v>
      </c>
      <c r="F374" s="1">
        <f ca="1">IFERROR(__xludf.DUMMYFUNCTION("""COMPUTED_VALUE"""),13895559)</f>
        <v>13895559</v>
      </c>
    </row>
    <row r="375" spans="1:6" ht="12.6">
      <c r="A375" s="2">
        <f ca="1">IFERROR(__xludf.DUMMYFUNCTION("""COMPUTED_VALUE"""),45106.6666666666)</f>
        <v>45106.666666666599</v>
      </c>
      <c r="B375" s="1">
        <f ca="1">IFERROR(__xludf.DUMMYFUNCTION("""COMPUTED_VALUE"""),183.55)</f>
        <v>183.55</v>
      </c>
      <c r="C375" s="1">
        <f ca="1">IFERROR(__xludf.DUMMYFUNCTION("""COMPUTED_VALUE"""),186.17)</f>
        <v>186.17</v>
      </c>
      <c r="D375" s="1">
        <f ca="1">IFERROR(__xludf.DUMMYFUNCTION("""COMPUTED_VALUE"""),175.12)</f>
        <v>175.12</v>
      </c>
      <c r="E375" s="1">
        <f ca="1">IFERROR(__xludf.DUMMYFUNCTION("""COMPUTED_VALUE"""),175.77)</f>
        <v>175.77</v>
      </c>
      <c r="F375" s="1">
        <f ca="1">IFERROR(__xludf.DUMMYFUNCTION("""COMPUTED_VALUE"""),9010567)</f>
        <v>9010567</v>
      </c>
    </row>
    <row r="376" spans="1:6" ht="12.6">
      <c r="A376" s="2">
        <f ca="1">IFERROR(__xludf.DUMMYFUNCTION("""COMPUTED_VALUE"""),45107.6666666666)</f>
        <v>45107.666666666599</v>
      </c>
      <c r="B376" s="1">
        <f ca="1">IFERROR(__xludf.DUMMYFUNCTION("""COMPUTED_VALUE"""),179.33)</f>
        <v>179.33</v>
      </c>
      <c r="C376" s="1">
        <f ca="1">IFERROR(__xludf.DUMMYFUNCTION("""COMPUTED_VALUE"""),181.5)</f>
        <v>181.5</v>
      </c>
      <c r="D376" s="1">
        <f ca="1">IFERROR(__xludf.DUMMYFUNCTION("""COMPUTED_VALUE"""),175.75)</f>
        <v>175.75</v>
      </c>
      <c r="E376" s="1">
        <f ca="1">IFERROR(__xludf.DUMMYFUNCTION("""COMPUTED_VALUE"""),175.98)</f>
        <v>175.98</v>
      </c>
      <c r="F376" s="1">
        <f ca="1">IFERROR(__xludf.DUMMYFUNCTION("""COMPUTED_VALUE"""),7345166)</f>
        <v>7345166</v>
      </c>
    </row>
    <row r="377" spans="1:6" ht="12.6">
      <c r="A377" s="2">
        <f ca="1">IFERROR(__xludf.DUMMYFUNCTION("""COMPUTED_VALUE"""),45110.5416666666)</f>
        <v>45110.541666666599</v>
      </c>
      <c r="B377" s="1">
        <f ca="1">IFERROR(__xludf.DUMMYFUNCTION("""COMPUTED_VALUE"""),176)</f>
        <v>176</v>
      </c>
      <c r="C377" s="1">
        <f ca="1">IFERROR(__xludf.DUMMYFUNCTION("""COMPUTED_VALUE"""),178.1)</f>
        <v>178.1</v>
      </c>
      <c r="D377" s="1">
        <f ca="1">IFERROR(__xludf.DUMMYFUNCTION("""COMPUTED_VALUE"""),174.65)</f>
        <v>174.65</v>
      </c>
      <c r="E377" s="1">
        <f ca="1">IFERROR(__xludf.DUMMYFUNCTION("""COMPUTED_VALUE"""),176.99)</f>
        <v>176.99</v>
      </c>
      <c r="F377" s="1">
        <f ca="1">IFERROR(__xludf.DUMMYFUNCTION("""COMPUTED_VALUE"""),2665332)</f>
        <v>2665332</v>
      </c>
    </row>
    <row r="378" spans="1:6" ht="12.6">
      <c r="A378" s="2">
        <f ca="1">IFERROR(__xludf.DUMMYFUNCTION("""COMPUTED_VALUE"""),45112.6666666666)</f>
        <v>45112.666666666599</v>
      </c>
      <c r="B378" s="1">
        <f ca="1">IFERROR(__xludf.DUMMYFUNCTION("""COMPUTED_VALUE"""),175)</f>
        <v>175</v>
      </c>
      <c r="C378" s="1">
        <f ca="1">IFERROR(__xludf.DUMMYFUNCTION("""COMPUTED_VALUE"""),175.9)</f>
        <v>175.9</v>
      </c>
      <c r="D378" s="1">
        <f ca="1">IFERROR(__xludf.DUMMYFUNCTION("""COMPUTED_VALUE"""),170.63)</f>
        <v>170.63</v>
      </c>
      <c r="E378" s="1">
        <f ca="1">IFERROR(__xludf.DUMMYFUNCTION("""COMPUTED_VALUE"""),172.55)</f>
        <v>172.55</v>
      </c>
      <c r="F378" s="1">
        <f ca="1">IFERROR(__xludf.DUMMYFUNCTION("""COMPUTED_VALUE"""),6166775)</f>
        <v>6166775</v>
      </c>
    </row>
    <row r="379" spans="1:6" ht="12.6">
      <c r="A379" s="2">
        <f ca="1">IFERROR(__xludf.DUMMYFUNCTION("""COMPUTED_VALUE"""),45113.6666666666)</f>
        <v>45113.666666666599</v>
      </c>
      <c r="B379" s="1">
        <f ca="1">IFERROR(__xludf.DUMMYFUNCTION("""COMPUTED_VALUE"""),169.82)</f>
        <v>169.82</v>
      </c>
      <c r="C379" s="1">
        <f ca="1">IFERROR(__xludf.DUMMYFUNCTION("""COMPUTED_VALUE"""),173.1)</f>
        <v>173.1</v>
      </c>
      <c r="D379" s="1">
        <f ca="1">IFERROR(__xludf.DUMMYFUNCTION("""COMPUTED_VALUE"""),167.49)</f>
        <v>167.49</v>
      </c>
      <c r="E379" s="1">
        <f ca="1">IFERROR(__xludf.DUMMYFUNCTION("""COMPUTED_VALUE"""),172.19)</f>
        <v>172.19</v>
      </c>
      <c r="F379" s="1">
        <f ca="1">IFERROR(__xludf.DUMMYFUNCTION("""COMPUTED_VALUE"""),4752968)</f>
        <v>4752968</v>
      </c>
    </row>
    <row r="380" spans="1:6" ht="12.6">
      <c r="A380" s="2">
        <f ca="1">IFERROR(__xludf.DUMMYFUNCTION("""COMPUTED_VALUE"""),45114.6666666666)</f>
        <v>45114.666666666599</v>
      </c>
      <c r="B380" s="1">
        <f ca="1">IFERROR(__xludf.DUMMYFUNCTION("""COMPUTED_VALUE"""),173.37)</f>
        <v>173.37</v>
      </c>
      <c r="C380" s="1">
        <f ca="1">IFERROR(__xludf.DUMMYFUNCTION("""COMPUTED_VALUE"""),176.41)</f>
        <v>176.41</v>
      </c>
      <c r="D380" s="1">
        <f ca="1">IFERROR(__xludf.DUMMYFUNCTION("""COMPUTED_VALUE"""),170.49)</f>
        <v>170.49</v>
      </c>
      <c r="E380" s="1">
        <f ca="1">IFERROR(__xludf.DUMMYFUNCTION("""COMPUTED_VALUE"""),170.61)</f>
        <v>170.61</v>
      </c>
      <c r="F380" s="1">
        <f ca="1">IFERROR(__xludf.DUMMYFUNCTION("""COMPUTED_VALUE"""),3212306)</f>
        <v>3212306</v>
      </c>
    </row>
    <row r="381" spans="1:6" ht="12.6">
      <c r="A381" s="2">
        <f ca="1">IFERROR(__xludf.DUMMYFUNCTION("""COMPUTED_VALUE"""),45117.6666666666)</f>
        <v>45117.666666666599</v>
      </c>
      <c r="B381" s="1">
        <f ca="1">IFERROR(__xludf.DUMMYFUNCTION("""COMPUTED_VALUE"""),166.53)</f>
        <v>166.53</v>
      </c>
      <c r="C381" s="1">
        <f ca="1">IFERROR(__xludf.DUMMYFUNCTION("""COMPUTED_VALUE"""),170.48)</f>
        <v>170.48</v>
      </c>
      <c r="D381" s="1">
        <f ca="1">IFERROR(__xludf.DUMMYFUNCTION("""COMPUTED_VALUE"""),162.6)</f>
        <v>162.6</v>
      </c>
      <c r="E381" s="1">
        <f ca="1">IFERROR(__xludf.DUMMYFUNCTION("""COMPUTED_VALUE"""),169.65)</f>
        <v>169.65</v>
      </c>
      <c r="F381" s="1">
        <f ca="1">IFERROR(__xludf.DUMMYFUNCTION("""COMPUTED_VALUE"""),6857264)</f>
        <v>6857264</v>
      </c>
    </row>
    <row r="382" spans="1:6" ht="12.6">
      <c r="A382" s="2">
        <f ca="1">IFERROR(__xludf.DUMMYFUNCTION("""COMPUTED_VALUE"""),45118.6666666666)</f>
        <v>45118.666666666599</v>
      </c>
      <c r="B382" s="1">
        <f ca="1">IFERROR(__xludf.DUMMYFUNCTION("""COMPUTED_VALUE"""),171.2)</f>
        <v>171.2</v>
      </c>
      <c r="C382" s="1">
        <f ca="1">IFERROR(__xludf.DUMMYFUNCTION("""COMPUTED_VALUE"""),174.34)</f>
        <v>174.34</v>
      </c>
      <c r="D382" s="1">
        <f ca="1">IFERROR(__xludf.DUMMYFUNCTION("""COMPUTED_VALUE"""),169.32)</f>
        <v>169.32</v>
      </c>
      <c r="E382" s="1">
        <f ca="1">IFERROR(__xludf.DUMMYFUNCTION("""COMPUTED_VALUE"""),172.05)</f>
        <v>172.05</v>
      </c>
      <c r="F382" s="1">
        <f ca="1">IFERROR(__xludf.DUMMYFUNCTION("""COMPUTED_VALUE"""),4267383)</f>
        <v>4267383</v>
      </c>
    </row>
    <row r="383" spans="1:6" ht="12.6">
      <c r="A383" s="2">
        <f ca="1">IFERROR(__xludf.DUMMYFUNCTION("""COMPUTED_VALUE"""),45119.6666666666)</f>
        <v>45119.666666666599</v>
      </c>
      <c r="B383" s="1">
        <f ca="1">IFERROR(__xludf.DUMMYFUNCTION("""COMPUTED_VALUE"""),175.09)</f>
        <v>175.09</v>
      </c>
      <c r="C383" s="1">
        <f ca="1">IFERROR(__xludf.DUMMYFUNCTION("""COMPUTED_VALUE"""),175.76)</f>
        <v>175.76</v>
      </c>
      <c r="D383" s="1">
        <f ca="1">IFERROR(__xludf.DUMMYFUNCTION("""COMPUTED_VALUE"""),170.22)</f>
        <v>170.22</v>
      </c>
      <c r="E383" s="1">
        <f ca="1">IFERROR(__xludf.DUMMYFUNCTION("""COMPUTED_VALUE"""),171.93)</f>
        <v>171.93</v>
      </c>
      <c r="F383" s="1">
        <f ca="1">IFERROR(__xludf.DUMMYFUNCTION("""COMPUTED_VALUE"""),4546896)</f>
        <v>4546896</v>
      </c>
    </row>
    <row r="384" spans="1:6" ht="12.6">
      <c r="A384" s="2">
        <f ca="1">IFERROR(__xludf.DUMMYFUNCTION("""COMPUTED_VALUE"""),45120.6666666666)</f>
        <v>45120.666666666599</v>
      </c>
      <c r="B384" s="1">
        <f ca="1">IFERROR(__xludf.DUMMYFUNCTION("""COMPUTED_VALUE"""),175.83)</f>
        <v>175.83</v>
      </c>
      <c r="C384" s="1">
        <f ca="1">IFERROR(__xludf.DUMMYFUNCTION("""COMPUTED_VALUE"""),184.45)</f>
        <v>184.45</v>
      </c>
      <c r="D384" s="1">
        <f ca="1">IFERROR(__xludf.DUMMYFUNCTION("""COMPUTED_VALUE"""),175.27)</f>
        <v>175.27</v>
      </c>
      <c r="E384" s="1">
        <f ca="1">IFERROR(__xludf.DUMMYFUNCTION("""COMPUTED_VALUE"""),184.22)</f>
        <v>184.22</v>
      </c>
      <c r="F384" s="1">
        <f ca="1">IFERROR(__xludf.DUMMYFUNCTION("""COMPUTED_VALUE"""),8873521)</f>
        <v>8873521</v>
      </c>
    </row>
    <row r="385" spans="1:6" ht="12.6">
      <c r="A385" s="2">
        <f ca="1">IFERROR(__xludf.DUMMYFUNCTION("""COMPUTED_VALUE"""),45121.6666666666)</f>
        <v>45121.666666666599</v>
      </c>
      <c r="B385" s="1">
        <f ca="1">IFERROR(__xludf.DUMMYFUNCTION("""COMPUTED_VALUE"""),184.94)</f>
        <v>184.94</v>
      </c>
      <c r="C385" s="1">
        <f ca="1">IFERROR(__xludf.DUMMYFUNCTION("""COMPUTED_VALUE"""),187.79)</f>
        <v>187.79</v>
      </c>
      <c r="D385" s="1">
        <f ca="1">IFERROR(__xludf.DUMMYFUNCTION("""COMPUTED_VALUE"""),180.07)</f>
        <v>180.07</v>
      </c>
      <c r="E385" s="1">
        <f ca="1">IFERROR(__xludf.DUMMYFUNCTION("""COMPUTED_VALUE"""),180.79)</f>
        <v>180.79</v>
      </c>
      <c r="F385" s="1">
        <f ca="1">IFERROR(__xludf.DUMMYFUNCTION("""COMPUTED_VALUE"""),5361029)</f>
        <v>5361029</v>
      </c>
    </row>
    <row r="386" spans="1:6" ht="12.6">
      <c r="A386" s="2">
        <f ca="1">IFERROR(__xludf.DUMMYFUNCTION("""COMPUTED_VALUE"""),45124.6666666666)</f>
        <v>45124.666666666599</v>
      </c>
      <c r="B386" s="1">
        <f ca="1">IFERROR(__xludf.DUMMYFUNCTION("""COMPUTED_VALUE"""),182.5)</f>
        <v>182.5</v>
      </c>
      <c r="C386" s="1">
        <f ca="1">IFERROR(__xludf.DUMMYFUNCTION("""COMPUTED_VALUE"""),185.58)</f>
        <v>185.58</v>
      </c>
      <c r="D386" s="1">
        <f ca="1">IFERROR(__xludf.DUMMYFUNCTION("""COMPUTED_VALUE"""),181.11)</f>
        <v>181.11</v>
      </c>
      <c r="E386" s="1">
        <f ca="1">IFERROR(__xludf.DUMMYFUNCTION("""COMPUTED_VALUE"""),184.21)</f>
        <v>184.21</v>
      </c>
      <c r="F386" s="1">
        <f ca="1">IFERROR(__xludf.DUMMYFUNCTION("""COMPUTED_VALUE"""),3675461)</f>
        <v>3675461</v>
      </c>
    </row>
    <row r="387" spans="1:6" ht="12.6">
      <c r="A387" s="2">
        <f ca="1">IFERROR(__xludf.DUMMYFUNCTION("""COMPUTED_VALUE"""),45125.6666666666)</f>
        <v>45125.666666666599</v>
      </c>
      <c r="B387" s="1">
        <f ca="1">IFERROR(__xludf.DUMMYFUNCTION("""COMPUTED_VALUE"""),185.48)</f>
        <v>185.48</v>
      </c>
      <c r="C387" s="1">
        <f ca="1">IFERROR(__xludf.DUMMYFUNCTION("""COMPUTED_VALUE"""),189.24)</f>
        <v>189.24</v>
      </c>
      <c r="D387" s="1">
        <f ca="1">IFERROR(__xludf.DUMMYFUNCTION("""COMPUTED_VALUE"""),182.1)</f>
        <v>182.1</v>
      </c>
      <c r="E387" s="1">
        <f ca="1">IFERROR(__xludf.DUMMYFUNCTION("""COMPUTED_VALUE"""),188.2)</f>
        <v>188.2</v>
      </c>
      <c r="F387" s="1">
        <f ca="1">IFERROR(__xludf.DUMMYFUNCTION("""COMPUTED_VALUE"""),4361144)</f>
        <v>4361144</v>
      </c>
    </row>
    <row r="388" spans="1:6" ht="12.6">
      <c r="A388" s="2">
        <f ca="1">IFERROR(__xludf.DUMMYFUNCTION("""COMPUTED_VALUE"""),45126.6666666666)</f>
        <v>45126.666666666599</v>
      </c>
      <c r="B388" s="1">
        <f ca="1">IFERROR(__xludf.DUMMYFUNCTION("""COMPUTED_VALUE"""),191.86)</f>
        <v>191.86</v>
      </c>
      <c r="C388" s="1">
        <f ca="1">IFERROR(__xludf.DUMMYFUNCTION("""COMPUTED_VALUE"""),193.23)</f>
        <v>193.23</v>
      </c>
      <c r="D388" s="1">
        <f ca="1">IFERROR(__xludf.DUMMYFUNCTION("""COMPUTED_VALUE"""),185.15)</f>
        <v>185.15</v>
      </c>
      <c r="E388" s="1">
        <f ca="1">IFERROR(__xludf.DUMMYFUNCTION("""COMPUTED_VALUE"""),185.45)</f>
        <v>185.45</v>
      </c>
      <c r="F388" s="1">
        <f ca="1">IFERROR(__xludf.DUMMYFUNCTION("""COMPUTED_VALUE"""),3933188)</f>
        <v>3933188</v>
      </c>
    </row>
    <row r="389" spans="1:6" ht="12.6">
      <c r="A389" s="2">
        <f ca="1">IFERROR(__xludf.DUMMYFUNCTION("""COMPUTED_VALUE"""),45127.6666666666)</f>
        <v>45127.666666666599</v>
      </c>
      <c r="B389" s="1">
        <f ca="1">IFERROR(__xludf.DUMMYFUNCTION("""COMPUTED_VALUE"""),182.47)</f>
        <v>182.47</v>
      </c>
      <c r="C389" s="1">
        <f ca="1">IFERROR(__xludf.DUMMYFUNCTION("""COMPUTED_VALUE"""),183.95)</f>
        <v>183.95</v>
      </c>
      <c r="D389" s="1">
        <f ca="1">IFERROR(__xludf.DUMMYFUNCTION("""COMPUTED_VALUE"""),175.55)</f>
        <v>175.55</v>
      </c>
      <c r="E389" s="1">
        <f ca="1">IFERROR(__xludf.DUMMYFUNCTION("""COMPUTED_VALUE"""),176.33)</f>
        <v>176.33</v>
      </c>
      <c r="F389" s="1">
        <f ca="1">IFERROR(__xludf.DUMMYFUNCTION("""COMPUTED_VALUE"""),6092855)</f>
        <v>6092855</v>
      </c>
    </row>
    <row r="390" spans="1:6" ht="12.6">
      <c r="A390" s="2">
        <f ca="1">IFERROR(__xludf.DUMMYFUNCTION("""COMPUTED_VALUE"""),45128.6666666666)</f>
        <v>45128.666666666599</v>
      </c>
      <c r="B390" s="1">
        <f ca="1">IFERROR(__xludf.DUMMYFUNCTION("""COMPUTED_VALUE"""),178.68)</f>
        <v>178.68</v>
      </c>
      <c r="C390" s="1">
        <f ca="1">IFERROR(__xludf.DUMMYFUNCTION("""COMPUTED_VALUE"""),180.81)</f>
        <v>180.81</v>
      </c>
      <c r="D390" s="1">
        <f ca="1">IFERROR(__xludf.DUMMYFUNCTION("""COMPUTED_VALUE"""),175.85)</f>
        <v>175.85</v>
      </c>
      <c r="E390" s="1">
        <f ca="1">IFERROR(__xludf.DUMMYFUNCTION("""COMPUTED_VALUE"""),175.9)</f>
        <v>175.9</v>
      </c>
      <c r="F390" s="1">
        <f ca="1">IFERROR(__xludf.DUMMYFUNCTION("""COMPUTED_VALUE"""),4020471)</f>
        <v>4020471</v>
      </c>
    </row>
    <row r="391" spans="1:6" ht="12.6">
      <c r="A391" s="2">
        <f ca="1">IFERROR(__xludf.DUMMYFUNCTION("""COMPUTED_VALUE"""),45131.6666666666)</f>
        <v>45131.666666666599</v>
      </c>
      <c r="B391" s="1">
        <f ca="1">IFERROR(__xludf.DUMMYFUNCTION("""COMPUTED_VALUE"""),176.11)</f>
        <v>176.11</v>
      </c>
      <c r="C391" s="1">
        <f ca="1">IFERROR(__xludf.DUMMYFUNCTION("""COMPUTED_VALUE"""),177.35)</f>
        <v>177.35</v>
      </c>
      <c r="D391" s="1">
        <f ca="1">IFERROR(__xludf.DUMMYFUNCTION("""COMPUTED_VALUE"""),172.86)</f>
        <v>172.86</v>
      </c>
      <c r="E391" s="1">
        <f ca="1">IFERROR(__xludf.DUMMYFUNCTION("""COMPUTED_VALUE"""),174.8)</f>
        <v>174.8</v>
      </c>
      <c r="F391" s="1">
        <f ca="1">IFERROR(__xludf.DUMMYFUNCTION("""COMPUTED_VALUE"""),3464828)</f>
        <v>3464828</v>
      </c>
    </row>
    <row r="392" spans="1:6" ht="12.6">
      <c r="A392" s="2">
        <f ca="1">IFERROR(__xludf.DUMMYFUNCTION("""COMPUTED_VALUE"""),45132.6666666666)</f>
        <v>45132.666666666599</v>
      </c>
      <c r="B392" s="1">
        <f ca="1">IFERROR(__xludf.DUMMYFUNCTION("""COMPUTED_VALUE"""),177)</f>
        <v>177</v>
      </c>
      <c r="C392" s="1">
        <f ca="1">IFERROR(__xludf.DUMMYFUNCTION("""COMPUTED_VALUE"""),181.8)</f>
        <v>181.8</v>
      </c>
      <c r="D392" s="1">
        <f ca="1">IFERROR(__xludf.DUMMYFUNCTION("""COMPUTED_VALUE"""),176.31)</f>
        <v>176.31</v>
      </c>
      <c r="E392" s="1">
        <f ca="1">IFERROR(__xludf.DUMMYFUNCTION("""COMPUTED_VALUE"""),179.29)</f>
        <v>179.29</v>
      </c>
      <c r="F392" s="1">
        <f ca="1">IFERROR(__xludf.DUMMYFUNCTION("""COMPUTED_VALUE"""),3775621)</f>
        <v>3775621</v>
      </c>
    </row>
    <row r="393" spans="1:6" ht="12.6">
      <c r="A393" s="2">
        <f ca="1">IFERROR(__xludf.DUMMYFUNCTION("""COMPUTED_VALUE"""),45133.6666666666)</f>
        <v>45133.666666666599</v>
      </c>
      <c r="B393" s="1">
        <f ca="1">IFERROR(__xludf.DUMMYFUNCTION("""COMPUTED_VALUE"""),174.2)</f>
        <v>174.2</v>
      </c>
      <c r="C393" s="1">
        <f ca="1">IFERROR(__xludf.DUMMYFUNCTION("""COMPUTED_VALUE"""),174.3)</f>
        <v>174.3</v>
      </c>
      <c r="D393" s="1">
        <f ca="1">IFERROR(__xludf.DUMMYFUNCTION("""COMPUTED_VALUE"""),168.25)</f>
        <v>168.25</v>
      </c>
      <c r="E393" s="1">
        <f ca="1">IFERROR(__xludf.DUMMYFUNCTION("""COMPUTED_VALUE"""),170)</f>
        <v>170</v>
      </c>
      <c r="F393" s="1">
        <f ca="1">IFERROR(__xludf.DUMMYFUNCTION("""COMPUTED_VALUE"""),6916274)</f>
        <v>6916274</v>
      </c>
    </row>
    <row r="394" spans="1:6" ht="12.6">
      <c r="A394" s="2">
        <f ca="1">IFERROR(__xludf.DUMMYFUNCTION("""COMPUTED_VALUE"""),45134.6666666666)</f>
        <v>45134.666666666599</v>
      </c>
      <c r="B394" s="1">
        <f ca="1">IFERROR(__xludf.DUMMYFUNCTION("""COMPUTED_VALUE"""),174.32)</f>
        <v>174.32</v>
      </c>
      <c r="C394" s="1">
        <f ca="1">IFERROR(__xludf.DUMMYFUNCTION("""COMPUTED_VALUE"""),175.4)</f>
        <v>175.4</v>
      </c>
      <c r="D394" s="1">
        <f ca="1">IFERROR(__xludf.DUMMYFUNCTION("""COMPUTED_VALUE"""),167.02)</f>
        <v>167.02</v>
      </c>
      <c r="E394" s="1">
        <f ca="1">IFERROR(__xludf.DUMMYFUNCTION("""COMPUTED_VALUE"""),168.27)</f>
        <v>168.27</v>
      </c>
      <c r="F394" s="1">
        <f ca="1">IFERROR(__xludf.DUMMYFUNCTION("""COMPUTED_VALUE"""),4820652)</f>
        <v>4820652</v>
      </c>
    </row>
    <row r="395" spans="1:6" ht="12.6">
      <c r="A395" s="2">
        <f ca="1">IFERROR(__xludf.DUMMYFUNCTION("""COMPUTED_VALUE"""),45135.6666666666)</f>
        <v>45135.666666666599</v>
      </c>
      <c r="B395" s="1">
        <f ca="1">IFERROR(__xludf.DUMMYFUNCTION("""COMPUTED_VALUE"""),170.96)</f>
        <v>170.96</v>
      </c>
      <c r="C395" s="1">
        <f ca="1">IFERROR(__xludf.DUMMYFUNCTION("""COMPUTED_VALUE"""),175.35)</f>
        <v>175.35</v>
      </c>
      <c r="D395" s="1">
        <f ca="1">IFERROR(__xludf.DUMMYFUNCTION("""COMPUTED_VALUE"""),169.72)</f>
        <v>169.72</v>
      </c>
      <c r="E395" s="1">
        <f ca="1">IFERROR(__xludf.DUMMYFUNCTION("""COMPUTED_VALUE"""),174.83)</f>
        <v>174.83</v>
      </c>
      <c r="F395" s="1">
        <f ca="1">IFERROR(__xludf.DUMMYFUNCTION("""COMPUTED_VALUE"""),4764960)</f>
        <v>4764960</v>
      </c>
    </row>
    <row r="396" spans="1:6" ht="12.6">
      <c r="A396" s="2">
        <f ca="1">IFERROR(__xludf.DUMMYFUNCTION("""COMPUTED_VALUE"""),45138.6666666666)</f>
        <v>45138.666666666599</v>
      </c>
      <c r="B396" s="1">
        <f ca="1">IFERROR(__xludf.DUMMYFUNCTION("""COMPUTED_VALUE"""),176.98)</f>
        <v>176.98</v>
      </c>
      <c r="C396" s="1">
        <f ca="1">IFERROR(__xludf.DUMMYFUNCTION("""COMPUTED_VALUE"""),181.36)</f>
        <v>181.36</v>
      </c>
      <c r="D396" s="1">
        <f ca="1">IFERROR(__xludf.DUMMYFUNCTION("""COMPUTED_VALUE"""),176.98)</f>
        <v>176.98</v>
      </c>
      <c r="E396" s="1">
        <f ca="1">IFERROR(__xludf.DUMMYFUNCTION("""COMPUTED_VALUE"""),177.71)</f>
        <v>177.71</v>
      </c>
      <c r="F396" s="1">
        <f ca="1">IFERROR(__xludf.DUMMYFUNCTION("""COMPUTED_VALUE"""),3489661)</f>
        <v>3489661</v>
      </c>
    </row>
    <row r="397" spans="1:6" ht="12.6">
      <c r="A397" s="2">
        <f ca="1">IFERROR(__xludf.DUMMYFUNCTION("""COMPUTED_VALUE"""),45139.6666666666)</f>
        <v>45139.666666666599</v>
      </c>
      <c r="B397" s="1">
        <f ca="1">IFERROR(__xludf.DUMMYFUNCTION("""COMPUTED_VALUE"""),175.23)</f>
        <v>175.23</v>
      </c>
      <c r="C397" s="1">
        <f ca="1">IFERROR(__xludf.DUMMYFUNCTION("""COMPUTED_VALUE"""),177.71)</f>
        <v>177.71</v>
      </c>
      <c r="D397" s="1">
        <f ca="1">IFERROR(__xludf.DUMMYFUNCTION("""COMPUTED_VALUE"""),174.82)</f>
        <v>174.82</v>
      </c>
      <c r="E397" s="1">
        <f ca="1">IFERROR(__xludf.DUMMYFUNCTION("""COMPUTED_VALUE"""),176.58)</f>
        <v>176.58</v>
      </c>
      <c r="F397" s="1">
        <f ca="1">IFERROR(__xludf.DUMMYFUNCTION("""COMPUTED_VALUE"""),2464778)</f>
        <v>2464778</v>
      </c>
    </row>
    <row r="398" spans="1:6" ht="12.6">
      <c r="A398" s="2">
        <f ca="1">IFERROR(__xludf.DUMMYFUNCTION("""COMPUTED_VALUE"""),45140.6666666666)</f>
        <v>45140.666666666599</v>
      </c>
      <c r="B398" s="1">
        <f ca="1">IFERROR(__xludf.DUMMYFUNCTION("""COMPUTED_VALUE"""),172.5)</f>
        <v>172.5</v>
      </c>
      <c r="C398" s="1">
        <f ca="1">IFERROR(__xludf.DUMMYFUNCTION("""COMPUTED_VALUE"""),172.8)</f>
        <v>172.8</v>
      </c>
      <c r="D398" s="1">
        <f ca="1">IFERROR(__xludf.DUMMYFUNCTION("""COMPUTED_VALUE"""),164.51)</f>
        <v>164.51</v>
      </c>
      <c r="E398" s="1">
        <f ca="1">IFERROR(__xludf.DUMMYFUNCTION("""COMPUTED_VALUE"""),164.6)</f>
        <v>164.6</v>
      </c>
      <c r="F398" s="1">
        <f ca="1">IFERROR(__xludf.DUMMYFUNCTION("""COMPUTED_VALUE"""),5348439)</f>
        <v>5348439</v>
      </c>
    </row>
    <row r="399" spans="1:6" ht="12.6">
      <c r="A399" s="2">
        <f ca="1">IFERROR(__xludf.DUMMYFUNCTION("""COMPUTED_VALUE"""),45141.6666666666)</f>
        <v>45141.666666666599</v>
      </c>
      <c r="B399" s="1">
        <f ca="1">IFERROR(__xludf.DUMMYFUNCTION("""COMPUTED_VALUE"""),163.46)</f>
        <v>163.46</v>
      </c>
      <c r="C399" s="1">
        <f ca="1">IFERROR(__xludf.DUMMYFUNCTION("""COMPUTED_VALUE"""),164.72)</f>
        <v>164.72</v>
      </c>
      <c r="D399" s="1">
        <f ca="1">IFERROR(__xludf.DUMMYFUNCTION("""COMPUTED_VALUE"""),159.53)</f>
        <v>159.53</v>
      </c>
      <c r="E399" s="1">
        <f ca="1">IFERROR(__xludf.DUMMYFUNCTION("""COMPUTED_VALUE"""),161.05)</f>
        <v>161.05000000000001</v>
      </c>
      <c r="F399" s="1">
        <f ca="1">IFERROR(__xludf.DUMMYFUNCTION("""COMPUTED_VALUE"""),7812111)</f>
        <v>7812111</v>
      </c>
    </row>
    <row r="400" spans="1:6" ht="12.6">
      <c r="A400" s="2">
        <f ca="1">IFERROR(__xludf.DUMMYFUNCTION("""COMPUTED_VALUE"""),45142.6666666666)</f>
        <v>45142.666666666599</v>
      </c>
      <c r="B400" s="1">
        <f ca="1">IFERROR(__xludf.DUMMYFUNCTION("""COMPUTED_VALUE"""),171.36)</f>
        <v>171.36</v>
      </c>
      <c r="C400" s="1">
        <f ca="1">IFERROR(__xludf.DUMMYFUNCTION("""COMPUTED_VALUE"""),172.44)</f>
        <v>172.44</v>
      </c>
      <c r="D400" s="1">
        <f ca="1">IFERROR(__xludf.DUMMYFUNCTION("""COMPUTED_VALUE"""),165.09)</f>
        <v>165.09</v>
      </c>
      <c r="E400" s="1">
        <f ca="1">IFERROR(__xludf.DUMMYFUNCTION("""COMPUTED_VALUE"""),166.67)</f>
        <v>166.67</v>
      </c>
      <c r="F400" s="1">
        <f ca="1">IFERROR(__xludf.DUMMYFUNCTION("""COMPUTED_VALUE"""),7332568)</f>
        <v>7332568</v>
      </c>
    </row>
    <row r="401" spans="1:6" ht="12.6">
      <c r="A401" s="2">
        <f ca="1">IFERROR(__xludf.DUMMYFUNCTION("""COMPUTED_VALUE"""),45145.6666666666)</f>
        <v>45145.666666666599</v>
      </c>
      <c r="B401" s="1">
        <f ca="1">IFERROR(__xludf.DUMMYFUNCTION("""COMPUTED_VALUE"""),168.01)</f>
        <v>168.01</v>
      </c>
      <c r="C401" s="1">
        <f ca="1">IFERROR(__xludf.DUMMYFUNCTION("""COMPUTED_VALUE"""),168.61)</f>
        <v>168.61</v>
      </c>
      <c r="D401" s="1">
        <f ca="1">IFERROR(__xludf.DUMMYFUNCTION("""COMPUTED_VALUE"""),163.62)</f>
        <v>163.62</v>
      </c>
      <c r="E401" s="1">
        <f ca="1">IFERROR(__xludf.DUMMYFUNCTION("""COMPUTED_VALUE"""),166.67)</f>
        <v>166.67</v>
      </c>
      <c r="F401" s="1">
        <f ca="1">IFERROR(__xludf.DUMMYFUNCTION("""COMPUTED_VALUE"""),3540487)</f>
        <v>3540487</v>
      </c>
    </row>
    <row r="402" spans="1:6" ht="12.6">
      <c r="A402" s="2">
        <f ca="1">IFERROR(__xludf.DUMMYFUNCTION("""COMPUTED_VALUE"""),45146.6666666666)</f>
        <v>45146.666666666599</v>
      </c>
      <c r="B402" s="1">
        <f ca="1">IFERROR(__xludf.DUMMYFUNCTION("""COMPUTED_VALUE"""),157.23)</f>
        <v>157.22999999999999</v>
      </c>
      <c r="C402" s="1">
        <f ca="1">IFERROR(__xludf.DUMMYFUNCTION("""COMPUTED_VALUE"""),160.72)</f>
        <v>160.72</v>
      </c>
      <c r="D402" s="1">
        <f ca="1">IFERROR(__xludf.DUMMYFUNCTION("""COMPUTED_VALUE"""),154.17)</f>
        <v>154.16999999999999</v>
      </c>
      <c r="E402" s="1">
        <f ca="1">IFERROR(__xludf.DUMMYFUNCTION("""COMPUTED_VALUE"""),156.33)</f>
        <v>156.33000000000001</v>
      </c>
      <c r="F402" s="1">
        <f ca="1">IFERROR(__xludf.DUMMYFUNCTION("""COMPUTED_VALUE"""),11725254)</f>
        <v>11725254</v>
      </c>
    </row>
    <row r="403" spans="1:6" ht="12.6">
      <c r="A403" s="2">
        <f ca="1">IFERROR(__xludf.DUMMYFUNCTION("""COMPUTED_VALUE"""),45147.6666666666)</f>
        <v>45147.666666666599</v>
      </c>
      <c r="B403" s="1">
        <f ca="1">IFERROR(__xludf.DUMMYFUNCTION("""COMPUTED_VALUE"""),157.85)</f>
        <v>157.85</v>
      </c>
      <c r="C403" s="1">
        <f ca="1">IFERROR(__xludf.DUMMYFUNCTION("""COMPUTED_VALUE"""),158.95)</f>
        <v>158.94999999999999</v>
      </c>
      <c r="D403" s="1">
        <f ca="1">IFERROR(__xludf.DUMMYFUNCTION("""COMPUTED_VALUE"""),153.32)</f>
        <v>153.32</v>
      </c>
      <c r="E403" s="1">
        <f ca="1">IFERROR(__xludf.DUMMYFUNCTION("""COMPUTED_VALUE"""),154.07)</f>
        <v>154.07</v>
      </c>
      <c r="F403" s="1">
        <f ca="1">IFERROR(__xludf.DUMMYFUNCTION("""COMPUTED_VALUE"""),4363803)</f>
        <v>4363803</v>
      </c>
    </row>
    <row r="404" spans="1:6" ht="12.6">
      <c r="A404" s="2">
        <f ca="1">IFERROR(__xludf.DUMMYFUNCTION("""COMPUTED_VALUE"""),45148.6666666666)</f>
        <v>45148.666666666599</v>
      </c>
      <c r="B404" s="1">
        <f ca="1">IFERROR(__xludf.DUMMYFUNCTION("""COMPUTED_VALUE"""),155.41)</f>
        <v>155.41</v>
      </c>
      <c r="C404" s="1">
        <f ca="1">IFERROR(__xludf.DUMMYFUNCTION("""COMPUTED_VALUE"""),158.83)</f>
        <v>158.83000000000001</v>
      </c>
      <c r="D404" s="1">
        <f ca="1">IFERROR(__xludf.DUMMYFUNCTION("""COMPUTED_VALUE"""),153.96)</f>
        <v>153.96</v>
      </c>
      <c r="E404" s="1">
        <f ca="1">IFERROR(__xludf.DUMMYFUNCTION("""COMPUTED_VALUE"""),155.02)</f>
        <v>155.02000000000001</v>
      </c>
      <c r="F404" s="1">
        <f ca="1">IFERROR(__xludf.DUMMYFUNCTION("""COMPUTED_VALUE"""),3248942)</f>
        <v>3248942</v>
      </c>
    </row>
    <row r="405" spans="1:6" ht="12.6">
      <c r="A405" s="2">
        <f ca="1">IFERROR(__xludf.DUMMYFUNCTION("""COMPUTED_VALUE"""),45149.6666666666)</f>
        <v>45149.666666666599</v>
      </c>
      <c r="B405" s="1">
        <f ca="1">IFERROR(__xludf.DUMMYFUNCTION("""COMPUTED_VALUE"""),153.3)</f>
        <v>153.30000000000001</v>
      </c>
      <c r="C405" s="1">
        <f ca="1">IFERROR(__xludf.DUMMYFUNCTION("""COMPUTED_VALUE"""),155.43)</f>
        <v>155.43</v>
      </c>
      <c r="D405" s="1">
        <f ca="1">IFERROR(__xludf.DUMMYFUNCTION("""COMPUTED_VALUE"""),151.37)</f>
        <v>151.37</v>
      </c>
      <c r="E405" s="1">
        <f ca="1">IFERROR(__xludf.DUMMYFUNCTION("""COMPUTED_VALUE"""),153.37)</f>
        <v>153.37</v>
      </c>
      <c r="F405" s="1">
        <f ca="1">IFERROR(__xludf.DUMMYFUNCTION("""COMPUTED_VALUE"""),3974439)</f>
        <v>3974439</v>
      </c>
    </row>
    <row r="406" spans="1:6" ht="12.6">
      <c r="A406" s="2">
        <f ca="1">IFERROR(__xludf.DUMMYFUNCTION("""COMPUTED_VALUE"""),45152.6666666666)</f>
        <v>45152.666666666599</v>
      </c>
      <c r="B406" s="1">
        <f ca="1">IFERROR(__xludf.DUMMYFUNCTION("""COMPUTED_VALUE"""),151.54)</f>
        <v>151.54</v>
      </c>
      <c r="C406" s="1">
        <f ca="1">IFERROR(__xludf.DUMMYFUNCTION("""COMPUTED_VALUE"""),153.15)</f>
        <v>153.15</v>
      </c>
      <c r="D406" s="1">
        <f ca="1">IFERROR(__xludf.DUMMYFUNCTION("""COMPUTED_VALUE"""),150.07)</f>
        <v>150.07</v>
      </c>
      <c r="E406" s="1">
        <f ca="1">IFERROR(__xludf.DUMMYFUNCTION("""COMPUTED_VALUE"""),152.86)</f>
        <v>152.86000000000001</v>
      </c>
      <c r="F406" s="1">
        <f ca="1">IFERROR(__xludf.DUMMYFUNCTION("""COMPUTED_VALUE"""),3136721)</f>
        <v>3136721</v>
      </c>
    </row>
    <row r="407" spans="1:6" ht="12.6">
      <c r="A407" s="2">
        <f ca="1">IFERROR(__xludf.DUMMYFUNCTION("""COMPUTED_VALUE"""),45153.6666666666)</f>
        <v>45153.666666666599</v>
      </c>
      <c r="B407" s="1">
        <f ca="1">IFERROR(__xludf.DUMMYFUNCTION("""COMPUTED_VALUE"""),151.57)</f>
        <v>151.57</v>
      </c>
      <c r="C407" s="1">
        <f ca="1">IFERROR(__xludf.DUMMYFUNCTION("""COMPUTED_VALUE"""),153.4)</f>
        <v>153.4</v>
      </c>
      <c r="D407" s="1">
        <f ca="1">IFERROR(__xludf.DUMMYFUNCTION("""COMPUTED_VALUE"""),150.08)</f>
        <v>150.08000000000001</v>
      </c>
      <c r="E407" s="1">
        <f ca="1">IFERROR(__xludf.DUMMYFUNCTION("""COMPUTED_VALUE"""),151.1)</f>
        <v>151.1</v>
      </c>
      <c r="F407" s="1">
        <f ca="1">IFERROR(__xludf.DUMMYFUNCTION("""COMPUTED_VALUE"""),2644577)</f>
        <v>2644577</v>
      </c>
    </row>
    <row r="408" spans="1:6" ht="12.6">
      <c r="A408" s="2">
        <f ca="1">IFERROR(__xludf.DUMMYFUNCTION("""COMPUTED_VALUE"""),45154.6666666666)</f>
        <v>45154.666666666599</v>
      </c>
      <c r="B408" s="1">
        <f ca="1">IFERROR(__xludf.DUMMYFUNCTION("""COMPUTED_VALUE"""),151.2)</f>
        <v>151.19999999999999</v>
      </c>
      <c r="C408" s="1">
        <f ca="1">IFERROR(__xludf.DUMMYFUNCTION("""COMPUTED_VALUE"""),152.75)</f>
        <v>152.75</v>
      </c>
      <c r="D408" s="1">
        <f ca="1">IFERROR(__xludf.DUMMYFUNCTION("""COMPUTED_VALUE"""),148.84)</f>
        <v>148.84</v>
      </c>
      <c r="E408" s="1">
        <f ca="1">IFERROR(__xludf.DUMMYFUNCTION("""COMPUTED_VALUE"""),149.69)</f>
        <v>149.69</v>
      </c>
      <c r="F408" s="1">
        <f ca="1">IFERROR(__xludf.DUMMYFUNCTION("""COMPUTED_VALUE"""),3561562)</f>
        <v>3561562</v>
      </c>
    </row>
    <row r="409" spans="1:6" ht="12.6">
      <c r="A409" s="2">
        <f ca="1">IFERROR(__xludf.DUMMYFUNCTION("""COMPUTED_VALUE"""),45155.6666666666)</f>
        <v>45155.666666666599</v>
      </c>
      <c r="B409" s="1">
        <f ca="1">IFERROR(__xludf.DUMMYFUNCTION("""COMPUTED_VALUE"""),149.87)</f>
        <v>149.87</v>
      </c>
      <c r="C409" s="1">
        <f ca="1">IFERROR(__xludf.DUMMYFUNCTION("""COMPUTED_VALUE"""),150.89)</f>
        <v>150.88999999999999</v>
      </c>
      <c r="D409" s="1">
        <f ca="1">IFERROR(__xludf.DUMMYFUNCTION("""COMPUTED_VALUE"""),146.09)</f>
        <v>146.09</v>
      </c>
      <c r="E409" s="1">
        <f ca="1">IFERROR(__xludf.DUMMYFUNCTION("""COMPUTED_VALUE"""),146.94)</f>
        <v>146.94</v>
      </c>
      <c r="F409" s="1">
        <f ca="1">IFERROR(__xludf.DUMMYFUNCTION("""COMPUTED_VALUE"""),4348368)</f>
        <v>4348368</v>
      </c>
    </row>
    <row r="410" spans="1:6" ht="12.6">
      <c r="A410" s="2">
        <f ca="1">IFERROR(__xludf.DUMMYFUNCTION("""COMPUTED_VALUE"""),45156.6666666666)</f>
        <v>45156.666666666599</v>
      </c>
      <c r="B410" s="1">
        <f ca="1">IFERROR(__xludf.DUMMYFUNCTION("""COMPUTED_VALUE"""),144.49)</f>
        <v>144.49</v>
      </c>
      <c r="C410" s="1">
        <f ca="1">IFERROR(__xludf.DUMMYFUNCTION("""COMPUTED_VALUE"""),147.86)</f>
        <v>147.86000000000001</v>
      </c>
      <c r="D410" s="1">
        <f ca="1">IFERROR(__xludf.DUMMYFUNCTION("""COMPUTED_VALUE"""),142.4)</f>
        <v>142.4</v>
      </c>
      <c r="E410" s="1">
        <f ca="1">IFERROR(__xludf.DUMMYFUNCTION("""COMPUTED_VALUE"""),147.63)</f>
        <v>147.63</v>
      </c>
      <c r="F410" s="1">
        <f ca="1">IFERROR(__xludf.DUMMYFUNCTION("""COMPUTED_VALUE"""),5852293)</f>
        <v>5852293</v>
      </c>
    </row>
    <row r="411" spans="1:6" ht="12.6">
      <c r="A411" s="2">
        <f ca="1">IFERROR(__xludf.DUMMYFUNCTION("""COMPUTED_VALUE"""),45159.6666666666)</f>
        <v>45159.666666666599</v>
      </c>
      <c r="B411" s="1">
        <f ca="1">IFERROR(__xludf.DUMMYFUNCTION("""COMPUTED_VALUE"""),149.06)</f>
        <v>149.06</v>
      </c>
      <c r="C411" s="1">
        <f ca="1">IFERROR(__xludf.DUMMYFUNCTION("""COMPUTED_VALUE"""),153.11)</f>
        <v>153.11000000000001</v>
      </c>
      <c r="D411" s="1">
        <f ca="1">IFERROR(__xludf.DUMMYFUNCTION("""COMPUTED_VALUE"""),149.06)</f>
        <v>149.06</v>
      </c>
      <c r="E411" s="1">
        <f ca="1">IFERROR(__xludf.DUMMYFUNCTION("""COMPUTED_VALUE"""),151.88)</f>
        <v>151.88</v>
      </c>
      <c r="F411" s="1">
        <f ca="1">IFERROR(__xludf.DUMMYFUNCTION("""COMPUTED_VALUE"""),5671008)</f>
        <v>5671008</v>
      </c>
    </row>
    <row r="412" spans="1:6" ht="12.6">
      <c r="A412" s="2">
        <f ca="1">IFERROR(__xludf.DUMMYFUNCTION("""COMPUTED_VALUE"""),45160.6666666666)</f>
        <v>45160.666666666599</v>
      </c>
      <c r="B412" s="1">
        <f ca="1">IFERROR(__xludf.DUMMYFUNCTION("""COMPUTED_VALUE"""),153.88)</f>
        <v>153.88</v>
      </c>
      <c r="C412" s="1">
        <f ca="1">IFERROR(__xludf.DUMMYFUNCTION("""COMPUTED_VALUE"""),154.19)</f>
        <v>154.19</v>
      </c>
      <c r="D412" s="1">
        <f ca="1">IFERROR(__xludf.DUMMYFUNCTION("""COMPUTED_VALUE"""),151.55)</f>
        <v>151.55000000000001</v>
      </c>
      <c r="E412" s="1">
        <f ca="1">IFERROR(__xludf.DUMMYFUNCTION("""COMPUTED_VALUE"""),152.58)</f>
        <v>152.58000000000001</v>
      </c>
      <c r="F412" s="1">
        <f ca="1">IFERROR(__xludf.DUMMYFUNCTION("""COMPUTED_VALUE"""),4994093)</f>
        <v>4994093</v>
      </c>
    </row>
    <row r="413" spans="1:6" ht="12.6">
      <c r="A413" s="2">
        <f ca="1">IFERROR(__xludf.DUMMYFUNCTION("""COMPUTED_VALUE"""),45161.6666666666)</f>
        <v>45161.666666666599</v>
      </c>
      <c r="B413" s="1">
        <f ca="1">IFERROR(__xludf.DUMMYFUNCTION("""COMPUTED_VALUE"""),151.87)</f>
        <v>151.87</v>
      </c>
      <c r="C413" s="1">
        <f ca="1">IFERROR(__xludf.DUMMYFUNCTION("""COMPUTED_VALUE"""),157.46)</f>
        <v>157.46</v>
      </c>
      <c r="D413" s="1">
        <f ca="1">IFERROR(__xludf.DUMMYFUNCTION("""COMPUTED_VALUE"""),151.8)</f>
        <v>151.80000000000001</v>
      </c>
      <c r="E413" s="1">
        <f ca="1">IFERROR(__xludf.DUMMYFUNCTION("""COMPUTED_VALUE"""),155.7)</f>
        <v>155.69999999999999</v>
      </c>
      <c r="F413" s="1">
        <f ca="1">IFERROR(__xludf.DUMMYFUNCTION("""COMPUTED_VALUE"""),10302589)</f>
        <v>10302589</v>
      </c>
    </row>
    <row r="414" spans="1:6" ht="12.6">
      <c r="A414" s="2">
        <f ca="1">IFERROR(__xludf.DUMMYFUNCTION("""COMPUTED_VALUE"""),45162.6666666666)</f>
        <v>45162.666666666599</v>
      </c>
      <c r="B414" s="1">
        <f ca="1">IFERROR(__xludf.DUMMYFUNCTION("""COMPUTED_VALUE"""),161.55)</f>
        <v>161.55000000000001</v>
      </c>
      <c r="C414" s="1">
        <f ca="1">IFERROR(__xludf.DUMMYFUNCTION("""COMPUTED_VALUE"""),161.93)</f>
        <v>161.93</v>
      </c>
      <c r="D414" s="1">
        <f ca="1">IFERROR(__xludf.DUMMYFUNCTION("""COMPUTED_VALUE"""),145.4)</f>
        <v>145.4</v>
      </c>
      <c r="E414" s="1">
        <f ca="1">IFERROR(__xludf.DUMMYFUNCTION("""COMPUTED_VALUE"""),147.67)</f>
        <v>147.66999999999999</v>
      </c>
      <c r="F414" s="1">
        <f ca="1">IFERROR(__xludf.DUMMYFUNCTION("""COMPUTED_VALUE"""),14065805)</f>
        <v>14065805</v>
      </c>
    </row>
    <row r="415" spans="1:6" ht="12.6">
      <c r="A415" s="2">
        <f ca="1">IFERROR(__xludf.DUMMYFUNCTION("""COMPUTED_VALUE"""),45163.6666666666)</f>
        <v>45163.666666666599</v>
      </c>
      <c r="B415" s="1">
        <f ca="1">IFERROR(__xludf.DUMMYFUNCTION("""COMPUTED_VALUE"""),147.1)</f>
        <v>147.1</v>
      </c>
      <c r="C415" s="1">
        <f ca="1">IFERROR(__xludf.DUMMYFUNCTION("""COMPUTED_VALUE"""),153.6)</f>
        <v>153.6</v>
      </c>
      <c r="D415" s="1">
        <f ca="1">IFERROR(__xludf.DUMMYFUNCTION("""COMPUTED_VALUE"""),146.87)</f>
        <v>146.87</v>
      </c>
      <c r="E415" s="1">
        <f ca="1">IFERROR(__xludf.DUMMYFUNCTION("""COMPUTED_VALUE"""),152.55)</f>
        <v>152.55000000000001</v>
      </c>
      <c r="F415" s="1">
        <f ca="1">IFERROR(__xludf.DUMMYFUNCTION("""COMPUTED_VALUE"""),6322800)</f>
        <v>6322800</v>
      </c>
    </row>
    <row r="416" spans="1:6" ht="12.6">
      <c r="A416" s="2">
        <f ca="1">IFERROR(__xludf.DUMMYFUNCTION("""COMPUTED_VALUE"""),45166.6666666666)</f>
        <v>45166.666666666599</v>
      </c>
      <c r="B416" s="1">
        <f ca="1">IFERROR(__xludf.DUMMYFUNCTION("""COMPUTED_VALUE"""),152.82)</f>
        <v>152.82</v>
      </c>
      <c r="C416" s="1">
        <f ca="1">IFERROR(__xludf.DUMMYFUNCTION("""COMPUTED_VALUE"""),154.97)</f>
        <v>154.97</v>
      </c>
      <c r="D416" s="1">
        <f ca="1">IFERROR(__xludf.DUMMYFUNCTION("""COMPUTED_VALUE"""),148.37)</f>
        <v>148.37</v>
      </c>
      <c r="E416" s="1">
        <f ca="1">IFERROR(__xludf.DUMMYFUNCTION("""COMPUTED_VALUE"""),148.75)</f>
        <v>148.75</v>
      </c>
      <c r="F416" s="1">
        <f ca="1">IFERROR(__xludf.DUMMYFUNCTION("""COMPUTED_VALUE"""),5474615)</f>
        <v>5474615</v>
      </c>
    </row>
    <row r="417" spans="1:6" ht="12.6">
      <c r="A417" s="2">
        <f ca="1">IFERROR(__xludf.DUMMYFUNCTION("""COMPUTED_VALUE"""),45167.6666666666)</f>
        <v>45167.666666666599</v>
      </c>
      <c r="B417" s="1">
        <f ca="1">IFERROR(__xludf.DUMMYFUNCTION("""COMPUTED_VALUE"""),148.08)</f>
        <v>148.08000000000001</v>
      </c>
      <c r="C417" s="1">
        <f ca="1">IFERROR(__xludf.DUMMYFUNCTION("""COMPUTED_VALUE"""),153.77)</f>
        <v>153.77000000000001</v>
      </c>
      <c r="D417" s="1">
        <f ca="1">IFERROR(__xludf.DUMMYFUNCTION("""COMPUTED_VALUE"""),147.96)</f>
        <v>147.96</v>
      </c>
      <c r="E417" s="1">
        <f ca="1">IFERROR(__xludf.DUMMYFUNCTION("""COMPUTED_VALUE"""),153.3)</f>
        <v>153.30000000000001</v>
      </c>
      <c r="F417" s="1">
        <f ca="1">IFERROR(__xludf.DUMMYFUNCTION("""COMPUTED_VALUE"""),4601099)</f>
        <v>4601099</v>
      </c>
    </row>
    <row r="418" spans="1:6" ht="12.6">
      <c r="A418" s="2">
        <f ca="1">IFERROR(__xludf.DUMMYFUNCTION("""COMPUTED_VALUE"""),45168.6666666666)</f>
        <v>45168.666666666599</v>
      </c>
      <c r="B418" s="1">
        <f ca="1">IFERROR(__xludf.DUMMYFUNCTION("""COMPUTED_VALUE"""),152.99)</f>
        <v>152.99</v>
      </c>
      <c r="C418" s="1">
        <f ca="1">IFERROR(__xludf.DUMMYFUNCTION("""COMPUTED_VALUE"""),156.74)</f>
        <v>156.74</v>
      </c>
      <c r="D418" s="1">
        <f ca="1">IFERROR(__xludf.DUMMYFUNCTION("""COMPUTED_VALUE"""),151.87)</f>
        <v>151.87</v>
      </c>
      <c r="E418" s="1">
        <f ca="1">IFERROR(__xludf.DUMMYFUNCTION("""COMPUTED_VALUE"""),155.34)</f>
        <v>155.34</v>
      </c>
      <c r="F418" s="1">
        <f ca="1">IFERROR(__xludf.DUMMYFUNCTION("""COMPUTED_VALUE"""),3573080)</f>
        <v>3573080</v>
      </c>
    </row>
    <row r="419" spans="1:6" ht="12.6">
      <c r="A419" s="2">
        <f ca="1">IFERROR(__xludf.DUMMYFUNCTION("""COMPUTED_VALUE"""),45169.6666666666)</f>
        <v>45169.666666666599</v>
      </c>
      <c r="B419" s="1">
        <f ca="1">IFERROR(__xludf.DUMMYFUNCTION("""COMPUTED_VALUE"""),156)</f>
        <v>156</v>
      </c>
      <c r="C419" s="1">
        <f ca="1">IFERROR(__xludf.DUMMYFUNCTION("""COMPUTED_VALUE"""),158.5)</f>
        <v>158.5</v>
      </c>
      <c r="D419" s="1">
        <f ca="1">IFERROR(__xludf.DUMMYFUNCTION("""COMPUTED_VALUE"""),155.56)</f>
        <v>155.56</v>
      </c>
      <c r="E419" s="1">
        <f ca="1">IFERROR(__xludf.DUMMYFUNCTION("""COMPUTED_VALUE"""),156.85)</f>
        <v>156.85</v>
      </c>
      <c r="F419" s="1">
        <f ca="1">IFERROR(__xludf.DUMMYFUNCTION("""COMPUTED_VALUE"""),4404132)</f>
        <v>4404132</v>
      </c>
    </row>
    <row r="420" spans="1:6" ht="12.6">
      <c r="A420" s="2">
        <f ca="1">IFERROR(__xludf.DUMMYFUNCTION("""COMPUTED_VALUE"""),45170.6666666666)</f>
        <v>45170.666666666599</v>
      </c>
      <c r="B420" s="1">
        <f ca="1">IFERROR(__xludf.DUMMYFUNCTION("""COMPUTED_VALUE"""),158.1)</f>
        <v>158.1</v>
      </c>
      <c r="C420" s="1">
        <f ca="1">IFERROR(__xludf.DUMMYFUNCTION("""COMPUTED_VALUE"""),160.02)</f>
        <v>160.02000000000001</v>
      </c>
      <c r="D420" s="1">
        <f ca="1">IFERROR(__xludf.DUMMYFUNCTION("""COMPUTED_VALUE"""),156.75)</f>
        <v>156.75</v>
      </c>
      <c r="E420" s="1">
        <f ca="1">IFERROR(__xludf.DUMMYFUNCTION("""COMPUTED_VALUE"""),157.08)</f>
        <v>157.08000000000001</v>
      </c>
      <c r="F420" s="1">
        <f ca="1">IFERROR(__xludf.DUMMYFUNCTION("""COMPUTED_VALUE"""),3685404)</f>
        <v>3685404</v>
      </c>
    </row>
    <row r="421" spans="1:6" ht="12.6">
      <c r="A421" s="2">
        <f ca="1">IFERROR(__xludf.DUMMYFUNCTION("""COMPUTED_VALUE"""),45174.6666666666)</f>
        <v>45174.666666666599</v>
      </c>
      <c r="B421" s="1">
        <f ca="1">IFERROR(__xludf.DUMMYFUNCTION("""COMPUTED_VALUE"""),156.3)</f>
        <v>156.30000000000001</v>
      </c>
      <c r="C421" s="1">
        <f ca="1">IFERROR(__xludf.DUMMYFUNCTION("""COMPUTED_VALUE"""),159.77)</f>
        <v>159.77000000000001</v>
      </c>
      <c r="D421" s="1">
        <f ca="1">IFERROR(__xludf.DUMMYFUNCTION("""COMPUTED_VALUE"""),155.99)</f>
        <v>155.99</v>
      </c>
      <c r="E421" s="1">
        <f ca="1">IFERROR(__xludf.DUMMYFUNCTION("""COMPUTED_VALUE"""),159.38)</f>
        <v>159.38</v>
      </c>
      <c r="F421" s="1">
        <f ca="1">IFERROR(__xludf.DUMMYFUNCTION("""COMPUTED_VALUE"""),3219056)</f>
        <v>3219056</v>
      </c>
    </row>
    <row r="422" spans="1:6" ht="12.6">
      <c r="A422" s="2">
        <f ca="1">IFERROR(__xludf.DUMMYFUNCTION("""COMPUTED_VALUE"""),45175.6666666666)</f>
        <v>45175.666666666599</v>
      </c>
      <c r="B422" s="1">
        <f ca="1">IFERROR(__xludf.DUMMYFUNCTION("""COMPUTED_VALUE"""),157.49)</f>
        <v>157.49</v>
      </c>
      <c r="C422" s="1">
        <f ca="1">IFERROR(__xludf.DUMMYFUNCTION("""COMPUTED_VALUE"""),159.01)</f>
        <v>159.01</v>
      </c>
      <c r="D422" s="1">
        <f ca="1">IFERROR(__xludf.DUMMYFUNCTION("""COMPUTED_VALUE"""),155.97)</f>
        <v>155.97</v>
      </c>
      <c r="E422" s="1">
        <f ca="1">IFERROR(__xludf.DUMMYFUNCTION("""COMPUTED_VALUE"""),157.49)</f>
        <v>157.49</v>
      </c>
      <c r="F422" s="1">
        <f ca="1">IFERROR(__xludf.DUMMYFUNCTION("""COMPUTED_VALUE"""),2161261)</f>
        <v>2161261</v>
      </c>
    </row>
    <row r="423" spans="1:6" ht="12.6">
      <c r="A423" s="2">
        <f ca="1">IFERROR(__xludf.DUMMYFUNCTION("""COMPUTED_VALUE"""),45176.6666666666)</f>
        <v>45176.666666666599</v>
      </c>
      <c r="B423" s="1">
        <f ca="1">IFERROR(__xludf.DUMMYFUNCTION("""COMPUTED_VALUE"""),153.82)</f>
        <v>153.82</v>
      </c>
      <c r="C423" s="1">
        <f ca="1">IFERROR(__xludf.DUMMYFUNCTION("""COMPUTED_VALUE"""),159.95)</f>
        <v>159.94999999999999</v>
      </c>
      <c r="D423" s="1">
        <f ca="1">IFERROR(__xludf.DUMMYFUNCTION("""COMPUTED_VALUE"""),153.33)</f>
        <v>153.33000000000001</v>
      </c>
      <c r="E423" s="1">
        <f ca="1">IFERROR(__xludf.DUMMYFUNCTION("""COMPUTED_VALUE"""),159.84)</f>
        <v>159.84</v>
      </c>
      <c r="F423" s="1">
        <f ca="1">IFERROR(__xludf.DUMMYFUNCTION("""COMPUTED_VALUE"""),2884181)</f>
        <v>2884181</v>
      </c>
    </row>
    <row r="424" spans="1:6" ht="12.6">
      <c r="A424" s="2">
        <f ca="1">IFERROR(__xludf.DUMMYFUNCTION("""COMPUTED_VALUE"""),45177.6666666666)</f>
        <v>45177.666666666599</v>
      </c>
      <c r="B424" s="1">
        <f ca="1">IFERROR(__xludf.DUMMYFUNCTION("""COMPUTED_VALUE"""),165.21)</f>
        <v>165.21</v>
      </c>
      <c r="C424" s="1">
        <f ca="1">IFERROR(__xludf.DUMMYFUNCTION("""COMPUTED_VALUE"""),167.75)</f>
        <v>167.75</v>
      </c>
      <c r="D424" s="1">
        <f ca="1">IFERROR(__xludf.DUMMYFUNCTION("""COMPUTED_VALUE"""),163.92)</f>
        <v>163.92</v>
      </c>
      <c r="E424" s="1">
        <f ca="1">IFERROR(__xludf.DUMMYFUNCTION("""COMPUTED_VALUE"""),165.95)</f>
        <v>165.95</v>
      </c>
      <c r="F424" s="1">
        <f ca="1">IFERROR(__xludf.DUMMYFUNCTION("""COMPUTED_VALUE"""),7728682)</f>
        <v>7728682</v>
      </c>
    </row>
    <row r="425" spans="1:6" ht="12.6">
      <c r="A425" s="2">
        <f ca="1">IFERROR(__xludf.DUMMYFUNCTION("""COMPUTED_VALUE"""),45180.6666666666)</f>
        <v>45180.666666666599</v>
      </c>
      <c r="B425" s="1">
        <f ca="1">IFERROR(__xludf.DUMMYFUNCTION("""COMPUTED_VALUE"""),166.27)</f>
        <v>166.27</v>
      </c>
      <c r="C425" s="1">
        <f ca="1">IFERROR(__xludf.DUMMYFUNCTION("""COMPUTED_VALUE"""),172.35)</f>
        <v>172.35</v>
      </c>
      <c r="D425" s="1">
        <f ca="1">IFERROR(__xludf.DUMMYFUNCTION("""COMPUTED_VALUE"""),166.26)</f>
        <v>166.26</v>
      </c>
      <c r="E425" s="1">
        <f ca="1">IFERROR(__xludf.DUMMYFUNCTION("""COMPUTED_VALUE"""),170.17)</f>
        <v>170.17</v>
      </c>
      <c r="F425" s="1">
        <f ca="1">IFERROR(__xludf.DUMMYFUNCTION("""COMPUTED_VALUE"""),5628752)</f>
        <v>5628752</v>
      </c>
    </row>
    <row r="426" spans="1:6" ht="12.6">
      <c r="A426" s="2">
        <f ca="1">IFERROR(__xludf.DUMMYFUNCTION("""COMPUTED_VALUE"""),45181.6666666666)</f>
        <v>45181.666666666599</v>
      </c>
      <c r="B426" s="1">
        <f ca="1">IFERROR(__xludf.DUMMYFUNCTION("""COMPUTED_VALUE"""),168.92)</f>
        <v>168.92</v>
      </c>
      <c r="C426" s="1">
        <f ca="1">IFERROR(__xludf.DUMMYFUNCTION("""COMPUTED_VALUE"""),171.52)</f>
        <v>171.52</v>
      </c>
      <c r="D426" s="1">
        <f ca="1">IFERROR(__xludf.DUMMYFUNCTION("""COMPUTED_VALUE"""),166.47)</f>
        <v>166.47</v>
      </c>
      <c r="E426" s="1">
        <f ca="1">IFERROR(__xludf.DUMMYFUNCTION("""COMPUTED_VALUE"""),166.83)</f>
        <v>166.83</v>
      </c>
      <c r="F426" s="1">
        <f ca="1">IFERROR(__xludf.DUMMYFUNCTION("""COMPUTED_VALUE"""),3957143)</f>
        <v>3957143</v>
      </c>
    </row>
    <row r="427" spans="1:6" ht="12.6">
      <c r="A427" s="2">
        <f ca="1">IFERROR(__xludf.DUMMYFUNCTION("""COMPUTED_VALUE"""),45182.6666666666)</f>
        <v>45182.666666666599</v>
      </c>
      <c r="B427" s="1">
        <f ca="1">IFERROR(__xludf.DUMMYFUNCTION("""COMPUTED_VALUE"""),166.23)</f>
        <v>166.23</v>
      </c>
      <c r="C427" s="1">
        <f ca="1">IFERROR(__xludf.DUMMYFUNCTION("""COMPUTED_VALUE"""),167.88)</f>
        <v>167.88</v>
      </c>
      <c r="D427" s="1">
        <f ca="1">IFERROR(__xludf.DUMMYFUNCTION("""COMPUTED_VALUE"""),163.79)</f>
        <v>163.79</v>
      </c>
      <c r="E427" s="1">
        <f ca="1">IFERROR(__xludf.DUMMYFUNCTION("""COMPUTED_VALUE"""),165.34)</f>
        <v>165.34</v>
      </c>
      <c r="F427" s="1">
        <f ca="1">IFERROR(__xludf.DUMMYFUNCTION("""COMPUTED_VALUE"""),2714538)</f>
        <v>2714538</v>
      </c>
    </row>
    <row r="428" spans="1:6" ht="12.6">
      <c r="A428" s="2">
        <f ca="1">IFERROR(__xludf.DUMMYFUNCTION("""COMPUTED_VALUE"""),45183.6666666666)</f>
        <v>45183.666666666599</v>
      </c>
      <c r="B428" s="1">
        <f ca="1">IFERROR(__xludf.DUMMYFUNCTION("""COMPUTED_VALUE"""),166.89)</f>
        <v>166.89</v>
      </c>
      <c r="C428" s="1">
        <f ca="1">IFERROR(__xludf.DUMMYFUNCTION("""COMPUTED_VALUE"""),167.4)</f>
        <v>167.4</v>
      </c>
      <c r="D428" s="1">
        <f ca="1">IFERROR(__xludf.DUMMYFUNCTION("""COMPUTED_VALUE"""),161.13)</f>
        <v>161.13</v>
      </c>
      <c r="E428" s="1">
        <f ca="1">IFERROR(__xludf.DUMMYFUNCTION("""COMPUTED_VALUE"""),162.98)</f>
        <v>162.97999999999999</v>
      </c>
      <c r="F428" s="1">
        <f ca="1">IFERROR(__xludf.DUMMYFUNCTION("""COMPUTED_VALUE"""),4021612)</f>
        <v>4021612</v>
      </c>
    </row>
    <row r="429" spans="1:6" ht="12.6">
      <c r="A429" s="2">
        <f ca="1">IFERROR(__xludf.DUMMYFUNCTION("""COMPUTED_VALUE"""),45184.6666666666)</f>
        <v>45184.666666666599</v>
      </c>
      <c r="B429" s="1">
        <f ca="1">IFERROR(__xludf.DUMMYFUNCTION("""COMPUTED_VALUE"""),161.64)</f>
        <v>161.63999999999999</v>
      </c>
      <c r="C429" s="1">
        <f ca="1">IFERROR(__xludf.DUMMYFUNCTION("""COMPUTED_VALUE"""),163.71)</f>
        <v>163.71</v>
      </c>
      <c r="D429" s="1">
        <f ca="1">IFERROR(__xludf.DUMMYFUNCTION("""COMPUTED_VALUE"""),160.26)</f>
        <v>160.26</v>
      </c>
      <c r="E429" s="1">
        <f ca="1">IFERROR(__xludf.DUMMYFUNCTION("""COMPUTED_VALUE"""),162.41)</f>
        <v>162.41</v>
      </c>
      <c r="F429" s="1">
        <f ca="1">IFERROR(__xludf.DUMMYFUNCTION("""COMPUTED_VALUE"""),6661747)</f>
        <v>6661747</v>
      </c>
    </row>
    <row r="430" spans="1:6" ht="12.6">
      <c r="A430" s="2">
        <f ca="1">IFERROR(__xludf.DUMMYFUNCTION("""COMPUTED_VALUE"""),45187.6666666666)</f>
        <v>45187.666666666599</v>
      </c>
      <c r="B430" s="1">
        <f ca="1">IFERROR(__xludf.DUMMYFUNCTION("""COMPUTED_VALUE"""),160.37)</f>
        <v>160.37</v>
      </c>
      <c r="C430" s="1">
        <f ca="1">IFERROR(__xludf.DUMMYFUNCTION("""COMPUTED_VALUE"""),162.87)</f>
        <v>162.87</v>
      </c>
      <c r="D430" s="1">
        <f ca="1">IFERROR(__xludf.DUMMYFUNCTION("""COMPUTED_VALUE"""),159.57)</f>
        <v>159.57</v>
      </c>
      <c r="E430" s="1">
        <f ca="1">IFERROR(__xludf.DUMMYFUNCTION("""COMPUTED_VALUE"""),161.45)</f>
        <v>161.44999999999999</v>
      </c>
      <c r="F430" s="1">
        <f ca="1">IFERROR(__xludf.DUMMYFUNCTION("""COMPUTED_VALUE"""),2368142)</f>
        <v>2368142</v>
      </c>
    </row>
    <row r="431" spans="1:6" ht="12.6">
      <c r="A431" s="2">
        <f ca="1">IFERROR(__xludf.DUMMYFUNCTION("""COMPUTED_VALUE"""),45188.6666666666)</f>
        <v>45188.666666666599</v>
      </c>
      <c r="B431" s="1">
        <f ca="1">IFERROR(__xludf.DUMMYFUNCTION("""COMPUTED_VALUE"""),161.14)</f>
        <v>161.13999999999999</v>
      </c>
      <c r="C431" s="1">
        <f ca="1">IFERROR(__xludf.DUMMYFUNCTION("""COMPUTED_VALUE"""),161.85)</f>
        <v>161.85</v>
      </c>
      <c r="D431" s="1">
        <f ca="1">IFERROR(__xludf.DUMMYFUNCTION("""COMPUTED_VALUE"""),156.96)</f>
        <v>156.96</v>
      </c>
      <c r="E431" s="1">
        <f ca="1">IFERROR(__xludf.DUMMYFUNCTION("""COMPUTED_VALUE"""),159.74)</f>
        <v>159.74</v>
      </c>
      <c r="F431" s="1">
        <f ca="1">IFERROR(__xludf.DUMMYFUNCTION("""COMPUTED_VALUE"""),3794632)</f>
        <v>3794632</v>
      </c>
    </row>
    <row r="432" spans="1:6" ht="12.6">
      <c r="A432" s="2">
        <f ca="1">IFERROR(__xludf.DUMMYFUNCTION("""COMPUTED_VALUE"""),45189.6666666666)</f>
        <v>45189.666666666599</v>
      </c>
      <c r="B432" s="1">
        <f ca="1">IFERROR(__xludf.DUMMYFUNCTION("""COMPUTED_VALUE"""),159.56)</f>
        <v>159.56</v>
      </c>
      <c r="C432" s="1">
        <f ca="1">IFERROR(__xludf.DUMMYFUNCTION("""COMPUTED_VALUE"""),161.28)</f>
        <v>161.28</v>
      </c>
      <c r="D432" s="1">
        <f ca="1">IFERROR(__xludf.DUMMYFUNCTION("""COMPUTED_VALUE"""),157.94)</f>
        <v>157.94</v>
      </c>
      <c r="E432" s="1">
        <f ca="1">IFERROR(__xludf.DUMMYFUNCTION("""COMPUTED_VALUE"""),158.63)</f>
        <v>158.63</v>
      </c>
      <c r="F432" s="1">
        <f ca="1">IFERROR(__xludf.DUMMYFUNCTION("""COMPUTED_VALUE"""),3341733)</f>
        <v>3341733</v>
      </c>
    </row>
    <row r="433" spans="1:6" ht="12.6">
      <c r="A433" s="2">
        <f ca="1">IFERROR(__xludf.DUMMYFUNCTION("""COMPUTED_VALUE"""),45190.6666666666)</f>
        <v>45190.666666666599</v>
      </c>
      <c r="B433" s="1">
        <f ca="1">IFERROR(__xludf.DUMMYFUNCTION("""COMPUTED_VALUE"""),155.19)</f>
        <v>155.19</v>
      </c>
      <c r="C433" s="1">
        <f ca="1">IFERROR(__xludf.DUMMYFUNCTION("""COMPUTED_VALUE"""),156.19)</f>
        <v>156.19</v>
      </c>
      <c r="D433" s="1">
        <f ca="1">IFERROR(__xludf.DUMMYFUNCTION("""COMPUTED_VALUE"""),148.54)</f>
        <v>148.54</v>
      </c>
      <c r="E433" s="1">
        <f ca="1">IFERROR(__xludf.DUMMYFUNCTION("""COMPUTED_VALUE"""),149.03)</f>
        <v>149.03</v>
      </c>
      <c r="F433" s="1">
        <f ca="1">IFERROR(__xludf.DUMMYFUNCTION("""COMPUTED_VALUE"""),6629347)</f>
        <v>6629347</v>
      </c>
    </row>
    <row r="434" spans="1:6" ht="12.6">
      <c r="A434" s="2">
        <f ca="1">IFERROR(__xludf.DUMMYFUNCTION("""COMPUTED_VALUE"""),45191.6666666666)</f>
        <v>45191.666666666599</v>
      </c>
      <c r="B434" s="1">
        <f ca="1">IFERROR(__xludf.DUMMYFUNCTION("""COMPUTED_VALUE"""),151.42)</f>
        <v>151.41999999999999</v>
      </c>
      <c r="C434" s="1">
        <f ca="1">IFERROR(__xludf.DUMMYFUNCTION("""COMPUTED_VALUE"""),152.63)</f>
        <v>152.63</v>
      </c>
      <c r="D434" s="1">
        <f ca="1">IFERROR(__xludf.DUMMYFUNCTION("""COMPUTED_VALUE"""),149.67)</f>
        <v>149.66999999999999</v>
      </c>
      <c r="E434" s="1">
        <f ca="1">IFERROR(__xludf.DUMMYFUNCTION("""COMPUTED_VALUE"""),149.7)</f>
        <v>149.69999999999999</v>
      </c>
      <c r="F434" s="1">
        <f ca="1">IFERROR(__xludf.DUMMYFUNCTION("""COMPUTED_VALUE"""),2916354)</f>
        <v>2916354</v>
      </c>
    </row>
    <row r="435" spans="1:6" ht="12.6">
      <c r="A435" s="2">
        <f ca="1">IFERROR(__xludf.DUMMYFUNCTION("""COMPUTED_VALUE"""),45194.6666666666)</f>
        <v>45194.666666666599</v>
      </c>
      <c r="B435" s="1">
        <f ca="1">IFERROR(__xludf.DUMMYFUNCTION("""COMPUTED_VALUE"""),148.82)</f>
        <v>148.82</v>
      </c>
      <c r="C435" s="1">
        <f ca="1">IFERROR(__xludf.DUMMYFUNCTION("""COMPUTED_VALUE"""),150.47)</f>
        <v>150.47</v>
      </c>
      <c r="D435" s="1">
        <f ca="1">IFERROR(__xludf.DUMMYFUNCTION("""COMPUTED_VALUE"""),147.67)</f>
        <v>147.66999999999999</v>
      </c>
      <c r="E435" s="1">
        <f ca="1">IFERROR(__xludf.DUMMYFUNCTION("""COMPUTED_VALUE"""),149.74)</f>
        <v>149.74</v>
      </c>
      <c r="F435" s="1">
        <f ca="1">IFERROR(__xludf.DUMMYFUNCTION("""COMPUTED_VALUE"""),3271861)</f>
        <v>3271861</v>
      </c>
    </row>
    <row r="436" spans="1:6" ht="12.6">
      <c r="A436" s="2">
        <f ca="1">IFERROR(__xludf.DUMMYFUNCTION("""COMPUTED_VALUE"""),45195.6666666666)</f>
        <v>45195.666666666599</v>
      </c>
      <c r="B436" s="1">
        <f ca="1">IFERROR(__xludf.DUMMYFUNCTION("""COMPUTED_VALUE"""),148.8)</f>
        <v>148.80000000000001</v>
      </c>
      <c r="C436" s="1">
        <f ca="1">IFERROR(__xludf.DUMMYFUNCTION("""COMPUTED_VALUE"""),150.65)</f>
        <v>150.65</v>
      </c>
      <c r="D436" s="1">
        <f ca="1">IFERROR(__xludf.DUMMYFUNCTION("""COMPUTED_VALUE"""),146.51)</f>
        <v>146.51</v>
      </c>
      <c r="E436" s="1">
        <f ca="1">IFERROR(__xludf.DUMMYFUNCTION("""COMPUTED_VALUE"""),147.05)</f>
        <v>147.05000000000001</v>
      </c>
      <c r="F436" s="1">
        <f ca="1">IFERROR(__xludf.DUMMYFUNCTION("""COMPUTED_VALUE"""),3225165)</f>
        <v>3225165</v>
      </c>
    </row>
    <row r="437" spans="1:6" ht="12.6">
      <c r="A437" s="2">
        <f ca="1">IFERROR(__xludf.DUMMYFUNCTION("""COMPUTED_VALUE"""),45196.6666666666)</f>
        <v>45196.666666666599</v>
      </c>
      <c r="B437" s="1">
        <f ca="1">IFERROR(__xludf.DUMMYFUNCTION("""COMPUTED_VALUE"""),148.07)</f>
        <v>148.07</v>
      </c>
      <c r="C437" s="1">
        <f ca="1">IFERROR(__xludf.DUMMYFUNCTION("""COMPUTED_VALUE"""),149.47)</f>
        <v>149.47</v>
      </c>
      <c r="D437" s="1">
        <f ca="1">IFERROR(__xludf.DUMMYFUNCTION("""COMPUTED_VALUE"""),146.1)</f>
        <v>146.1</v>
      </c>
      <c r="E437" s="1">
        <f ca="1">IFERROR(__xludf.DUMMYFUNCTION("""COMPUTED_VALUE"""),147.52)</f>
        <v>147.52000000000001</v>
      </c>
      <c r="F437" s="1">
        <f ca="1">IFERROR(__xludf.DUMMYFUNCTION("""COMPUTED_VALUE"""),3515837)</f>
        <v>3515837</v>
      </c>
    </row>
    <row r="438" spans="1:6" ht="12.6">
      <c r="A438" s="2">
        <f ca="1">IFERROR(__xludf.DUMMYFUNCTION("""COMPUTED_VALUE"""),45197.6666666666)</f>
        <v>45197.666666666599</v>
      </c>
      <c r="B438" s="1">
        <f ca="1">IFERROR(__xludf.DUMMYFUNCTION("""COMPUTED_VALUE"""),145.52)</f>
        <v>145.52000000000001</v>
      </c>
      <c r="C438" s="1">
        <f ca="1">IFERROR(__xludf.DUMMYFUNCTION("""COMPUTED_VALUE"""),151.55)</f>
        <v>151.55000000000001</v>
      </c>
      <c r="D438" s="1">
        <f ca="1">IFERROR(__xludf.DUMMYFUNCTION("""COMPUTED_VALUE"""),141.79)</f>
        <v>141.79</v>
      </c>
      <c r="E438" s="1">
        <f ca="1">IFERROR(__xludf.DUMMYFUNCTION("""COMPUTED_VALUE"""),151.12)</f>
        <v>151.12</v>
      </c>
      <c r="F438" s="1">
        <f ca="1">IFERROR(__xludf.DUMMYFUNCTION("""COMPUTED_VALUE"""),5110053)</f>
        <v>5110053</v>
      </c>
    </row>
    <row r="439" spans="1:6" ht="12.6">
      <c r="A439" s="2">
        <f ca="1">IFERROR(__xludf.DUMMYFUNCTION("""COMPUTED_VALUE"""),45198.6666666666)</f>
        <v>45198.666666666599</v>
      </c>
      <c r="B439" s="1">
        <f ca="1">IFERROR(__xludf.DUMMYFUNCTION("""COMPUTED_VALUE"""),153.41)</f>
        <v>153.41</v>
      </c>
      <c r="C439" s="1">
        <f ca="1">IFERROR(__xludf.DUMMYFUNCTION("""COMPUTED_VALUE"""),155.17)</f>
        <v>155.16999999999999</v>
      </c>
      <c r="D439" s="1">
        <f ca="1">IFERROR(__xludf.DUMMYFUNCTION("""COMPUTED_VALUE"""),152.46)</f>
        <v>152.46</v>
      </c>
      <c r="E439" s="1">
        <f ca="1">IFERROR(__xludf.DUMMYFUNCTION("""COMPUTED_VALUE"""),152.77)</f>
        <v>152.77000000000001</v>
      </c>
      <c r="F439" s="1">
        <f ca="1">IFERROR(__xludf.DUMMYFUNCTION("""COMPUTED_VALUE"""),4295518)</f>
        <v>4295518</v>
      </c>
    </row>
    <row r="440" spans="1:6" ht="12.6">
      <c r="A440" s="2">
        <f ca="1">IFERROR(__xludf.DUMMYFUNCTION("""COMPUTED_VALUE"""),45201.6666666666)</f>
        <v>45201.666666666599</v>
      </c>
      <c r="B440" s="1">
        <f ca="1">IFERROR(__xludf.DUMMYFUNCTION("""COMPUTED_VALUE"""),152.27)</f>
        <v>152.27000000000001</v>
      </c>
      <c r="C440" s="1">
        <f ca="1">IFERROR(__xludf.DUMMYFUNCTION("""COMPUTED_VALUE"""),153.29)</f>
        <v>153.29</v>
      </c>
      <c r="D440" s="1">
        <f ca="1">IFERROR(__xludf.DUMMYFUNCTION("""COMPUTED_VALUE"""),149.8)</f>
        <v>149.80000000000001</v>
      </c>
      <c r="E440" s="1">
        <f ca="1">IFERROR(__xludf.DUMMYFUNCTION("""COMPUTED_VALUE"""),151.17)</f>
        <v>151.16999999999999</v>
      </c>
      <c r="F440" s="1">
        <f ca="1">IFERROR(__xludf.DUMMYFUNCTION("""COMPUTED_VALUE"""),3414823)</f>
        <v>3414823</v>
      </c>
    </row>
    <row r="441" spans="1:6" ht="12.6">
      <c r="A441" s="2">
        <f ca="1">IFERROR(__xludf.DUMMYFUNCTION("""COMPUTED_VALUE"""),45202.6666666666)</f>
        <v>45202.666666666599</v>
      </c>
      <c r="B441" s="1">
        <f ca="1">IFERROR(__xludf.DUMMYFUNCTION("""COMPUTED_VALUE"""),149.08)</f>
        <v>149.08000000000001</v>
      </c>
      <c r="C441" s="1">
        <f ca="1">IFERROR(__xludf.DUMMYFUNCTION("""COMPUTED_VALUE"""),151.91)</f>
        <v>151.91</v>
      </c>
      <c r="D441" s="1">
        <f ca="1">IFERROR(__xludf.DUMMYFUNCTION("""COMPUTED_VALUE"""),147.87)</f>
        <v>147.87</v>
      </c>
      <c r="E441" s="1">
        <f ca="1">IFERROR(__xludf.DUMMYFUNCTION("""COMPUTED_VALUE"""),148.79)</f>
        <v>148.79</v>
      </c>
      <c r="F441" s="1">
        <f ca="1">IFERROR(__xludf.DUMMYFUNCTION("""COMPUTED_VALUE"""),4035759)</f>
        <v>4035759</v>
      </c>
    </row>
    <row r="442" spans="1:6" ht="12.6">
      <c r="A442" s="2">
        <f ca="1">IFERROR(__xludf.DUMMYFUNCTION("""COMPUTED_VALUE"""),45203.6666666666)</f>
        <v>45203.666666666599</v>
      </c>
      <c r="B442" s="1">
        <f ca="1">IFERROR(__xludf.DUMMYFUNCTION("""COMPUTED_VALUE"""),150.75)</f>
        <v>150.75</v>
      </c>
      <c r="C442" s="1">
        <f ca="1">IFERROR(__xludf.DUMMYFUNCTION("""COMPUTED_VALUE"""),152.7)</f>
        <v>152.69999999999999</v>
      </c>
      <c r="D442" s="1">
        <f ca="1">IFERROR(__xludf.DUMMYFUNCTION("""COMPUTED_VALUE"""),149.24)</f>
        <v>149.24</v>
      </c>
      <c r="E442" s="1">
        <f ca="1">IFERROR(__xludf.DUMMYFUNCTION("""COMPUTED_VALUE"""),151.96)</f>
        <v>151.96</v>
      </c>
      <c r="F442" s="1">
        <f ca="1">IFERROR(__xludf.DUMMYFUNCTION("""COMPUTED_VALUE"""),3040209)</f>
        <v>3040209</v>
      </c>
    </row>
    <row r="443" spans="1:6" ht="12.6">
      <c r="A443" s="2">
        <f ca="1">IFERROR(__xludf.DUMMYFUNCTION("""COMPUTED_VALUE"""),45204.6666666666)</f>
        <v>45204.666666666599</v>
      </c>
      <c r="B443" s="1">
        <f ca="1">IFERROR(__xludf.DUMMYFUNCTION("""COMPUTED_VALUE"""),154.05)</f>
        <v>154.05000000000001</v>
      </c>
      <c r="C443" s="1">
        <f ca="1">IFERROR(__xludf.DUMMYFUNCTION("""COMPUTED_VALUE"""),155.31)</f>
        <v>155.31</v>
      </c>
      <c r="D443" s="1">
        <f ca="1">IFERROR(__xludf.DUMMYFUNCTION("""COMPUTED_VALUE"""),149.67)</f>
        <v>149.66999999999999</v>
      </c>
      <c r="E443" s="1">
        <f ca="1">IFERROR(__xludf.DUMMYFUNCTION("""COMPUTED_VALUE"""),150.25)</f>
        <v>150.25</v>
      </c>
      <c r="F443" s="1">
        <f ca="1">IFERROR(__xludf.DUMMYFUNCTION("""COMPUTED_VALUE"""),3931654)</f>
        <v>3931654</v>
      </c>
    </row>
    <row r="444" spans="1:6" ht="12.6">
      <c r="A444" s="2">
        <f ca="1">IFERROR(__xludf.DUMMYFUNCTION("""COMPUTED_VALUE"""),45205.6666666666)</f>
        <v>45205.666666666599</v>
      </c>
      <c r="B444" s="1">
        <f ca="1">IFERROR(__xludf.DUMMYFUNCTION("""COMPUTED_VALUE"""),148)</f>
        <v>148</v>
      </c>
      <c r="C444" s="1">
        <f ca="1">IFERROR(__xludf.DUMMYFUNCTION("""COMPUTED_VALUE"""),160.35)</f>
        <v>160.35</v>
      </c>
      <c r="D444" s="1">
        <f ca="1">IFERROR(__xludf.DUMMYFUNCTION("""COMPUTED_VALUE"""),148)</f>
        <v>148</v>
      </c>
      <c r="E444" s="1">
        <f ca="1">IFERROR(__xludf.DUMMYFUNCTION("""COMPUTED_VALUE"""),159.95)</f>
        <v>159.94999999999999</v>
      </c>
      <c r="F444" s="1">
        <f ca="1">IFERROR(__xludf.DUMMYFUNCTION("""COMPUTED_VALUE"""),5659676)</f>
        <v>5659676</v>
      </c>
    </row>
    <row r="445" spans="1:6" ht="12.6">
      <c r="A445" s="2">
        <f ca="1">IFERROR(__xludf.DUMMYFUNCTION("""COMPUTED_VALUE"""),45208.6666666666)</f>
        <v>45208.666666666599</v>
      </c>
      <c r="B445" s="1">
        <f ca="1">IFERROR(__xludf.DUMMYFUNCTION("""COMPUTED_VALUE"""),158.5)</f>
        <v>158.5</v>
      </c>
      <c r="C445" s="1">
        <f ca="1">IFERROR(__xludf.DUMMYFUNCTION("""COMPUTED_VALUE"""),163.29)</f>
        <v>163.29</v>
      </c>
      <c r="D445" s="1">
        <f ca="1">IFERROR(__xludf.DUMMYFUNCTION("""COMPUTED_VALUE"""),158.29)</f>
        <v>158.29</v>
      </c>
      <c r="E445" s="1">
        <f ca="1">IFERROR(__xludf.DUMMYFUNCTION("""COMPUTED_VALUE"""),161.81)</f>
        <v>161.81</v>
      </c>
      <c r="F445" s="1">
        <f ca="1">IFERROR(__xludf.DUMMYFUNCTION("""COMPUTED_VALUE"""),2901524)</f>
        <v>2901524</v>
      </c>
    </row>
    <row r="446" spans="1:6" ht="12.6">
      <c r="A446" s="2">
        <f ca="1">IFERROR(__xludf.DUMMYFUNCTION("""COMPUTED_VALUE"""),45209.6666666666)</f>
        <v>45209.666666666599</v>
      </c>
      <c r="B446" s="1">
        <f ca="1">IFERROR(__xludf.DUMMYFUNCTION("""COMPUTED_VALUE"""),163)</f>
        <v>163</v>
      </c>
      <c r="C446" s="1">
        <f ca="1">IFERROR(__xludf.DUMMYFUNCTION("""COMPUTED_VALUE"""),166.43)</f>
        <v>166.43</v>
      </c>
      <c r="D446" s="1">
        <f ca="1">IFERROR(__xludf.DUMMYFUNCTION("""COMPUTED_VALUE"""),162.5)</f>
        <v>162.5</v>
      </c>
      <c r="E446" s="1">
        <f ca="1">IFERROR(__xludf.DUMMYFUNCTION("""COMPUTED_VALUE"""),163.13)</f>
        <v>163.13</v>
      </c>
      <c r="F446" s="1">
        <f ca="1">IFERROR(__xludf.DUMMYFUNCTION("""COMPUTED_VALUE"""),3207673)</f>
        <v>3207673</v>
      </c>
    </row>
    <row r="447" spans="1:6" ht="12.6">
      <c r="A447" s="2">
        <f ca="1">IFERROR(__xludf.DUMMYFUNCTION("""COMPUTED_VALUE"""),45210.6666666666)</f>
        <v>45210.666666666599</v>
      </c>
      <c r="B447" s="1">
        <f ca="1">IFERROR(__xludf.DUMMYFUNCTION("""COMPUTED_VALUE"""),163.92)</f>
        <v>163.92</v>
      </c>
      <c r="C447" s="1">
        <f ca="1">IFERROR(__xludf.DUMMYFUNCTION("""COMPUTED_VALUE"""),165.8)</f>
        <v>165.8</v>
      </c>
      <c r="D447" s="1">
        <f ca="1">IFERROR(__xludf.DUMMYFUNCTION("""COMPUTED_VALUE"""),162.44)</f>
        <v>162.44</v>
      </c>
      <c r="E447" s="1">
        <f ca="1">IFERROR(__xludf.DUMMYFUNCTION("""COMPUTED_VALUE"""),163.54)</f>
        <v>163.54</v>
      </c>
      <c r="F447" s="1">
        <f ca="1">IFERROR(__xludf.DUMMYFUNCTION("""COMPUTED_VALUE"""),2263249)</f>
        <v>2263249</v>
      </c>
    </row>
    <row r="448" spans="1:6" ht="12.6">
      <c r="A448" s="2">
        <f ca="1">IFERROR(__xludf.DUMMYFUNCTION("""COMPUTED_VALUE"""),45211.6666666666)</f>
        <v>45211.666666666599</v>
      </c>
      <c r="B448" s="1">
        <f ca="1">IFERROR(__xludf.DUMMYFUNCTION("""COMPUTED_VALUE"""),161.72)</f>
        <v>161.72</v>
      </c>
      <c r="C448" s="1">
        <f ca="1">IFERROR(__xludf.DUMMYFUNCTION("""COMPUTED_VALUE"""),163.8)</f>
        <v>163.80000000000001</v>
      </c>
      <c r="D448" s="1">
        <f ca="1">IFERROR(__xludf.DUMMYFUNCTION("""COMPUTED_VALUE"""),159.31)</f>
        <v>159.31</v>
      </c>
      <c r="E448" s="1">
        <f ca="1">IFERROR(__xludf.DUMMYFUNCTION("""COMPUTED_VALUE"""),159.96)</f>
        <v>159.96</v>
      </c>
      <c r="F448" s="1">
        <f ca="1">IFERROR(__xludf.DUMMYFUNCTION("""COMPUTED_VALUE"""),2872230)</f>
        <v>2872230</v>
      </c>
    </row>
    <row r="449" spans="1:6" ht="12.6">
      <c r="A449" s="2">
        <f ca="1">IFERROR(__xludf.DUMMYFUNCTION("""COMPUTED_VALUE"""),45212.6666666666)</f>
        <v>45212.666666666599</v>
      </c>
      <c r="B449" s="1">
        <f ca="1">IFERROR(__xludf.DUMMYFUNCTION("""COMPUTED_VALUE"""),160.66)</f>
        <v>160.66</v>
      </c>
      <c r="C449" s="1">
        <f ca="1">IFERROR(__xludf.DUMMYFUNCTION("""COMPUTED_VALUE"""),161.54)</f>
        <v>161.54</v>
      </c>
      <c r="D449" s="1">
        <f ca="1">IFERROR(__xludf.DUMMYFUNCTION("""COMPUTED_VALUE"""),156.97)</f>
        <v>156.97</v>
      </c>
      <c r="E449" s="1">
        <f ca="1">IFERROR(__xludf.DUMMYFUNCTION("""COMPUTED_VALUE"""),157.16)</f>
        <v>157.16</v>
      </c>
      <c r="F449" s="1">
        <f ca="1">IFERROR(__xludf.DUMMYFUNCTION("""COMPUTED_VALUE"""),2818908)</f>
        <v>2818908</v>
      </c>
    </row>
    <row r="450" spans="1:6" ht="12.6">
      <c r="A450" s="2">
        <f ca="1">IFERROR(__xludf.DUMMYFUNCTION("""COMPUTED_VALUE"""),45215.6666666666)</f>
        <v>45215.666666666599</v>
      </c>
      <c r="B450" s="1">
        <f ca="1">IFERROR(__xludf.DUMMYFUNCTION("""COMPUTED_VALUE"""),157.9)</f>
        <v>157.9</v>
      </c>
      <c r="C450" s="1">
        <f ca="1">IFERROR(__xludf.DUMMYFUNCTION("""COMPUTED_VALUE"""),163.13)</f>
        <v>163.13</v>
      </c>
      <c r="D450" s="1">
        <f ca="1">IFERROR(__xludf.DUMMYFUNCTION("""COMPUTED_VALUE"""),156.91)</f>
        <v>156.91</v>
      </c>
      <c r="E450" s="1">
        <f ca="1">IFERROR(__xludf.DUMMYFUNCTION("""COMPUTED_VALUE"""),162.13)</f>
        <v>162.13</v>
      </c>
      <c r="F450" s="1">
        <f ca="1">IFERROR(__xludf.DUMMYFUNCTION("""COMPUTED_VALUE"""),2777002)</f>
        <v>2777002</v>
      </c>
    </row>
    <row r="451" spans="1:6" ht="12.6">
      <c r="A451" s="2">
        <f ca="1">IFERROR(__xludf.DUMMYFUNCTION("""COMPUTED_VALUE"""),45216.6666666666)</f>
        <v>45216.666666666599</v>
      </c>
      <c r="B451" s="1">
        <f ca="1">IFERROR(__xludf.DUMMYFUNCTION("""COMPUTED_VALUE"""),158.98)</f>
        <v>158.97999999999999</v>
      </c>
      <c r="C451" s="1">
        <f ca="1">IFERROR(__xludf.DUMMYFUNCTION("""COMPUTED_VALUE"""),162.7)</f>
        <v>162.69999999999999</v>
      </c>
      <c r="D451" s="1">
        <f ca="1">IFERROR(__xludf.DUMMYFUNCTION("""COMPUTED_VALUE"""),158.58)</f>
        <v>158.58000000000001</v>
      </c>
      <c r="E451" s="1">
        <f ca="1">IFERROR(__xludf.DUMMYFUNCTION("""COMPUTED_VALUE"""),159.39)</f>
        <v>159.38999999999999</v>
      </c>
      <c r="F451" s="1">
        <f ca="1">IFERROR(__xludf.DUMMYFUNCTION("""COMPUTED_VALUE"""),3376002)</f>
        <v>3376002</v>
      </c>
    </row>
    <row r="452" spans="1:6" ht="12.6">
      <c r="A452" s="2">
        <f ca="1">IFERROR(__xludf.DUMMYFUNCTION("""COMPUTED_VALUE"""),45217.6666666666)</f>
        <v>45217.666666666599</v>
      </c>
      <c r="B452" s="1">
        <f ca="1">IFERROR(__xludf.DUMMYFUNCTION("""COMPUTED_VALUE"""),159.4)</f>
        <v>159.4</v>
      </c>
      <c r="C452" s="1">
        <f ca="1">IFERROR(__xludf.DUMMYFUNCTION("""COMPUTED_VALUE"""),160.59)</f>
        <v>160.59</v>
      </c>
      <c r="D452" s="1">
        <f ca="1">IFERROR(__xludf.DUMMYFUNCTION("""COMPUTED_VALUE"""),152.34)</f>
        <v>152.34</v>
      </c>
      <c r="E452" s="1">
        <f ca="1">IFERROR(__xludf.DUMMYFUNCTION("""COMPUTED_VALUE"""),153.23)</f>
        <v>153.22999999999999</v>
      </c>
      <c r="F452" s="1">
        <f ca="1">IFERROR(__xludf.DUMMYFUNCTION("""COMPUTED_VALUE"""),3229186)</f>
        <v>3229186</v>
      </c>
    </row>
    <row r="453" spans="1:6" ht="12.6">
      <c r="A453" s="2">
        <f ca="1">IFERROR(__xludf.DUMMYFUNCTION("""COMPUTED_VALUE"""),45218.6666666666)</f>
        <v>45218.666666666599</v>
      </c>
      <c r="B453" s="1">
        <f ca="1">IFERROR(__xludf.DUMMYFUNCTION("""COMPUTED_VALUE"""),154.76)</f>
        <v>154.76</v>
      </c>
      <c r="C453" s="1">
        <f ca="1">IFERROR(__xludf.DUMMYFUNCTION("""COMPUTED_VALUE"""),158.09)</f>
        <v>158.09</v>
      </c>
      <c r="D453" s="1">
        <f ca="1">IFERROR(__xludf.DUMMYFUNCTION("""COMPUTED_VALUE"""),153.12)</f>
        <v>153.12</v>
      </c>
      <c r="E453" s="1">
        <f ca="1">IFERROR(__xludf.DUMMYFUNCTION("""COMPUTED_VALUE"""),153.43)</f>
        <v>153.43</v>
      </c>
      <c r="F453" s="1">
        <f ca="1">IFERROR(__xludf.DUMMYFUNCTION("""COMPUTED_VALUE"""),2687485)</f>
        <v>2687485</v>
      </c>
    </row>
    <row r="454" spans="1:6" ht="12.6">
      <c r="A454" s="2">
        <f ca="1">IFERROR(__xludf.DUMMYFUNCTION("""COMPUTED_VALUE"""),45219.6666666666)</f>
        <v>45219.666666666599</v>
      </c>
      <c r="B454" s="1">
        <f ca="1">IFERROR(__xludf.DUMMYFUNCTION("""COMPUTED_VALUE"""),153)</f>
        <v>153</v>
      </c>
      <c r="C454" s="1">
        <f ca="1">IFERROR(__xludf.DUMMYFUNCTION("""COMPUTED_VALUE"""),154.09)</f>
        <v>154.09</v>
      </c>
      <c r="D454" s="1">
        <f ca="1">IFERROR(__xludf.DUMMYFUNCTION("""COMPUTED_VALUE"""),147.35)</f>
        <v>147.35</v>
      </c>
      <c r="E454" s="1">
        <f ca="1">IFERROR(__xludf.DUMMYFUNCTION("""COMPUTED_VALUE"""),147.67)</f>
        <v>147.66999999999999</v>
      </c>
      <c r="F454" s="1">
        <f ca="1">IFERROR(__xludf.DUMMYFUNCTION("""COMPUTED_VALUE"""),3651742)</f>
        <v>3651742</v>
      </c>
    </row>
    <row r="455" spans="1:6" ht="12.6">
      <c r="A455" s="2">
        <f ca="1">IFERROR(__xludf.DUMMYFUNCTION("""COMPUTED_VALUE"""),45222.6666666666)</f>
        <v>45222.666666666599</v>
      </c>
      <c r="B455" s="1">
        <f ca="1">IFERROR(__xludf.DUMMYFUNCTION("""COMPUTED_VALUE"""),145.86)</f>
        <v>145.86000000000001</v>
      </c>
      <c r="C455" s="1">
        <f ca="1">IFERROR(__xludf.DUMMYFUNCTION("""COMPUTED_VALUE"""),150.83)</f>
        <v>150.83000000000001</v>
      </c>
      <c r="D455" s="1">
        <f ca="1">IFERROR(__xludf.DUMMYFUNCTION("""COMPUTED_VALUE"""),144.81)</f>
        <v>144.81</v>
      </c>
      <c r="E455" s="1">
        <f ca="1">IFERROR(__xludf.DUMMYFUNCTION("""COMPUTED_VALUE"""),148.59)</f>
        <v>148.59</v>
      </c>
      <c r="F455" s="1">
        <f ca="1">IFERROR(__xludf.DUMMYFUNCTION("""COMPUTED_VALUE"""),2861430)</f>
        <v>2861430</v>
      </c>
    </row>
    <row r="456" spans="1:6" ht="12.6">
      <c r="A456" s="2">
        <f ca="1">IFERROR(__xludf.DUMMYFUNCTION("""COMPUTED_VALUE"""),45223.6666666666)</f>
        <v>45223.666666666599</v>
      </c>
      <c r="B456" s="1">
        <f ca="1">IFERROR(__xludf.DUMMYFUNCTION("""COMPUTED_VALUE"""),149.73)</f>
        <v>149.72999999999999</v>
      </c>
      <c r="C456" s="1">
        <f ca="1">IFERROR(__xludf.DUMMYFUNCTION("""COMPUTED_VALUE"""),152.62)</f>
        <v>152.62</v>
      </c>
      <c r="D456" s="1">
        <f ca="1">IFERROR(__xludf.DUMMYFUNCTION("""COMPUTED_VALUE"""),148.94)</f>
        <v>148.94</v>
      </c>
      <c r="E456" s="1">
        <f ca="1">IFERROR(__xludf.DUMMYFUNCTION("""COMPUTED_VALUE"""),151.12)</f>
        <v>151.12</v>
      </c>
      <c r="F456" s="1">
        <f ca="1">IFERROR(__xludf.DUMMYFUNCTION("""COMPUTED_VALUE"""),2460125)</f>
        <v>2460125</v>
      </c>
    </row>
    <row r="457" spans="1:6" ht="12.6">
      <c r="A457" s="2">
        <f ca="1">IFERROR(__xludf.DUMMYFUNCTION("""COMPUTED_VALUE"""),45224.6666666666)</f>
        <v>45224.666666666599</v>
      </c>
      <c r="B457" s="1">
        <f ca="1">IFERROR(__xludf.DUMMYFUNCTION("""COMPUTED_VALUE"""),150.89)</f>
        <v>150.88999999999999</v>
      </c>
      <c r="C457" s="1">
        <f ca="1">IFERROR(__xludf.DUMMYFUNCTION("""COMPUTED_VALUE"""),150.96)</f>
        <v>150.96</v>
      </c>
      <c r="D457" s="1">
        <f ca="1">IFERROR(__xludf.DUMMYFUNCTION("""COMPUTED_VALUE"""),141.54)</f>
        <v>141.54</v>
      </c>
      <c r="E457" s="1">
        <f ca="1">IFERROR(__xludf.DUMMYFUNCTION("""COMPUTED_VALUE"""),142.4)</f>
        <v>142.4</v>
      </c>
      <c r="F457" s="1">
        <f ca="1">IFERROR(__xludf.DUMMYFUNCTION("""COMPUTED_VALUE"""),4543594)</f>
        <v>4543594</v>
      </c>
    </row>
    <row r="458" spans="1:6" ht="12.6">
      <c r="A458" s="2">
        <f ca="1">IFERROR(__xludf.DUMMYFUNCTION("""COMPUTED_VALUE"""),45225.6666666666)</f>
        <v>45225.666666666599</v>
      </c>
      <c r="B458" s="1">
        <f ca="1">IFERROR(__xludf.DUMMYFUNCTION("""COMPUTED_VALUE"""),142.06)</f>
        <v>142.06</v>
      </c>
      <c r="C458" s="1">
        <f ca="1">IFERROR(__xludf.DUMMYFUNCTION("""COMPUTED_VALUE"""),144.06)</f>
        <v>144.06</v>
      </c>
      <c r="D458" s="1">
        <f ca="1">IFERROR(__xludf.DUMMYFUNCTION("""COMPUTED_VALUE"""),138.4)</f>
        <v>138.4</v>
      </c>
      <c r="E458" s="1">
        <f ca="1">IFERROR(__xludf.DUMMYFUNCTION("""COMPUTED_VALUE"""),140.84)</f>
        <v>140.84</v>
      </c>
      <c r="F458" s="1">
        <f ca="1">IFERROR(__xludf.DUMMYFUNCTION("""COMPUTED_VALUE"""),4801111)</f>
        <v>4801111</v>
      </c>
    </row>
    <row r="459" spans="1:6" ht="12.6">
      <c r="A459" s="2">
        <f ca="1">IFERROR(__xludf.DUMMYFUNCTION("""COMPUTED_VALUE"""),45226.6666666666)</f>
        <v>45226.666666666599</v>
      </c>
      <c r="B459" s="1">
        <f ca="1">IFERROR(__xludf.DUMMYFUNCTION("""COMPUTED_VALUE"""),144.1)</f>
        <v>144.1</v>
      </c>
      <c r="C459" s="1">
        <f ca="1">IFERROR(__xludf.DUMMYFUNCTION("""COMPUTED_VALUE"""),145.39)</f>
        <v>145.38999999999999</v>
      </c>
      <c r="D459" s="1">
        <f ca="1">IFERROR(__xludf.DUMMYFUNCTION("""COMPUTED_VALUE"""),141.89)</f>
        <v>141.88999999999999</v>
      </c>
      <c r="E459" s="1">
        <f ca="1">IFERROR(__xludf.DUMMYFUNCTION("""COMPUTED_VALUE"""),143.38)</f>
        <v>143.38</v>
      </c>
      <c r="F459" s="1">
        <f ca="1">IFERROR(__xludf.DUMMYFUNCTION("""COMPUTED_VALUE"""),3393761)</f>
        <v>3393761</v>
      </c>
    </row>
    <row r="460" spans="1:6" ht="12.6">
      <c r="A460" s="2">
        <f ca="1">IFERROR(__xludf.DUMMYFUNCTION("""COMPUTED_VALUE"""),45229.6666666666)</f>
        <v>45229.666666666599</v>
      </c>
      <c r="B460" s="1">
        <f ca="1">IFERROR(__xludf.DUMMYFUNCTION("""COMPUTED_VALUE"""),144)</f>
        <v>144</v>
      </c>
      <c r="C460" s="1">
        <f ca="1">IFERROR(__xludf.DUMMYFUNCTION("""COMPUTED_VALUE"""),145.75)</f>
        <v>145.75</v>
      </c>
      <c r="D460" s="1">
        <f ca="1">IFERROR(__xludf.DUMMYFUNCTION("""COMPUTED_VALUE"""),142.68)</f>
        <v>142.68</v>
      </c>
      <c r="E460" s="1">
        <f ca="1">IFERROR(__xludf.DUMMYFUNCTION("""COMPUTED_VALUE"""),144.16)</f>
        <v>144.16</v>
      </c>
      <c r="F460" s="1">
        <f ca="1">IFERROR(__xludf.DUMMYFUNCTION("""COMPUTED_VALUE"""),2089728)</f>
        <v>2089728</v>
      </c>
    </row>
    <row r="461" spans="1:6" ht="12.6">
      <c r="A461" s="2">
        <f ca="1">IFERROR(__xludf.DUMMYFUNCTION("""COMPUTED_VALUE"""),45230.6666666666)</f>
        <v>45230.666666666599</v>
      </c>
      <c r="B461" s="1">
        <f ca="1">IFERROR(__xludf.DUMMYFUNCTION("""COMPUTED_VALUE"""),144.79)</f>
        <v>144.79</v>
      </c>
      <c r="C461" s="1">
        <f ca="1">IFERROR(__xludf.DUMMYFUNCTION("""COMPUTED_VALUE"""),145.97)</f>
        <v>145.97</v>
      </c>
      <c r="D461" s="1">
        <f ca="1">IFERROR(__xludf.DUMMYFUNCTION("""COMPUTED_VALUE"""),141.59)</f>
        <v>141.59</v>
      </c>
      <c r="E461" s="1">
        <f ca="1">IFERROR(__xludf.DUMMYFUNCTION("""COMPUTED_VALUE"""),145.13)</f>
        <v>145.13</v>
      </c>
      <c r="F461" s="1">
        <f ca="1">IFERROR(__xludf.DUMMYFUNCTION("""COMPUTED_VALUE"""),2860416)</f>
        <v>2860416</v>
      </c>
    </row>
    <row r="462" spans="1:6" ht="12.6">
      <c r="A462" s="2">
        <f ca="1">IFERROR(__xludf.DUMMYFUNCTION("""COMPUTED_VALUE"""),45231.6666666666)</f>
        <v>45231.666666666599</v>
      </c>
      <c r="B462" s="1">
        <f ca="1">IFERROR(__xludf.DUMMYFUNCTION("""COMPUTED_VALUE"""),145.3)</f>
        <v>145.30000000000001</v>
      </c>
      <c r="C462" s="1">
        <f ca="1">IFERROR(__xludf.DUMMYFUNCTION("""COMPUTED_VALUE"""),145.72)</f>
        <v>145.72</v>
      </c>
      <c r="D462" s="1">
        <f ca="1">IFERROR(__xludf.DUMMYFUNCTION("""COMPUTED_VALUE"""),142.32)</f>
        <v>142.32</v>
      </c>
      <c r="E462" s="1">
        <f ca="1">IFERROR(__xludf.DUMMYFUNCTION("""COMPUTED_VALUE"""),144.26)</f>
        <v>144.26</v>
      </c>
      <c r="F462" s="1">
        <f ca="1">IFERROR(__xludf.DUMMYFUNCTION("""COMPUTED_VALUE"""),3688286)</f>
        <v>3688286</v>
      </c>
    </row>
    <row r="463" spans="1:6" ht="12.6">
      <c r="A463" s="2">
        <f ca="1">IFERROR(__xludf.DUMMYFUNCTION("""COMPUTED_VALUE"""),45232.6666666666)</f>
        <v>45232.666666666599</v>
      </c>
      <c r="B463" s="1">
        <f ca="1">IFERROR(__xludf.DUMMYFUNCTION("""COMPUTED_VALUE"""),145.22)</f>
        <v>145.22</v>
      </c>
      <c r="C463" s="1">
        <f ca="1">IFERROR(__xludf.DUMMYFUNCTION("""COMPUTED_VALUE"""),147.84)</f>
        <v>147.84</v>
      </c>
      <c r="D463" s="1">
        <f ca="1">IFERROR(__xludf.DUMMYFUNCTION("""COMPUTED_VALUE"""),140.14)</f>
        <v>140.13999999999999</v>
      </c>
      <c r="E463" s="1">
        <f ca="1">IFERROR(__xludf.DUMMYFUNCTION("""COMPUTED_VALUE"""),142.75)</f>
        <v>142.75</v>
      </c>
      <c r="F463" s="1">
        <f ca="1">IFERROR(__xludf.DUMMYFUNCTION("""COMPUTED_VALUE"""),6822701)</f>
        <v>6822701</v>
      </c>
    </row>
    <row r="464" spans="1:6" ht="12.6">
      <c r="A464" s="2">
        <f ca="1">IFERROR(__xludf.DUMMYFUNCTION("""COMPUTED_VALUE"""),45233.6666666666)</f>
        <v>45233.666666666599</v>
      </c>
      <c r="B464" s="1">
        <f ca="1">IFERROR(__xludf.DUMMYFUNCTION("""COMPUTED_VALUE"""),143)</f>
        <v>143</v>
      </c>
      <c r="C464" s="1">
        <f ca="1">IFERROR(__xludf.DUMMYFUNCTION("""COMPUTED_VALUE"""),150.28)</f>
        <v>150.28</v>
      </c>
      <c r="D464" s="1">
        <f ca="1">IFERROR(__xludf.DUMMYFUNCTION("""COMPUTED_VALUE"""),142.72)</f>
        <v>142.72</v>
      </c>
      <c r="E464" s="1">
        <f ca="1">IFERROR(__xludf.DUMMYFUNCTION("""COMPUTED_VALUE"""),149.99)</f>
        <v>149.99</v>
      </c>
      <c r="F464" s="1">
        <f ca="1">IFERROR(__xludf.DUMMYFUNCTION("""COMPUTED_VALUE"""),5105651)</f>
        <v>5105651</v>
      </c>
    </row>
    <row r="465" spans="1:6" ht="12.6">
      <c r="A465" s="2">
        <f ca="1">IFERROR(__xludf.DUMMYFUNCTION("""COMPUTED_VALUE"""),45236.6666666666)</f>
        <v>45236.666666666599</v>
      </c>
      <c r="B465" s="1">
        <f ca="1">IFERROR(__xludf.DUMMYFUNCTION("""COMPUTED_VALUE"""),150)</f>
        <v>150</v>
      </c>
      <c r="C465" s="1">
        <f ca="1">IFERROR(__xludf.DUMMYFUNCTION("""COMPUTED_VALUE"""),150.45)</f>
        <v>150.44999999999999</v>
      </c>
      <c r="D465" s="1">
        <f ca="1">IFERROR(__xludf.DUMMYFUNCTION("""COMPUTED_VALUE"""),141.93)</f>
        <v>141.93</v>
      </c>
      <c r="E465" s="1">
        <f ca="1">IFERROR(__xludf.DUMMYFUNCTION("""COMPUTED_VALUE"""),144.2)</f>
        <v>144.19999999999999</v>
      </c>
      <c r="F465" s="1">
        <f ca="1">IFERROR(__xludf.DUMMYFUNCTION("""COMPUTED_VALUE"""),4881540)</f>
        <v>4881540</v>
      </c>
    </row>
    <row r="466" spans="1:6" ht="12.6">
      <c r="A466" s="2">
        <f ca="1">IFERROR(__xludf.DUMMYFUNCTION("""COMPUTED_VALUE"""),45237.6666666666)</f>
        <v>45237.666666666599</v>
      </c>
      <c r="B466" s="1">
        <f ca="1">IFERROR(__xludf.DUMMYFUNCTION("""COMPUTED_VALUE"""),155.77)</f>
        <v>155.77000000000001</v>
      </c>
      <c r="C466" s="1">
        <f ca="1">IFERROR(__xludf.DUMMYFUNCTION("""COMPUTED_VALUE"""),162.5)</f>
        <v>162.5</v>
      </c>
      <c r="D466" s="1">
        <f ca="1">IFERROR(__xludf.DUMMYFUNCTION("""COMPUTED_VALUE"""),153.85)</f>
        <v>153.85</v>
      </c>
      <c r="E466" s="1">
        <f ca="1">IFERROR(__xludf.DUMMYFUNCTION("""COMPUTED_VALUE"""),159.57)</f>
        <v>159.57</v>
      </c>
      <c r="F466" s="1">
        <f ca="1">IFERROR(__xludf.DUMMYFUNCTION("""COMPUTED_VALUE"""),12553291)</f>
        <v>12553291</v>
      </c>
    </row>
    <row r="467" spans="1:6" ht="12.6">
      <c r="A467" s="2">
        <f ca="1">IFERROR(__xludf.DUMMYFUNCTION("""COMPUTED_VALUE"""),45238.6666666666)</f>
        <v>45238.666666666599</v>
      </c>
      <c r="B467" s="1">
        <f ca="1">IFERROR(__xludf.DUMMYFUNCTION("""COMPUTED_VALUE"""),160.2)</f>
        <v>160.19999999999999</v>
      </c>
      <c r="C467" s="1">
        <f ca="1">IFERROR(__xludf.DUMMYFUNCTION("""COMPUTED_VALUE"""),161.49)</f>
        <v>161.49</v>
      </c>
      <c r="D467" s="1">
        <f ca="1">IFERROR(__xludf.DUMMYFUNCTION("""COMPUTED_VALUE"""),156.01)</f>
        <v>156.01</v>
      </c>
      <c r="E467" s="1">
        <f ca="1">IFERROR(__xludf.DUMMYFUNCTION("""COMPUTED_VALUE"""),158.58)</f>
        <v>158.58000000000001</v>
      </c>
      <c r="F467" s="1">
        <f ca="1">IFERROR(__xludf.DUMMYFUNCTION("""COMPUTED_VALUE"""),4197978)</f>
        <v>4197978</v>
      </c>
    </row>
    <row r="468" spans="1:6" ht="12.6">
      <c r="A468" s="2">
        <f ca="1">IFERROR(__xludf.DUMMYFUNCTION("""COMPUTED_VALUE"""),45239.6666666666)</f>
        <v>45239.666666666599</v>
      </c>
      <c r="B468" s="1">
        <f ca="1">IFERROR(__xludf.DUMMYFUNCTION("""COMPUTED_VALUE"""),159.5)</f>
        <v>159.5</v>
      </c>
      <c r="C468" s="1">
        <f ca="1">IFERROR(__xludf.DUMMYFUNCTION("""COMPUTED_VALUE"""),162.4)</f>
        <v>162.4</v>
      </c>
      <c r="D468" s="1">
        <f ca="1">IFERROR(__xludf.DUMMYFUNCTION("""COMPUTED_VALUE"""),156.11)</f>
        <v>156.11000000000001</v>
      </c>
      <c r="E468" s="1">
        <f ca="1">IFERROR(__xludf.DUMMYFUNCTION("""COMPUTED_VALUE"""),156.35)</f>
        <v>156.35</v>
      </c>
      <c r="F468" s="1">
        <f ca="1">IFERROR(__xludf.DUMMYFUNCTION("""COMPUTED_VALUE"""),3982258)</f>
        <v>3982258</v>
      </c>
    </row>
    <row r="469" spans="1:6" ht="12.6">
      <c r="A469" s="2">
        <f ca="1">IFERROR(__xludf.DUMMYFUNCTION("""COMPUTED_VALUE"""),45240.6666666666)</f>
        <v>45240.666666666599</v>
      </c>
      <c r="B469" s="1">
        <f ca="1">IFERROR(__xludf.DUMMYFUNCTION("""COMPUTED_VALUE"""),155.85)</f>
        <v>155.85</v>
      </c>
      <c r="C469" s="1">
        <f ca="1">IFERROR(__xludf.DUMMYFUNCTION("""COMPUTED_VALUE"""),161.22)</f>
        <v>161.22</v>
      </c>
      <c r="D469" s="1">
        <f ca="1">IFERROR(__xludf.DUMMYFUNCTION("""COMPUTED_VALUE"""),153.53)</f>
        <v>153.53</v>
      </c>
      <c r="E469" s="1">
        <f ca="1">IFERROR(__xludf.DUMMYFUNCTION("""COMPUTED_VALUE"""),160.4)</f>
        <v>160.4</v>
      </c>
      <c r="F469" s="1">
        <f ca="1">IFERROR(__xludf.DUMMYFUNCTION("""COMPUTED_VALUE"""),3982683)</f>
        <v>3982683</v>
      </c>
    </row>
    <row r="470" spans="1:6" ht="12.6">
      <c r="A470" s="2">
        <f ca="1">IFERROR(__xludf.DUMMYFUNCTION("""COMPUTED_VALUE"""),45243.6666666666)</f>
        <v>45243.666666666599</v>
      </c>
      <c r="B470" s="1">
        <f ca="1">IFERROR(__xludf.DUMMYFUNCTION("""COMPUTED_VALUE"""),160.04)</f>
        <v>160.04</v>
      </c>
      <c r="C470" s="1">
        <f ca="1">IFERROR(__xludf.DUMMYFUNCTION("""COMPUTED_VALUE"""),161.15)</f>
        <v>161.15</v>
      </c>
      <c r="D470" s="1">
        <f ca="1">IFERROR(__xludf.DUMMYFUNCTION("""COMPUTED_VALUE"""),157.28)</f>
        <v>157.28</v>
      </c>
      <c r="E470" s="1">
        <f ca="1">IFERROR(__xludf.DUMMYFUNCTION("""COMPUTED_VALUE"""),158.7)</f>
        <v>158.69999999999999</v>
      </c>
      <c r="F470" s="1">
        <f ca="1">IFERROR(__xludf.DUMMYFUNCTION("""COMPUTED_VALUE"""),3286665)</f>
        <v>3286665</v>
      </c>
    </row>
    <row r="471" spans="1:6" ht="12.6">
      <c r="A471" s="2">
        <f ca="1">IFERROR(__xludf.DUMMYFUNCTION("""COMPUTED_VALUE"""),45244.6666666666)</f>
        <v>45244.666666666599</v>
      </c>
      <c r="B471" s="1">
        <f ca="1">IFERROR(__xludf.DUMMYFUNCTION("""COMPUTED_VALUE"""),164.5)</f>
        <v>164.5</v>
      </c>
      <c r="C471" s="1">
        <f ca="1">IFERROR(__xludf.DUMMYFUNCTION("""COMPUTED_VALUE"""),166.28)</f>
        <v>166.28</v>
      </c>
      <c r="D471" s="1">
        <f ca="1">IFERROR(__xludf.DUMMYFUNCTION("""COMPUTED_VALUE"""),163.16)</f>
        <v>163.16</v>
      </c>
      <c r="E471" s="1">
        <f ca="1">IFERROR(__xludf.DUMMYFUNCTION("""COMPUTED_VALUE"""),165.86)</f>
        <v>165.86</v>
      </c>
      <c r="F471" s="1">
        <f ca="1">IFERROR(__xludf.DUMMYFUNCTION("""COMPUTED_VALUE"""),5141766)</f>
        <v>5141766</v>
      </c>
    </row>
    <row r="472" spans="1:6" ht="12.6">
      <c r="A472" s="2">
        <f ca="1">IFERROR(__xludf.DUMMYFUNCTION("""COMPUTED_VALUE"""),45245.6666666666)</f>
        <v>45245.666666666599</v>
      </c>
      <c r="B472" s="1">
        <f ca="1">IFERROR(__xludf.DUMMYFUNCTION("""COMPUTED_VALUE"""),166.57)</f>
        <v>166.57</v>
      </c>
      <c r="C472" s="1">
        <f ca="1">IFERROR(__xludf.DUMMYFUNCTION("""COMPUTED_VALUE"""),169.19)</f>
        <v>169.19</v>
      </c>
      <c r="D472" s="1">
        <f ca="1">IFERROR(__xludf.DUMMYFUNCTION("""COMPUTED_VALUE"""),162.84)</f>
        <v>162.84</v>
      </c>
      <c r="E472" s="1">
        <f ca="1">IFERROR(__xludf.DUMMYFUNCTION("""COMPUTED_VALUE"""),163.03)</f>
        <v>163.03</v>
      </c>
      <c r="F472" s="1">
        <f ca="1">IFERROR(__xludf.DUMMYFUNCTION("""COMPUTED_VALUE"""),4150023)</f>
        <v>4150023</v>
      </c>
    </row>
    <row r="473" spans="1:6" ht="12.6">
      <c r="A473" s="2">
        <f ca="1">IFERROR(__xludf.DUMMYFUNCTION("""COMPUTED_VALUE"""),45246.6666666666)</f>
        <v>45246.666666666599</v>
      </c>
      <c r="B473" s="1">
        <f ca="1">IFERROR(__xludf.DUMMYFUNCTION("""COMPUTED_VALUE"""),162.94)</f>
        <v>162.94</v>
      </c>
      <c r="C473" s="1">
        <f ca="1">IFERROR(__xludf.DUMMYFUNCTION("""COMPUTED_VALUE"""),163)</f>
        <v>163</v>
      </c>
      <c r="D473" s="1">
        <f ca="1">IFERROR(__xludf.DUMMYFUNCTION("""COMPUTED_VALUE"""),159.51)</f>
        <v>159.51</v>
      </c>
      <c r="E473" s="1">
        <f ca="1">IFERROR(__xludf.DUMMYFUNCTION("""COMPUTED_VALUE"""),160.97)</f>
        <v>160.97</v>
      </c>
      <c r="F473" s="1">
        <f ca="1">IFERROR(__xludf.DUMMYFUNCTION("""COMPUTED_VALUE"""),3358519)</f>
        <v>3358519</v>
      </c>
    </row>
    <row r="474" spans="1:6" ht="12.6">
      <c r="A474" s="2">
        <f ca="1">IFERROR(__xludf.DUMMYFUNCTION("""COMPUTED_VALUE"""),45247.6666666666)</f>
        <v>45247.666666666599</v>
      </c>
      <c r="B474" s="1">
        <f ca="1">IFERROR(__xludf.DUMMYFUNCTION("""COMPUTED_VALUE"""),160.71)</f>
        <v>160.71</v>
      </c>
      <c r="C474" s="1">
        <f ca="1">IFERROR(__xludf.DUMMYFUNCTION("""COMPUTED_VALUE"""),162.73)</f>
        <v>162.72999999999999</v>
      </c>
      <c r="D474" s="1">
        <f ca="1">IFERROR(__xludf.DUMMYFUNCTION("""COMPUTED_VALUE"""),160.33)</f>
        <v>160.33000000000001</v>
      </c>
      <c r="E474" s="1">
        <f ca="1">IFERROR(__xludf.DUMMYFUNCTION("""COMPUTED_VALUE"""),161.85)</f>
        <v>161.85</v>
      </c>
      <c r="F474" s="1">
        <f ca="1">IFERROR(__xludf.DUMMYFUNCTION("""COMPUTED_VALUE"""),1896456)</f>
        <v>1896456</v>
      </c>
    </row>
    <row r="475" spans="1:6" ht="12.6">
      <c r="A475" s="2">
        <f ca="1">IFERROR(__xludf.DUMMYFUNCTION("""COMPUTED_VALUE"""),45250.6666666666)</f>
        <v>45250.666666666599</v>
      </c>
      <c r="B475" s="1">
        <f ca="1">IFERROR(__xludf.DUMMYFUNCTION("""COMPUTED_VALUE"""),162)</f>
        <v>162</v>
      </c>
      <c r="C475" s="1">
        <f ca="1">IFERROR(__xludf.DUMMYFUNCTION("""COMPUTED_VALUE"""),168.82)</f>
        <v>168.82</v>
      </c>
      <c r="D475" s="1">
        <f ca="1">IFERROR(__xludf.DUMMYFUNCTION("""COMPUTED_VALUE"""),162)</f>
        <v>162</v>
      </c>
      <c r="E475" s="1">
        <f ca="1">IFERROR(__xludf.DUMMYFUNCTION("""COMPUTED_VALUE"""),166.73)</f>
        <v>166.73</v>
      </c>
      <c r="F475" s="1">
        <f ca="1">IFERROR(__xludf.DUMMYFUNCTION("""COMPUTED_VALUE"""),3755270)</f>
        <v>3755270</v>
      </c>
    </row>
    <row r="476" spans="1:6" ht="12.6">
      <c r="A476" s="2">
        <f ca="1">IFERROR(__xludf.DUMMYFUNCTION("""COMPUTED_VALUE"""),45251.6666666666)</f>
        <v>45251.666666666599</v>
      </c>
      <c r="B476" s="1">
        <f ca="1">IFERROR(__xludf.DUMMYFUNCTION("""COMPUTED_VALUE"""),164.93)</f>
        <v>164.93</v>
      </c>
      <c r="C476" s="1">
        <f ca="1">IFERROR(__xludf.DUMMYFUNCTION("""COMPUTED_VALUE"""),168.11)</f>
        <v>168.11</v>
      </c>
      <c r="D476" s="1">
        <f ca="1">IFERROR(__xludf.DUMMYFUNCTION("""COMPUTED_VALUE"""),164.29)</f>
        <v>164.29</v>
      </c>
      <c r="E476" s="1">
        <f ca="1">IFERROR(__xludf.DUMMYFUNCTION("""COMPUTED_VALUE"""),166.67)</f>
        <v>166.67</v>
      </c>
      <c r="F476" s="1">
        <f ca="1">IFERROR(__xludf.DUMMYFUNCTION("""COMPUTED_VALUE"""),2834590)</f>
        <v>2834590</v>
      </c>
    </row>
    <row r="477" spans="1:6" ht="12.6">
      <c r="A477" s="2">
        <f ca="1">IFERROR(__xludf.DUMMYFUNCTION("""COMPUTED_VALUE"""),45252.6666666666)</f>
        <v>45252.666666666599</v>
      </c>
      <c r="B477" s="1">
        <f ca="1">IFERROR(__xludf.DUMMYFUNCTION("""COMPUTED_VALUE"""),168.9)</f>
        <v>168.9</v>
      </c>
      <c r="C477" s="1">
        <f ca="1">IFERROR(__xludf.DUMMYFUNCTION("""COMPUTED_VALUE"""),171.22)</f>
        <v>171.22</v>
      </c>
      <c r="D477" s="1">
        <f ca="1">IFERROR(__xludf.DUMMYFUNCTION("""COMPUTED_VALUE"""),167.3)</f>
        <v>167.3</v>
      </c>
      <c r="E477" s="1">
        <f ca="1">IFERROR(__xludf.DUMMYFUNCTION("""COMPUTED_VALUE"""),168.92)</f>
        <v>168.92</v>
      </c>
      <c r="F477" s="1">
        <f ca="1">IFERROR(__xludf.DUMMYFUNCTION("""COMPUTED_VALUE"""),3015395)</f>
        <v>3015395</v>
      </c>
    </row>
    <row r="478" spans="1:6" ht="12.6">
      <c r="A478" s="2">
        <f ca="1">IFERROR(__xludf.DUMMYFUNCTION("""COMPUTED_VALUE"""),45254.5416666666)</f>
        <v>45254.541666666599</v>
      </c>
      <c r="B478" s="1">
        <f ca="1">IFERROR(__xludf.DUMMYFUNCTION("""COMPUTED_VALUE"""),168.04)</f>
        <v>168.04</v>
      </c>
      <c r="C478" s="1">
        <f ca="1">IFERROR(__xludf.DUMMYFUNCTION("""COMPUTED_VALUE"""),171.48)</f>
        <v>171.48</v>
      </c>
      <c r="D478" s="1">
        <f ca="1">IFERROR(__xludf.DUMMYFUNCTION("""COMPUTED_VALUE"""),167.49)</f>
        <v>167.49</v>
      </c>
      <c r="E478" s="1">
        <f ca="1">IFERROR(__xludf.DUMMYFUNCTION("""COMPUTED_VALUE"""),171.16)</f>
        <v>171.16</v>
      </c>
      <c r="F478" s="1">
        <f ca="1">IFERROR(__xludf.DUMMYFUNCTION("""COMPUTED_VALUE"""),1738385)</f>
        <v>1738385</v>
      </c>
    </row>
    <row r="479" spans="1:6" ht="12.6">
      <c r="A479" s="2">
        <f ca="1">IFERROR(__xludf.DUMMYFUNCTION("""COMPUTED_VALUE"""),45257.6666666666)</f>
        <v>45257.666666666599</v>
      </c>
      <c r="B479" s="1">
        <f ca="1">IFERROR(__xludf.DUMMYFUNCTION("""COMPUTED_VALUE"""),171)</f>
        <v>171</v>
      </c>
      <c r="C479" s="1">
        <f ca="1">IFERROR(__xludf.DUMMYFUNCTION("""COMPUTED_VALUE"""),172.68)</f>
        <v>172.68</v>
      </c>
      <c r="D479" s="1">
        <f ca="1">IFERROR(__xludf.DUMMYFUNCTION("""COMPUTED_VALUE"""),170.05)</f>
        <v>170.05</v>
      </c>
      <c r="E479" s="1">
        <f ca="1">IFERROR(__xludf.DUMMYFUNCTION("""COMPUTED_VALUE"""),170.3)</f>
        <v>170.3</v>
      </c>
      <c r="F479" s="1">
        <f ca="1">IFERROR(__xludf.DUMMYFUNCTION("""COMPUTED_VALUE"""),4214149)</f>
        <v>4214149</v>
      </c>
    </row>
    <row r="480" spans="1:6" ht="12.6">
      <c r="A480" s="2">
        <f ca="1">IFERROR(__xludf.DUMMYFUNCTION("""COMPUTED_VALUE"""),45258.6666666666)</f>
        <v>45258.666666666599</v>
      </c>
      <c r="B480" s="1">
        <f ca="1">IFERROR(__xludf.DUMMYFUNCTION("""COMPUTED_VALUE"""),170)</f>
        <v>170</v>
      </c>
      <c r="C480" s="1">
        <f ca="1">IFERROR(__xludf.DUMMYFUNCTION("""COMPUTED_VALUE"""),172.18)</f>
        <v>172.18</v>
      </c>
      <c r="D480" s="1">
        <f ca="1">IFERROR(__xludf.DUMMYFUNCTION("""COMPUTED_VALUE"""),167.91)</f>
        <v>167.91</v>
      </c>
      <c r="E480" s="1">
        <f ca="1">IFERROR(__xludf.DUMMYFUNCTION("""COMPUTED_VALUE"""),171.55)</f>
        <v>171.55</v>
      </c>
      <c r="F480" s="1">
        <f ca="1">IFERROR(__xludf.DUMMYFUNCTION("""COMPUTED_VALUE"""),3829799)</f>
        <v>3829799</v>
      </c>
    </row>
    <row r="481" spans="1:6" ht="12.6">
      <c r="A481" s="2">
        <f ca="1">IFERROR(__xludf.DUMMYFUNCTION("""COMPUTED_VALUE"""),45259.6666666666)</f>
        <v>45259.666666666599</v>
      </c>
      <c r="B481" s="1">
        <f ca="1">IFERROR(__xludf.DUMMYFUNCTION("""COMPUTED_VALUE"""),175.02)</f>
        <v>175.02</v>
      </c>
      <c r="C481" s="1">
        <f ca="1">IFERROR(__xludf.DUMMYFUNCTION("""COMPUTED_VALUE"""),177.6)</f>
        <v>177.6</v>
      </c>
      <c r="D481" s="1">
        <f ca="1">IFERROR(__xludf.DUMMYFUNCTION("""COMPUTED_VALUE"""),174.35)</f>
        <v>174.35</v>
      </c>
      <c r="E481" s="1">
        <f ca="1">IFERROR(__xludf.DUMMYFUNCTION("""COMPUTED_VALUE"""),175.32)</f>
        <v>175.32</v>
      </c>
      <c r="F481" s="1">
        <f ca="1">IFERROR(__xludf.DUMMYFUNCTION("""COMPUTED_VALUE"""),10298419)</f>
        <v>10298419</v>
      </c>
    </row>
    <row r="482" spans="1:6" ht="12.6">
      <c r="A482" s="2">
        <f ca="1">IFERROR(__xludf.DUMMYFUNCTION("""COMPUTED_VALUE"""),45260.6666666666)</f>
        <v>45260.666666666599</v>
      </c>
      <c r="B482" s="1">
        <f ca="1">IFERROR(__xludf.DUMMYFUNCTION("""COMPUTED_VALUE"""),188)</f>
        <v>188</v>
      </c>
      <c r="C482" s="1">
        <f ca="1">IFERROR(__xludf.DUMMYFUNCTION("""COMPUTED_VALUE"""),192.66)</f>
        <v>192.66</v>
      </c>
      <c r="D482" s="1">
        <f ca="1">IFERROR(__xludf.DUMMYFUNCTION("""COMPUTED_VALUE"""),180.27)</f>
        <v>180.27</v>
      </c>
      <c r="E482" s="1">
        <f ca="1">IFERROR(__xludf.DUMMYFUNCTION("""COMPUTED_VALUE"""),187.68)</f>
        <v>187.68</v>
      </c>
      <c r="F482" s="1">
        <f ca="1">IFERROR(__xludf.DUMMYFUNCTION("""COMPUTED_VALUE"""),22593509)</f>
        <v>22593509</v>
      </c>
    </row>
    <row r="483" spans="1:6" ht="12.6">
      <c r="A483" s="2">
        <f ca="1">IFERROR(__xludf.DUMMYFUNCTION("""COMPUTED_VALUE"""),45261.6666666666)</f>
        <v>45261.666666666599</v>
      </c>
      <c r="B483" s="1">
        <f ca="1">IFERROR(__xludf.DUMMYFUNCTION("""COMPUTED_VALUE"""),185.25)</f>
        <v>185.25</v>
      </c>
      <c r="C483" s="1">
        <f ca="1">IFERROR(__xludf.DUMMYFUNCTION("""COMPUTED_VALUE"""),188.56)</f>
        <v>188.56</v>
      </c>
      <c r="D483" s="1">
        <f ca="1">IFERROR(__xludf.DUMMYFUNCTION("""COMPUTED_VALUE"""),180.8)</f>
        <v>180.8</v>
      </c>
      <c r="E483" s="1">
        <f ca="1">IFERROR(__xludf.DUMMYFUNCTION("""COMPUTED_VALUE"""),185.97)</f>
        <v>185.97</v>
      </c>
      <c r="F483" s="1">
        <f ca="1">IFERROR(__xludf.DUMMYFUNCTION("""COMPUTED_VALUE"""),10315162)</f>
        <v>10315162</v>
      </c>
    </row>
    <row r="484" spans="1:6" ht="12.6">
      <c r="A484" s="2">
        <f ca="1">IFERROR(__xludf.DUMMYFUNCTION("""COMPUTED_VALUE"""),45264.6666666666)</f>
        <v>45264.666666666599</v>
      </c>
      <c r="B484" s="1">
        <f ca="1">IFERROR(__xludf.DUMMYFUNCTION("""COMPUTED_VALUE"""),184.81)</f>
        <v>184.81</v>
      </c>
      <c r="C484" s="1">
        <f ca="1">IFERROR(__xludf.DUMMYFUNCTION("""COMPUTED_VALUE"""),191)</f>
        <v>191</v>
      </c>
      <c r="D484" s="1">
        <f ca="1">IFERROR(__xludf.DUMMYFUNCTION("""COMPUTED_VALUE"""),183.61)</f>
        <v>183.61</v>
      </c>
      <c r="E484" s="1">
        <f ca="1">IFERROR(__xludf.DUMMYFUNCTION("""COMPUTED_VALUE"""),188.3)</f>
        <v>188.3</v>
      </c>
      <c r="F484" s="1">
        <f ca="1">IFERROR(__xludf.DUMMYFUNCTION("""COMPUTED_VALUE"""),8530965)</f>
        <v>8530965</v>
      </c>
    </row>
    <row r="485" spans="1:6" ht="12.6">
      <c r="A485" s="2">
        <f ca="1">IFERROR(__xludf.DUMMYFUNCTION("""COMPUTED_VALUE"""),45265.6666666666)</f>
        <v>45265.666666666599</v>
      </c>
      <c r="B485" s="1">
        <f ca="1">IFERROR(__xludf.DUMMYFUNCTION("""COMPUTED_VALUE"""),186.53)</f>
        <v>186.53</v>
      </c>
      <c r="C485" s="1">
        <f ca="1">IFERROR(__xludf.DUMMYFUNCTION("""COMPUTED_VALUE"""),188.52)</f>
        <v>188.52</v>
      </c>
      <c r="D485" s="1">
        <f ca="1">IFERROR(__xludf.DUMMYFUNCTION("""COMPUTED_VALUE"""),184.08)</f>
        <v>184.08</v>
      </c>
      <c r="E485" s="1">
        <f ca="1">IFERROR(__xludf.DUMMYFUNCTION("""COMPUTED_VALUE"""),186.16)</f>
        <v>186.16</v>
      </c>
      <c r="F485" s="1">
        <f ca="1">IFERROR(__xludf.DUMMYFUNCTION("""COMPUTED_VALUE"""),4060490)</f>
        <v>4060490</v>
      </c>
    </row>
    <row r="486" spans="1:6" ht="12.6">
      <c r="A486" s="2">
        <f ca="1">IFERROR(__xludf.DUMMYFUNCTION("""COMPUTED_VALUE"""),45266.6666666666)</f>
        <v>45266.666666666599</v>
      </c>
      <c r="B486" s="1">
        <f ca="1">IFERROR(__xludf.DUMMYFUNCTION("""COMPUTED_VALUE"""),187.41)</f>
        <v>187.41</v>
      </c>
      <c r="C486" s="1">
        <f ca="1">IFERROR(__xludf.DUMMYFUNCTION("""COMPUTED_VALUE"""),190.62)</f>
        <v>190.62</v>
      </c>
      <c r="D486" s="1">
        <f ca="1">IFERROR(__xludf.DUMMYFUNCTION("""COMPUTED_VALUE"""),184.4)</f>
        <v>184.4</v>
      </c>
      <c r="E486" s="1">
        <f ca="1">IFERROR(__xludf.DUMMYFUNCTION("""COMPUTED_VALUE"""),184.47)</f>
        <v>184.47</v>
      </c>
      <c r="F486" s="1">
        <f ca="1">IFERROR(__xludf.DUMMYFUNCTION("""COMPUTED_VALUE"""),5358674)</f>
        <v>5358674</v>
      </c>
    </row>
    <row r="487" spans="1:6" ht="12.6">
      <c r="A487" s="2">
        <f ca="1">IFERROR(__xludf.DUMMYFUNCTION("""COMPUTED_VALUE"""),45267.6666666666)</f>
        <v>45267.666666666599</v>
      </c>
      <c r="B487" s="1">
        <f ca="1">IFERROR(__xludf.DUMMYFUNCTION("""COMPUTED_VALUE"""),184.61)</f>
        <v>184.61</v>
      </c>
      <c r="C487" s="1">
        <f ca="1">IFERROR(__xludf.DUMMYFUNCTION("""COMPUTED_VALUE"""),188.78)</f>
        <v>188.78</v>
      </c>
      <c r="D487" s="1">
        <f ca="1">IFERROR(__xludf.DUMMYFUNCTION("""COMPUTED_VALUE"""),183.03)</f>
        <v>183.03</v>
      </c>
      <c r="E487" s="1">
        <f ca="1">IFERROR(__xludf.DUMMYFUNCTION("""COMPUTED_VALUE"""),187.31)</f>
        <v>187.31</v>
      </c>
      <c r="F487" s="1">
        <f ca="1">IFERROR(__xludf.DUMMYFUNCTION("""COMPUTED_VALUE"""),4824379)</f>
        <v>4824379</v>
      </c>
    </row>
    <row r="488" spans="1:6" ht="12.6">
      <c r="A488" s="2">
        <f ca="1">IFERROR(__xludf.DUMMYFUNCTION("""COMPUTED_VALUE"""),45268.6666666666)</f>
        <v>45268.666666666599</v>
      </c>
      <c r="B488" s="1">
        <f ca="1">IFERROR(__xludf.DUMMYFUNCTION("""COMPUTED_VALUE"""),187)</f>
        <v>187</v>
      </c>
      <c r="C488" s="1">
        <f ca="1">IFERROR(__xludf.DUMMYFUNCTION("""COMPUTED_VALUE"""),191.64)</f>
        <v>191.64</v>
      </c>
      <c r="D488" s="1">
        <f ca="1">IFERROR(__xludf.DUMMYFUNCTION("""COMPUTED_VALUE"""),185.8)</f>
        <v>185.8</v>
      </c>
      <c r="E488" s="1">
        <f ca="1">IFERROR(__xludf.DUMMYFUNCTION("""COMPUTED_VALUE"""),190.67)</f>
        <v>190.67</v>
      </c>
      <c r="F488" s="1">
        <f ca="1">IFERROR(__xludf.DUMMYFUNCTION("""COMPUTED_VALUE"""),5294921)</f>
        <v>5294921</v>
      </c>
    </row>
    <row r="489" spans="1:6" ht="12.6">
      <c r="A489" s="2">
        <f ca="1">IFERROR(__xludf.DUMMYFUNCTION("""COMPUTED_VALUE"""),45271.6666666666)</f>
        <v>45271.666666666599</v>
      </c>
      <c r="B489" s="1">
        <f ca="1">IFERROR(__xludf.DUMMYFUNCTION("""COMPUTED_VALUE"""),188.51)</f>
        <v>188.51</v>
      </c>
      <c r="C489" s="1">
        <f ca="1">IFERROR(__xludf.DUMMYFUNCTION("""COMPUTED_VALUE"""),196.66)</f>
        <v>196.66</v>
      </c>
      <c r="D489" s="1">
        <f ca="1">IFERROR(__xludf.DUMMYFUNCTION("""COMPUTED_VALUE"""),187.77)</f>
        <v>187.77</v>
      </c>
      <c r="E489" s="1">
        <f ca="1">IFERROR(__xludf.DUMMYFUNCTION("""COMPUTED_VALUE"""),192.99)</f>
        <v>192.99</v>
      </c>
      <c r="F489" s="1">
        <f ca="1">IFERROR(__xludf.DUMMYFUNCTION("""COMPUTED_VALUE"""),7350847)</f>
        <v>7350847</v>
      </c>
    </row>
    <row r="490" spans="1:6" ht="12.6">
      <c r="A490" s="2">
        <f ca="1">IFERROR(__xludf.DUMMYFUNCTION("""COMPUTED_VALUE"""),45272.6666666666)</f>
        <v>45272.666666666599</v>
      </c>
      <c r="B490" s="1">
        <f ca="1">IFERROR(__xludf.DUMMYFUNCTION("""COMPUTED_VALUE"""),190.84)</f>
        <v>190.84</v>
      </c>
      <c r="C490" s="1">
        <f ca="1">IFERROR(__xludf.DUMMYFUNCTION("""COMPUTED_VALUE"""),194.21)</f>
        <v>194.21</v>
      </c>
      <c r="D490" s="1">
        <f ca="1">IFERROR(__xludf.DUMMYFUNCTION("""COMPUTED_VALUE"""),189.69)</f>
        <v>189.69</v>
      </c>
      <c r="E490" s="1">
        <f ca="1">IFERROR(__xludf.DUMMYFUNCTION("""COMPUTED_VALUE"""),193.49)</f>
        <v>193.49</v>
      </c>
      <c r="F490" s="1">
        <f ca="1">IFERROR(__xludf.DUMMYFUNCTION("""COMPUTED_VALUE"""),3825737)</f>
        <v>3825737</v>
      </c>
    </row>
    <row r="491" spans="1:6" ht="12.6">
      <c r="A491" s="2">
        <f ca="1">IFERROR(__xludf.DUMMYFUNCTION("""COMPUTED_VALUE"""),45273.6666666666)</f>
        <v>45273.666666666599</v>
      </c>
      <c r="B491" s="1">
        <f ca="1">IFERROR(__xludf.DUMMYFUNCTION("""COMPUTED_VALUE"""),195)</f>
        <v>195</v>
      </c>
      <c r="C491" s="1">
        <f ca="1">IFERROR(__xludf.DUMMYFUNCTION("""COMPUTED_VALUE"""),197.43)</f>
        <v>197.43</v>
      </c>
      <c r="D491" s="1">
        <f ca="1">IFERROR(__xludf.DUMMYFUNCTION("""COMPUTED_VALUE"""),191.26)</f>
        <v>191.26</v>
      </c>
      <c r="E491" s="1">
        <f ca="1">IFERROR(__xludf.DUMMYFUNCTION("""COMPUTED_VALUE"""),196.55)</f>
        <v>196.55</v>
      </c>
      <c r="F491" s="1">
        <f ca="1">IFERROR(__xludf.DUMMYFUNCTION("""COMPUTED_VALUE"""),5331339)</f>
        <v>5331339</v>
      </c>
    </row>
    <row r="492" spans="1:6" ht="12.6">
      <c r="A492" s="2">
        <f ca="1">IFERROR(__xludf.DUMMYFUNCTION("""COMPUTED_VALUE"""),45274.6666666666)</f>
        <v>45274.666666666599</v>
      </c>
      <c r="B492" s="1">
        <f ca="1">IFERROR(__xludf.DUMMYFUNCTION("""COMPUTED_VALUE"""),198.57)</f>
        <v>198.57</v>
      </c>
      <c r="C492" s="1">
        <f ca="1">IFERROR(__xludf.DUMMYFUNCTION("""COMPUTED_VALUE"""),202.83)</f>
        <v>202.83</v>
      </c>
      <c r="D492" s="1">
        <f ca="1">IFERROR(__xludf.DUMMYFUNCTION("""COMPUTED_VALUE"""),196.11)</f>
        <v>196.11</v>
      </c>
      <c r="E492" s="1">
        <f ca="1">IFERROR(__xludf.DUMMYFUNCTION("""COMPUTED_VALUE"""),200.86)</f>
        <v>200.86</v>
      </c>
      <c r="F492" s="1">
        <f ca="1">IFERROR(__xludf.DUMMYFUNCTION("""COMPUTED_VALUE"""),7937720)</f>
        <v>7937720</v>
      </c>
    </row>
    <row r="493" spans="1:6" ht="12.6">
      <c r="A493" s="2">
        <f ca="1">IFERROR(__xludf.DUMMYFUNCTION("""COMPUTED_VALUE"""),45275.6666666666)</f>
        <v>45275.666666666599</v>
      </c>
      <c r="B493" s="1">
        <f ca="1">IFERROR(__xludf.DUMMYFUNCTION("""COMPUTED_VALUE"""),198)</f>
        <v>198</v>
      </c>
      <c r="C493" s="1">
        <f ca="1">IFERROR(__xludf.DUMMYFUNCTION("""COMPUTED_VALUE"""),200.85)</f>
        <v>200.85</v>
      </c>
      <c r="D493" s="1">
        <f ca="1">IFERROR(__xludf.DUMMYFUNCTION("""COMPUTED_VALUE"""),197.1)</f>
        <v>197.1</v>
      </c>
      <c r="E493" s="1">
        <f ca="1">IFERROR(__xludf.DUMMYFUNCTION("""COMPUTED_VALUE"""),199.01)</f>
        <v>199.01</v>
      </c>
      <c r="F493" s="1">
        <f ca="1">IFERROR(__xludf.DUMMYFUNCTION("""COMPUTED_VALUE"""),6241938)</f>
        <v>6241938</v>
      </c>
    </row>
    <row r="494" spans="1:6" ht="12.6">
      <c r="A494" s="2">
        <f ca="1">IFERROR(__xludf.DUMMYFUNCTION("""COMPUTED_VALUE"""),45278.6666666666)</f>
        <v>45278.666666666599</v>
      </c>
      <c r="B494" s="1">
        <f ca="1">IFERROR(__xludf.DUMMYFUNCTION("""COMPUTED_VALUE"""),198.1)</f>
        <v>198.1</v>
      </c>
      <c r="C494" s="1">
        <f ca="1">IFERROR(__xludf.DUMMYFUNCTION("""COMPUTED_VALUE"""),200.01)</f>
        <v>200.01</v>
      </c>
      <c r="D494" s="1">
        <f ca="1">IFERROR(__xludf.DUMMYFUNCTION("""COMPUTED_VALUE"""),196.55)</f>
        <v>196.55</v>
      </c>
      <c r="E494" s="1">
        <f ca="1">IFERROR(__xludf.DUMMYFUNCTION("""COMPUTED_VALUE"""),198.97)</f>
        <v>198.97</v>
      </c>
      <c r="F494" s="1">
        <f ca="1">IFERROR(__xludf.DUMMYFUNCTION("""COMPUTED_VALUE"""),3461687)</f>
        <v>3461687</v>
      </c>
    </row>
    <row r="495" spans="1:6" ht="12.6">
      <c r="A495" s="2">
        <f ca="1">IFERROR(__xludf.DUMMYFUNCTION("""COMPUTED_VALUE"""),45279.6666666666)</f>
        <v>45279.666666666599</v>
      </c>
      <c r="B495" s="1">
        <f ca="1">IFERROR(__xludf.DUMMYFUNCTION("""COMPUTED_VALUE"""),200)</f>
        <v>200</v>
      </c>
      <c r="C495" s="1">
        <f ca="1">IFERROR(__xludf.DUMMYFUNCTION("""COMPUTED_VALUE"""),200.87)</f>
        <v>200.87</v>
      </c>
      <c r="D495" s="1">
        <f ca="1">IFERROR(__xludf.DUMMYFUNCTION("""COMPUTED_VALUE"""),198.34)</f>
        <v>198.34</v>
      </c>
      <c r="E495" s="1">
        <f ca="1">IFERROR(__xludf.DUMMYFUNCTION("""COMPUTED_VALUE"""),199.02)</f>
        <v>199.02</v>
      </c>
      <c r="F495" s="1">
        <f ca="1">IFERROR(__xludf.DUMMYFUNCTION("""COMPUTED_VALUE"""),2963399)</f>
        <v>2963399</v>
      </c>
    </row>
    <row r="496" spans="1:6" ht="12.6">
      <c r="A496" s="2">
        <f ca="1">IFERROR(__xludf.DUMMYFUNCTION("""COMPUTED_VALUE"""),45280.6666666666)</f>
        <v>45280.666666666599</v>
      </c>
      <c r="B496" s="1">
        <f ca="1">IFERROR(__xludf.DUMMYFUNCTION("""COMPUTED_VALUE"""),198.12)</f>
        <v>198.12</v>
      </c>
      <c r="C496" s="1">
        <f ca="1">IFERROR(__xludf.DUMMYFUNCTION("""COMPUTED_VALUE"""),199.74)</f>
        <v>199.74</v>
      </c>
      <c r="D496" s="1">
        <f ca="1">IFERROR(__xludf.DUMMYFUNCTION("""COMPUTED_VALUE"""),194.13)</f>
        <v>194.13</v>
      </c>
      <c r="E496" s="1">
        <f ca="1">IFERROR(__xludf.DUMMYFUNCTION("""COMPUTED_VALUE"""),194.28)</f>
        <v>194.28</v>
      </c>
      <c r="F496" s="1">
        <f ca="1">IFERROR(__xludf.DUMMYFUNCTION("""COMPUTED_VALUE"""),3222933)</f>
        <v>3222933</v>
      </c>
    </row>
    <row r="497" spans="1:6" ht="12.6">
      <c r="A497" s="2">
        <f ca="1">IFERROR(__xludf.DUMMYFUNCTION("""COMPUTED_VALUE"""),45281.6666666666)</f>
        <v>45281.666666666599</v>
      </c>
      <c r="B497" s="1">
        <f ca="1">IFERROR(__xludf.DUMMYFUNCTION("""COMPUTED_VALUE"""),195.5)</f>
        <v>195.5</v>
      </c>
      <c r="C497" s="1">
        <f ca="1">IFERROR(__xludf.DUMMYFUNCTION("""COMPUTED_VALUE"""),196.95)</f>
        <v>196.95</v>
      </c>
      <c r="D497" s="1">
        <f ca="1">IFERROR(__xludf.DUMMYFUNCTION("""COMPUTED_VALUE"""),193.74)</f>
        <v>193.74</v>
      </c>
      <c r="E497" s="1">
        <f ca="1">IFERROR(__xludf.DUMMYFUNCTION("""COMPUTED_VALUE"""),196.79)</f>
        <v>196.79</v>
      </c>
      <c r="F497" s="1">
        <f ca="1">IFERROR(__xludf.DUMMYFUNCTION("""COMPUTED_VALUE"""),4213726)</f>
        <v>4213726</v>
      </c>
    </row>
    <row r="498" spans="1:6" ht="12.6">
      <c r="A498" s="2">
        <f ca="1">IFERROR(__xludf.DUMMYFUNCTION("""COMPUTED_VALUE"""),45282.6666666666)</f>
        <v>45282.666666666599</v>
      </c>
      <c r="B498" s="1">
        <f ca="1">IFERROR(__xludf.DUMMYFUNCTION("""COMPUTED_VALUE"""),197.02)</f>
        <v>197.02</v>
      </c>
      <c r="C498" s="1">
        <f ca="1">IFERROR(__xludf.DUMMYFUNCTION("""COMPUTED_VALUE"""),198.02)</f>
        <v>198.02</v>
      </c>
      <c r="D498" s="1">
        <f ca="1">IFERROR(__xludf.DUMMYFUNCTION("""COMPUTED_VALUE"""),194.1)</f>
        <v>194.1</v>
      </c>
      <c r="E498" s="1">
        <f ca="1">IFERROR(__xludf.DUMMYFUNCTION("""COMPUTED_VALUE"""),195.67)</f>
        <v>195.67</v>
      </c>
      <c r="F498" s="1">
        <f ca="1">IFERROR(__xludf.DUMMYFUNCTION("""COMPUTED_VALUE"""),2448826)</f>
        <v>2448826</v>
      </c>
    </row>
    <row r="499" spans="1:6" ht="12.6">
      <c r="A499" s="2">
        <f ca="1">IFERROR(__xludf.DUMMYFUNCTION("""COMPUTED_VALUE"""),45286.6666666666)</f>
        <v>45286.666666666599</v>
      </c>
      <c r="B499" s="1">
        <f ca="1">IFERROR(__xludf.DUMMYFUNCTION("""COMPUTED_VALUE"""),195.9)</f>
        <v>195.9</v>
      </c>
      <c r="C499" s="1">
        <f ca="1">IFERROR(__xludf.DUMMYFUNCTION("""COMPUTED_VALUE"""),199.32)</f>
        <v>199.32</v>
      </c>
      <c r="D499" s="1">
        <f ca="1">IFERROR(__xludf.DUMMYFUNCTION("""COMPUTED_VALUE"""),193.8)</f>
        <v>193.8</v>
      </c>
      <c r="E499" s="1">
        <f ca="1">IFERROR(__xludf.DUMMYFUNCTION("""COMPUTED_VALUE"""),198.56)</f>
        <v>198.56</v>
      </c>
      <c r="F499" s="1">
        <f ca="1">IFERROR(__xludf.DUMMYFUNCTION("""COMPUTED_VALUE"""),3639359)</f>
        <v>3639359</v>
      </c>
    </row>
    <row r="500" spans="1:6" ht="12.6">
      <c r="A500" s="2">
        <f ca="1">IFERROR(__xludf.DUMMYFUNCTION("""COMPUTED_VALUE"""),45287.6666666666)</f>
        <v>45287.666666666599</v>
      </c>
      <c r="B500" s="1">
        <f ca="1">IFERROR(__xludf.DUMMYFUNCTION("""COMPUTED_VALUE"""),200)</f>
        <v>200</v>
      </c>
      <c r="C500" s="1">
        <f ca="1">IFERROR(__xludf.DUMMYFUNCTION("""COMPUTED_VALUE"""),200.97)</f>
        <v>200.97</v>
      </c>
      <c r="D500" s="1">
        <f ca="1">IFERROR(__xludf.DUMMYFUNCTION("""COMPUTED_VALUE"""),197.04)</f>
        <v>197.04</v>
      </c>
      <c r="E500" s="1">
        <f ca="1">IFERROR(__xludf.DUMMYFUNCTION("""COMPUTED_VALUE"""),198.71)</f>
        <v>198.71</v>
      </c>
      <c r="F500" s="1">
        <f ca="1">IFERROR(__xludf.DUMMYFUNCTION("""COMPUTED_VALUE"""),4957172)</f>
        <v>4957172</v>
      </c>
    </row>
    <row r="501" spans="1:6" ht="12.6">
      <c r="A501" s="2">
        <f ca="1">IFERROR(__xludf.DUMMYFUNCTION("""COMPUTED_VALUE"""),45288.6666666666)</f>
        <v>45288.666666666599</v>
      </c>
      <c r="B501" s="1">
        <f ca="1">IFERROR(__xludf.DUMMYFUNCTION("""COMPUTED_VALUE"""),198.78)</f>
        <v>198.78</v>
      </c>
      <c r="C501" s="1">
        <f ca="1">IFERROR(__xludf.DUMMYFUNCTION("""COMPUTED_VALUE"""),201.74)</f>
        <v>201.74</v>
      </c>
      <c r="D501" s="1">
        <f ca="1">IFERROR(__xludf.DUMMYFUNCTION("""COMPUTED_VALUE"""),197.7)</f>
        <v>197.7</v>
      </c>
      <c r="E501" s="1">
        <f ca="1">IFERROR(__xludf.DUMMYFUNCTION("""COMPUTED_VALUE"""),201.23)</f>
        <v>201.23</v>
      </c>
      <c r="F501" s="1">
        <f ca="1">IFERROR(__xludf.DUMMYFUNCTION("""COMPUTED_VALUE"""),3823822)</f>
        <v>3823822</v>
      </c>
    </row>
    <row r="502" spans="1:6" ht="12.6">
      <c r="A502" s="2">
        <f ca="1">IFERROR(__xludf.DUMMYFUNCTION("""COMPUTED_VALUE"""),45289.6666666666)</f>
        <v>45289.666666666599</v>
      </c>
      <c r="B502" s="1">
        <f ca="1">IFERROR(__xludf.DUMMYFUNCTION("""COMPUTED_VALUE"""),200)</f>
        <v>200</v>
      </c>
      <c r="C502" s="1">
        <f ca="1">IFERROR(__xludf.DUMMYFUNCTION("""COMPUTED_VALUE"""),201.88)</f>
        <v>201.88</v>
      </c>
      <c r="D502" s="1">
        <f ca="1">IFERROR(__xludf.DUMMYFUNCTION("""COMPUTED_VALUE"""),198.34)</f>
        <v>198.34</v>
      </c>
      <c r="E502" s="1">
        <f ca="1">IFERROR(__xludf.DUMMYFUNCTION("""COMPUTED_VALUE"""),199)</f>
        <v>199</v>
      </c>
      <c r="F502" s="1">
        <f ca="1">IFERROR(__xludf.DUMMYFUNCTION("""COMPUTED_VALUE"""),3598227)</f>
        <v>3598227</v>
      </c>
    </row>
    <row r="503" spans="1:6" ht="12.6">
      <c r="A503" s="2">
        <f ca="1">IFERROR(__xludf.DUMMYFUNCTION("""COMPUTED_VALUE"""),45293.6666666666)</f>
        <v>45293.666666666599</v>
      </c>
      <c r="B503" s="1">
        <f ca="1">IFERROR(__xludf.DUMMYFUNCTION("""COMPUTED_VALUE"""),195)</f>
        <v>195</v>
      </c>
      <c r="C503" s="1">
        <f ca="1">IFERROR(__xludf.DUMMYFUNCTION("""COMPUTED_VALUE"""),196.23)</f>
        <v>196.23</v>
      </c>
      <c r="D503" s="1">
        <f ca="1">IFERROR(__xludf.DUMMYFUNCTION("""COMPUTED_VALUE"""),187.53)</f>
        <v>187.53</v>
      </c>
      <c r="E503" s="1">
        <f ca="1">IFERROR(__xludf.DUMMYFUNCTION("""COMPUTED_VALUE"""),189.12)</f>
        <v>189.12</v>
      </c>
      <c r="F503" s="1">
        <f ca="1">IFERROR(__xludf.DUMMYFUNCTION("""COMPUTED_VALUE"""),5173265)</f>
        <v>5173265</v>
      </c>
    </row>
    <row r="504" spans="1:6" ht="12.6">
      <c r="A504" s="2">
        <f ca="1">IFERROR(__xludf.DUMMYFUNCTION("""COMPUTED_VALUE"""),45294.6666666666)</f>
        <v>45294.666666666599</v>
      </c>
      <c r="B504" s="1">
        <f ca="1">IFERROR(__xludf.DUMMYFUNCTION("""COMPUTED_VALUE"""),185)</f>
        <v>185</v>
      </c>
      <c r="C504" s="1">
        <f ca="1">IFERROR(__xludf.DUMMYFUNCTION("""COMPUTED_VALUE"""),187.35)</f>
        <v>187.35</v>
      </c>
      <c r="D504" s="1">
        <f ca="1">IFERROR(__xludf.DUMMYFUNCTION("""COMPUTED_VALUE"""),183.01)</f>
        <v>183.01</v>
      </c>
      <c r="E504" s="1">
        <f ca="1">IFERROR(__xludf.DUMMYFUNCTION("""COMPUTED_VALUE"""),184.21)</f>
        <v>184.21</v>
      </c>
      <c r="F504" s="1">
        <f ca="1">IFERROR(__xludf.DUMMYFUNCTION("""COMPUTED_VALUE"""),4292018)</f>
        <v>4292018</v>
      </c>
    </row>
    <row r="505" spans="1:6" ht="12.6">
      <c r="A505" s="2">
        <f ca="1">IFERROR(__xludf.DUMMYFUNCTION("""COMPUTED_VALUE"""),45295.6666666666)</f>
        <v>45295.666666666599</v>
      </c>
      <c r="B505" s="1">
        <f ca="1">IFERROR(__xludf.DUMMYFUNCTION("""COMPUTED_VALUE"""),182.29)</f>
        <v>182.29</v>
      </c>
      <c r="C505" s="1">
        <f ca="1">IFERROR(__xludf.DUMMYFUNCTION("""COMPUTED_VALUE"""),187.15)</f>
        <v>187.15</v>
      </c>
      <c r="D505" s="1">
        <f ca="1">IFERROR(__xludf.DUMMYFUNCTION("""COMPUTED_VALUE"""),180.95)</f>
        <v>180.95</v>
      </c>
      <c r="E505" s="1">
        <f ca="1">IFERROR(__xludf.DUMMYFUNCTION("""COMPUTED_VALUE"""),183.72)</f>
        <v>183.72</v>
      </c>
      <c r="F505" s="1">
        <f ca="1">IFERROR(__xludf.DUMMYFUNCTION("""COMPUTED_VALUE"""),4270281)</f>
        <v>4270281</v>
      </c>
    </row>
    <row r="506" spans="1:6" ht="12.6">
      <c r="A506" s="2">
        <f ca="1">IFERROR(__xludf.DUMMYFUNCTION("""COMPUTED_VALUE"""),45296.6666666666)</f>
        <v>45296.666666666599</v>
      </c>
      <c r="B506" s="1">
        <f ca="1">IFERROR(__xludf.DUMMYFUNCTION("""COMPUTED_VALUE"""),184.57)</f>
        <v>184.57</v>
      </c>
      <c r="C506" s="1">
        <f ca="1">IFERROR(__xludf.DUMMYFUNCTION("""COMPUTED_VALUE"""),191.41)</f>
        <v>191.41</v>
      </c>
      <c r="D506" s="1">
        <f ca="1">IFERROR(__xludf.DUMMYFUNCTION("""COMPUTED_VALUE"""),184.57)</f>
        <v>184.57</v>
      </c>
      <c r="E506" s="1">
        <f ca="1">IFERROR(__xludf.DUMMYFUNCTION("""COMPUTED_VALUE"""),189.12)</f>
        <v>189.12</v>
      </c>
      <c r="F506" s="1">
        <f ca="1">IFERROR(__xludf.DUMMYFUNCTION("""COMPUTED_VALUE"""),5269755)</f>
        <v>5269755</v>
      </c>
    </row>
    <row r="507" spans="1:6" ht="12.6">
      <c r="A507" s="2">
        <f ca="1">IFERROR(__xludf.DUMMYFUNCTION("""COMPUTED_VALUE"""),45299.6666666666)</f>
        <v>45299.666666666599</v>
      </c>
      <c r="B507" s="1">
        <f ca="1">IFERROR(__xludf.DUMMYFUNCTION("""COMPUTED_VALUE"""),190.77)</f>
        <v>190.77</v>
      </c>
      <c r="C507" s="1">
        <f ca="1">IFERROR(__xludf.DUMMYFUNCTION("""COMPUTED_VALUE"""),196.9)</f>
        <v>196.9</v>
      </c>
      <c r="D507" s="1">
        <f ca="1">IFERROR(__xludf.DUMMYFUNCTION("""COMPUTED_VALUE"""),190.77)</f>
        <v>190.77</v>
      </c>
      <c r="E507" s="1">
        <f ca="1">IFERROR(__xludf.DUMMYFUNCTION("""COMPUTED_VALUE"""),196.35)</f>
        <v>196.35</v>
      </c>
      <c r="F507" s="1">
        <f ca="1">IFERROR(__xludf.DUMMYFUNCTION("""COMPUTED_VALUE"""),4562048)</f>
        <v>4562048</v>
      </c>
    </row>
    <row r="508" spans="1:6" ht="12.6">
      <c r="A508" s="2">
        <f ca="1">IFERROR(__xludf.DUMMYFUNCTION("""COMPUTED_VALUE"""),45300.6666666666)</f>
        <v>45300.666666666599</v>
      </c>
      <c r="B508" s="1">
        <f ca="1">IFERROR(__xludf.DUMMYFUNCTION("""COMPUTED_VALUE"""),195.65)</f>
        <v>195.65</v>
      </c>
      <c r="C508" s="1">
        <f ca="1">IFERROR(__xludf.DUMMYFUNCTION("""COMPUTED_VALUE"""),198.27)</f>
        <v>198.27</v>
      </c>
      <c r="D508" s="1">
        <f ca="1">IFERROR(__xludf.DUMMYFUNCTION("""COMPUTED_VALUE"""),194.75)</f>
        <v>194.75</v>
      </c>
      <c r="E508" s="1">
        <f ca="1">IFERROR(__xludf.DUMMYFUNCTION("""COMPUTED_VALUE"""),196.9)</f>
        <v>196.9</v>
      </c>
      <c r="F508" s="1">
        <f ca="1">IFERROR(__xludf.DUMMYFUNCTION("""COMPUTED_VALUE"""),3153581)</f>
        <v>3153581</v>
      </c>
    </row>
    <row r="509" spans="1:6" ht="12.6">
      <c r="A509" s="2">
        <f ca="1">IFERROR(__xludf.DUMMYFUNCTION("""COMPUTED_VALUE"""),45301.6666666666)</f>
        <v>45301.666666666599</v>
      </c>
      <c r="B509" s="1">
        <f ca="1">IFERROR(__xludf.DUMMYFUNCTION("""COMPUTED_VALUE"""),197.28)</f>
        <v>197.28</v>
      </c>
      <c r="C509" s="1">
        <f ca="1">IFERROR(__xludf.DUMMYFUNCTION("""COMPUTED_VALUE"""),200.54)</f>
        <v>200.54</v>
      </c>
      <c r="D509" s="1">
        <f ca="1">IFERROR(__xludf.DUMMYFUNCTION("""COMPUTED_VALUE"""),194.65)</f>
        <v>194.65</v>
      </c>
      <c r="E509" s="1">
        <f ca="1">IFERROR(__xludf.DUMMYFUNCTION("""COMPUTED_VALUE"""),197.4)</f>
        <v>197.4</v>
      </c>
      <c r="F509" s="1">
        <f ca="1">IFERROR(__xludf.DUMMYFUNCTION("""COMPUTED_VALUE"""),4179593)</f>
        <v>4179593</v>
      </c>
    </row>
    <row r="510" spans="1:6" ht="12.6">
      <c r="A510" s="2">
        <f ca="1">IFERROR(__xludf.DUMMYFUNCTION("""COMPUTED_VALUE"""),45302.6666666666)</f>
        <v>45302.666666666599</v>
      </c>
      <c r="B510" s="1">
        <f ca="1">IFERROR(__xludf.DUMMYFUNCTION("""COMPUTED_VALUE"""),199.2)</f>
        <v>199.2</v>
      </c>
      <c r="C510" s="1">
        <f ca="1">IFERROR(__xludf.DUMMYFUNCTION("""COMPUTED_VALUE"""),201.6)</f>
        <v>201.6</v>
      </c>
      <c r="D510" s="1">
        <f ca="1">IFERROR(__xludf.DUMMYFUNCTION("""COMPUTED_VALUE"""),195.53)</f>
        <v>195.53</v>
      </c>
      <c r="E510" s="1">
        <f ca="1">IFERROR(__xludf.DUMMYFUNCTION("""COMPUTED_VALUE"""),195.62)</f>
        <v>195.62</v>
      </c>
      <c r="F510" s="1">
        <f ca="1">IFERROR(__xludf.DUMMYFUNCTION("""COMPUTED_VALUE"""),5012565)</f>
        <v>5012565</v>
      </c>
    </row>
    <row r="511" spans="1:6" ht="12.6">
      <c r="A511" s="2">
        <f ca="1">IFERROR(__xludf.DUMMYFUNCTION("""COMPUTED_VALUE"""),45303.6666666666)</f>
        <v>45303.666666666599</v>
      </c>
      <c r="B511" s="1">
        <f ca="1">IFERROR(__xludf.DUMMYFUNCTION("""COMPUTED_VALUE"""),190)</f>
        <v>190</v>
      </c>
      <c r="C511" s="1">
        <f ca="1">IFERROR(__xludf.DUMMYFUNCTION("""COMPUTED_VALUE"""),196.08)</f>
        <v>196.08</v>
      </c>
      <c r="D511" s="1">
        <f ca="1">IFERROR(__xludf.DUMMYFUNCTION("""COMPUTED_VALUE"""),189.22)</f>
        <v>189.22</v>
      </c>
      <c r="E511" s="1">
        <f ca="1">IFERROR(__xludf.DUMMYFUNCTION("""COMPUTED_VALUE"""),191.26)</f>
        <v>191.26</v>
      </c>
      <c r="F511" s="1">
        <f ca="1">IFERROR(__xludf.DUMMYFUNCTION("""COMPUTED_VALUE"""),4982352)</f>
        <v>4982352</v>
      </c>
    </row>
    <row r="512" spans="1:6" ht="12.6">
      <c r="A512" s="2">
        <f ca="1">IFERROR(__xludf.DUMMYFUNCTION("""COMPUTED_VALUE"""),45307.6666666666)</f>
        <v>45307.666666666599</v>
      </c>
      <c r="B512" s="1">
        <f ca="1">IFERROR(__xludf.DUMMYFUNCTION("""COMPUTED_VALUE"""),190)</f>
        <v>190</v>
      </c>
      <c r="C512" s="1">
        <f ca="1">IFERROR(__xludf.DUMMYFUNCTION("""COMPUTED_VALUE"""),191.21)</f>
        <v>191.21</v>
      </c>
      <c r="D512" s="1">
        <f ca="1">IFERROR(__xludf.DUMMYFUNCTION("""COMPUTED_VALUE"""),186.57)</f>
        <v>186.57</v>
      </c>
      <c r="E512" s="1">
        <f ca="1">IFERROR(__xludf.DUMMYFUNCTION("""COMPUTED_VALUE"""),188.02)</f>
        <v>188.02</v>
      </c>
      <c r="F512" s="1">
        <f ca="1">IFERROR(__xludf.DUMMYFUNCTION("""COMPUTED_VALUE"""),4833391)</f>
        <v>4833391</v>
      </c>
    </row>
    <row r="513" spans="1:6" ht="12.6">
      <c r="A513" s="2">
        <f ca="1">IFERROR(__xludf.DUMMYFUNCTION("""COMPUTED_VALUE"""),45308.6666666666)</f>
        <v>45308.666666666599</v>
      </c>
      <c r="B513" s="1">
        <f ca="1">IFERROR(__xludf.DUMMYFUNCTION("""COMPUTED_VALUE"""),185.77)</f>
        <v>185.77</v>
      </c>
      <c r="C513" s="1">
        <f ca="1">IFERROR(__xludf.DUMMYFUNCTION("""COMPUTED_VALUE"""),188.14)</f>
        <v>188.14</v>
      </c>
      <c r="D513" s="1">
        <f ca="1">IFERROR(__xludf.DUMMYFUNCTION("""COMPUTED_VALUE"""),182.53)</f>
        <v>182.53</v>
      </c>
      <c r="E513" s="1">
        <f ca="1">IFERROR(__xludf.DUMMYFUNCTION("""COMPUTED_VALUE"""),188.12)</f>
        <v>188.12</v>
      </c>
      <c r="F513" s="1">
        <f ca="1">IFERROR(__xludf.DUMMYFUNCTION("""COMPUTED_VALUE"""),3756668)</f>
        <v>3756668</v>
      </c>
    </row>
    <row r="514" spans="1:6" ht="12.6">
      <c r="A514" s="2">
        <f ca="1">IFERROR(__xludf.DUMMYFUNCTION("""COMPUTED_VALUE"""),45309.6666666666)</f>
        <v>45309.666666666599</v>
      </c>
      <c r="B514" s="1">
        <f ca="1">IFERROR(__xludf.DUMMYFUNCTION("""COMPUTED_VALUE"""),190.77)</f>
        <v>190.77</v>
      </c>
      <c r="C514" s="1">
        <f ca="1">IFERROR(__xludf.DUMMYFUNCTION("""COMPUTED_VALUE"""),191.54)</f>
        <v>191.54</v>
      </c>
      <c r="D514" s="1">
        <f ca="1">IFERROR(__xludf.DUMMYFUNCTION("""COMPUTED_VALUE"""),184.39)</f>
        <v>184.39</v>
      </c>
      <c r="E514" s="1">
        <f ca="1">IFERROR(__xludf.DUMMYFUNCTION("""COMPUTED_VALUE"""),186.61)</f>
        <v>186.61</v>
      </c>
      <c r="F514" s="1">
        <f ca="1">IFERROR(__xludf.DUMMYFUNCTION("""COMPUTED_VALUE"""),4989985)</f>
        <v>4989985</v>
      </c>
    </row>
    <row r="515" spans="1:6" ht="12.6">
      <c r="A515" s="2">
        <f ca="1">IFERROR(__xludf.DUMMYFUNCTION("""COMPUTED_VALUE"""),45310.6666666666)</f>
        <v>45310.666666666599</v>
      </c>
      <c r="B515" s="1">
        <f ca="1">IFERROR(__xludf.DUMMYFUNCTION("""COMPUTED_VALUE"""),187.59)</f>
        <v>187.59</v>
      </c>
      <c r="C515" s="1">
        <f ca="1">IFERROR(__xludf.DUMMYFUNCTION("""COMPUTED_VALUE"""),193.14)</f>
        <v>193.14</v>
      </c>
      <c r="D515" s="1">
        <f ca="1">IFERROR(__xludf.DUMMYFUNCTION("""COMPUTED_VALUE"""),186.72)</f>
        <v>186.72</v>
      </c>
      <c r="E515" s="1">
        <f ca="1">IFERROR(__xludf.DUMMYFUNCTION("""COMPUTED_VALUE"""),193.12)</f>
        <v>193.12</v>
      </c>
      <c r="F515" s="1">
        <f ca="1">IFERROR(__xludf.DUMMYFUNCTION("""COMPUTED_VALUE"""),4523267)</f>
        <v>4523267</v>
      </c>
    </row>
    <row r="516" spans="1:6" ht="12.6">
      <c r="A516" s="2">
        <f ca="1">IFERROR(__xludf.DUMMYFUNCTION("""COMPUTED_VALUE"""),45313.6666666666)</f>
        <v>45313.666666666599</v>
      </c>
      <c r="B516" s="1">
        <f ca="1">IFERROR(__xludf.DUMMYFUNCTION("""COMPUTED_VALUE"""),196.75)</f>
        <v>196.75</v>
      </c>
      <c r="C516" s="1">
        <f ca="1">IFERROR(__xludf.DUMMYFUNCTION("""COMPUTED_VALUE"""),202.32)</f>
        <v>202.32</v>
      </c>
      <c r="D516" s="1">
        <f ca="1">IFERROR(__xludf.DUMMYFUNCTION("""COMPUTED_VALUE"""),196.51)</f>
        <v>196.51</v>
      </c>
      <c r="E516" s="1">
        <f ca="1">IFERROR(__xludf.DUMMYFUNCTION("""COMPUTED_VALUE"""),199.08)</f>
        <v>199.08</v>
      </c>
      <c r="F516" s="1">
        <f ca="1">IFERROR(__xludf.DUMMYFUNCTION("""COMPUTED_VALUE"""),6471888)</f>
        <v>6471888</v>
      </c>
    </row>
    <row r="517" spans="1:6" ht="12.6">
      <c r="A517" s="2">
        <f ca="1">IFERROR(__xludf.DUMMYFUNCTION("""COMPUTED_VALUE"""),45314.6666666666)</f>
        <v>45314.666666666599</v>
      </c>
      <c r="B517" s="1">
        <f ca="1">IFERROR(__xludf.DUMMYFUNCTION("""COMPUTED_VALUE"""),200)</f>
        <v>200</v>
      </c>
      <c r="C517" s="1">
        <f ca="1">IFERROR(__xludf.DUMMYFUNCTION("""COMPUTED_VALUE"""),205.97)</f>
        <v>205.97</v>
      </c>
      <c r="D517" s="1">
        <f ca="1">IFERROR(__xludf.DUMMYFUNCTION("""COMPUTED_VALUE"""),197.59)</f>
        <v>197.59</v>
      </c>
      <c r="E517" s="1">
        <f ca="1">IFERROR(__xludf.DUMMYFUNCTION("""COMPUTED_VALUE"""),205.58)</f>
        <v>205.58</v>
      </c>
      <c r="F517" s="1">
        <f ca="1">IFERROR(__xludf.DUMMYFUNCTION("""COMPUTED_VALUE"""),8763276)</f>
        <v>8763276</v>
      </c>
    </row>
    <row r="518" spans="1:6" ht="12.6">
      <c r="A518" s="2">
        <f ca="1">IFERROR(__xludf.DUMMYFUNCTION("""COMPUTED_VALUE"""),45315.6666666666)</f>
        <v>45315.666666666599</v>
      </c>
      <c r="B518" s="1">
        <f ca="1">IFERROR(__xludf.DUMMYFUNCTION("""COMPUTED_VALUE"""),209.18)</f>
        <v>209.18</v>
      </c>
      <c r="C518" s="1">
        <f ca="1">IFERROR(__xludf.DUMMYFUNCTION("""COMPUTED_VALUE"""),211.65)</f>
        <v>211.65</v>
      </c>
      <c r="D518" s="1">
        <f ca="1">IFERROR(__xludf.DUMMYFUNCTION("""COMPUTED_VALUE"""),203.49)</f>
        <v>203.49</v>
      </c>
      <c r="E518" s="1">
        <f ca="1">IFERROR(__xludf.DUMMYFUNCTION("""COMPUTED_VALUE"""),203.81)</f>
        <v>203.81</v>
      </c>
      <c r="F518" s="1">
        <f ca="1">IFERROR(__xludf.DUMMYFUNCTION("""COMPUTED_VALUE"""),8127759)</f>
        <v>8127759</v>
      </c>
    </row>
    <row r="519" spans="1:6" ht="12.6">
      <c r="A519" s="2">
        <f ca="1">IFERROR(__xludf.DUMMYFUNCTION("""COMPUTED_VALUE"""),45316.6666666666)</f>
        <v>45316.666666666599</v>
      </c>
      <c r="B519" s="1">
        <f ca="1">IFERROR(__xludf.DUMMYFUNCTION("""COMPUTED_VALUE"""),205.36)</f>
        <v>205.36</v>
      </c>
      <c r="C519" s="1">
        <f ca="1">IFERROR(__xludf.DUMMYFUNCTION("""COMPUTED_VALUE"""),209.47)</f>
        <v>209.47</v>
      </c>
      <c r="D519" s="1">
        <f ca="1">IFERROR(__xludf.DUMMYFUNCTION("""COMPUTED_VALUE"""),202.75)</f>
        <v>202.75</v>
      </c>
      <c r="E519" s="1">
        <f ca="1">IFERROR(__xludf.DUMMYFUNCTION("""COMPUTED_VALUE"""),206.01)</f>
        <v>206.01</v>
      </c>
      <c r="F519" s="1">
        <f ca="1">IFERROR(__xludf.DUMMYFUNCTION("""COMPUTED_VALUE"""),4804154)</f>
        <v>4804154</v>
      </c>
    </row>
    <row r="520" spans="1:6" ht="12.6">
      <c r="A520" s="2">
        <f ca="1">IFERROR(__xludf.DUMMYFUNCTION("""COMPUTED_VALUE"""),45317.6666666666)</f>
        <v>45317.666666666599</v>
      </c>
      <c r="B520" s="1">
        <f ca="1">IFERROR(__xludf.DUMMYFUNCTION("""COMPUTED_VALUE"""),203.75)</f>
        <v>203.75</v>
      </c>
      <c r="C520" s="1">
        <f ca="1">IFERROR(__xludf.DUMMYFUNCTION("""COMPUTED_VALUE"""),205.49)</f>
        <v>205.49</v>
      </c>
      <c r="D520" s="1">
        <f ca="1">IFERROR(__xludf.DUMMYFUNCTION("""COMPUTED_VALUE"""),201.2)</f>
        <v>201.2</v>
      </c>
      <c r="E520" s="1">
        <f ca="1">IFERROR(__xludf.DUMMYFUNCTION("""COMPUTED_VALUE"""),202.51)</f>
        <v>202.51</v>
      </c>
      <c r="F520" s="1">
        <f ca="1">IFERROR(__xludf.DUMMYFUNCTION("""COMPUTED_VALUE"""),3799060)</f>
        <v>3799060</v>
      </c>
    </row>
    <row r="521" spans="1:6" ht="12.6">
      <c r="A521" s="2">
        <f ca="1">IFERROR(__xludf.DUMMYFUNCTION("""COMPUTED_VALUE"""),45320.6666666666)</f>
        <v>45320.666666666599</v>
      </c>
      <c r="B521" s="1">
        <f ca="1">IFERROR(__xludf.DUMMYFUNCTION("""COMPUTED_VALUE"""),201.91)</f>
        <v>201.91</v>
      </c>
      <c r="C521" s="1">
        <f ca="1">IFERROR(__xludf.DUMMYFUNCTION("""COMPUTED_VALUE"""),210.26)</f>
        <v>210.26</v>
      </c>
      <c r="D521" s="1">
        <f ca="1">IFERROR(__xludf.DUMMYFUNCTION("""COMPUTED_VALUE"""),201.4)</f>
        <v>201.4</v>
      </c>
      <c r="E521" s="1">
        <f ca="1">IFERROR(__xludf.DUMMYFUNCTION("""COMPUTED_VALUE"""),209.54)</f>
        <v>209.54</v>
      </c>
      <c r="F521" s="1">
        <f ca="1">IFERROR(__xludf.DUMMYFUNCTION("""COMPUTED_VALUE"""),5288749)</f>
        <v>5288749</v>
      </c>
    </row>
    <row r="522" spans="1:6" ht="12.6">
      <c r="A522" s="2">
        <f ca="1">IFERROR(__xludf.DUMMYFUNCTION("""COMPUTED_VALUE"""),45321.6666666666)</f>
        <v>45321.666666666599</v>
      </c>
      <c r="B522" s="1">
        <f ca="1">IFERROR(__xludf.DUMMYFUNCTION("""COMPUTED_VALUE"""),208.64)</f>
        <v>208.64</v>
      </c>
      <c r="C522" s="1">
        <f ca="1">IFERROR(__xludf.DUMMYFUNCTION("""COMPUTED_VALUE"""),209.98)</f>
        <v>209.98</v>
      </c>
      <c r="D522" s="1">
        <f ca="1">IFERROR(__xludf.DUMMYFUNCTION("""COMPUTED_VALUE"""),204.81)</f>
        <v>204.81</v>
      </c>
      <c r="E522" s="1">
        <f ca="1">IFERROR(__xludf.DUMMYFUNCTION("""COMPUTED_VALUE"""),206.25)</f>
        <v>206.25</v>
      </c>
      <c r="F522" s="1">
        <f ca="1">IFERROR(__xludf.DUMMYFUNCTION("""COMPUTED_VALUE"""),4415381)</f>
        <v>4415381</v>
      </c>
    </row>
    <row r="523" spans="1:6" ht="12.6">
      <c r="A523" s="2">
        <f ca="1">IFERROR(__xludf.DUMMYFUNCTION("""COMPUTED_VALUE"""),45322.6666666666)</f>
        <v>45322.666666666599</v>
      </c>
      <c r="B523" s="1">
        <f ca="1">IFERROR(__xludf.DUMMYFUNCTION("""COMPUTED_VALUE"""),201.5)</f>
        <v>201.5</v>
      </c>
      <c r="C523" s="1">
        <f ca="1">IFERROR(__xludf.DUMMYFUNCTION("""COMPUTED_VALUE"""),203.29)</f>
        <v>203.29</v>
      </c>
      <c r="D523" s="1">
        <f ca="1">IFERROR(__xludf.DUMMYFUNCTION("""COMPUTED_VALUE"""),194.87)</f>
        <v>194.87</v>
      </c>
      <c r="E523" s="1">
        <f ca="1">IFERROR(__xludf.DUMMYFUNCTION("""COMPUTED_VALUE"""),195.64)</f>
        <v>195.64</v>
      </c>
      <c r="F523" s="1">
        <f ca="1">IFERROR(__xludf.DUMMYFUNCTION("""COMPUTED_VALUE"""),6296755)</f>
        <v>6296755</v>
      </c>
    </row>
    <row r="524" spans="1:6" ht="12.6">
      <c r="A524" s="2">
        <f ca="1">IFERROR(__xludf.DUMMYFUNCTION("""COMPUTED_VALUE"""),45323.6666666666)</f>
        <v>45323.666666666599</v>
      </c>
      <c r="B524" s="1">
        <f ca="1">IFERROR(__xludf.DUMMYFUNCTION("""COMPUTED_VALUE"""),197)</f>
        <v>197</v>
      </c>
      <c r="C524" s="1">
        <f ca="1">IFERROR(__xludf.DUMMYFUNCTION("""COMPUTED_VALUE"""),200.33)</f>
        <v>200.33</v>
      </c>
      <c r="D524" s="1">
        <f ca="1">IFERROR(__xludf.DUMMYFUNCTION("""COMPUTED_VALUE"""),195.34)</f>
        <v>195.34</v>
      </c>
      <c r="E524" s="1">
        <f ca="1">IFERROR(__xludf.DUMMYFUNCTION("""COMPUTED_VALUE"""),199.94)</f>
        <v>199.94</v>
      </c>
      <c r="F524" s="1">
        <f ca="1">IFERROR(__xludf.DUMMYFUNCTION("""COMPUTED_VALUE"""),3260591)</f>
        <v>3260591</v>
      </c>
    </row>
    <row r="525" spans="1:6" ht="12.6">
      <c r="A525" s="2">
        <f ca="1">IFERROR(__xludf.DUMMYFUNCTION("""COMPUTED_VALUE"""),45324.6666666666)</f>
        <v>45324.666666666599</v>
      </c>
      <c r="B525" s="1">
        <f ca="1">IFERROR(__xludf.DUMMYFUNCTION("""COMPUTED_VALUE"""),208.64)</f>
        <v>208.64</v>
      </c>
      <c r="C525" s="1">
        <f ca="1">IFERROR(__xludf.DUMMYFUNCTION("""COMPUTED_VALUE"""),219.74)</f>
        <v>219.74</v>
      </c>
      <c r="D525" s="1">
        <f ca="1">IFERROR(__xludf.DUMMYFUNCTION("""COMPUTED_VALUE"""),204.05)</f>
        <v>204.05</v>
      </c>
      <c r="E525" s="1">
        <f ca="1">IFERROR(__xludf.DUMMYFUNCTION("""COMPUTED_VALUE"""),218.76)</f>
        <v>218.76</v>
      </c>
      <c r="F525" s="1">
        <f ca="1">IFERROR(__xludf.DUMMYFUNCTION("""COMPUTED_VALUE"""),11911518)</f>
        <v>11911518</v>
      </c>
    </row>
    <row r="526" spans="1:6" ht="12.6">
      <c r="A526" s="2">
        <f ca="1">IFERROR(__xludf.DUMMYFUNCTION("""COMPUTED_VALUE"""),45327.6666666666)</f>
        <v>45327.666666666599</v>
      </c>
      <c r="B526" s="1">
        <f ca="1">IFERROR(__xludf.DUMMYFUNCTION("""COMPUTED_VALUE"""),217.11)</f>
        <v>217.11</v>
      </c>
      <c r="C526" s="1">
        <f ca="1">IFERROR(__xludf.DUMMYFUNCTION("""COMPUTED_VALUE"""),220.67)</f>
        <v>220.67</v>
      </c>
      <c r="D526" s="1">
        <f ca="1">IFERROR(__xludf.DUMMYFUNCTION("""COMPUTED_VALUE"""),210.54)</f>
        <v>210.54</v>
      </c>
      <c r="E526" s="1">
        <f ca="1">IFERROR(__xludf.DUMMYFUNCTION("""COMPUTED_VALUE"""),215.6)</f>
        <v>215.6</v>
      </c>
      <c r="F526" s="1">
        <f ca="1">IFERROR(__xludf.DUMMYFUNCTION("""COMPUTED_VALUE"""),5552565)</f>
        <v>5552565</v>
      </c>
    </row>
    <row r="527" spans="1:6" ht="12.6">
      <c r="A527" s="2">
        <f ca="1">IFERROR(__xludf.DUMMYFUNCTION("""COMPUTED_VALUE"""),45328.6666666666)</f>
        <v>45328.666666666599</v>
      </c>
      <c r="B527" s="1">
        <f ca="1">IFERROR(__xludf.DUMMYFUNCTION("""COMPUTED_VALUE"""),217.5)</f>
        <v>217.5</v>
      </c>
      <c r="C527" s="1">
        <f ca="1">IFERROR(__xludf.DUMMYFUNCTION("""COMPUTED_VALUE"""),218.5)</f>
        <v>218.5</v>
      </c>
      <c r="D527" s="1">
        <f ca="1">IFERROR(__xludf.DUMMYFUNCTION("""COMPUTED_VALUE"""),208.51)</f>
        <v>208.51</v>
      </c>
      <c r="E527" s="1">
        <f ca="1">IFERROR(__xludf.DUMMYFUNCTION("""COMPUTED_VALUE"""),213.68)</f>
        <v>213.68</v>
      </c>
      <c r="F527" s="1">
        <f ca="1">IFERROR(__xludf.DUMMYFUNCTION("""COMPUTED_VALUE"""),5159941)</f>
        <v>5159941</v>
      </c>
    </row>
    <row r="528" spans="1:6" ht="12.6">
      <c r="A528" s="2">
        <f ca="1">IFERROR(__xludf.DUMMYFUNCTION("""COMPUTED_VALUE"""),45329.6666666666)</f>
        <v>45329.666666666599</v>
      </c>
      <c r="B528" s="1">
        <f ca="1">IFERROR(__xludf.DUMMYFUNCTION("""COMPUTED_VALUE"""),214.01)</f>
        <v>214.01</v>
      </c>
      <c r="C528" s="1">
        <f ca="1">IFERROR(__xludf.DUMMYFUNCTION("""COMPUTED_VALUE"""),219.4)</f>
        <v>219.4</v>
      </c>
      <c r="D528" s="1">
        <f ca="1">IFERROR(__xludf.DUMMYFUNCTION("""COMPUTED_VALUE"""),212.75)</f>
        <v>212.75</v>
      </c>
      <c r="E528" s="1">
        <f ca="1">IFERROR(__xludf.DUMMYFUNCTION("""COMPUTED_VALUE"""),218.23)</f>
        <v>218.23</v>
      </c>
      <c r="F528" s="1">
        <f ca="1">IFERROR(__xludf.DUMMYFUNCTION("""COMPUTED_VALUE"""),3920972)</f>
        <v>3920972</v>
      </c>
    </row>
    <row r="529" spans="1:6" ht="12.6">
      <c r="A529" s="2">
        <f ca="1">IFERROR(__xludf.DUMMYFUNCTION("""COMPUTED_VALUE"""),45330.6666666666)</f>
        <v>45330.666666666599</v>
      </c>
      <c r="B529" s="1">
        <f ca="1">IFERROR(__xludf.DUMMYFUNCTION("""COMPUTED_VALUE"""),219.3)</f>
        <v>219.3</v>
      </c>
      <c r="C529" s="1">
        <f ca="1">IFERROR(__xludf.DUMMYFUNCTION("""COMPUTED_VALUE"""),226.29)</f>
        <v>226.29</v>
      </c>
      <c r="D529" s="1">
        <f ca="1">IFERROR(__xludf.DUMMYFUNCTION("""COMPUTED_VALUE"""),218.3)</f>
        <v>218.3</v>
      </c>
      <c r="E529" s="1">
        <f ca="1">IFERROR(__xludf.DUMMYFUNCTION("""COMPUTED_VALUE"""),222.9)</f>
        <v>222.9</v>
      </c>
      <c r="F529" s="1">
        <f ca="1">IFERROR(__xludf.DUMMYFUNCTION("""COMPUTED_VALUE"""),6119851)</f>
        <v>6119851</v>
      </c>
    </row>
    <row r="530" spans="1:6" ht="12.6">
      <c r="A530" s="2">
        <f ca="1">IFERROR(__xludf.DUMMYFUNCTION("""COMPUTED_VALUE"""),45331.6666666666)</f>
        <v>45331.666666666599</v>
      </c>
      <c r="B530" s="1">
        <f ca="1">IFERROR(__xludf.DUMMYFUNCTION("""COMPUTED_VALUE"""),228.3)</f>
        <v>228.3</v>
      </c>
      <c r="C530" s="1">
        <f ca="1">IFERROR(__xludf.DUMMYFUNCTION("""COMPUTED_VALUE"""),235)</f>
        <v>235</v>
      </c>
      <c r="D530" s="1">
        <f ca="1">IFERROR(__xludf.DUMMYFUNCTION("""COMPUTED_VALUE"""),228.13)</f>
        <v>228.13</v>
      </c>
      <c r="E530" s="1">
        <f ca="1">IFERROR(__xludf.DUMMYFUNCTION("""COMPUTED_VALUE"""),233.28)</f>
        <v>233.28</v>
      </c>
      <c r="F530" s="1">
        <f ca="1">IFERROR(__xludf.DUMMYFUNCTION("""COMPUTED_VALUE"""),8263401)</f>
        <v>8263401</v>
      </c>
    </row>
    <row r="531" spans="1:6" ht="12.6">
      <c r="A531" s="2">
        <f ca="1">IFERROR(__xludf.DUMMYFUNCTION("""COMPUTED_VALUE"""),45334.6666666666)</f>
        <v>45334.666666666599</v>
      </c>
      <c r="B531" s="1">
        <f ca="1">IFERROR(__xludf.DUMMYFUNCTION("""COMPUTED_VALUE"""),231)</f>
        <v>231</v>
      </c>
      <c r="C531" s="1">
        <f ca="1">IFERROR(__xludf.DUMMYFUNCTION("""COMPUTED_VALUE"""),237.72)</f>
        <v>237.72</v>
      </c>
      <c r="D531" s="1">
        <f ca="1">IFERROR(__xludf.DUMMYFUNCTION("""COMPUTED_VALUE"""),229.07)</f>
        <v>229.07</v>
      </c>
      <c r="E531" s="1">
        <f ca="1">IFERROR(__xludf.DUMMYFUNCTION("""COMPUTED_VALUE"""),232.16)</f>
        <v>232.16</v>
      </c>
      <c r="F531" s="1">
        <f ca="1">IFERROR(__xludf.DUMMYFUNCTION("""COMPUTED_VALUE"""),5383662)</f>
        <v>5383662</v>
      </c>
    </row>
    <row r="532" spans="1:6" ht="12.6">
      <c r="A532" s="2">
        <f ca="1">IFERROR(__xludf.DUMMYFUNCTION("""COMPUTED_VALUE"""),45335.6666666666)</f>
        <v>45335.666666666599</v>
      </c>
      <c r="B532" s="1">
        <f ca="1">IFERROR(__xludf.DUMMYFUNCTION("""COMPUTED_VALUE"""),223.06)</f>
        <v>223.06</v>
      </c>
      <c r="C532" s="1">
        <f ca="1">IFERROR(__xludf.DUMMYFUNCTION("""COMPUTED_VALUE"""),231.02)</f>
        <v>231.02</v>
      </c>
      <c r="D532" s="1">
        <f ca="1">IFERROR(__xludf.DUMMYFUNCTION("""COMPUTED_VALUE"""),220.5)</f>
        <v>220.5</v>
      </c>
      <c r="E532" s="1">
        <f ca="1">IFERROR(__xludf.DUMMYFUNCTION("""COMPUTED_VALUE"""),227.57)</f>
        <v>227.57</v>
      </c>
      <c r="F532" s="1">
        <f ca="1">IFERROR(__xludf.DUMMYFUNCTION("""COMPUTED_VALUE"""),4851114)</f>
        <v>4851114</v>
      </c>
    </row>
    <row r="533" spans="1:6" ht="12.6">
      <c r="A533" s="2">
        <f ca="1">IFERROR(__xludf.DUMMYFUNCTION("""COMPUTED_VALUE"""),45336.6666666666)</f>
        <v>45336.666666666599</v>
      </c>
      <c r="B533" s="1">
        <f ca="1">IFERROR(__xludf.DUMMYFUNCTION("""COMPUTED_VALUE"""),230)</f>
        <v>230</v>
      </c>
      <c r="C533" s="1">
        <f ca="1">IFERROR(__xludf.DUMMYFUNCTION("""COMPUTED_VALUE"""),236.24)</f>
        <v>236.24</v>
      </c>
      <c r="D533" s="1">
        <f ca="1">IFERROR(__xludf.DUMMYFUNCTION("""COMPUTED_VALUE"""),227.18)</f>
        <v>227.18</v>
      </c>
      <c r="E533" s="1">
        <f ca="1">IFERROR(__xludf.DUMMYFUNCTION("""COMPUTED_VALUE"""),236)</f>
        <v>236</v>
      </c>
      <c r="F533" s="1">
        <f ca="1">IFERROR(__xludf.DUMMYFUNCTION("""COMPUTED_VALUE"""),3741915)</f>
        <v>3741915</v>
      </c>
    </row>
    <row r="534" spans="1:6" ht="12.6">
      <c r="A534" s="2">
        <f ca="1">IFERROR(__xludf.DUMMYFUNCTION("""COMPUTED_VALUE"""),45337.6666666666)</f>
        <v>45337.666666666599</v>
      </c>
      <c r="B534" s="1">
        <f ca="1">IFERROR(__xludf.DUMMYFUNCTION("""COMPUTED_VALUE"""),235)</f>
        <v>235</v>
      </c>
      <c r="C534" s="1">
        <f ca="1">IFERROR(__xludf.DUMMYFUNCTION("""COMPUTED_VALUE"""),236.33)</f>
        <v>236.33</v>
      </c>
      <c r="D534" s="1">
        <f ca="1">IFERROR(__xludf.DUMMYFUNCTION("""COMPUTED_VALUE"""),229.1)</f>
        <v>229.1</v>
      </c>
      <c r="E534" s="1">
        <f ca="1">IFERROR(__xludf.DUMMYFUNCTION("""COMPUTED_VALUE"""),232.4)</f>
        <v>232.4</v>
      </c>
      <c r="F534" s="1">
        <f ca="1">IFERROR(__xludf.DUMMYFUNCTION("""COMPUTED_VALUE"""),3617604)</f>
        <v>3617604</v>
      </c>
    </row>
    <row r="535" spans="1:6" ht="12.6">
      <c r="A535" s="2">
        <f ca="1">IFERROR(__xludf.DUMMYFUNCTION("""COMPUTED_VALUE"""),45338.6666666666)</f>
        <v>45338.666666666599</v>
      </c>
      <c r="B535" s="1">
        <f ca="1">IFERROR(__xludf.DUMMYFUNCTION("""COMPUTED_VALUE"""),230.65)</f>
        <v>230.65</v>
      </c>
      <c r="C535" s="1">
        <f ca="1">IFERROR(__xludf.DUMMYFUNCTION("""COMPUTED_VALUE"""),234.82)</f>
        <v>234.82</v>
      </c>
      <c r="D535" s="1">
        <f ca="1">IFERROR(__xludf.DUMMYFUNCTION("""COMPUTED_VALUE"""),228.6)</f>
        <v>228.6</v>
      </c>
      <c r="E535" s="1">
        <f ca="1">IFERROR(__xludf.DUMMYFUNCTION("""COMPUTED_VALUE"""),230.31)</f>
        <v>230.31</v>
      </c>
      <c r="F535" s="1">
        <f ca="1">IFERROR(__xludf.DUMMYFUNCTION("""COMPUTED_VALUE"""),3604068)</f>
        <v>3604068</v>
      </c>
    </row>
    <row r="536" spans="1:6" ht="12.6">
      <c r="A536" s="2">
        <f ca="1">IFERROR(__xludf.DUMMYFUNCTION("""COMPUTED_VALUE"""),45342.6666666666)</f>
        <v>45342.666666666599</v>
      </c>
      <c r="B536" s="1">
        <f ca="1">IFERROR(__xludf.DUMMYFUNCTION("""COMPUTED_VALUE"""),226.03)</f>
        <v>226.03</v>
      </c>
      <c r="C536" s="1">
        <f ca="1">IFERROR(__xludf.DUMMYFUNCTION("""COMPUTED_VALUE"""),226.69)</f>
        <v>226.69</v>
      </c>
      <c r="D536" s="1">
        <f ca="1">IFERROR(__xludf.DUMMYFUNCTION("""COMPUTED_VALUE"""),215.59)</f>
        <v>215.59</v>
      </c>
      <c r="E536" s="1">
        <f ca="1">IFERROR(__xludf.DUMMYFUNCTION("""COMPUTED_VALUE"""),220.08)</f>
        <v>220.08</v>
      </c>
      <c r="F536" s="1">
        <f ca="1">IFERROR(__xludf.DUMMYFUNCTION("""COMPUTED_VALUE"""),6028646)</f>
        <v>6028646</v>
      </c>
    </row>
    <row r="537" spans="1:6" ht="12.6">
      <c r="A537" s="2">
        <f ca="1">IFERROR(__xludf.DUMMYFUNCTION("""COMPUTED_VALUE"""),45343.6666666666)</f>
        <v>45343.666666666599</v>
      </c>
      <c r="B537" s="1">
        <f ca="1">IFERROR(__xludf.DUMMYFUNCTION("""COMPUTED_VALUE"""),215)</f>
        <v>215</v>
      </c>
      <c r="C537" s="1">
        <f ca="1">IFERROR(__xludf.DUMMYFUNCTION("""COMPUTED_VALUE"""),217.2)</f>
        <v>217.2</v>
      </c>
      <c r="D537" s="1">
        <f ca="1">IFERROR(__xludf.DUMMYFUNCTION("""COMPUTED_VALUE"""),211.68)</f>
        <v>211.68</v>
      </c>
      <c r="E537" s="1">
        <f ca="1">IFERROR(__xludf.DUMMYFUNCTION("""COMPUTED_VALUE"""),216.21)</f>
        <v>216.21</v>
      </c>
      <c r="F537" s="1">
        <f ca="1">IFERROR(__xludf.DUMMYFUNCTION("""COMPUTED_VALUE"""),3596578)</f>
        <v>3596578</v>
      </c>
    </row>
    <row r="538" spans="1:6" ht="12.6">
      <c r="A538" s="2">
        <f ca="1">IFERROR(__xludf.DUMMYFUNCTION("""COMPUTED_VALUE"""),45344.6666666666)</f>
        <v>45344.666666666599</v>
      </c>
      <c r="B538" s="1">
        <f ca="1">IFERROR(__xludf.DUMMYFUNCTION("""COMPUTED_VALUE"""),224.14)</f>
        <v>224.14</v>
      </c>
      <c r="C538" s="1">
        <f ca="1">IFERROR(__xludf.DUMMYFUNCTION("""COMPUTED_VALUE"""),227.68)</f>
        <v>227.68</v>
      </c>
      <c r="D538" s="1">
        <f ca="1">IFERROR(__xludf.DUMMYFUNCTION("""COMPUTED_VALUE"""),219.52)</f>
        <v>219.52</v>
      </c>
      <c r="E538" s="1">
        <f ca="1">IFERROR(__xludf.DUMMYFUNCTION("""COMPUTED_VALUE"""),225.62)</f>
        <v>225.62</v>
      </c>
      <c r="F538" s="1">
        <f ca="1">IFERROR(__xludf.DUMMYFUNCTION("""COMPUTED_VALUE"""),5847729)</f>
        <v>5847729</v>
      </c>
    </row>
    <row r="539" spans="1:6" ht="12.6">
      <c r="A539" s="2">
        <f ca="1">IFERROR(__xludf.DUMMYFUNCTION("""COMPUTED_VALUE"""),45345.6666666666)</f>
        <v>45345.666666666599</v>
      </c>
      <c r="B539" s="1">
        <f ca="1">IFERROR(__xludf.DUMMYFUNCTION("""COMPUTED_VALUE"""),234.28)</f>
        <v>234.28</v>
      </c>
      <c r="C539" s="1">
        <f ca="1">IFERROR(__xludf.DUMMYFUNCTION("""COMPUTED_VALUE"""),234.83)</f>
        <v>234.83</v>
      </c>
      <c r="D539" s="1">
        <f ca="1">IFERROR(__xludf.DUMMYFUNCTION("""COMPUTED_VALUE"""),227.04)</f>
        <v>227.04</v>
      </c>
      <c r="E539" s="1">
        <f ca="1">IFERROR(__xludf.DUMMYFUNCTION("""COMPUTED_VALUE"""),229.34)</f>
        <v>229.34</v>
      </c>
      <c r="F539" s="1">
        <f ca="1">IFERROR(__xludf.DUMMYFUNCTION("""COMPUTED_VALUE"""),4527953)</f>
        <v>4527953</v>
      </c>
    </row>
    <row r="540" spans="1:6" ht="12.6">
      <c r="A540" s="2">
        <f ca="1">IFERROR(__xludf.DUMMYFUNCTION("""COMPUTED_VALUE"""),45348.6666666666)</f>
        <v>45348.666666666599</v>
      </c>
      <c r="B540" s="1">
        <f ca="1">IFERROR(__xludf.DUMMYFUNCTION("""COMPUTED_VALUE"""),229.33)</f>
        <v>229.33</v>
      </c>
      <c r="C540" s="1">
        <f ca="1">IFERROR(__xludf.DUMMYFUNCTION("""COMPUTED_VALUE"""),233.36)</f>
        <v>233.36</v>
      </c>
      <c r="D540" s="1">
        <f ca="1">IFERROR(__xludf.DUMMYFUNCTION("""COMPUTED_VALUE"""),226.65)</f>
        <v>226.65</v>
      </c>
      <c r="E540" s="1">
        <f ca="1">IFERROR(__xludf.DUMMYFUNCTION("""COMPUTED_VALUE"""),230.93)</f>
        <v>230.93</v>
      </c>
      <c r="F540" s="1">
        <f ca="1">IFERROR(__xludf.DUMMYFUNCTION("""COMPUTED_VALUE"""),4820595)</f>
        <v>4820595</v>
      </c>
    </row>
    <row r="541" spans="1:6" ht="12.6">
      <c r="A541" s="2">
        <f ca="1">IFERROR(__xludf.DUMMYFUNCTION("""COMPUTED_VALUE"""),45349.6666666666)</f>
        <v>45349.666666666599</v>
      </c>
      <c r="B541" s="1">
        <f ca="1">IFERROR(__xludf.DUMMYFUNCTION("""COMPUTED_VALUE"""),233)</f>
        <v>233</v>
      </c>
      <c r="C541" s="1">
        <f ca="1">IFERROR(__xludf.DUMMYFUNCTION("""COMPUTED_VALUE"""),235.66)</f>
        <v>235.66</v>
      </c>
      <c r="D541" s="1">
        <f ca="1">IFERROR(__xludf.DUMMYFUNCTION("""COMPUTED_VALUE"""),231.09)</f>
        <v>231.09</v>
      </c>
      <c r="E541" s="1">
        <f ca="1">IFERROR(__xludf.DUMMYFUNCTION("""COMPUTED_VALUE"""),234.03)</f>
        <v>234.03</v>
      </c>
      <c r="F541" s="1">
        <f ca="1">IFERROR(__xludf.DUMMYFUNCTION("""COMPUTED_VALUE"""),4810315)</f>
        <v>4810315</v>
      </c>
    </row>
    <row r="542" spans="1:6" ht="12.6">
      <c r="A542" s="2">
        <f ca="1">IFERROR(__xludf.DUMMYFUNCTION("""COMPUTED_VALUE"""),45350.6666666666)</f>
        <v>45350.666666666599</v>
      </c>
      <c r="B542" s="1">
        <f ca="1">IFERROR(__xludf.DUMMYFUNCTION("""COMPUTED_VALUE"""),230.75)</f>
        <v>230.75</v>
      </c>
      <c r="C542" s="1">
        <f ca="1">IFERROR(__xludf.DUMMYFUNCTION("""COMPUTED_VALUE"""),233.88)</f>
        <v>233.88</v>
      </c>
      <c r="D542" s="1">
        <f ca="1">IFERROR(__xludf.DUMMYFUNCTION("""COMPUTED_VALUE"""),226.56)</f>
        <v>226.56</v>
      </c>
      <c r="E542" s="1">
        <f ca="1">IFERROR(__xludf.DUMMYFUNCTION("""COMPUTED_VALUE"""),230)</f>
        <v>230</v>
      </c>
      <c r="F542" s="1">
        <f ca="1">IFERROR(__xludf.DUMMYFUNCTION("""COMPUTED_VALUE"""),19406239)</f>
        <v>19406239</v>
      </c>
    </row>
    <row r="543" spans="1:6" ht="12.6">
      <c r="A543" s="2">
        <f ca="1">IFERROR(__xludf.DUMMYFUNCTION("""COMPUTED_VALUE"""),45351.6666666666)</f>
        <v>45351.666666666599</v>
      </c>
      <c r="B543" s="1">
        <f ca="1">IFERROR(__xludf.DUMMYFUNCTION("""COMPUTED_VALUE"""),181.17)</f>
        <v>181.17</v>
      </c>
      <c r="C543" s="1">
        <f ca="1">IFERROR(__xludf.DUMMYFUNCTION("""COMPUTED_VALUE"""),190.45)</f>
        <v>190.45</v>
      </c>
      <c r="D543" s="1">
        <f ca="1">IFERROR(__xludf.DUMMYFUNCTION("""COMPUTED_VALUE"""),180.68)</f>
        <v>180.68</v>
      </c>
      <c r="E543" s="1">
        <f ca="1">IFERROR(__xludf.DUMMYFUNCTION("""COMPUTED_VALUE"""),188.28)</f>
        <v>188.28</v>
      </c>
      <c r="F543" s="1">
        <f ca="1">IFERROR(__xludf.DUMMYFUNCTION("""COMPUTED_VALUE"""),42311351)</f>
        <v>42311351</v>
      </c>
    </row>
    <row r="544" spans="1:6" ht="12.6">
      <c r="A544" s="2">
        <f ca="1">IFERROR(__xludf.DUMMYFUNCTION("""COMPUTED_VALUE"""),45352.6666666666)</f>
        <v>45352.666666666599</v>
      </c>
      <c r="B544" s="1">
        <f ca="1">IFERROR(__xludf.DUMMYFUNCTION("""COMPUTED_VALUE"""),191.26)</f>
        <v>191.26</v>
      </c>
      <c r="C544" s="1">
        <f ca="1">IFERROR(__xludf.DUMMYFUNCTION("""COMPUTED_VALUE"""),194.2)</f>
        <v>194.2</v>
      </c>
      <c r="D544" s="1">
        <f ca="1">IFERROR(__xludf.DUMMYFUNCTION("""COMPUTED_VALUE"""),186.14)</f>
        <v>186.14</v>
      </c>
      <c r="E544" s="1">
        <f ca="1">IFERROR(__xludf.DUMMYFUNCTION("""COMPUTED_VALUE"""),186.72)</f>
        <v>186.72</v>
      </c>
      <c r="F544" s="1">
        <f ca="1">IFERROR(__xludf.DUMMYFUNCTION("""COMPUTED_VALUE"""),17265859)</f>
        <v>17265859</v>
      </c>
    </row>
    <row r="545" spans="1:6" ht="12.6">
      <c r="A545" s="2">
        <f ca="1">IFERROR(__xludf.DUMMYFUNCTION("""COMPUTED_VALUE"""),45355.6666666666)</f>
        <v>45355.666666666599</v>
      </c>
      <c r="B545" s="1">
        <f ca="1">IFERROR(__xludf.DUMMYFUNCTION("""COMPUTED_VALUE"""),185.89)</f>
        <v>185.89</v>
      </c>
      <c r="C545" s="1">
        <f ca="1">IFERROR(__xludf.DUMMYFUNCTION("""COMPUTED_VALUE"""),186.55)</f>
        <v>186.55</v>
      </c>
      <c r="D545" s="1">
        <f ca="1">IFERROR(__xludf.DUMMYFUNCTION("""COMPUTED_VALUE"""),175.3)</f>
        <v>175.3</v>
      </c>
      <c r="E545" s="1">
        <f ca="1">IFERROR(__xludf.DUMMYFUNCTION("""COMPUTED_VALUE"""),177.93)</f>
        <v>177.93</v>
      </c>
      <c r="F545" s="1">
        <f ca="1">IFERROR(__xludf.DUMMYFUNCTION("""COMPUTED_VALUE"""),16342261)</f>
        <v>16342261</v>
      </c>
    </row>
    <row r="546" spans="1:6" ht="12.6">
      <c r="A546" s="2">
        <f ca="1">IFERROR(__xludf.DUMMYFUNCTION("""COMPUTED_VALUE"""),45356.6666666666)</f>
        <v>45356.666666666599</v>
      </c>
      <c r="B546" s="1">
        <f ca="1">IFERROR(__xludf.DUMMYFUNCTION("""COMPUTED_VALUE"""),175.03)</f>
        <v>175.03</v>
      </c>
      <c r="C546" s="1">
        <f ca="1">IFERROR(__xludf.DUMMYFUNCTION("""COMPUTED_VALUE"""),175.33)</f>
        <v>175.33</v>
      </c>
      <c r="D546" s="1">
        <f ca="1">IFERROR(__xludf.DUMMYFUNCTION("""COMPUTED_VALUE"""),166.32)</f>
        <v>166.32</v>
      </c>
      <c r="E546" s="1">
        <f ca="1">IFERROR(__xludf.DUMMYFUNCTION("""COMPUTED_VALUE"""),167.75)</f>
        <v>167.75</v>
      </c>
      <c r="F546" s="1">
        <f ca="1">IFERROR(__xludf.DUMMYFUNCTION("""COMPUTED_VALUE"""),14716891)</f>
        <v>14716891</v>
      </c>
    </row>
    <row r="547" spans="1:6" ht="12.6">
      <c r="A547" s="2">
        <f ca="1">IFERROR(__xludf.DUMMYFUNCTION("""COMPUTED_VALUE"""),45357.6666666666)</f>
        <v>45357.666666666599</v>
      </c>
      <c r="B547" s="1">
        <f ca="1">IFERROR(__xludf.DUMMYFUNCTION("""COMPUTED_VALUE"""),170)</f>
        <v>170</v>
      </c>
      <c r="C547" s="1">
        <f ca="1">IFERROR(__xludf.DUMMYFUNCTION("""COMPUTED_VALUE"""),171.36)</f>
        <v>171.36</v>
      </c>
      <c r="D547" s="1">
        <f ca="1">IFERROR(__xludf.DUMMYFUNCTION("""COMPUTED_VALUE"""),163.37)</f>
        <v>163.37</v>
      </c>
      <c r="E547" s="1">
        <f ca="1">IFERROR(__xludf.DUMMYFUNCTION("""COMPUTED_VALUE"""),167)</f>
        <v>167</v>
      </c>
      <c r="F547" s="1">
        <f ca="1">IFERROR(__xludf.DUMMYFUNCTION("""COMPUTED_VALUE"""),12733359)</f>
        <v>12733359</v>
      </c>
    </row>
    <row r="548" spans="1:6" ht="12.6">
      <c r="A548" s="2">
        <f ca="1">IFERROR(__xludf.DUMMYFUNCTION("""COMPUTED_VALUE"""),45358.6666666666)</f>
        <v>45358.666666666599</v>
      </c>
      <c r="B548" s="1">
        <f ca="1">IFERROR(__xludf.DUMMYFUNCTION("""COMPUTED_VALUE"""),167)</f>
        <v>167</v>
      </c>
      <c r="C548" s="1">
        <f ca="1">IFERROR(__xludf.DUMMYFUNCTION("""COMPUTED_VALUE"""),169.16)</f>
        <v>169.16</v>
      </c>
      <c r="D548" s="1">
        <f ca="1">IFERROR(__xludf.DUMMYFUNCTION("""COMPUTED_VALUE"""),163.71)</f>
        <v>163.71</v>
      </c>
      <c r="E548" s="1">
        <f ca="1">IFERROR(__xludf.DUMMYFUNCTION("""COMPUTED_VALUE"""),168.44)</f>
        <v>168.44</v>
      </c>
      <c r="F548" s="1">
        <f ca="1">IFERROR(__xludf.DUMMYFUNCTION("""COMPUTED_VALUE"""),9049602)</f>
        <v>9049602</v>
      </c>
    </row>
    <row r="549" spans="1:6" ht="12.6">
      <c r="A549" s="2">
        <f ca="1">IFERROR(__xludf.DUMMYFUNCTION("""COMPUTED_VALUE"""),45359.6666666666)</f>
        <v>45359.666666666599</v>
      </c>
      <c r="B549" s="1">
        <f ca="1">IFERROR(__xludf.DUMMYFUNCTION("""COMPUTED_VALUE"""),169.29)</f>
        <v>169.29</v>
      </c>
      <c r="C549" s="1">
        <f ca="1">IFERROR(__xludf.DUMMYFUNCTION("""COMPUTED_VALUE"""),169.84)</f>
        <v>169.84</v>
      </c>
      <c r="D549" s="1">
        <f ca="1">IFERROR(__xludf.DUMMYFUNCTION("""COMPUTED_VALUE"""),161.63)</f>
        <v>161.63</v>
      </c>
      <c r="E549" s="1">
        <f ca="1">IFERROR(__xludf.DUMMYFUNCTION("""COMPUTED_VALUE"""),162.4)</f>
        <v>162.4</v>
      </c>
      <c r="F549" s="1">
        <f ca="1">IFERROR(__xludf.DUMMYFUNCTION("""COMPUTED_VALUE"""),9368999)</f>
        <v>9368999</v>
      </c>
    </row>
    <row r="550" spans="1:6" ht="12.6">
      <c r="A550" s="2">
        <f ca="1">IFERROR(__xludf.DUMMYFUNCTION("""COMPUTED_VALUE"""),45362.6666666666)</f>
        <v>45362.666666666599</v>
      </c>
      <c r="B550" s="1">
        <f ca="1">IFERROR(__xludf.DUMMYFUNCTION("""COMPUTED_VALUE"""),161.42)</f>
        <v>161.41999999999999</v>
      </c>
      <c r="C550" s="1">
        <f ca="1">IFERROR(__xludf.DUMMYFUNCTION("""COMPUTED_VALUE"""),162.98)</f>
        <v>162.97999999999999</v>
      </c>
      <c r="D550" s="1">
        <f ca="1">IFERROR(__xludf.DUMMYFUNCTION("""COMPUTED_VALUE"""),160.4)</f>
        <v>160.4</v>
      </c>
      <c r="E550" s="1">
        <f ca="1">IFERROR(__xludf.DUMMYFUNCTION("""COMPUTED_VALUE"""),162.29)</f>
        <v>162.29</v>
      </c>
      <c r="F550" s="1">
        <f ca="1">IFERROR(__xludf.DUMMYFUNCTION("""COMPUTED_VALUE"""),6026073)</f>
        <v>6026073</v>
      </c>
    </row>
    <row r="551" spans="1:6" ht="12.6">
      <c r="A551" s="2">
        <f ca="1">IFERROR(__xludf.DUMMYFUNCTION("""COMPUTED_VALUE"""),45363.6666666666)</f>
        <v>45363.666666666599</v>
      </c>
      <c r="B551" s="1">
        <f ca="1">IFERROR(__xludf.DUMMYFUNCTION("""COMPUTED_VALUE"""),162.94)</f>
        <v>162.94</v>
      </c>
      <c r="C551" s="1">
        <f ca="1">IFERROR(__xludf.DUMMYFUNCTION("""COMPUTED_VALUE"""),163.77)</f>
        <v>163.77000000000001</v>
      </c>
      <c r="D551" s="1">
        <f ca="1">IFERROR(__xludf.DUMMYFUNCTION("""COMPUTED_VALUE"""),159.7)</f>
        <v>159.69999999999999</v>
      </c>
      <c r="E551" s="1">
        <f ca="1">IFERROR(__xludf.DUMMYFUNCTION("""COMPUTED_VALUE"""),161.95)</f>
        <v>161.94999999999999</v>
      </c>
      <c r="F551" s="1">
        <f ca="1">IFERROR(__xludf.DUMMYFUNCTION("""COMPUTED_VALUE"""),7386921)</f>
        <v>7386921</v>
      </c>
    </row>
    <row r="552" spans="1:6" ht="12.6">
      <c r="A552" s="2">
        <f ca="1">IFERROR(__xludf.DUMMYFUNCTION("""COMPUTED_VALUE"""),45364.6666666666)</f>
        <v>45364.666666666599</v>
      </c>
      <c r="B552" s="1">
        <f ca="1">IFERROR(__xludf.DUMMYFUNCTION("""COMPUTED_VALUE"""),161.27)</f>
        <v>161.27000000000001</v>
      </c>
      <c r="C552" s="1">
        <f ca="1">IFERROR(__xludf.DUMMYFUNCTION("""COMPUTED_VALUE"""),166.84)</f>
        <v>166.84</v>
      </c>
      <c r="D552" s="1">
        <f ca="1">IFERROR(__xludf.DUMMYFUNCTION("""COMPUTED_VALUE"""),160.7)</f>
        <v>160.69999999999999</v>
      </c>
      <c r="E552" s="1">
        <f ca="1">IFERROR(__xludf.DUMMYFUNCTION("""COMPUTED_VALUE"""),162.31)</f>
        <v>162.31</v>
      </c>
      <c r="F552" s="1">
        <f ca="1">IFERROR(__xludf.DUMMYFUNCTION("""COMPUTED_VALUE"""),5866709)</f>
        <v>5866709</v>
      </c>
    </row>
    <row r="553" spans="1:6" ht="12.6">
      <c r="A553" s="2">
        <f ca="1">IFERROR(__xludf.DUMMYFUNCTION("""COMPUTED_VALUE"""),45365.6666666666)</f>
        <v>45365.666666666599</v>
      </c>
      <c r="B553" s="1">
        <f ca="1">IFERROR(__xludf.DUMMYFUNCTION("""COMPUTED_VALUE"""),162.02)</f>
        <v>162.02000000000001</v>
      </c>
      <c r="C553" s="1">
        <f ca="1">IFERROR(__xludf.DUMMYFUNCTION("""COMPUTED_VALUE"""),162.5)</f>
        <v>162.5</v>
      </c>
      <c r="D553" s="1">
        <f ca="1">IFERROR(__xludf.DUMMYFUNCTION("""COMPUTED_VALUE"""),157.8)</f>
        <v>157.80000000000001</v>
      </c>
      <c r="E553" s="1">
        <f ca="1">IFERROR(__xludf.DUMMYFUNCTION("""COMPUTED_VALUE"""),158.92)</f>
        <v>158.91999999999999</v>
      </c>
      <c r="F553" s="1">
        <f ca="1">IFERROR(__xludf.DUMMYFUNCTION("""COMPUTED_VALUE"""),5999111)</f>
        <v>5999111</v>
      </c>
    </row>
    <row r="554" spans="1:6" ht="12.6">
      <c r="A554" s="2">
        <f ca="1">IFERROR(__xludf.DUMMYFUNCTION("""COMPUTED_VALUE"""),45366.6666666666)</f>
        <v>45366.666666666599</v>
      </c>
      <c r="B554" s="1">
        <f ca="1">IFERROR(__xludf.DUMMYFUNCTION("""COMPUTED_VALUE"""),158.78)</f>
        <v>158.78</v>
      </c>
      <c r="C554" s="1">
        <f ca="1">IFERROR(__xludf.DUMMYFUNCTION("""COMPUTED_VALUE"""),160.24)</f>
        <v>160.24</v>
      </c>
      <c r="D554" s="1">
        <f ca="1">IFERROR(__xludf.DUMMYFUNCTION("""COMPUTED_VALUE"""),156.62)</f>
        <v>156.62</v>
      </c>
      <c r="E554" s="1">
        <f ca="1">IFERROR(__xludf.DUMMYFUNCTION("""COMPUTED_VALUE"""),156.97)</f>
        <v>156.97</v>
      </c>
      <c r="F554" s="1">
        <f ca="1">IFERROR(__xludf.DUMMYFUNCTION("""COMPUTED_VALUE"""),8280637)</f>
        <v>8280637</v>
      </c>
    </row>
    <row r="555" spans="1:6" ht="12.6">
      <c r="A555" s="2">
        <f ca="1">IFERROR(__xludf.DUMMYFUNCTION("""COMPUTED_VALUE"""),45369.6666666666)</f>
        <v>45369.666666666599</v>
      </c>
      <c r="B555" s="1">
        <f ca="1">IFERROR(__xludf.DUMMYFUNCTION("""COMPUTED_VALUE"""),157.52)</f>
        <v>157.52000000000001</v>
      </c>
      <c r="C555" s="1">
        <f ca="1">IFERROR(__xludf.DUMMYFUNCTION("""COMPUTED_VALUE"""),158.26)</f>
        <v>158.26</v>
      </c>
      <c r="D555" s="1">
        <f ca="1">IFERROR(__xludf.DUMMYFUNCTION("""COMPUTED_VALUE"""),155.55)</f>
        <v>155.55000000000001</v>
      </c>
      <c r="E555" s="1">
        <f ca="1">IFERROR(__xludf.DUMMYFUNCTION("""COMPUTED_VALUE"""),156.31)</f>
        <v>156.31</v>
      </c>
      <c r="F555" s="1">
        <f ca="1">IFERROR(__xludf.DUMMYFUNCTION("""COMPUTED_VALUE"""),7127229)</f>
        <v>7127229</v>
      </c>
    </row>
    <row r="556" spans="1:6" ht="12.6">
      <c r="A556" s="2">
        <f ca="1">IFERROR(__xludf.DUMMYFUNCTION("""COMPUTED_VALUE"""),45370.6666666666)</f>
        <v>45370.666666666599</v>
      </c>
      <c r="B556" s="1">
        <f ca="1">IFERROR(__xludf.DUMMYFUNCTION("""COMPUTED_VALUE"""),152.11)</f>
        <v>152.11000000000001</v>
      </c>
      <c r="C556" s="1">
        <f ca="1">IFERROR(__xludf.DUMMYFUNCTION("""COMPUTED_VALUE"""),157.84)</f>
        <v>157.84</v>
      </c>
      <c r="D556" s="1">
        <f ca="1">IFERROR(__xludf.DUMMYFUNCTION("""COMPUTED_VALUE"""),151.49)</f>
        <v>151.49</v>
      </c>
      <c r="E556" s="1">
        <f ca="1">IFERROR(__xludf.DUMMYFUNCTION("""COMPUTED_VALUE"""),157.7)</f>
        <v>157.69999999999999</v>
      </c>
      <c r="F556" s="1">
        <f ca="1">IFERROR(__xludf.DUMMYFUNCTION("""COMPUTED_VALUE"""),6644858)</f>
        <v>6644858</v>
      </c>
    </row>
    <row r="557" spans="1:6" ht="12.6">
      <c r="A557" s="2">
        <f ca="1">IFERROR(__xludf.DUMMYFUNCTION("""COMPUTED_VALUE"""),45371.6666666666)</f>
        <v>45371.666666666599</v>
      </c>
      <c r="B557" s="1">
        <f ca="1">IFERROR(__xludf.DUMMYFUNCTION("""COMPUTED_VALUE"""),158.05)</f>
        <v>158.05000000000001</v>
      </c>
      <c r="C557" s="1">
        <f ca="1">IFERROR(__xludf.DUMMYFUNCTION("""COMPUTED_VALUE"""),164.31)</f>
        <v>164.31</v>
      </c>
      <c r="D557" s="1">
        <f ca="1">IFERROR(__xludf.DUMMYFUNCTION("""COMPUTED_VALUE"""),158.05)</f>
        <v>158.05000000000001</v>
      </c>
      <c r="E557" s="1">
        <f ca="1">IFERROR(__xludf.DUMMYFUNCTION("""COMPUTED_VALUE"""),163.04)</f>
        <v>163.04</v>
      </c>
      <c r="F557" s="1">
        <f ca="1">IFERROR(__xludf.DUMMYFUNCTION("""COMPUTED_VALUE"""),7596629)</f>
        <v>7596629</v>
      </c>
    </row>
    <row r="558" spans="1:6" ht="12.6">
      <c r="A558" s="2">
        <f ca="1">IFERROR(__xludf.DUMMYFUNCTION("""COMPUTED_VALUE"""),45372.6666666666)</f>
        <v>45372.666666666599</v>
      </c>
      <c r="B558" s="1">
        <f ca="1">IFERROR(__xludf.DUMMYFUNCTION("""COMPUTED_VALUE"""),166)</f>
        <v>166</v>
      </c>
      <c r="C558" s="1">
        <f ca="1">IFERROR(__xludf.DUMMYFUNCTION("""COMPUTED_VALUE"""),168.68)</f>
        <v>168.68</v>
      </c>
      <c r="D558" s="1">
        <f ca="1">IFERROR(__xludf.DUMMYFUNCTION("""COMPUTED_VALUE"""),157.21)</f>
        <v>157.21</v>
      </c>
      <c r="E558" s="1">
        <f ca="1">IFERROR(__xludf.DUMMYFUNCTION("""COMPUTED_VALUE"""),158.39)</f>
        <v>158.38999999999999</v>
      </c>
      <c r="F558" s="1">
        <f ca="1">IFERROR(__xludf.DUMMYFUNCTION("""COMPUTED_VALUE"""),11393371)</f>
        <v>11393371</v>
      </c>
    </row>
    <row r="559" spans="1:6" ht="12.6">
      <c r="A559" s="2">
        <f ca="1">IFERROR(__xludf.DUMMYFUNCTION("""COMPUTED_VALUE"""),45373.6666666666)</f>
        <v>45373.666666666599</v>
      </c>
      <c r="B559" s="1">
        <f ca="1">IFERROR(__xludf.DUMMYFUNCTION("""COMPUTED_VALUE"""),158.39)</f>
        <v>158.38999999999999</v>
      </c>
      <c r="C559" s="1">
        <f ca="1">IFERROR(__xludf.DUMMYFUNCTION("""COMPUTED_VALUE"""),160.3)</f>
        <v>160.30000000000001</v>
      </c>
      <c r="D559" s="1">
        <f ca="1">IFERROR(__xludf.DUMMYFUNCTION("""COMPUTED_VALUE"""),157)</f>
        <v>157</v>
      </c>
      <c r="E559" s="1">
        <f ca="1">IFERROR(__xludf.DUMMYFUNCTION("""COMPUTED_VALUE"""),159.03)</f>
        <v>159.03</v>
      </c>
      <c r="F559" s="1">
        <f ca="1">IFERROR(__xludf.DUMMYFUNCTION("""COMPUTED_VALUE"""),4085102)</f>
        <v>4085102</v>
      </c>
    </row>
    <row r="560" spans="1:6" ht="12.6">
      <c r="A560" s="2">
        <f ca="1">IFERROR(__xludf.DUMMYFUNCTION("""COMPUTED_VALUE"""),45376.6666666666)</f>
        <v>45376.666666666599</v>
      </c>
      <c r="B560" s="1">
        <f ca="1">IFERROR(__xludf.DUMMYFUNCTION("""COMPUTED_VALUE"""),157.79)</f>
        <v>157.79</v>
      </c>
      <c r="C560" s="1">
        <f ca="1">IFERROR(__xludf.DUMMYFUNCTION("""COMPUTED_VALUE"""),159.1)</f>
        <v>159.1</v>
      </c>
      <c r="D560" s="1">
        <f ca="1">IFERROR(__xludf.DUMMYFUNCTION("""COMPUTED_VALUE"""),157.25)</f>
        <v>157.25</v>
      </c>
      <c r="E560" s="1">
        <f ca="1">IFERROR(__xludf.DUMMYFUNCTION("""COMPUTED_VALUE"""),158.14)</f>
        <v>158.13999999999999</v>
      </c>
      <c r="F560" s="1">
        <f ca="1">IFERROR(__xludf.DUMMYFUNCTION("""COMPUTED_VALUE"""),3108718)</f>
        <v>3108718</v>
      </c>
    </row>
    <row r="561" spans="1:6" ht="12.6">
      <c r="A561" s="2">
        <f ca="1">IFERROR(__xludf.DUMMYFUNCTION("""COMPUTED_VALUE"""),45377.6666666666)</f>
        <v>45377.666666666599</v>
      </c>
      <c r="B561" s="1">
        <f ca="1">IFERROR(__xludf.DUMMYFUNCTION("""COMPUTED_VALUE"""),159.38)</f>
        <v>159.38</v>
      </c>
      <c r="C561" s="1">
        <f ca="1">IFERROR(__xludf.DUMMYFUNCTION("""COMPUTED_VALUE"""),160.97)</f>
        <v>160.97</v>
      </c>
      <c r="D561" s="1">
        <f ca="1">IFERROR(__xludf.DUMMYFUNCTION("""COMPUTED_VALUE"""),157.64)</f>
        <v>157.63999999999999</v>
      </c>
      <c r="E561" s="1">
        <f ca="1">IFERROR(__xludf.DUMMYFUNCTION("""COMPUTED_VALUE"""),158.02)</f>
        <v>158.02000000000001</v>
      </c>
      <c r="F561" s="1">
        <f ca="1">IFERROR(__xludf.DUMMYFUNCTION("""COMPUTED_VALUE"""),4069083)</f>
        <v>4069083</v>
      </c>
    </row>
    <row r="562" spans="1:6" ht="12.6">
      <c r="A562" s="2">
        <f ca="1">IFERROR(__xludf.DUMMYFUNCTION("""COMPUTED_VALUE"""),45378.6666666666)</f>
        <v>45378.666666666599</v>
      </c>
      <c r="B562" s="1">
        <f ca="1">IFERROR(__xludf.DUMMYFUNCTION("""COMPUTED_VALUE"""),159.6)</f>
        <v>159.6</v>
      </c>
      <c r="C562" s="1">
        <f ca="1">IFERROR(__xludf.DUMMYFUNCTION("""COMPUTED_VALUE"""),160.63)</f>
        <v>160.63</v>
      </c>
      <c r="D562" s="1">
        <f ca="1">IFERROR(__xludf.DUMMYFUNCTION("""COMPUTED_VALUE"""),157.7)</f>
        <v>157.69999999999999</v>
      </c>
      <c r="E562" s="1">
        <f ca="1">IFERROR(__xludf.DUMMYFUNCTION("""COMPUTED_VALUE"""),160.04)</f>
        <v>160.04</v>
      </c>
      <c r="F562" s="1">
        <f ca="1">IFERROR(__xludf.DUMMYFUNCTION("""COMPUTED_VALUE"""),4698138)</f>
        <v>4698138</v>
      </c>
    </row>
    <row r="563" spans="1:6" ht="12.6">
      <c r="A563" s="2">
        <f ca="1">IFERROR(__xludf.DUMMYFUNCTION("""COMPUTED_VALUE"""),45379.6666666666)</f>
        <v>45379.666666666599</v>
      </c>
      <c r="B563" s="1">
        <f ca="1">IFERROR(__xludf.DUMMYFUNCTION("""COMPUTED_VALUE"""),164.02)</f>
        <v>164.02</v>
      </c>
      <c r="C563" s="1">
        <f ca="1">IFERROR(__xludf.DUMMYFUNCTION("""COMPUTED_VALUE"""),165.89)</f>
        <v>165.89</v>
      </c>
      <c r="D563" s="1">
        <f ca="1">IFERROR(__xludf.DUMMYFUNCTION("""COMPUTED_VALUE"""),161)</f>
        <v>161</v>
      </c>
      <c r="E563" s="1">
        <f ca="1">IFERROR(__xludf.DUMMYFUNCTION("""COMPUTED_VALUE"""),161.6)</f>
        <v>161.6</v>
      </c>
      <c r="F563" s="1">
        <f ca="1">IFERROR(__xludf.DUMMYFUNCTION("""COMPUTED_VALUE"""),10106906)</f>
        <v>10106906</v>
      </c>
    </row>
    <row r="564" spans="1:6" ht="12.6">
      <c r="A564" s="2">
        <f ca="1">IFERROR(__xludf.DUMMYFUNCTION("""COMPUTED_VALUE"""),45383.6666666666)</f>
        <v>45383.666666666599</v>
      </c>
      <c r="B564" s="1">
        <f ca="1">IFERROR(__xludf.DUMMYFUNCTION("""COMPUTED_VALUE"""),161.86)</f>
        <v>161.86000000000001</v>
      </c>
      <c r="C564" s="1">
        <f ca="1">IFERROR(__xludf.DUMMYFUNCTION("""COMPUTED_VALUE"""),163.75)</f>
        <v>163.75</v>
      </c>
      <c r="D564" s="1">
        <f ca="1">IFERROR(__xludf.DUMMYFUNCTION("""COMPUTED_VALUE"""),159.74)</f>
        <v>159.74</v>
      </c>
      <c r="E564" s="1">
        <f ca="1">IFERROR(__xludf.DUMMYFUNCTION("""COMPUTED_VALUE"""),160.52)</f>
        <v>160.52000000000001</v>
      </c>
      <c r="F564" s="1">
        <f ca="1">IFERROR(__xludf.DUMMYFUNCTION("""COMPUTED_VALUE"""),3928834)</f>
        <v>3928834</v>
      </c>
    </row>
    <row r="565" spans="1:6" ht="12.6">
      <c r="A565" s="2">
        <f ca="1">IFERROR(__xludf.DUMMYFUNCTION("""COMPUTED_VALUE"""),45384.6666666666)</f>
        <v>45384.666666666599</v>
      </c>
      <c r="B565" s="1">
        <f ca="1">IFERROR(__xludf.DUMMYFUNCTION("""COMPUTED_VALUE"""),157.5)</f>
        <v>157.5</v>
      </c>
      <c r="C565" s="1">
        <f ca="1">IFERROR(__xludf.DUMMYFUNCTION("""COMPUTED_VALUE"""),157.77)</f>
        <v>157.77000000000001</v>
      </c>
      <c r="D565" s="1">
        <f ca="1">IFERROR(__xludf.DUMMYFUNCTION("""COMPUTED_VALUE"""),155.07)</f>
        <v>155.07</v>
      </c>
      <c r="E565" s="1">
        <f ca="1">IFERROR(__xludf.DUMMYFUNCTION("""COMPUTED_VALUE"""),156.19)</f>
        <v>156.19</v>
      </c>
      <c r="F565" s="1">
        <f ca="1">IFERROR(__xludf.DUMMYFUNCTION("""COMPUTED_VALUE"""),5615491)</f>
        <v>5615491</v>
      </c>
    </row>
    <row r="566" spans="1:6" ht="12.6">
      <c r="A566" s="2">
        <f ca="1">IFERROR(__xludf.DUMMYFUNCTION("""COMPUTED_VALUE"""),45385.6666666666)</f>
        <v>45385.666666666599</v>
      </c>
      <c r="B566" s="1">
        <f ca="1">IFERROR(__xludf.DUMMYFUNCTION("""COMPUTED_VALUE"""),155.15)</f>
        <v>155.15</v>
      </c>
      <c r="C566" s="1">
        <f ca="1">IFERROR(__xludf.DUMMYFUNCTION("""COMPUTED_VALUE"""),155.3)</f>
        <v>155.30000000000001</v>
      </c>
      <c r="D566" s="1">
        <f ca="1">IFERROR(__xludf.DUMMYFUNCTION("""COMPUTED_VALUE"""),152.53)</f>
        <v>152.53</v>
      </c>
      <c r="E566" s="1">
        <f ca="1">IFERROR(__xludf.DUMMYFUNCTION("""COMPUTED_VALUE"""),153.02)</f>
        <v>153.02000000000001</v>
      </c>
      <c r="F566" s="1">
        <f ca="1">IFERROR(__xludf.DUMMYFUNCTION("""COMPUTED_VALUE"""),6147013)</f>
        <v>6147013</v>
      </c>
    </row>
    <row r="567" spans="1:6" ht="12.6">
      <c r="A567" s="2">
        <f ca="1">IFERROR(__xludf.DUMMYFUNCTION("""COMPUTED_VALUE"""),45386.6666666666)</f>
        <v>45386.666666666599</v>
      </c>
      <c r="B567" s="1">
        <f ca="1">IFERROR(__xludf.DUMMYFUNCTION("""COMPUTED_VALUE"""),153.11)</f>
        <v>153.11000000000001</v>
      </c>
      <c r="C567" s="1">
        <f ca="1">IFERROR(__xludf.DUMMYFUNCTION("""COMPUTED_VALUE"""),156)</f>
        <v>156</v>
      </c>
      <c r="D567" s="1">
        <f ca="1">IFERROR(__xludf.DUMMYFUNCTION("""COMPUTED_VALUE"""),150.62)</f>
        <v>150.62</v>
      </c>
      <c r="E567" s="1">
        <f ca="1">IFERROR(__xludf.DUMMYFUNCTION("""COMPUTED_VALUE"""),151.34)</f>
        <v>151.34</v>
      </c>
      <c r="F567" s="1">
        <f ca="1">IFERROR(__xludf.DUMMYFUNCTION("""COMPUTED_VALUE"""),6249543)</f>
        <v>6249543</v>
      </c>
    </row>
    <row r="568" spans="1:6" ht="12.6">
      <c r="A568" s="2">
        <f ca="1">IFERROR(__xludf.DUMMYFUNCTION("""COMPUTED_VALUE"""),45387.6666666666)</f>
        <v>45387.666666666599</v>
      </c>
      <c r="B568" s="1">
        <f ca="1">IFERROR(__xludf.DUMMYFUNCTION("""COMPUTED_VALUE"""),152.48)</f>
        <v>152.47999999999999</v>
      </c>
      <c r="C568" s="1">
        <f ca="1">IFERROR(__xludf.DUMMYFUNCTION("""COMPUTED_VALUE"""),155.55)</f>
        <v>155.55000000000001</v>
      </c>
      <c r="D568" s="1">
        <f ca="1">IFERROR(__xludf.DUMMYFUNCTION("""COMPUTED_VALUE"""),152.17)</f>
        <v>152.16999999999999</v>
      </c>
      <c r="E568" s="1">
        <f ca="1">IFERROR(__xludf.DUMMYFUNCTION("""COMPUTED_VALUE"""),153.86)</f>
        <v>153.86000000000001</v>
      </c>
      <c r="F568" s="1">
        <f ca="1">IFERROR(__xludf.DUMMYFUNCTION("""COMPUTED_VALUE"""),5120008)</f>
        <v>5120008</v>
      </c>
    </row>
    <row r="569" spans="1:6" ht="12.6">
      <c r="A569" s="2">
        <f ca="1">IFERROR(__xludf.DUMMYFUNCTION("""COMPUTED_VALUE"""),45390.6666666666)</f>
        <v>45390.666666666599</v>
      </c>
      <c r="B569" s="1">
        <f ca="1">IFERROR(__xludf.DUMMYFUNCTION("""COMPUTED_VALUE"""),153.86)</f>
        <v>153.86000000000001</v>
      </c>
      <c r="C569" s="1">
        <f ca="1">IFERROR(__xludf.DUMMYFUNCTION("""COMPUTED_VALUE"""),155.69)</f>
        <v>155.69</v>
      </c>
      <c r="D569" s="1">
        <f ca="1">IFERROR(__xludf.DUMMYFUNCTION("""COMPUTED_VALUE"""),151.69)</f>
        <v>151.69</v>
      </c>
      <c r="E569" s="1">
        <f ca="1">IFERROR(__xludf.DUMMYFUNCTION("""COMPUTED_VALUE"""),154.86)</f>
        <v>154.86000000000001</v>
      </c>
      <c r="F569" s="1">
        <f ca="1">IFERROR(__xludf.DUMMYFUNCTION("""COMPUTED_VALUE"""),2682723)</f>
        <v>2682723</v>
      </c>
    </row>
    <row r="570" spans="1:6" ht="12.6">
      <c r="A570" s="2">
        <f ca="1">IFERROR(__xludf.DUMMYFUNCTION("""COMPUTED_VALUE"""),45391.6666666666)</f>
        <v>45391.666666666599</v>
      </c>
      <c r="B570" s="1">
        <f ca="1">IFERROR(__xludf.DUMMYFUNCTION("""COMPUTED_VALUE"""),155.12)</f>
        <v>155.12</v>
      </c>
      <c r="C570" s="1">
        <f ca="1">IFERROR(__xludf.DUMMYFUNCTION("""COMPUTED_VALUE"""),156.9)</f>
        <v>156.9</v>
      </c>
      <c r="D570" s="1">
        <f ca="1">IFERROR(__xludf.DUMMYFUNCTION("""COMPUTED_VALUE"""),153.83)</f>
        <v>153.83000000000001</v>
      </c>
      <c r="E570" s="1">
        <f ca="1">IFERROR(__xludf.DUMMYFUNCTION("""COMPUTED_VALUE"""),155.58)</f>
        <v>155.58000000000001</v>
      </c>
      <c r="F570" s="1">
        <f ca="1">IFERROR(__xludf.DUMMYFUNCTION("""COMPUTED_VALUE"""),3412176)</f>
        <v>3412176</v>
      </c>
    </row>
    <row r="571" spans="1:6" ht="12.6">
      <c r="A571" s="2">
        <f ca="1">IFERROR(__xludf.DUMMYFUNCTION("""COMPUTED_VALUE"""),45392.6666666666)</f>
        <v>45392.666666666599</v>
      </c>
      <c r="B571" s="1">
        <f ca="1">IFERROR(__xludf.DUMMYFUNCTION("""COMPUTED_VALUE"""),151.6)</f>
        <v>151.6</v>
      </c>
      <c r="C571" s="1">
        <f ca="1">IFERROR(__xludf.DUMMYFUNCTION("""COMPUTED_VALUE"""),153.51)</f>
        <v>153.51</v>
      </c>
      <c r="D571" s="1">
        <f ca="1">IFERROR(__xludf.DUMMYFUNCTION("""COMPUTED_VALUE"""),151.55)</f>
        <v>151.55000000000001</v>
      </c>
      <c r="E571" s="1">
        <f ca="1">IFERROR(__xludf.DUMMYFUNCTION("""COMPUTED_VALUE"""),152.97)</f>
        <v>152.97</v>
      </c>
      <c r="F571" s="1">
        <f ca="1">IFERROR(__xludf.DUMMYFUNCTION("""COMPUTED_VALUE"""),3602446)</f>
        <v>3602446</v>
      </c>
    </row>
    <row r="572" spans="1:6" ht="12.6">
      <c r="A572" s="2">
        <f ca="1">IFERROR(__xludf.DUMMYFUNCTION("""COMPUTED_VALUE"""),45393.6666666666)</f>
        <v>45393.666666666599</v>
      </c>
      <c r="B572" s="1">
        <f ca="1">IFERROR(__xludf.DUMMYFUNCTION("""COMPUTED_VALUE"""),154.66)</f>
        <v>154.66</v>
      </c>
      <c r="C572" s="1">
        <f ca="1">IFERROR(__xludf.DUMMYFUNCTION("""COMPUTED_VALUE"""),159.92)</f>
        <v>159.91999999999999</v>
      </c>
      <c r="D572" s="1">
        <f ca="1">IFERROR(__xludf.DUMMYFUNCTION("""COMPUTED_VALUE"""),154.33)</f>
        <v>154.33000000000001</v>
      </c>
      <c r="E572" s="1">
        <f ca="1">IFERROR(__xludf.DUMMYFUNCTION("""COMPUTED_VALUE"""),159.35)</f>
        <v>159.35</v>
      </c>
      <c r="F572" s="1">
        <f ca="1">IFERROR(__xludf.DUMMYFUNCTION("""COMPUTED_VALUE"""),5737466)</f>
        <v>5737466</v>
      </c>
    </row>
    <row r="573" spans="1:6" ht="12.6">
      <c r="A573" s="2">
        <f ca="1">IFERROR(__xludf.DUMMYFUNCTION("""COMPUTED_VALUE"""),45394.6666666666)</f>
        <v>45394.666666666599</v>
      </c>
      <c r="B573" s="1">
        <f ca="1">IFERROR(__xludf.DUMMYFUNCTION("""COMPUTED_VALUE"""),157.1)</f>
        <v>157.1</v>
      </c>
      <c r="C573" s="1">
        <f ca="1">IFERROR(__xludf.DUMMYFUNCTION("""COMPUTED_VALUE"""),160.52)</f>
        <v>160.52000000000001</v>
      </c>
      <c r="D573" s="1">
        <f ca="1">IFERROR(__xludf.DUMMYFUNCTION("""COMPUTED_VALUE"""),156.78)</f>
        <v>156.78</v>
      </c>
      <c r="E573" s="1">
        <f ca="1">IFERROR(__xludf.DUMMYFUNCTION("""COMPUTED_VALUE"""),158.56)</f>
        <v>158.56</v>
      </c>
      <c r="F573" s="1">
        <f ca="1">IFERROR(__xludf.DUMMYFUNCTION("""COMPUTED_VALUE"""),4663615)</f>
        <v>4663615</v>
      </c>
    </row>
    <row r="574" spans="1:6" ht="12.6">
      <c r="A574" s="2">
        <f ca="1">IFERROR(__xludf.DUMMYFUNCTION("""COMPUTED_VALUE"""),45397.6666666666)</f>
        <v>45397.666666666599</v>
      </c>
      <c r="B574" s="1">
        <f ca="1">IFERROR(__xludf.DUMMYFUNCTION("""COMPUTED_VALUE"""),156.38)</f>
        <v>156.38</v>
      </c>
      <c r="C574" s="1">
        <f ca="1">IFERROR(__xludf.DUMMYFUNCTION("""COMPUTED_VALUE"""),157.03)</f>
        <v>157.03</v>
      </c>
      <c r="D574" s="1">
        <f ca="1">IFERROR(__xludf.DUMMYFUNCTION("""COMPUTED_VALUE"""),151.09)</f>
        <v>151.09</v>
      </c>
      <c r="E574" s="1">
        <f ca="1">IFERROR(__xludf.DUMMYFUNCTION("""COMPUTED_VALUE"""),151.98)</f>
        <v>151.97999999999999</v>
      </c>
      <c r="F574" s="1">
        <f ca="1">IFERROR(__xludf.DUMMYFUNCTION("""COMPUTED_VALUE"""),5929197)</f>
        <v>5929197</v>
      </c>
    </row>
    <row r="575" spans="1:6" ht="12.6">
      <c r="A575" s="2">
        <f ca="1">IFERROR(__xludf.DUMMYFUNCTION("""COMPUTED_VALUE"""),45398.6666666666)</f>
        <v>45398.666666666599</v>
      </c>
      <c r="B575" s="1">
        <f ca="1">IFERROR(__xludf.DUMMYFUNCTION("""COMPUTED_VALUE"""),151.51)</f>
        <v>151.51</v>
      </c>
      <c r="C575" s="1">
        <f ca="1">IFERROR(__xludf.DUMMYFUNCTION("""COMPUTED_VALUE"""),152.07)</f>
        <v>152.07</v>
      </c>
      <c r="D575" s="1">
        <f ca="1">IFERROR(__xludf.DUMMYFUNCTION("""COMPUTED_VALUE"""),149.11)</f>
        <v>149.11000000000001</v>
      </c>
      <c r="E575" s="1">
        <f ca="1">IFERROR(__xludf.DUMMYFUNCTION("""COMPUTED_VALUE"""),150.3)</f>
        <v>150.30000000000001</v>
      </c>
      <c r="F575" s="1">
        <f ca="1">IFERROR(__xludf.DUMMYFUNCTION("""COMPUTED_VALUE"""),4705665)</f>
        <v>4705665</v>
      </c>
    </row>
    <row r="576" spans="1:6" ht="12.6">
      <c r="A576" s="2">
        <f ca="1">IFERROR(__xludf.DUMMYFUNCTION("""COMPUTED_VALUE"""),45399.6666666666)</f>
        <v>45399.666666666599</v>
      </c>
      <c r="B576" s="1">
        <f ca="1">IFERROR(__xludf.DUMMYFUNCTION("""COMPUTED_VALUE"""),151.04)</f>
        <v>151.04</v>
      </c>
      <c r="C576" s="1">
        <f ca="1">IFERROR(__xludf.DUMMYFUNCTION("""COMPUTED_VALUE"""),152.44)</f>
        <v>152.44</v>
      </c>
      <c r="D576" s="1">
        <f ca="1">IFERROR(__xludf.DUMMYFUNCTION("""COMPUTED_VALUE"""),148.77)</f>
        <v>148.77000000000001</v>
      </c>
      <c r="E576" s="1">
        <f ca="1">IFERROR(__xludf.DUMMYFUNCTION("""COMPUTED_VALUE"""),148.8)</f>
        <v>148.80000000000001</v>
      </c>
      <c r="F576" s="1">
        <f ca="1">IFERROR(__xludf.DUMMYFUNCTION("""COMPUTED_VALUE"""),3767066)</f>
        <v>3767066</v>
      </c>
    </row>
    <row r="577" spans="1:6" ht="12.6">
      <c r="A577" s="2">
        <f ca="1">IFERROR(__xludf.DUMMYFUNCTION("""COMPUTED_VALUE"""),45400.6666666666)</f>
        <v>45400.666666666599</v>
      </c>
      <c r="B577" s="1">
        <f ca="1">IFERROR(__xludf.DUMMYFUNCTION("""COMPUTED_VALUE"""),148.67)</f>
        <v>148.66999999999999</v>
      </c>
      <c r="C577" s="1">
        <f ca="1">IFERROR(__xludf.DUMMYFUNCTION("""COMPUTED_VALUE"""),150.9)</f>
        <v>150.9</v>
      </c>
      <c r="D577" s="1">
        <f ca="1">IFERROR(__xludf.DUMMYFUNCTION("""COMPUTED_VALUE"""),147.64)</f>
        <v>147.63999999999999</v>
      </c>
      <c r="E577" s="1">
        <f ca="1">IFERROR(__xludf.DUMMYFUNCTION("""COMPUTED_VALUE"""),148.41)</f>
        <v>148.41</v>
      </c>
      <c r="F577" s="1">
        <f ca="1">IFERROR(__xludf.DUMMYFUNCTION("""COMPUTED_VALUE"""),3795534)</f>
        <v>3795534</v>
      </c>
    </row>
    <row r="578" spans="1:6" ht="12.6">
      <c r="A578" s="2">
        <f ca="1">IFERROR(__xludf.DUMMYFUNCTION("""COMPUTED_VALUE"""),45401.6666666666)</f>
        <v>45401.666666666599</v>
      </c>
      <c r="B578" s="1">
        <f ca="1">IFERROR(__xludf.DUMMYFUNCTION("""COMPUTED_VALUE"""),147.66)</f>
        <v>147.66</v>
      </c>
      <c r="C578" s="1">
        <f ca="1">IFERROR(__xludf.DUMMYFUNCTION("""COMPUTED_VALUE"""),150.09)</f>
        <v>150.09</v>
      </c>
      <c r="D578" s="1">
        <f ca="1">IFERROR(__xludf.DUMMYFUNCTION("""COMPUTED_VALUE"""),144.55)</f>
        <v>144.55000000000001</v>
      </c>
      <c r="E578" s="1">
        <f ca="1">IFERROR(__xludf.DUMMYFUNCTION("""COMPUTED_VALUE"""),145.45)</f>
        <v>145.44999999999999</v>
      </c>
      <c r="F578" s="1">
        <f ca="1">IFERROR(__xludf.DUMMYFUNCTION("""COMPUTED_VALUE"""),4974560)</f>
        <v>4974560</v>
      </c>
    </row>
    <row r="579" spans="1:6" ht="12.6">
      <c r="A579" s="2">
        <f ca="1">IFERROR(__xludf.DUMMYFUNCTION("""COMPUTED_VALUE"""),45404.6666666666)</f>
        <v>45404.666666666599</v>
      </c>
      <c r="B579" s="1">
        <f ca="1">IFERROR(__xludf.DUMMYFUNCTION("""COMPUTED_VALUE"""),145.45)</f>
        <v>145.44999999999999</v>
      </c>
      <c r="C579" s="1">
        <f ca="1">IFERROR(__xludf.DUMMYFUNCTION("""COMPUTED_VALUE"""),148.4)</f>
        <v>148.4</v>
      </c>
      <c r="D579" s="1">
        <f ca="1">IFERROR(__xludf.DUMMYFUNCTION("""COMPUTED_VALUE"""),144.32)</f>
        <v>144.32</v>
      </c>
      <c r="E579" s="1">
        <f ca="1">IFERROR(__xludf.DUMMYFUNCTION("""COMPUTED_VALUE"""),147.21)</f>
        <v>147.21</v>
      </c>
      <c r="F579" s="1">
        <f ca="1">IFERROR(__xludf.DUMMYFUNCTION("""COMPUTED_VALUE"""),3736481)</f>
        <v>3736481</v>
      </c>
    </row>
    <row r="580" spans="1:6" ht="12.6">
      <c r="A580" s="2">
        <f ca="1">IFERROR(__xludf.DUMMYFUNCTION("""COMPUTED_VALUE"""),45405.6666666666)</f>
        <v>45405.666666666599</v>
      </c>
      <c r="B580" s="1">
        <f ca="1">IFERROR(__xludf.DUMMYFUNCTION("""COMPUTED_VALUE"""),148.93)</f>
        <v>148.93</v>
      </c>
      <c r="C580" s="1">
        <f ca="1">IFERROR(__xludf.DUMMYFUNCTION("""COMPUTED_VALUE"""),152.08)</f>
        <v>152.08000000000001</v>
      </c>
      <c r="D580" s="1">
        <f ca="1">IFERROR(__xludf.DUMMYFUNCTION("""COMPUTED_VALUE"""),148.8)</f>
        <v>148.80000000000001</v>
      </c>
      <c r="E580" s="1">
        <f ca="1">IFERROR(__xludf.DUMMYFUNCTION("""COMPUTED_VALUE"""),151.17)</f>
        <v>151.16999999999999</v>
      </c>
      <c r="F580" s="1">
        <f ca="1">IFERROR(__xludf.DUMMYFUNCTION("""COMPUTED_VALUE"""),4826509)</f>
        <v>4826509</v>
      </c>
    </row>
    <row r="581" spans="1:6" ht="12.6">
      <c r="A581" s="2">
        <f ca="1">IFERROR(__xludf.DUMMYFUNCTION("""COMPUTED_VALUE"""),45406.6666666666)</f>
        <v>45406.666666666599</v>
      </c>
      <c r="B581" s="1">
        <f ca="1">IFERROR(__xludf.DUMMYFUNCTION("""COMPUTED_VALUE"""),153)</f>
        <v>153</v>
      </c>
      <c r="C581" s="1">
        <f ca="1">IFERROR(__xludf.DUMMYFUNCTION("""COMPUTED_VALUE"""),155.08)</f>
        <v>155.08000000000001</v>
      </c>
      <c r="D581" s="1">
        <f ca="1">IFERROR(__xludf.DUMMYFUNCTION("""COMPUTED_VALUE"""),152.03)</f>
        <v>152.03</v>
      </c>
      <c r="E581" s="1">
        <f ca="1">IFERROR(__xludf.DUMMYFUNCTION("""COMPUTED_VALUE"""),154.99)</f>
        <v>154.99</v>
      </c>
      <c r="F581" s="1">
        <f ca="1">IFERROR(__xludf.DUMMYFUNCTION("""COMPUTED_VALUE"""),3972698)</f>
        <v>3972698</v>
      </c>
    </row>
    <row r="582" spans="1:6" ht="12.6">
      <c r="A582" s="2">
        <f ca="1">IFERROR(__xludf.DUMMYFUNCTION("""COMPUTED_VALUE"""),45407.6666666666)</f>
        <v>45407.666666666599</v>
      </c>
      <c r="B582" s="1">
        <f ca="1">IFERROR(__xludf.DUMMYFUNCTION("""COMPUTED_VALUE"""),152.59)</f>
        <v>152.59</v>
      </c>
      <c r="C582" s="1">
        <f ca="1">IFERROR(__xludf.DUMMYFUNCTION("""COMPUTED_VALUE"""),153.82)</f>
        <v>153.82</v>
      </c>
      <c r="D582" s="1">
        <f ca="1">IFERROR(__xludf.DUMMYFUNCTION("""COMPUTED_VALUE"""),149.55)</f>
        <v>149.55000000000001</v>
      </c>
      <c r="E582" s="1">
        <f ca="1">IFERROR(__xludf.DUMMYFUNCTION("""COMPUTED_VALUE"""),152.5)</f>
        <v>152.5</v>
      </c>
      <c r="F582" s="1">
        <f ca="1">IFERROR(__xludf.DUMMYFUNCTION("""COMPUTED_VALUE"""),3965032)</f>
        <v>3965032</v>
      </c>
    </row>
    <row r="583" spans="1:6" ht="12.6">
      <c r="A583" s="2">
        <f ca="1">IFERROR(__xludf.DUMMYFUNCTION("""COMPUTED_VALUE"""),45408.6666666666)</f>
        <v>45408.666666666599</v>
      </c>
      <c r="B583" s="1">
        <f ca="1">IFERROR(__xludf.DUMMYFUNCTION("""COMPUTED_VALUE"""),159.76)</f>
        <v>159.76</v>
      </c>
      <c r="C583" s="1">
        <f ca="1">IFERROR(__xludf.DUMMYFUNCTION("""COMPUTED_VALUE"""),160.29)</f>
        <v>160.29</v>
      </c>
      <c r="D583" s="1">
        <f ca="1">IFERROR(__xludf.DUMMYFUNCTION("""COMPUTED_VALUE"""),155.8)</f>
        <v>155.80000000000001</v>
      </c>
      <c r="E583" s="1">
        <f ca="1">IFERROR(__xludf.DUMMYFUNCTION("""COMPUTED_VALUE"""),158.13)</f>
        <v>158.13</v>
      </c>
      <c r="F583" s="1">
        <f ca="1">IFERROR(__xludf.DUMMYFUNCTION("""COMPUTED_VALUE"""),6533260)</f>
        <v>6533260</v>
      </c>
    </row>
    <row r="584" spans="1:6" ht="12.6">
      <c r="A584" s="2">
        <f ca="1">IFERROR(__xludf.DUMMYFUNCTION("""COMPUTED_VALUE"""),45411.6666666666)</f>
        <v>45411.666666666599</v>
      </c>
      <c r="B584" s="1">
        <f ca="1">IFERROR(__xludf.DUMMYFUNCTION("""COMPUTED_VALUE"""),158.7)</f>
        <v>158.69999999999999</v>
      </c>
      <c r="C584" s="1">
        <f ca="1">IFERROR(__xludf.DUMMYFUNCTION("""COMPUTED_VALUE"""),159.61)</f>
        <v>159.61000000000001</v>
      </c>
      <c r="D584" s="1">
        <f ca="1">IFERROR(__xludf.DUMMYFUNCTION("""COMPUTED_VALUE"""),156.24)</f>
        <v>156.24</v>
      </c>
      <c r="E584" s="1">
        <f ca="1">IFERROR(__xludf.DUMMYFUNCTION("""COMPUTED_VALUE"""),157.44)</f>
        <v>157.44</v>
      </c>
      <c r="F584" s="1">
        <f ca="1">IFERROR(__xludf.DUMMYFUNCTION("""COMPUTED_VALUE"""),5168711)</f>
        <v>5168711</v>
      </c>
    </row>
    <row r="585" spans="1:6" ht="12.6">
      <c r="A585" s="2">
        <f ca="1">IFERROR(__xludf.DUMMYFUNCTION("""COMPUTED_VALUE"""),45412.6666666666)</f>
        <v>45412.666666666599</v>
      </c>
      <c r="B585" s="1">
        <f ca="1">IFERROR(__xludf.DUMMYFUNCTION("""COMPUTED_VALUE"""),156.13)</f>
        <v>156.13</v>
      </c>
      <c r="C585" s="1">
        <f ca="1">IFERROR(__xludf.DUMMYFUNCTION("""COMPUTED_VALUE"""),158.58)</f>
        <v>158.58000000000001</v>
      </c>
      <c r="D585" s="1">
        <f ca="1">IFERROR(__xludf.DUMMYFUNCTION("""COMPUTED_VALUE"""),155)</f>
        <v>155</v>
      </c>
      <c r="E585" s="1">
        <f ca="1">IFERROR(__xludf.DUMMYFUNCTION("""COMPUTED_VALUE"""),155.2)</f>
        <v>155.19999999999999</v>
      </c>
      <c r="F585" s="1">
        <f ca="1">IFERROR(__xludf.DUMMYFUNCTION("""COMPUTED_VALUE"""),4016193)</f>
        <v>4016193</v>
      </c>
    </row>
    <row r="586" spans="1:6" ht="12.6">
      <c r="A586" s="2">
        <f ca="1">IFERROR(__xludf.DUMMYFUNCTION("""COMPUTED_VALUE"""),45413.6666666666)</f>
        <v>45413.666666666599</v>
      </c>
      <c r="B586" s="1">
        <f ca="1">IFERROR(__xludf.DUMMYFUNCTION("""COMPUTED_VALUE"""),158.14)</f>
        <v>158.13999999999999</v>
      </c>
      <c r="C586" s="1">
        <f ca="1">IFERROR(__xludf.DUMMYFUNCTION("""COMPUTED_VALUE"""),160.3)</f>
        <v>160.30000000000001</v>
      </c>
      <c r="D586" s="1">
        <f ca="1">IFERROR(__xludf.DUMMYFUNCTION("""COMPUTED_VALUE"""),154.18)</f>
        <v>154.18</v>
      </c>
      <c r="E586" s="1">
        <f ca="1">IFERROR(__xludf.DUMMYFUNCTION("""COMPUTED_VALUE"""),156.14)</f>
        <v>156.13999999999999</v>
      </c>
      <c r="F586" s="1">
        <f ca="1">IFERROR(__xludf.DUMMYFUNCTION("""COMPUTED_VALUE"""),3423066)</f>
        <v>3423066</v>
      </c>
    </row>
    <row r="587" spans="1:6" ht="12.6">
      <c r="A587" s="2">
        <f ca="1">IFERROR(__xludf.DUMMYFUNCTION("""COMPUTED_VALUE"""),45414.6666666666)</f>
        <v>45414.666666666599</v>
      </c>
      <c r="B587" s="1">
        <f ca="1">IFERROR(__xludf.DUMMYFUNCTION("""COMPUTED_VALUE"""),158.01)</f>
        <v>158.01</v>
      </c>
      <c r="C587" s="1">
        <f ca="1">IFERROR(__xludf.DUMMYFUNCTION("""COMPUTED_VALUE"""),159.39)</f>
        <v>159.38999999999999</v>
      </c>
      <c r="D587" s="1">
        <f ca="1">IFERROR(__xludf.DUMMYFUNCTION("""COMPUTED_VALUE"""),154.29)</f>
        <v>154.29</v>
      </c>
      <c r="E587" s="1">
        <f ca="1">IFERROR(__xludf.DUMMYFUNCTION("""COMPUTED_VALUE"""),157.77)</f>
        <v>157.77000000000001</v>
      </c>
      <c r="F587" s="1">
        <f ca="1">IFERROR(__xludf.DUMMYFUNCTION("""COMPUTED_VALUE"""),2671605)</f>
        <v>2671605</v>
      </c>
    </row>
    <row r="588" spans="1:6" ht="12.6">
      <c r="A588" s="2">
        <f ca="1">IFERROR(__xludf.DUMMYFUNCTION("""COMPUTED_VALUE"""),45415.6666666666)</f>
        <v>45415.666666666599</v>
      </c>
      <c r="B588" s="1">
        <f ca="1">IFERROR(__xludf.DUMMYFUNCTION("""COMPUTED_VALUE"""),161)</f>
        <v>161</v>
      </c>
      <c r="C588" s="1">
        <f ca="1">IFERROR(__xludf.DUMMYFUNCTION("""COMPUTED_VALUE"""),161.38)</f>
        <v>161.38</v>
      </c>
      <c r="D588" s="1">
        <f ca="1">IFERROR(__xludf.DUMMYFUNCTION("""COMPUTED_VALUE"""),157.69)</f>
        <v>157.69</v>
      </c>
      <c r="E588" s="1">
        <f ca="1">IFERROR(__xludf.DUMMYFUNCTION("""COMPUTED_VALUE"""),159.32)</f>
        <v>159.32</v>
      </c>
      <c r="F588" s="1">
        <f ca="1">IFERROR(__xludf.DUMMYFUNCTION("""COMPUTED_VALUE"""),3660233)</f>
        <v>3660233</v>
      </c>
    </row>
    <row r="589" spans="1:6" ht="12.6">
      <c r="A589" s="2">
        <f ca="1">IFERROR(__xludf.DUMMYFUNCTION("""COMPUTED_VALUE"""),45418.6666666666)</f>
        <v>45418.666666666599</v>
      </c>
      <c r="B589" s="1">
        <f ca="1">IFERROR(__xludf.DUMMYFUNCTION("""COMPUTED_VALUE"""),160.11)</f>
        <v>160.11000000000001</v>
      </c>
      <c r="C589" s="1">
        <f ca="1">IFERROR(__xludf.DUMMYFUNCTION("""COMPUTED_VALUE"""),163.88)</f>
        <v>163.88</v>
      </c>
      <c r="D589" s="1">
        <f ca="1">IFERROR(__xludf.DUMMYFUNCTION("""COMPUTED_VALUE"""),159.38)</f>
        <v>159.38</v>
      </c>
      <c r="E589" s="1">
        <f ca="1">IFERROR(__xludf.DUMMYFUNCTION("""COMPUTED_VALUE"""),163.68)</f>
        <v>163.68</v>
      </c>
      <c r="F589" s="1">
        <f ca="1">IFERROR(__xludf.DUMMYFUNCTION("""COMPUTED_VALUE"""),3198506)</f>
        <v>3198506</v>
      </c>
    </row>
    <row r="590" spans="1:6" ht="12.6">
      <c r="A590" s="2">
        <f ca="1">IFERROR(__xludf.DUMMYFUNCTION("""COMPUTED_VALUE"""),45419.6666666666)</f>
        <v>45419.666666666599</v>
      </c>
      <c r="B590" s="1">
        <f ca="1">IFERROR(__xludf.DUMMYFUNCTION("""COMPUTED_VALUE"""),160.22)</f>
        <v>160.22</v>
      </c>
      <c r="C590" s="1">
        <f ca="1">IFERROR(__xludf.DUMMYFUNCTION("""COMPUTED_VALUE"""),160.92)</f>
        <v>160.91999999999999</v>
      </c>
      <c r="D590" s="1">
        <f ca="1">IFERROR(__xludf.DUMMYFUNCTION("""COMPUTED_VALUE"""),158.27)</f>
        <v>158.27000000000001</v>
      </c>
      <c r="E590" s="1">
        <f ca="1">IFERROR(__xludf.DUMMYFUNCTION("""COMPUTED_VALUE"""),159.09)</f>
        <v>159.09</v>
      </c>
      <c r="F590" s="1">
        <f ca="1">IFERROR(__xludf.DUMMYFUNCTION("""COMPUTED_VALUE"""),4569262)</f>
        <v>4569262</v>
      </c>
    </row>
    <row r="591" spans="1:6" ht="12.6">
      <c r="A591" s="2">
        <f ca="1">IFERROR(__xludf.DUMMYFUNCTION("""COMPUTED_VALUE"""),45420.6666666666)</f>
        <v>45420.666666666599</v>
      </c>
      <c r="B591" s="1">
        <f ca="1">IFERROR(__xludf.DUMMYFUNCTION("""COMPUTED_VALUE"""),158.1)</f>
        <v>158.1</v>
      </c>
      <c r="C591" s="1">
        <f ca="1">IFERROR(__xludf.DUMMYFUNCTION("""COMPUTED_VALUE"""),159.64)</f>
        <v>159.63999999999999</v>
      </c>
      <c r="D591" s="1">
        <f ca="1">IFERROR(__xludf.DUMMYFUNCTION("""COMPUTED_VALUE"""),157)</f>
        <v>157</v>
      </c>
      <c r="E591" s="1">
        <f ca="1">IFERROR(__xludf.DUMMYFUNCTION("""COMPUTED_VALUE"""),157.78)</f>
        <v>157.78</v>
      </c>
      <c r="F591" s="1">
        <f ca="1">IFERROR(__xludf.DUMMYFUNCTION("""COMPUTED_VALUE"""),2632188)</f>
        <v>2632188</v>
      </c>
    </row>
    <row r="592" spans="1:6" ht="12.6">
      <c r="A592" s="2">
        <f ca="1">IFERROR(__xludf.DUMMYFUNCTION("""COMPUTED_VALUE"""),45421.6666666666)</f>
        <v>45421.666666666599</v>
      </c>
      <c r="B592" s="1">
        <f ca="1">IFERROR(__xludf.DUMMYFUNCTION("""COMPUTED_VALUE"""),157.86)</f>
        <v>157.86000000000001</v>
      </c>
      <c r="C592" s="1">
        <f ca="1">IFERROR(__xludf.DUMMYFUNCTION("""COMPUTED_VALUE"""),158.17)</f>
        <v>158.16999999999999</v>
      </c>
      <c r="D592" s="1">
        <f ca="1">IFERROR(__xludf.DUMMYFUNCTION("""COMPUTED_VALUE"""),155.77)</f>
        <v>155.77000000000001</v>
      </c>
      <c r="E592" s="1">
        <f ca="1">IFERROR(__xludf.DUMMYFUNCTION("""COMPUTED_VALUE"""),155.87)</f>
        <v>155.87</v>
      </c>
      <c r="F592" s="1">
        <f ca="1">IFERROR(__xludf.DUMMYFUNCTION("""COMPUTED_VALUE"""),2560789)</f>
        <v>2560789</v>
      </c>
    </row>
    <row r="593" spans="1:6" ht="12.6">
      <c r="A593" s="2">
        <f ca="1">IFERROR(__xludf.DUMMYFUNCTION("""COMPUTED_VALUE"""),45422.6666666666)</f>
        <v>45422.666666666599</v>
      </c>
      <c r="B593" s="1">
        <f ca="1">IFERROR(__xludf.DUMMYFUNCTION("""COMPUTED_VALUE"""),157.1)</f>
        <v>157.1</v>
      </c>
      <c r="C593" s="1">
        <f ca="1">IFERROR(__xludf.DUMMYFUNCTION("""COMPUTED_VALUE"""),158.12)</f>
        <v>158.12</v>
      </c>
      <c r="D593" s="1">
        <f ca="1">IFERROR(__xludf.DUMMYFUNCTION("""COMPUTED_VALUE"""),155.42)</f>
        <v>155.41999999999999</v>
      </c>
      <c r="E593" s="1">
        <f ca="1">IFERROR(__xludf.DUMMYFUNCTION("""COMPUTED_VALUE"""),157.15)</f>
        <v>157.15</v>
      </c>
      <c r="F593" s="1">
        <f ca="1">IFERROR(__xludf.DUMMYFUNCTION("""COMPUTED_VALUE"""),2443791)</f>
        <v>2443791</v>
      </c>
    </row>
    <row r="594" spans="1:6" ht="12.6">
      <c r="A594" s="2">
        <f ca="1">IFERROR(__xludf.DUMMYFUNCTION("""COMPUTED_VALUE"""),45425.6666666666)</f>
        <v>45425.666666666599</v>
      </c>
      <c r="B594" s="1">
        <f ca="1">IFERROR(__xludf.DUMMYFUNCTION("""COMPUTED_VALUE"""),158.05)</f>
        <v>158.05000000000001</v>
      </c>
      <c r="C594" s="1">
        <f ca="1">IFERROR(__xludf.DUMMYFUNCTION("""COMPUTED_VALUE"""),161.38)</f>
        <v>161.38</v>
      </c>
      <c r="D594" s="1">
        <f ca="1">IFERROR(__xludf.DUMMYFUNCTION("""COMPUTED_VALUE"""),157.51)</f>
        <v>157.51</v>
      </c>
      <c r="E594" s="1">
        <f ca="1">IFERROR(__xludf.DUMMYFUNCTION("""COMPUTED_VALUE"""),159.79)</f>
        <v>159.79</v>
      </c>
      <c r="F594" s="1">
        <f ca="1">IFERROR(__xludf.DUMMYFUNCTION("""COMPUTED_VALUE"""),3180658)</f>
        <v>3180658</v>
      </c>
    </row>
    <row r="595" spans="1:6" ht="12.6">
      <c r="A595" s="2">
        <f ca="1">IFERROR(__xludf.DUMMYFUNCTION("""COMPUTED_VALUE"""),45426.6666666666)</f>
        <v>45426.666666666599</v>
      </c>
      <c r="B595" s="1">
        <f ca="1">IFERROR(__xludf.DUMMYFUNCTION("""COMPUTED_VALUE"""),161)</f>
        <v>161</v>
      </c>
      <c r="C595" s="1">
        <f ca="1">IFERROR(__xludf.DUMMYFUNCTION("""COMPUTED_VALUE"""),162.25)</f>
        <v>162.25</v>
      </c>
      <c r="D595" s="1">
        <f ca="1">IFERROR(__xludf.DUMMYFUNCTION("""COMPUTED_VALUE"""),159.35)</f>
        <v>159.35</v>
      </c>
      <c r="E595" s="1">
        <f ca="1">IFERROR(__xludf.DUMMYFUNCTION("""COMPUTED_VALUE"""),160.95)</f>
        <v>160.94999999999999</v>
      </c>
      <c r="F595" s="1">
        <f ca="1">IFERROR(__xludf.DUMMYFUNCTION("""COMPUTED_VALUE"""),2831068)</f>
        <v>2831068</v>
      </c>
    </row>
    <row r="596" spans="1:6" ht="12.6">
      <c r="A596" s="2">
        <f ca="1">IFERROR(__xludf.DUMMYFUNCTION("""COMPUTED_VALUE"""),45427.6666666666)</f>
        <v>45427.666666666599</v>
      </c>
      <c r="B596" s="1">
        <f ca="1">IFERROR(__xludf.DUMMYFUNCTION("""COMPUTED_VALUE"""),163)</f>
        <v>163</v>
      </c>
      <c r="C596" s="1">
        <f ca="1">IFERROR(__xludf.DUMMYFUNCTION("""COMPUTED_VALUE"""),164.86)</f>
        <v>164.86</v>
      </c>
      <c r="D596" s="1">
        <f ca="1">IFERROR(__xludf.DUMMYFUNCTION("""COMPUTED_VALUE"""),158.85)</f>
        <v>158.85</v>
      </c>
      <c r="E596" s="1">
        <f ca="1">IFERROR(__xludf.DUMMYFUNCTION("""COMPUTED_VALUE"""),164.37)</f>
        <v>164.37</v>
      </c>
      <c r="F596" s="1">
        <f ca="1">IFERROR(__xludf.DUMMYFUNCTION("""COMPUTED_VALUE"""),4147204)</f>
        <v>4147204</v>
      </c>
    </row>
    <row r="597" spans="1:6" ht="12.6">
      <c r="A597" s="2">
        <f ca="1">IFERROR(__xludf.DUMMYFUNCTION("""COMPUTED_VALUE"""),45428.6666666666)</f>
        <v>45428.666666666599</v>
      </c>
      <c r="B597" s="1">
        <f ca="1">IFERROR(__xludf.DUMMYFUNCTION("""COMPUTED_VALUE"""),163.87)</f>
        <v>163.87</v>
      </c>
      <c r="C597" s="1">
        <f ca="1">IFERROR(__xludf.DUMMYFUNCTION("""COMPUTED_VALUE"""),165.88)</f>
        <v>165.88</v>
      </c>
      <c r="D597" s="1">
        <f ca="1">IFERROR(__xludf.DUMMYFUNCTION("""COMPUTED_VALUE"""),163.19)</f>
        <v>163.19</v>
      </c>
      <c r="E597" s="1">
        <f ca="1">IFERROR(__xludf.DUMMYFUNCTION("""COMPUTED_VALUE"""),165.04)</f>
        <v>165.04</v>
      </c>
      <c r="F597" s="1">
        <f ca="1">IFERROR(__xludf.DUMMYFUNCTION("""COMPUTED_VALUE"""),3021504)</f>
        <v>3021504</v>
      </c>
    </row>
    <row r="598" spans="1:6" ht="12.6">
      <c r="A598" s="2">
        <f ca="1">IFERROR(__xludf.DUMMYFUNCTION("""COMPUTED_VALUE"""),45429.6666666666)</f>
        <v>45429.666666666599</v>
      </c>
      <c r="B598" s="1">
        <f ca="1">IFERROR(__xludf.DUMMYFUNCTION("""COMPUTED_VALUE"""),163.72)</f>
        <v>163.72</v>
      </c>
      <c r="C598" s="1">
        <f ca="1">IFERROR(__xludf.DUMMYFUNCTION("""COMPUTED_VALUE"""),164.42)</f>
        <v>164.42</v>
      </c>
      <c r="D598" s="1">
        <f ca="1">IFERROR(__xludf.DUMMYFUNCTION("""COMPUTED_VALUE"""),161.13)</f>
        <v>161.13</v>
      </c>
      <c r="E598" s="1">
        <f ca="1">IFERROR(__xludf.DUMMYFUNCTION("""COMPUTED_VALUE"""),161.86)</f>
        <v>161.86000000000001</v>
      </c>
      <c r="F598" s="1">
        <f ca="1">IFERROR(__xludf.DUMMYFUNCTION("""COMPUTED_VALUE"""),3625310)</f>
        <v>3625310</v>
      </c>
    </row>
    <row r="599" spans="1:6" ht="12.6">
      <c r="A599" s="2">
        <f ca="1">IFERROR(__xludf.DUMMYFUNCTION("""COMPUTED_VALUE"""),45432.6666666666)</f>
        <v>45432.666666666599</v>
      </c>
      <c r="B599" s="1">
        <f ca="1">IFERROR(__xludf.DUMMYFUNCTION("""COMPUTED_VALUE"""),163.08)</f>
        <v>163.08000000000001</v>
      </c>
      <c r="C599" s="1">
        <f ca="1">IFERROR(__xludf.DUMMYFUNCTION("""COMPUTED_VALUE"""),165.35)</f>
        <v>165.35</v>
      </c>
      <c r="D599" s="1">
        <f ca="1">IFERROR(__xludf.DUMMYFUNCTION("""COMPUTED_VALUE"""),162.54)</f>
        <v>162.54</v>
      </c>
      <c r="E599" s="1">
        <f ca="1">IFERROR(__xludf.DUMMYFUNCTION("""COMPUTED_VALUE"""),164.78)</f>
        <v>164.78</v>
      </c>
      <c r="F599" s="1">
        <f ca="1">IFERROR(__xludf.DUMMYFUNCTION("""COMPUTED_VALUE"""),3545117)</f>
        <v>3545117</v>
      </c>
    </row>
    <row r="600" spans="1:6" ht="12.6">
      <c r="A600" s="2">
        <f ca="1">IFERROR(__xludf.DUMMYFUNCTION("""COMPUTED_VALUE"""),45433.6666666666)</f>
        <v>45433.666666666599</v>
      </c>
      <c r="B600" s="1">
        <f ca="1">IFERROR(__xludf.DUMMYFUNCTION("""COMPUTED_VALUE"""),163.78)</f>
        <v>163.78</v>
      </c>
      <c r="C600" s="1">
        <f ca="1">IFERROR(__xludf.DUMMYFUNCTION("""COMPUTED_VALUE"""),164.33)</f>
        <v>164.33</v>
      </c>
      <c r="D600" s="1">
        <f ca="1">IFERROR(__xludf.DUMMYFUNCTION("""COMPUTED_VALUE"""),161.39)</f>
        <v>161.38999999999999</v>
      </c>
      <c r="E600" s="1">
        <f ca="1">IFERROR(__xludf.DUMMYFUNCTION("""COMPUTED_VALUE"""),162.71)</f>
        <v>162.71</v>
      </c>
      <c r="F600" s="1">
        <f ca="1">IFERROR(__xludf.DUMMYFUNCTION("""COMPUTED_VALUE"""),4051344)</f>
        <v>4051344</v>
      </c>
    </row>
    <row r="601" spans="1:6" ht="12.6">
      <c r="A601" s="2">
        <f ca="1">IFERROR(__xludf.DUMMYFUNCTION("""COMPUTED_VALUE"""),45434.6666666666)</f>
        <v>45434.666666666599</v>
      </c>
      <c r="B601" s="1">
        <f ca="1">IFERROR(__xludf.DUMMYFUNCTION("""COMPUTED_VALUE"""),163.06)</f>
        <v>163.06</v>
      </c>
      <c r="C601" s="1">
        <f ca="1">IFERROR(__xludf.DUMMYFUNCTION("""COMPUTED_VALUE"""),164.84)</f>
        <v>164.84</v>
      </c>
      <c r="D601" s="1">
        <f ca="1">IFERROR(__xludf.DUMMYFUNCTION("""COMPUTED_VALUE"""),162.13)</f>
        <v>162.13</v>
      </c>
      <c r="E601" s="1">
        <f ca="1">IFERROR(__xludf.DUMMYFUNCTION("""COMPUTED_VALUE"""),163.34)</f>
        <v>163.34</v>
      </c>
      <c r="F601" s="1">
        <f ca="1">IFERROR(__xludf.DUMMYFUNCTION("""COMPUTED_VALUE"""),9912492)</f>
        <v>9912492</v>
      </c>
    </row>
    <row r="602" spans="1:6" ht="12.6">
      <c r="A602" s="2">
        <f ca="1">IFERROR(__xludf.DUMMYFUNCTION("""COMPUTED_VALUE"""),45435.6666666666)</f>
        <v>45435.666666666599</v>
      </c>
      <c r="B602" s="1">
        <f ca="1">IFERROR(__xludf.DUMMYFUNCTION("""COMPUTED_VALUE"""),168.25)</f>
        <v>168.25</v>
      </c>
      <c r="C602" s="1">
        <f ca="1">IFERROR(__xludf.DUMMYFUNCTION("""COMPUTED_VALUE"""),168.8)</f>
        <v>168.8</v>
      </c>
      <c r="D602" s="1">
        <f ca="1">IFERROR(__xludf.DUMMYFUNCTION("""COMPUTED_VALUE"""),152.35)</f>
        <v>152.35</v>
      </c>
      <c r="E602" s="1">
        <f ca="1">IFERROR(__xludf.DUMMYFUNCTION("""COMPUTED_VALUE"""),154.58)</f>
        <v>154.58000000000001</v>
      </c>
      <c r="F602" s="1">
        <f ca="1">IFERROR(__xludf.DUMMYFUNCTION("""COMPUTED_VALUE"""),19511068)</f>
        <v>19511068</v>
      </c>
    </row>
    <row r="603" spans="1:6" ht="12.6">
      <c r="A603" s="2">
        <f ca="1">IFERROR(__xludf.DUMMYFUNCTION("""COMPUTED_VALUE"""),45436.6666666666)</f>
        <v>45436.666666666599</v>
      </c>
      <c r="B603" s="1">
        <f ca="1">IFERROR(__xludf.DUMMYFUNCTION("""COMPUTED_VALUE"""),155.36)</f>
        <v>155.36000000000001</v>
      </c>
      <c r="C603" s="1">
        <f ca="1">IFERROR(__xludf.DUMMYFUNCTION("""COMPUTED_VALUE"""),159)</f>
        <v>159</v>
      </c>
      <c r="D603" s="1">
        <f ca="1">IFERROR(__xludf.DUMMYFUNCTION("""COMPUTED_VALUE"""),154.11)</f>
        <v>154.11000000000001</v>
      </c>
      <c r="E603" s="1">
        <f ca="1">IFERROR(__xludf.DUMMYFUNCTION("""COMPUTED_VALUE"""),156.16)</f>
        <v>156.16</v>
      </c>
      <c r="F603" s="1">
        <f ca="1">IFERROR(__xludf.DUMMYFUNCTION("""COMPUTED_VALUE"""),6026313)</f>
        <v>6026313</v>
      </c>
    </row>
    <row r="604" spans="1:6" ht="12.6">
      <c r="A604" s="2">
        <f ca="1">IFERROR(__xludf.DUMMYFUNCTION("""COMPUTED_VALUE"""),45440.6666666666)</f>
        <v>45440.666666666599</v>
      </c>
      <c r="B604" s="1">
        <f ca="1">IFERROR(__xludf.DUMMYFUNCTION("""COMPUTED_VALUE"""),156.07)</f>
        <v>156.07</v>
      </c>
      <c r="C604" s="1">
        <f ca="1">IFERROR(__xludf.DUMMYFUNCTION("""COMPUTED_VALUE"""),156.47)</f>
        <v>156.47</v>
      </c>
      <c r="D604" s="1">
        <f ca="1">IFERROR(__xludf.DUMMYFUNCTION("""COMPUTED_VALUE"""),149.55)</f>
        <v>149.55000000000001</v>
      </c>
      <c r="E604" s="1">
        <f ca="1">IFERROR(__xludf.DUMMYFUNCTION("""COMPUTED_VALUE"""),150.74)</f>
        <v>150.74</v>
      </c>
      <c r="F604" s="1">
        <f ca="1">IFERROR(__xludf.DUMMYFUNCTION("""COMPUTED_VALUE"""),6453661)</f>
        <v>6453661</v>
      </c>
    </row>
    <row r="605" spans="1:6" ht="12.6">
      <c r="A605" s="2">
        <f ca="1">IFERROR(__xludf.DUMMYFUNCTION("""COMPUTED_VALUE"""),45441.6666666666)</f>
        <v>45441.666666666599</v>
      </c>
      <c r="B605" s="1">
        <f ca="1">IFERROR(__xludf.DUMMYFUNCTION("""COMPUTED_VALUE"""),148.64)</f>
        <v>148.63999999999999</v>
      </c>
      <c r="C605" s="1">
        <f ca="1">IFERROR(__xludf.DUMMYFUNCTION("""COMPUTED_VALUE"""),150)</f>
        <v>150</v>
      </c>
      <c r="D605" s="1">
        <f ca="1">IFERROR(__xludf.DUMMYFUNCTION("""COMPUTED_VALUE"""),147.74)</f>
        <v>147.74</v>
      </c>
      <c r="E605" s="1">
        <f ca="1">IFERROR(__xludf.DUMMYFUNCTION("""COMPUTED_VALUE"""),148.19)</f>
        <v>148.19</v>
      </c>
      <c r="F605" s="1">
        <f ca="1">IFERROR(__xludf.DUMMYFUNCTION("""COMPUTED_VALUE"""),4880099)</f>
        <v>4880099</v>
      </c>
    </row>
    <row r="606" spans="1:6" ht="12.6">
      <c r="A606" s="2">
        <f ca="1">IFERROR(__xludf.DUMMYFUNCTION("""COMPUTED_VALUE"""),45442.6666666666)</f>
        <v>45442.666666666599</v>
      </c>
      <c r="B606" s="1">
        <f ca="1">IFERROR(__xludf.DUMMYFUNCTION("""COMPUTED_VALUE"""),147)</f>
        <v>147</v>
      </c>
      <c r="C606" s="1">
        <f ca="1">IFERROR(__xludf.DUMMYFUNCTION("""COMPUTED_VALUE"""),147.7)</f>
        <v>147.69999999999999</v>
      </c>
      <c r="D606" s="1">
        <f ca="1">IFERROR(__xludf.DUMMYFUNCTION("""COMPUTED_VALUE"""),140.23)</f>
        <v>140.22999999999999</v>
      </c>
      <c r="E606" s="1">
        <f ca="1">IFERROR(__xludf.DUMMYFUNCTION("""COMPUTED_VALUE"""),140.95)</f>
        <v>140.94999999999999</v>
      </c>
      <c r="F606" s="1">
        <f ca="1">IFERROR(__xludf.DUMMYFUNCTION("""COMPUTED_VALUE"""),9278593)</f>
        <v>9278593</v>
      </c>
    </row>
    <row r="607" spans="1:6" ht="12.6">
      <c r="A607" s="2">
        <f ca="1">IFERROR(__xludf.DUMMYFUNCTION("""COMPUTED_VALUE"""),45443.6666666666)</f>
        <v>45443.666666666599</v>
      </c>
      <c r="B607" s="1">
        <f ca="1">IFERROR(__xludf.DUMMYFUNCTION("""COMPUTED_VALUE"""),140.27)</f>
        <v>140.27000000000001</v>
      </c>
      <c r="C607" s="1">
        <f ca="1">IFERROR(__xludf.DUMMYFUNCTION("""COMPUTED_VALUE"""),142.1)</f>
        <v>142.1</v>
      </c>
      <c r="D607" s="1">
        <f ca="1">IFERROR(__xludf.DUMMYFUNCTION("""COMPUTED_VALUE"""),133.59)</f>
        <v>133.59</v>
      </c>
      <c r="E607" s="1">
        <f ca="1">IFERROR(__xludf.DUMMYFUNCTION("""COMPUTED_VALUE"""),136.18)</f>
        <v>136.18</v>
      </c>
      <c r="F607" s="1">
        <f ca="1">IFERROR(__xludf.DUMMYFUNCTION("""COMPUTED_VALUE"""),14049227)</f>
        <v>14049227</v>
      </c>
    </row>
    <row r="608" spans="1:6" ht="12.6">
      <c r="A608" s="2">
        <f ca="1">IFERROR(__xludf.DUMMYFUNCTION("""COMPUTED_VALUE"""),45446.6666666666)</f>
        <v>45446.666666666599</v>
      </c>
      <c r="B608" s="1">
        <f ca="1">IFERROR(__xludf.DUMMYFUNCTION("""COMPUTED_VALUE"""),136.85)</f>
        <v>136.85</v>
      </c>
      <c r="C608" s="1">
        <f ca="1">IFERROR(__xludf.DUMMYFUNCTION("""COMPUTED_VALUE"""),138.48)</f>
        <v>138.47999999999999</v>
      </c>
      <c r="D608" s="1">
        <f ca="1">IFERROR(__xludf.DUMMYFUNCTION("""COMPUTED_VALUE"""),135.7)</f>
        <v>135.69999999999999</v>
      </c>
      <c r="E608" s="1">
        <f ca="1">IFERROR(__xludf.DUMMYFUNCTION("""COMPUTED_VALUE"""),136.93)</f>
        <v>136.93</v>
      </c>
      <c r="F608" s="1">
        <f ca="1">IFERROR(__xludf.DUMMYFUNCTION("""COMPUTED_VALUE"""),7549696)</f>
        <v>7549696</v>
      </c>
    </row>
    <row r="609" spans="1:6" ht="12.6">
      <c r="A609" s="2">
        <f ca="1">IFERROR(__xludf.DUMMYFUNCTION("""COMPUTED_VALUE"""),45447.6666666666)</f>
        <v>45447.666666666599</v>
      </c>
      <c r="B609" s="1">
        <f ca="1">IFERROR(__xludf.DUMMYFUNCTION("""COMPUTED_VALUE"""),137.2)</f>
        <v>137.19999999999999</v>
      </c>
      <c r="C609" s="1">
        <f ca="1">IFERROR(__xludf.DUMMYFUNCTION("""COMPUTED_VALUE"""),139.06)</f>
        <v>139.06</v>
      </c>
      <c r="D609" s="1">
        <f ca="1">IFERROR(__xludf.DUMMYFUNCTION("""COMPUTED_VALUE"""),135.6)</f>
        <v>135.6</v>
      </c>
      <c r="E609" s="1">
        <f ca="1">IFERROR(__xludf.DUMMYFUNCTION("""COMPUTED_VALUE"""),137)</f>
        <v>137</v>
      </c>
      <c r="F609" s="1">
        <f ca="1">IFERROR(__xludf.DUMMYFUNCTION("""COMPUTED_VALUE"""),7627449)</f>
        <v>7627449</v>
      </c>
    </row>
    <row r="610" spans="1:6" ht="12.6">
      <c r="A610" s="2">
        <f ca="1">IFERROR(__xludf.DUMMYFUNCTION("""COMPUTED_VALUE"""),45448.6666666666)</f>
        <v>45448.666666666599</v>
      </c>
      <c r="B610" s="1">
        <f ca="1">IFERROR(__xludf.DUMMYFUNCTION("""COMPUTED_VALUE"""),137.22)</f>
        <v>137.22</v>
      </c>
      <c r="C610" s="1">
        <f ca="1">IFERROR(__xludf.DUMMYFUNCTION("""COMPUTED_VALUE"""),137.3)</f>
        <v>137.30000000000001</v>
      </c>
      <c r="D610" s="1">
        <f ca="1">IFERROR(__xludf.DUMMYFUNCTION("""COMPUTED_VALUE"""),128.41)</f>
        <v>128.41</v>
      </c>
      <c r="E610" s="1">
        <f ca="1">IFERROR(__xludf.DUMMYFUNCTION("""COMPUTED_VALUE"""),134.29)</f>
        <v>134.29</v>
      </c>
      <c r="F610" s="1">
        <f ca="1">IFERROR(__xludf.DUMMYFUNCTION("""COMPUTED_VALUE"""),15919826)</f>
        <v>15919826</v>
      </c>
    </row>
    <row r="611" spans="1:6" ht="12.6">
      <c r="A611" s="2">
        <f ca="1">IFERROR(__xludf.DUMMYFUNCTION("""COMPUTED_VALUE"""),45449.6666666666)</f>
        <v>45449.666666666599</v>
      </c>
      <c r="B611" s="1">
        <f ca="1">IFERROR(__xludf.DUMMYFUNCTION("""COMPUTED_VALUE"""),133.94)</f>
        <v>133.94</v>
      </c>
      <c r="C611" s="1">
        <f ca="1">IFERROR(__xludf.DUMMYFUNCTION("""COMPUTED_VALUE"""),135.85)</f>
        <v>135.85</v>
      </c>
      <c r="D611" s="1">
        <f ca="1">IFERROR(__xludf.DUMMYFUNCTION("""COMPUTED_VALUE"""),131.84)</f>
        <v>131.84</v>
      </c>
      <c r="E611" s="1">
        <f ca="1">IFERROR(__xludf.DUMMYFUNCTION("""COMPUTED_VALUE"""),132.04)</f>
        <v>132.04</v>
      </c>
      <c r="F611" s="1">
        <f ca="1">IFERROR(__xludf.DUMMYFUNCTION("""COMPUTED_VALUE"""),8261026)</f>
        <v>8261026</v>
      </c>
    </row>
    <row r="612" spans="1:6" ht="12.6">
      <c r="A612" s="2">
        <f ca="1">IFERROR(__xludf.DUMMYFUNCTION("""COMPUTED_VALUE"""),45450.6666666666)</f>
        <v>45450.666666666599</v>
      </c>
      <c r="B612" s="1">
        <f ca="1">IFERROR(__xludf.DUMMYFUNCTION("""COMPUTED_VALUE"""),131.06)</f>
        <v>131.06</v>
      </c>
      <c r="C612" s="1">
        <f ca="1">IFERROR(__xludf.DUMMYFUNCTION("""COMPUTED_VALUE"""),132.6)</f>
        <v>132.6</v>
      </c>
      <c r="D612" s="1">
        <f ca="1">IFERROR(__xludf.DUMMYFUNCTION("""COMPUTED_VALUE"""),130.08)</f>
        <v>130.08000000000001</v>
      </c>
      <c r="E612" s="1">
        <f ca="1">IFERROR(__xludf.DUMMYFUNCTION("""COMPUTED_VALUE"""),131.21)</f>
        <v>131.21</v>
      </c>
      <c r="F612" s="1">
        <f ca="1">IFERROR(__xludf.DUMMYFUNCTION("""COMPUTED_VALUE"""),4355403)</f>
        <v>4355403</v>
      </c>
    </row>
    <row r="613" spans="1:6" ht="12.6">
      <c r="A613" s="2">
        <f ca="1">IFERROR(__xludf.DUMMYFUNCTION("""COMPUTED_VALUE"""),45453.6666666666)</f>
        <v>45453.666666666599</v>
      </c>
      <c r="B613" s="1">
        <f ca="1">IFERROR(__xludf.DUMMYFUNCTION("""COMPUTED_VALUE"""),129.53)</f>
        <v>129.53</v>
      </c>
      <c r="C613" s="1">
        <f ca="1">IFERROR(__xludf.DUMMYFUNCTION("""COMPUTED_VALUE"""),130)</f>
        <v>130</v>
      </c>
      <c r="D613" s="1">
        <f ca="1">IFERROR(__xludf.DUMMYFUNCTION("""COMPUTED_VALUE"""),125.89)</f>
        <v>125.89</v>
      </c>
      <c r="E613" s="1">
        <f ca="1">IFERROR(__xludf.DUMMYFUNCTION("""COMPUTED_VALUE"""),126.76)</f>
        <v>126.76</v>
      </c>
      <c r="F613" s="1">
        <f ca="1">IFERROR(__xludf.DUMMYFUNCTION("""COMPUTED_VALUE"""),10827256)</f>
        <v>10827256</v>
      </c>
    </row>
    <row r="614" spans="1:6" ht="12.6">
      <c r="A614" s="2">
        <f ca="1">IFERROR(__xludf.DUMMYFUNCTION("""COMPUTED_VALUE"""),45454.6666666666)</f>
        <v>45454.666666666599</v>
      </c>
      <c r="B614" s="1">
        <f ca="1">IFERROR(__xludf.DUMMYFUNCTION("""COMPUTED_VALUE"""),128.75)</f>
        <v>128.75</v>
      </c>
      <c r="C614" s="1">
        <f ca="1">IFERROR(__xludf.DUMMYFUNCTION("""COMPUTED_VALUE"""),130.64)</f>
        <v>130.63999999999999</v>
      </c>
      <c r="D614" s="1">
        <f ca="1">IFERROR(__xludf.DUMMYFUNCTION("""COMPUTED_VALUE"""),127.15)</f>
        <v>127.15</v>
      </c>
      <c r="E614" s="1">
        <f ca="1">IFERROR(__xludf.DUMMYFUNCTION("""COMPUTED_VALUE"""),128.48)</f>
        <v>128.47999999999999</v>
      </c>
      <c r="F614" s="1">
        <f ca="1">IFERROR(__xludf.DUMMYFUNCTION("""COMPUTED_VALUE"""),10559383)</f>
        <v>10559383</v>
      </c>
    </row>
    <row r="615" spans="1:6" ht="12.6">
      <c r="A615" s="2">
        <f ca="1">IFERROR(__xludf.DUMMYFUNCTION("""COMPUTED_VALUE"""),45455.6666666666)</f>
        <v>45455.666666666599</v>
      </c>
      <c r="B615" s="1">
        <f ca="1">IFERROR(__xludf.DUMMYFUNCTION("""COMPUTED_VALUE"""),130.66)</f>
        <v>130.66</v>
      </c>
      <c r="C615" s="1">
        <f ca="1">IFERROR(__xludf.DUMMYFUNCTION("""COMPUTED_VALUE"""),133.38)</f>
        <v>133.38</v>
      </c>
      <c r="D615" s="1">
        <f ca="1">IFERROR(__xludf.DUMMYFUNCTION("""COMPUTED_VALUE"""),129.15)</f>
        <v>129.15</v>
      </c>
      <c r="E615" s="1">
        <f ca="1">IFERROR(__xludf.DUMMYFUNCTION("""COMPUTED_VALUE"""),130.33)</f>
        <v>130.33000000000001</v>
      </c>
      <c r="F615" s="1">
        <f ca="1">IFERROR(__xludf.DUMMYFUNCTION("""COMPUTED_VALUE"""),8926949)</f>
        <v>8926949</v>
      </c>
    </row>
    <row r="616" spans="1:6" ht="12.6">
      <c r="A616" s="2">
        <f ca="1">IFERROR(__xludf.DUMMYFUNCTION("""COMPUTED_VALUE"""),45456.6666666666)</f>
        <v>45456.666666666599</v>
      </c>
      <c r="B616" s="1">
        <f ca="1">IFERROR(__xludf.DUMMYFUNCTION("""COMPUTED_VALUE"""),129.76)</f>
        <v>129.76</v>
      </c>
      <c r="C616" s="1">
        <f ca="1">IFERROR(__xludf.DUMMYFUNCTION("""COMPUTED_VALUE"""),129.91)</f>
        <v>129.91</v>
      </c>
      <c r="D616" s="1">
        <f ca="1">IFERROR(__xludf.DUMMYFUNCTION("""COMPUTED_VALUE"""),125.88)</f>
        <v>125.88</v>
      </c>
      <c r="E616" s="1">
        <f ca="1">IFERROR(__xludf.DUMMYFUNCTION("""COMPUTED_VALUE"""),125.9)</f>
        <v>125.9</v>
      </c>
      <c r="F616" s="1">
        <f ca="1">IFERROR(__xludf.DUMMYFUNCTION("""COMPUTED_VALUE"""),8837915)</f>
        <v>8837915</v>
      </c>
    </row>
    <row r="617" spans="1:6" ht="12.6">
      <c r="A617" s="2">
        <f ca="1">IFERROR(__xludf.DUMMYFUNCTION("""COMPUTED_VALUE"""),45457.6666666666)</f>
        <v>45457.666666666599</v>
      </c>
      <c r="B617" s="1">
        <f ca="1">IFERROR(__xludf.DUMMYFUNCTION("""COMPUTED_VALUE"""),126.1)</f>
        <v>126.1</v>
      </c>
      <c r="C617" s="1">
        <f ca="1">IFERROR(__xludf.DUMMYFUNCTION("""COMPUTED_VALUE"""),128.89)</f>
        <v>128.88999999999999</v>
      </c>
      <c r="D617" s="1">
        <f ca="1">IFERROR(__xludf.DUMMYFUNCTION("""COMPUTED_VALUE"""),124.69)</f>
        <v>124.69</v>
      </c>
      <c r="E617" s="1">
        <f ca="1">IFERROR(__xludf.DUMMYFUNCTION("""COMPUTED_VALUE"""),127.17)</f>
        <v>127.17</v>
      </c>
      <c r="F617" s="1">
        <f ca="1">IFERROR(__xludf.DUMMYFUNCTION("""COMPUTED_VALUE"""),6820093)</f>
        <v>6820093</v>
      </c>
    </row>
    <row r="618" spans="1:6" ht="12.6">
      <c r="A618" s="2">
        <f ca="1">IFERROR(__xludf.DUMMYFUNCTION("""COMPUTED_VALUE"""),45460.6666666666)</f>
        <v>45460.666666666599</v>
      </c>
      <c r="B618" s="1">
        <f ca="1">IFERROR(__xludf.DUMMYFUNCTION("""COMPUTED_VALUE"""),126.46)</f>
        <v>126.46</v>
      </c>
      <c r="C618" s="1">
        <f ca="1">IFERROR(__xludf.DUMMYFUNCTION("""COMPUTED_VALUE"""),131.79)</f>
        <v>131.79</v>
      </c>
      <c r="D618" s="1">
        <f ca="1">IFERROR(__xludf.DUMMYFUNCTION("""COMPUTED_VALUE"""),125.65)</f>
        <v>125.65</v>
      </c>
      <c r="E618" s="1">
        <f ca="1">IFERROR(__xludf.DUMMYFUNCTION("""COMPUTED_VALUE"""),130.67)</f>
        <v>130.66999999999999</v>
      </c>
      <c r="F618" s="1">
        <f ca="1">IFERROR(__xludf.DUMMYFUNCTION("""COMPUTED_VALUE"""),6477642)</f>
        <v>6477642</v>
      </c>
    </row>
    <row r="619" spans="1:6" ht="12.6">
      <c r="A619" s="2">
        <f ca="1">IFERROR(__xludf.DUMMYFUNCTION("""COMPUTED_VALUE"""),45461.6666666666)</f>
        <v>45461.666666666599</v>
      </c>
      <c r="B619" s="1">
        <f ca="1">IFERROR(__xludf.DUMMYFUNCTION("""COMPUTED_VALUE"""),130.11)</f>
        <v>130.11000000000001</v>
      </c>
      <c r="C619" s="1">
        <f ca="1">IFERROR(__xludf.DUMMYFUNCTION("""COMPUTED_VALUE"""),131.14)</f>
        <v>131.13999999999999</v>
      </c>
      <c r="D619" s="1">
        <f ca="1">IFERROR(__xludf.DUMMYFUNCTION("""COMPUTED_VALUE"""),126.56)</f>
        <v>126.56</v>
      </c>
      <c r="E619" s="1">
        <f ca="1">IFERROR(__xludf.DUMMYFUNCTION("""COMPUTED_VALUE"""),127.6)</f>
        <v>127.6</v>
      </c>
      <c r="F619" s="1">
        <f ca="1">IFERROR(__xludf.DUMMYFUNCTION("""COMPUTED_VALUE"""),5982688)</f>
        <v>5982688</v>
      </c>
    </row>
    <row r="620" spans="1:6" ht="12.6">
      <c r="A620" s="2">
        <f ca="1">IFERROR(__xludf.DUMMYFUNCTION("""COMPUTED_VALUE"""),45463.6666666666)</f>
        <v>45463.666666666599</v>
      </c>
      <c r="B620" s="1">
        <f ca="1">IFERROR(__xludf.DUMMYFUNCTION("""COMPUTED_VALUE"""),127)</f>
        <v>127</v>
      </c>
      <c r="C620" s="1">
        <f ca="1">IFERROR(__xludf.DUMMYFUNCTION("""COMPUTED_VALUE"""),127.4)</f>
        <v>127.4</v>
      </c>
      <c r="D620" s="1">
        <f ca="1">IFERROR(__xludf.DUMMYFUNCTION("""COMPUTED_VALUE"""),125.32)</f>
        <v>125.32</v>
      </c>
      <c r="E620" s="1">
        <f ca="1">IFERROR(__xludf.DUMMYFUNCTION("""COMPUTED_VALUE"""),126.62)</f>
        <v>126.62</v>
      </c>
      <c r="F620" s="1">
        <f ca="1">IFERROR(__xludf.DUMMYFUNCTION("""COMPUTED_VALUE"""),6156742)</f>
        <v>6156742</v>
      </c>
    </row>
    <row r="621" spans="1:6" ht="12.6">
      <c r="A621" s="2">
        <f ca="1">IFERROR(__xludf.DUMMYFUNCTION("""COMPUTED_VALUE"""),45464.6666666666)</f>
        <v>45464.666666666599</v>
      </c>
      <c r="B621" s="1">
        <f ca="1">IFERROR(__xludf.DUMMYFUNCTION("""COMPUTED_VALUE"""),125.68)</f>
        <v>125.68</v>
      </c>
      <c r="C621" s="1">
        <f ca="1">IFERROR(__xludf.DUMMYFUNCTION("""COMPUTED_VALUE"""),128.27)</f>
        <v>128.27000000000001</v>
      </c>
      <c r="D621" s="1">
        <f ca="1">IFERROR(__xludf.DUMMYFUNCTION("""COMPUTED_VALUE"""),124.7)</f>
        <v>124.7</v>
      </c>
      <c r="E621" s="1">
        <f ca="1">IFERROR(__xludf.DUMMYFUNCTION("""COMPUTED_VALUE"""),127.8)</f>
        <v>127.8</v>
      </c>
      <c r="F621" s="1">
        <f ca="1">IFERROR(__xludf.DUMMYFUNCTION("""COMPUTED_VALUE"""),13046976)</f>
        <v>13046976</v>
      </c>
    </row>
    <row r="622" spans="1:6" ht="12.6">
      <c r="A622" s="2">
        <f ca="1">IFERROR(__xludf.DUMMYFUNCTION("""COMPUTED_VALUE"""),45467.6666666666)</f>
        <v>45467.666666666599</v>
      </c>
      <c r="B622" s="1">
        <f ca="1">IFERROR(__xludf.DUMMYFUNCTION("""COMPUTED_VALUE"""),126.69)</f>
        <v>126.69</v>
      </c>
      <c r="C622" s="1">
        <f ca="1">IFERROR(__xludf.DUMMYFUNCTION("""COMPUTED_VALUE"""),126.98)</f>
        <v>126.98</v>
      </c>
      <c r="D622" s="1">
        <f ca="1">IFERROR(__xludf.DUMMYFUNCTION("""COMPUTED_VALUE"""),124.4)</f>
        <v>124.4</v>
      </c>
      <c r="E622" s="1">
        <f ca="1">IFERROR(__xludf.DUMMYFUNCTION("""COMPUTED_VALUE"""),124.8)</f>
        <v>124.8</v>
      </c>
      <c r="F622" s="1">
        <f ca="1">IFERROR(__xludf.DUMMYFUNCTION("""COMPUTED_VALUE"""),6863383)</f>
        <v>6863383</v>
      </c>
    </row>
    <row r="623" spans="1:6" ht="12.6">
      <c r="A623" s="2">
        <f ca="1">IFERROR(__xludf.DUMMYFUNCTION("""COMPUTED_VALUE"""),45468.6666666666)</f>
        <v>45468.666666666599</v>
      </c>
      <c r="B623" s="1">
        <f ca="1">IFERROR(__xludf.DUMMYFUNCTION("""COMPUTED_VALUE"""),125)</f>
        <v>125</v>
      </c>
      <c r="C623" s="1">
        <f ca="1">IFERROR(__xludf.DUMMYFUNCTION("""COMPUTED_VALUE"""),125.8)</f>
        <v>125.8</v>
      </c>
      <c r="D623" s="1">
        <f ca="1">IFERROR(__xludf.DUMMYFUNCTION("""COMPUTED_VALUE"""),122.6)</f>
        <v>122.6</v>
      </c>
      <c r="E623" s="1">
        <f ca="1">IFERROR(__xludf.DUMMYFUNCTION("""COMPUTED_VALUE"""),124.21)</f>
        <v>124.21</v>
      </c>
      <c r="F623" s="1">
        <f ca="1">IFERROR(__xludf.DUMMYFUNCTION("""COMPUTED_VALUE"""),9696437)</f>
        <v>9696437</v>
      </c>
    </row>
    <row r="624" spans="1:6" ht="12.6">
      <c r="A624" s="2">
        <f ca="1">IFERROR(__xludf.DUMMYFUNCTION("""COMPUTED_VALUE"""),45469.6666666666)</f>
        <v>45469.666666666599</v>
      </c>
      <c r="B624" s="1">
        <f ca="1">IFERROR(__xludf.DUMMYFUNCTION("""COMPUTED_VALUE"""),123.68)</f>
        <v>123.68</v>
      </c>
      <c r="C624" s="1">
        <f ca="1">IFERROR(__xludf.DUMMYFUNCTION("""COMPUTED_VALUE"""),130.82)</f>
        <v>130.82</v>
      </c>
      <c r="D624" s="1">
        <f ca="1">IFERROR(__xludf.DUMMYFUNCTION("""COMPUTED_VALUE"""),122.68)</f>
        <v>122.68</v>
      </c>
      <c r="E624" s="1">
        <f ca="1">IFERROR(__xludf.DUMMYFUNCTION("""COMPUTED_VALUE"""),129.13)</f>
        <v>129.13</v>
      </c>
      <c r="F624" s="1">
        <f ca="1">IFERROR(__xludf.DUMMYFUNCTION("""COMPUTED_VALUE"""),10888456)</f>
        <v>10888456</v>
      </c>
    </row>
    <row r="625" spans="1:6" ht="12.6">
      <c r="A625" s="2">
        <f ca="1">IFERROR(__xludf.DUMMYFUNCTION("""COMPUTED_VALUE"""),45470.6666666666)</f>
        <v>45470.666666666599</v>
      </c>
      <c r="B625" s="1">
        <f ca="1">IFERROR(__xludf.DUMMYFUNCTION("""COMPUTED_VALUE"""),129.13)</f>
        <v>129.13</v>
      </c>
      <c r="C625" s="1">
        <f ca="1">IFERROR(__xludf.DUMMYFUNCTION("""COMPUTED_VALUE"""),134.64)</f>
        <v>134.63999999999999</v>
      </c>
      <c r="D625" s="1">
        <f ca="1">IFERROR(__xludf.DUMMYFUNCTION("""COMPUTED_VALUE"""),128.68)</f>
        <v>128.68</v>
      </c>
      <c r="E625" s="1">
        <f ca="1">IFERROR(__xludf.DUMMYFUNCTION("""COMPUTED_VALUE"""),133.92)</f>
        <v>133.91999999999999</v>
      </c>
      <c r="F625" s="1">
        <f ca="1">IFERROR(__xludf.DUMMYFUNCTION("""COMPUTED_VALUE"""),8488889)</f>
        <v>8488889</v>
      </c>
    </row>
    <row r="626" spans="1:6" ht="12.6">
      <c r="A626" s="2">
        <f ca="1">IFERROR(__xludf.DUMMYFUNCTION("""COMPUTED_VALUE"""),45471.6666666666)</f>
        <v>45471.666666666599</v>
      </c>
      <c r="B626" s="1">
        <f ca="1">IFERROR(__xludf.DUMMYFUNCTION("""COMPUTED_VALUE"""),133.55)</f>
        <v>133.55000000000001</v>
      </c>
      <c r="C626" s="1">
        <f ca="1">IFERROR(__xludf.DUMMYFUNCTION("""COMPUTED_VALUE"""),135.73)</f>
        <v>135.72999999999999</v>
      </c>
      <c r="D626" s="1">
        <f ca="1">IFERROR(__xludf.DUMMYFUNCTION("""COMPUTED_VALUE"""),133.55)</f>
        <v>133.55000000000001</v>
      </c>
      <c r="E626" s="1">
        <f ca="1">IFERROR(__xludf.DUMMYFUNCTION("""COMPUTED_VALUE"""),135.09)</f>
        <v>135.09</v>
      </c>
      <c r="F626" s="1">
        <f ca="1">IFERROR(__xludf.DUMMYFUNCTION("""COMPUTED_VALUE"""),8129297)</f>
        <v>8129297</v>
      </c>
    </row>
    <row r="627" spans="1:6" ht="12.6">
      <c r="A627" s="2">
        <f ca="1">IFERROR(__xludf.DUMMYFUNCTION("""COMPUTED_VALUE"""),45474.6666666666)</f>
        <v>45474.666666666599</v>
      </c>
      <c r="B627" s="1">
        <f ca="1">IFERROR(__xludf.DUMMYFUNCTION("""COMPUTED_VALUE"""),138.32)</f>
        <v>138.32</v>
      </c>
      <c r="C627" s="1">
        <f ca="1">IFERROR(__xludf.DUMMYFUNCTION("""COMPUTED_VALUE"""),142.97)</f>
        <v>142.97</v>
      </c>
      <c r="D627" s="1">
        <f ca="1">IFERROR(__xludf.DUMMYFUNCTION("""COMPUTED_VALUE"""),135.73)</f>
        <v>135.72999999999999</v>
      </c>
      <c r="E627" s="1">
        <f ca="1">IFERROR(__xludf.DUMMYFUNCTION("""COMPUTED_VALUE"""),142.77)</f>
        <v>142.77000000000001</v>
      </c>
      <c r="F627" s="1">
        <f ca="1">IFERROR(__xludf.DUMMYFUNCTION("""COMPUTED_VALUE"""),9889092)</f>
        <v>9889092</v>
      </c>
    </row>
    <row r="628" spans="1:6" ht="12.6">
      <c r="A628" s="2">
        <f ca="1">IFERROR(__xludf.DUMMYFUNCTION("""COMPUTED_VALUE"""),45475.6666666666)</f>
        <v>45475.666666666599</v>
      </c>
      <c r="B628" s="1">
        <f ca="1">IFERROR(__xludf.DUMMYFUNCTION("""COMPUTED_VALUE"""),142.66)</f>
        <v>142.66</v>
      </c>
      <c r="C628" s="1">
        <f ca="1">IFERROR(__xludf.DUMMYFUNCTION("""COMPUTED_VALUE"""),144.68)</f>
        <v>144.68</v>
      </c>
      <c r="D628" s="1">
        <f ca="1">IFERROR(__xludf.DUMMYFUNCTION("""COMPUTED_VALUE"""),140.7)</f>
        <v>140.69999999999999</v>
      </c>
      <c r="E628" s="1">
        <f ca="1">IFERROR(__xludf.DUMMYFUNCTION("""COMPUTED_VALUE"""),141.92)</f>
        <v>141.91999999999999</v>
      </c>
      <c r="F628" s="1">
        <f ca="1">IFERROR(__xludf.DUMMYFUNCTION("""COMPUTED_VALUE"""),6648560)</f>
        <v>6648560</v>
      </c>
    </row>
    <row r="629" spans="1:6" ht="12.6">
      <c r="A629" s="2">
        <f ca="1">IFERROR(__xludf.DUMMYFUNCTION("""COMPUTED_VALUE"""),45476.5416666666)</f>
        <v>45476.541666666599</v>
      </c>
      <c r="B629" s="1">
        <f ca="1">IFERROR(__xludf.DUMMYFUNCTION("""COMPUTED_VALUE"""),141.96)</f>
        <v>141.96</v>
      </c>
      <c r="C629" s="1">
        <f ca="1">IFERROR(__xludf.DUMMYFUNCTION("""COMPUTED_VALUE"""),143.72)</f>
        <v>143.72</v>
      </c>
      <c r="D629" s="1">
        <f ca="1">IFERROR(__xludf.DUMMYFUNCTION("""COMPUTED_VALUE"""),140.71)</f>
        <v>140.71</v>
      </c>
      <c r="E629" s="1">
        <f ca="1">IFERROR(__xludf.DUMMYFUNCTION("""COMPUTED_VALUE"""),142.86)</f>
        <v>142.86000000000001</v>
      </c>
      <c r="F629" s="1">
        <f ca="1">IFERROR(__xludf.DUMMYFUNCTION("""COMPUTED_VALUE"""),3290913)</f>
        <v>3290913</v>
      </c>
    </row>
    <row r="630" spans="1:6" ht="12.6">
      <c r="A630" s="2">
        <f ca="1">IFERROR(__xludf.DUMMYFUNCTION("""COMPUTED_VALUE"""),45478.6666666666)</f>
        <v>45478.666666666599</v>
      </c>
      <c r="B630" s="1">
        <f ca="1">IFERROR(__xludf.DUMMYFUNCTION("""COMPUTED_VALUE"""),142.98)</f>
        <v>142.97999999999999</v>
      </c>
      <c r="C630" s="1">
        <f ca="1">IFERROR(__xludf.DUMMYFUNCTION("""COMPUTED_VALUE"""),146.46)</f>
        <v>146.46</v>
      </c>
      <c r="D630" s="1">
        <f ca="1">IFERROR(__xludf.DUMMYFUNCTION("""COMPUTED_VALUE"""),142.61)</f>
        <v>142.61000000000001</v>
      </c>
      <c r="E630" s="1">
        <f ca="1">IFERROR(__xludf.DUMMYFUNCTION("""COMPUTED_VALUE"""),143.02)</f>
        <v>143.02000000000001</v>
      </c>
      <c r="F630" s="1">
        <f ca="1">IFERROR(__xludf.DUMMYFUNCTION("""COMPUTED_VALUE"""),6164583)</f>
        <v>6164583</v>
      </c>
    </row>
    <row r="631" spans="1:6" ht="12.6">
      <c r="A631" s="2">
        <f ca="1">IFERROR(__xludf.DUMMYFUNCTION("""COMPUTED_VALUE"""),45481.6666666666)</f>
        <v>45481.666666666599</v>
      </c>
      <c r="B631" s="1">
        <f ca="1">IFERROR(__xludf.DUMMYFUNCTION("""COMPUTED_VALUE"""),143.31)</f>
        <v>143.31</v>
      </c>
      <c r="C631" s="1">
        <f ca="1">IFERROR(__xludf.DUMMYFUNCTION("""COMPUTED_VALUE"""),143.44)</f>
        <v>143.44</v>
      </c>
      <c r="D631" s="1">
        <f ca="1">IFERROR(__xludf.DUMMYFUNCTION("""COMPUTED_VALUE"""),140.89)</f>
        <v>140.88999999999999</v>
      </c>
      <c r="E631" s="1">
        <f ca="1">IFERROR(__xludf.DUMMYFUNCTION("""COMPUTED_VALUE"""),141.57)</f>
        <v>141.57</v>
      </c>
      <c r="F631" s="1">
        <f ca="1">IFERROR(__xludf.DUMMYFUNCTION("""COMPUTED_VALUE"""),4480577)</f>
        <v>4480577</v>
      </c>
    </row>
    <row r="632" spans="1:6" ht="12.6">
      <c r="A632" s="2">
        <f ca="1">IFERROR(__xludf.DUMMYFUNCTION("""COMPUTED_VALUE"""),45482.6666666666)</f>
        <v>45482.666666666599</v>
      </c>
      <c r="B632" s="1">
        <f ca="1">IFERROR(__xludf.DUMMYFUNCTION("""COMPUTED_VALUE"""),140.37)</f>
        <v>140.37</v>
      </c>
      <c r="C632" s="1">
        <f ca="1">IFERROR(__xludf.DUMMYFUNCTION("""COMPUTED_VALUE"""),141.36)</f>
        <v>141.36000000000001</v>
      </c>
      <c r="D632" s="1">
        <f ca="1">IFERROR(__xludf.DUMMYFUNCTION("""COMPUTED_VALUE"""),136.26)</f>
        <v>136.26</v>
      </c>
      <c r="E632" s="1">
        <f ca="1">IFERROR(__xludf.DUMMYFUNCTION("""COMPUTED_VALUE"""),137.46)</f>
        <v>137.46</v>
      </c>
      <c r="F632" s="1">
        <f ca="1">IFERROR(__xludf.DUMMYFUNCTION("""COMPUTED_VALUE"""),6558042)</f>
        <v>6558042</v>
      </c>
    </row>
    <row r="633" spans="1:6" ht="12.6">
      <c r="A633" s="2">
        <f ca="1">IFERROR(__xludf.DUMMYFUNCTION("""COMPUTED_VALUE"""),45483.6666666666)</f>
        <v>45483.666666666599</v>
      </c>
      <c r="B633" s="1">
        <f ca="1">IFERROR(__xludf.DUMMYFUNCTION("""COMPUTED_VALUE"""),137.46)</f>
        <v>137.46</v>
      </c>
      <c r="C633" s="1">
        <f ca="1">IFERROR(__xludf.DUMMYFUNCTION("""COMPUTED_VALUE"""),137.98)</f>
        <v>137.97999999999999</v>
      </c>
      <c r="D633" s="1">
        <f ca="1">IFERROR(__xludf.DUMMYFUNCTION("""COMPUTED_VALUE"""),133.17)</f>
        <v>133.16999999999999</v>
      </c>
      <c r="E633" s="1">
        <f ca="1">IFERROR(__xludf.DUMMYFUNCTION("""COMPUTED_VALUE"""),137.5)</f>
        <v>137.5</v>
      </c>
      <c r="F633" s="1">
        <f ca="1">IFERROR(__xludf.DUMMYFUNCTION("""COMPUTED_VALUE"""),5835329)</f>
        <v>5835329</v>
      </c>
    </row>
    <row r="634" spans="1:6" ht="12.6">
      <c r="A634" s="2">
        <f ca="1">IFERROR(__xludf.DUMMYFUNCTION("""COMPUTED_VALUE"""),45484.6666666666)</f>
        <v>45484.666666666599</v>
      </c>
      <c r="B634" s="1">
        <f ca="1">IFERROR(__xludf.DUMMYFUNCTION("""COMPUTED_VALUE"""),139)</f>
        <v>139</v>
      </c>
      <c r="C634" s="1">
        <f ca="1">IFERROR(__xludf.DUMMYFUNCTION("""COMPUTED_VALUE"""),142.1)</f>
        <v>142.1</v>
      </c>
      <c r="D634" s="1">
        <f ca="1">IFERROR(__xludf.DUMMYFUNCTION("""COMPUTED_VALUE"""),136.34)</f>
        <v>136.34</v>
      </c>
      <c r="E634" s="1">
        <f ca="1">IFERROR(__xludf.DUMMYFUNCTION("""COMPUTED_VALUE"""),138.18)</f>
        <v>138.18</v>
      </c>
      <c r="F634" s="1">
        <f ca="1">IFERROR(__xludf.DUMMYFUNCTION("""COMPUTED_VALUE"""),5994093)</f>
        <v>5994093</v>
      </c>
    </row>
    <row r="635" spans="1:6" ht="12.6">
      <c r="A635" s="2">
        <f ca="1">IFERROR(__xludf.DUMMYFUNCTION("""COMPUTED_VALUE"""),45485.6666666666)</f>
        <v>45485.666666666599</v>
      </c>
      <c r="B635" s="1">
        <f ca="1">IFERROR(__xludf.DUMMYFUNCTION("""COMPUTED_VALUE"""),133.95)</f>
        <v>133.94999999999999</v>
      </c>
      <c r="C635" s="1">
        <f ca="1">IFERROR(__xludf.DUMMYFUNCTION("""COMPUTED_VALUE"""),137.46)</f>
        <v>137.46</v>
      </c>
      <c r="D635" s="1">
        <f ca="1">IFERROR(__xludf.DUMMYFUNCTION("""COMPUTED_VALUE"""),132.2)</f>
        <v>132.19999999999999</v>
      </c>
      <c r="E635" s="1">
        <f ca="1">IFERROR(__xludf.DUMMYFUNCTION("""COMPUTED_VALUE"""),135.75)</f>
        <v>135.75</v>
      </c>
      <c r="F635" s="1">
        <f ca="1">IFERROR(__xludf.DUMMYFUNCTION("""COMPUTED_VALUE"""),8103603)</f>
        <v>8103603</v>
      </c>
    </row>
    <row r="636" spans="1:6" ht="12.6">
      <c r="A636" s="2">
        <f ca="1">IFERROR(__xludf.DUMMYFUNCTION("""COMPUTED_VALUE"""),45488.6666666666)</f>
        <v>45488.666666666599</v>
      </c>
      <c r="B636" s="1">
        <f ca="1">IFERROR(__xludf.DUMMYFUNCTION("""COMPUTED_VALUE"""),135.92)</f>
        <v>135.91999999999999</v>
      </c>
      <c r="C636" s="1">
        <f ca="1">IFERROR(__xludf.DUMMYFUNCTION("""COMPUTED_VALUE"""),136.33)</f>
        <v>136.33000000000001</v>
      </c>
      <c r="D636" s="1">
        <f ca="1">IFERROR(__xludf.DUMMYFUNCTION("""COMPUTED_VALUE"""),132.8)</f>
        <v>132.80000000000001</v>
      </c>
      <c r="E636" s="1">
        <f ca="1">IFERROR(__xludf.DUMMYFUNCTION("""COMPUTED_VALUE"""),133.72)</f>
        <v>133.72</v>
      </c>
      <c r="F636" s="1">
        <f ca="1">IFERROR(__xludf.DUMMYFUNCTION("""COMPUTED_VALUE"""),5533571)</f>
        <v>5533571</v>
      </c>
    </row>
    <row r="637" spans="1:6" ht="12.6">
      <c r="A637" s="2">
        <f ca="1">IFERROR(__xludf.DUMMYFUNCTION("""COMPUTED_VALUE"""),45489.6666666666)</f>
        <v>45489.666666666599</v>
      </c>
      <c r="B637" s="1">
        <f ca="1">IFERROR(__xludf.DUMMYFUNCTION("""COMPUTED_VALUE"""),135)</f>
        <v>135</v>
      </c>
      <c r="C637" s="1">
        <f ca="1">IFERROR(__xludf.DUMMYFUNCTION("""COMPUTED_VALUE"""),138.14)</f>
        <v>138.13999999999999</v>
      </c>
      <c r="D637" s="1">
        <f ca="1">IFERROR(__xludf.DUMMYFUNCTION("""COMPUTED_VALUE"""),134.47)</f>
        <v>134.47</v>
      </c>
      <c r="E637" s="1">
        <f ca="1">IFERROR(__xludf.DUMMYFUNCTION("""COMPUTED_VALUE"""),136.21)</f>
        <v>136.21</v>
      </c>
      <c r="F637" s="1">
        <f ca="1">IFERROR(__xludf.DUMMYFUNCTION("""COMPUTED_VALUE"""),3704706)</f>
        <v>3704706</v>
      </c>
    </row>
    <row r="638" spans="1:6" ht="12.6">
      <c r="A638" s="2">
        <f ca="1">IFERROR(__xludf.DUMMYFUNCTION("""COMPUTED_VALUE"""),45490.6666666666)</f>
        <v>45490.666666666599</v>
      </c>
      <c r="B638" s="1">
        <f ca="1">IFERROR(__xludf.DUMMYFUNCTION("""COMPUTED_VALUE"""),134)</f>
        <v>134</v>
      </c>
      <c r="C638" s="1">
        <f ca="1">IFERROR(__xludf.DUMMYFUNCTION("""COMPUTED_VALUE"""),138.4)</f>
        <v>138.4</v>
      </c>
      <c r="D638" s="1">
        <f ca="1">IFERROR(__xludf.DUMMYFUNCTION("""COMPUTED_VALUE"""),133.26)</f>
        <v>133.26</v>
      </c>
      <c r="E638" s="1">
        <f ca="1">IFERROR(__xludf.DUMMYFUNCTION("""COMPUTED_VALUE"""),135.1)</f>
        <v>135.1</v>
      </c>
      <c r="F638" s="1">
        <f ca="1">IFERROR(__xludf.DUMMYFUNCTION("""COMPUTED_VALUE"""),6156168)</f>
        <v>6156168</v>
      </c>
    </row>
    <row r="639" spans="1:6" ht="12.6">
      <c r="A639" s="2">
        <f ca="1">IFERROR(__xludf.DUMMYFUNCTION("""COMPUTED_VALUE"""),45491.6666666666)</f>
        <v>45491.666666666599</v>
      </c>
      <c r="B639" s="1">
        <f ca="1">IFERROR(__xludf.DUMMYFUNCTION("""COMPUTED_VALUE"""),135.03)</f>
        <v>135.03</v>
      </c>
      <c r="C639" s="1">
        <f ca="1">IFERROR(__xludf.DUMMYFUNCTION("""COMPUTED_VALUE"""),136.68)</f>
        <v>136.68</v>
      </c>
      <c r="D639" s="1">
        <f ca="1">IFERROR(__xludf.DUMMYFUNCTION("""COMPUTED_VALUE"""),129.75)</f>
        <v>129.75</v>
      </c>
      <c r="E639" s="1">
        <f ca="1">IFERROR(__xludf.DUMMYFUNCTION("""COMPUTED_VALUE"""),129.84)</f>
        <v>129.84</v>
      </c>
      <c r="F639" s="1">
        <f ca="1">IFERROR(__xludf.DUMMYFUNCTION("""COMPUTED_VALUE"""),3869943)</f>
        <v>3869943</v>
      </c>
    </row>
    <row r="640" spans="1:6" ht="12.6">
      <c r="A640" s="2">
        <f ca="1">IFERROR(__xludf.DUMMYFUNCTION("""COMPUTED_VALUE"""),45492.6666666666)</f>
        <v>45492.666666666599</v>
      </c>
      <c r="B640" s="1">
        <f ca="1">IFERROR(__xludf.DUMMYFUNCTION("""COMPUTED_VALUE"""),129.83)</f>
        <v>129.83000000000001</v>
      </c>
      <c r="C640" s="1">
        <f ca="1">IFERROR(__xludf.DUMMYFUNCTION("""COMPUTED_VALUE"""),130.88)</f>
        <v>130.88</v>
      </c>
      <c r="D640" s="1">
        <f ca="1">IFERROR(__xludf.DUMMYFUNCTION("""COMPUTED_VALUE"""),128.87)</f>
        <v>128.87</v>
      </c>
      <c r="E640" s="1">
        <f ca="1">IFERROR(__xludf.DUMMYFUNCTION("""COMPUTED_VALUE"""),129.85)</f>
        <v>129.85</v>
      </c>
      <c r="F640" s="1">
        <f ca="1">IFERROR(__xludf.DUMMYFUNCTION("""COMPUTED_VALUE"""),3411236)</f>
        <v>3411236</v>
      </c>
    </row>
    <row r="641" spans="1:6" ht="12.6">
      <c r="A641" s="2">
        <f ca="1">IFERROR(__xludf.DUMMYFUNCTION("""COMPUTED_VALUE"""),45495.6666666666)</f>
        <v>45495.666666666599</v>
      </c>
      <c r="B641" s="1">
        <f ca="1">IFERROR(__xludf.DUMMYFUNCTION("""COMPUTED_VALUE"""),130.69)</f>
        <v>130.69</v>
      </c>
      <c r="C641" s="1">
        <f ca="1">IFERROR(__xludf.DUMMYFUNCTION("""COMPUTED_VALUE"""),132.65)</f>
        <v>132.65</v>
      </c>
      <c r="D641" s="1">
        <f ca="1">IFERROR(__xludf.DUMMYFUNCTION("""COMPUTED_VALUE"""),129.62)</f>
        <v>129.62</v>
      </c>
      <c r="E641" s="1">
        <f ca="1">IFERROR(__xludf.DUMMYFUNCTION("""COMPUTED_VALUE"""),131.15)</f>
        <v>131.15</v>
      </c>
      <c r="F641" s="1">
        <f ca="1">IFERROR(__xludf.DUMMYFUNCTION("""COMPUTED_VALUE"""),3802078)</f>
        <v>3802078</v>
      </c>
    </row>
    <row r="642" spans="1:6" ht="12.6">
      <c r="A642" s="2">
        <f ca="1">IFERROR(__xludf.DUMMYFUNCTION("""COMPUTED_VALUE"""),45496.6666666666)</f>
        <v>45496.666666666599</v>
      </c>
      <c r="B642" s="1">
        <f ca="1">IFERROR(__xludf.DUMMYFUNCTION("""COMPUTED_VALUE"""),131.25)</f>
        <v>131.25</v>
      </c>
      <c r="C642" s="1">
        <f ca="1">IFERROR(__xludf.DUMMYFUNCTION("""COMPUTED_VALUE"""),134.17)</f>
        <v>134.16999999999999</v>
      </c>
      <c r="D642" s="1">
        <f ca="1">IFERROR(__xludf.DUMMYFUNCTION("""COMPUTED_VALUE"""),130.38)</f>
        <v>130.38</v>
      </c>
      <c r="E642" s="1">
        <f ca="1">IFERROR(__xludf.DUMMYFUNCTION("""COMPUTED_VALUE"""),132.6)</f>
        <v>132.6</v>
      </c>
      <c r="F642" s="1">
        <f ca="1">IFERROR(__xludf.DUMMYFUNCTION("""COMPUTED_VALUE"""),3254229)</f>
        <v>3254229</v>
      </c>
    </row>
    <row r="643" spans="1:6" ht="12.6">
      <c r="A643" s="2">
        <f ca="1">IFERROR(__xludf.DUMMYFUNCTION("""COMPUTED_VALUE"""),45497.6666666666)</f>
        <v>45497.666666666599</v>
      </c>
      <c r="B643" s="1">
        <f ca="1">IFERROR(__xludf.DUMMYFUNCTION("""COMPUTED_VALUE"""),131)</f>
        <v>131</v>
      </c>
      <c r="C643" s="1">
        <f ca="1">IFERROR(__xludf.DUMMYFUNCTION("""COMPUTED_VALUE"""),131.81)</f>
        <v>131.81</v>
      </c>
      <c r="D643" s="1">
        <f ca="1">IFERROR(__xludf.DUMMYFUNCTION("""COMPUTED_VALUE"""),125.54)</f>
        <v>125.54</v>
      </c>
      <c r="E643" s="1">
        <f ca="1">IFERROR(__xludf.DUMMYFUNCTION("""COMPUTED_VALUE"""),125.62)</f>
        <v>125.62</v>
      </c>
      <c r="F643" s="1">
        <f ca="1">IFERROR(__xludf.DUMMYFUNCTION("""COMPUTED_VALUE"""),6000734)</f>
        <v>6000734</v>
      </c>
    </row>
    <row r="644" spans="1:6" ht="12.6">
      <c r="A644" s="2">
        <f ca="1">IFERROR(__xludf.DUMMYFUNCTION("""COMPUTED_VALUE"""),45498.6666666666)</f>
        <v>45498.666666666599</v>
      </c>
      <c r="B644" s="1">
        <f ca="1">IFERROR(__xludf.DUMMYFUNCTION("""COMPUTED_VALUE"""),126.27)</f>
        <v>126.27</v>
      </c>
      <c r="C644" s="1">
        <f ca="1">IFERROR(__xludf.DUMMYFUNCTION("""COMPUTED_VALUE"""),132.99)</f>
        <v>132.99</v>
      </c>
      <c r="D644" s="1">
        <f ca="1">IFERROR(__xludf.DUMMYFUNCTION("""COMPUTED_VALUE"""),125.5)</f>
        <v>125.5</v>
      </c>
      <c r="E644" s="1">
        <f ca="1">IFERROR(__xludf.DUMMYFUNCTION("""COMPUTED_VALUE"""),129.59)</f>
        <v>129.59</v>
      </c>
      <c r="F644" s="1">
        <f ca="1">IFERROR(__xludf.DUMMYFUNCTION("""COMPUTED_VALUE"""),5349140)</f>
        <v>5349140</v>
      </c>
    </row>
    <row r="645" spans="1:6" ht="12.6">
      <c r="A645" s="2">
        <f ca="1">IFERROR(__xludf.DUMMYFUNCTION("""COMPUTED_VALUE"""),45499.6666666666)</f>
        <v>45499.666666666599</v>
      </c>
      <c r="B645" s="1">
        <f ca="1">IFERROR(__xludf.DUMMYFUNCTION("""COMPUTED_VALUE"""),130.53)</f>
        <v>130.53</v>
      </c>
      <c r="C645" s="1">
        <f ca="1">IFERROR(__xludf.DUMMYFUNCTION("""COMPUTED_VALUE"""),131.38)</f>
        <v>131.38</v>
      </c>
      <c r="D645" s="1">
        <f ca="1">IFERROR(__xludf.DUMMYFUNCTION("""COMPUTED_VALUE"""),128.04)</f>
        <v>128.04</v>
      </c>
      <c r="E645" s="1">
        <f ca="1">IFERROR(__xludf.DUMMYFUNCTION("""COMPUTED_VALUE"""),129)</f>
        <v>129</v>
      </c>
      <c r="F645" s="1">
        <f ca="1">IFERROR(__xludf.DUMMYFUNCTION("""COMPUTED_VALUE"""),3377909)</f>
        <v>3377909</v>
      </c>
    </row>
    <row r="646" spans="1:6" ht="12.6">
      <c r="A646" s="2">
        <f ca="1">IFERROR(__xludf.DUMMYFUNCTION("""COMPUTED_VALUE"""),45502.6666666666)</f>
        <v>45502.666666666599</v>
      </c>
      <c r="B646" s="1">
        <f ca="1">IFERROR(__xludf.DUMMYFUNCTION("""COMPUTED_VALUE"""),130)</f>
        <v>130</v>
      </c>
      <c r="C646" s="1">
        <f ca="1">IFERROR(__xludf.DUMMYFUNCTION("""COMPUTED_VALUE"""),130.57)</f>
        <v>130.57</v>
      </c>
      <c r="D646" s="1">
        <f ca="1">IFERROR(__xludf.DUMMYFUNCTION("""COMPUTED_VALUE"""),128.4)</f>
        <v>128.4</v>
      </c>
      <c r="E646" s="1">
        <f ca="1">IFERROR(__xludf.DUMMYFUNCTION("""COMPUTED_VALUE"""),129.57)</f>
        <v>129.57</v>
      </c>
      <c r="F646" s="1">
        <f ca="1">IFERROR(__xludf.DUMMYFUNCTION("""COMPUTED_VALUE"""),3955310)</f>
        <v>3955310</v>
      </c>
    </row>
    <row r="647" spans="1:6" ht="12.6">
      <c r="A647" s="2">
        <f ca="1">IFERROR(__xludf.DUMMYFUNCTION("""COMPUTED_VALUE"""),45503.6666666666)</f>
        <v>45503.666666666599</v>
      </c>
      <c r="B647" s="1">
        <f ca="1">IFERROR(__xludf.DUMMYFUNCTION("""COMPUTED_VALUE"""),128.54)</f>
        <v>128.54</v>
      </c>
      <c r="C647" s="1">
        <f ca="1">IFERROR(__xludf.DUMMYFUNCTION("""COMPUTED_VALUE"""),131.41)</f>
        <v>131.41</v>
      </c>
      <c r="D647" s="1">
        <f ca="1">IFERROR(__xludf.DUMMYFUNCTION("""COMPUTED_VALUE"""),126.68)</f>
        <v>126.68</v>
      </c>
      <c r="E647" s="1">
        <f ca="1">IFERROR(__xludf.DUMMYFUNCTION("""COMPUTED_VALUE"""),128.88)</f>
        <v>128.88</v>
      </c>
      <c r="F647" s="1">
        <f ca="1">IFERROR(__xludf.DUMMYFUNCTION("""COMPUTED_VALUE"""),6475340)</f>
        <v>6475340</v>
      </c>
    </row>
    <row r="648" spans="1:6" ht="12.6">
      <c r="A648" s="2">
        <f ca="1">IFERROR(__xludf.DUMMYFUNCTION("""COMPUTED_VALUE"""),45504.6666666666)</f>
        <v>45504.666666666599</v>
      </c>
      <c r="B648" s="1">
        <f ca="1">IFERROR(__xludf.DUMMYFUNCTION("""COMPUTED_VALUE"""),129.35)</f>
        <v>129.35</v>
      </c>
      <c r="C648" s="1">
        <f ca="1">IFERROR(__xludf.DUMMYFUNCTION("""COMPUTED_VALUE"""),132.55)</f>
        <v>132.55000000000001</v>
      </c>
      <c r="D648" s="1">
        <f ca="1">IFERROR(__xludf.DUMMYFUNCTION("""COMPUTED_VALUE"""),128.77)</f>
        <v>128.77000000000001</v>
      </c>
      <c r="E648" s="1">
        <f ca="1">IFERROR(__xludf.DUMMYFUNCTION("""COMPUTED_VALUE"""),130.38)</f>
        <v>130.38</v>
      </c>
      <c r="F648" s="1">
        <f ca="1">IFERROR(__xludf.DUMMYFUNCTION("""COMPUTED_VALUE"""),5498317)</f>
        <v>5498317</v>
      </c>
    </row>
    <row r="649" spans="1:6" ht="12.6">
      <c r="A649" s="2">
        <f ca="1">IFERROR(__xludf.DUMMYFUNCTION("""COMPUTED_VALUE"""),45505.6666666666)</f>
        <v>45505.666666666599</v>
      </c>
      <c r="B649" s="1">
        <f ca="1">IFERROR(__xludf.DUMMYFUNCTION("""COMPUTED_VALUE"""),129.4)</f>
        <v>129.4</v>
      </c>
      <c r="C649" s="1">
        <f ca="1">IFERROR(__xludf.DUMMYFUNCTION("""COMPUTED_VALUE"""),129.79)</f>
        <v>129.79</v>
      </c>
      <c r="D649" s="1">
        <f ca="1">IFERROR(__xludf.DUMMYFUNCTION("""COMPUTED_VALUE"""),121.45)</f>
        <v>121.45</v>
      </c>
      <c r="E649" s="1">
        <f ca="1">IFERROR(__xludf.DUMMYFUNCTION("""COMPUTED_VALUE"""),124.2)</f>
        <v>124.2</v>
      </c>
      <c r="F649" s="1">
        <f ca="1">IFERROR(__xludf.DUMMYFUNCTION("""COMPUTED_VALUE"""),7684768)</f>
        <v>7684768</v>
      </c>
    </row>
    <row r="650" spans="1:6" ht="12.6">
      <c r="A650" s="2">
        <f ca="1">IFERROR(__xludf.DUMMYFUNCTION("""COMPUTED_VALUE"""),45506.6666666666)</f>
        <v>45506.666666666599</v>
      </c>
      <c r="B650" s="1">
        <f ca="1">IFERROR(__xludf.DUMMYFUNCTION("""COMPUTED_VALUE"""),120.9)</f>
        <v>120.9</v>
      </c>
      <c r="C650" s="1">
        <f ca="1">IFERROR(__xludf.DUMMYFUNCTION("""COMPUTED_VALUE"""),121.65)</f>
        <v>121.65</v>
      </c>
      <c r="D650" s="1">
        <f ca="1">IFERROR(__xludf.DUMMYFUNCTION("""COMPUTED_VALUE"""),116.89)</f>
        <v>116.89</v>
      </c>
      <c r="E650" s="1">
        <f ca="1">IFERROR(__xludf.DUMMYFUNCTION("""COMPUTED_VALUE"""),119.77)</f>
        <v>119.77</v>
      </c>
      <c r="F650" s="1">
        <f ca="1">IFERROR(__xludf.DUMMYFUNCTION("""COMPUTED_VALUE"""),8260332)</f>
        <v>8260332</v>
      </c>
    </row>
    <row r="651" spans="1:6" ht="12.6">
      <c r="A651" s="2">
        <f ca="1">IFERROR(__xludf.DUMMYFUNCTION("""COMPUTED_VALUE"""),45509.6666666666)</f>
        <v>45509.666666666599</v>
      </c>
      <c r="B651" s="1">
        <f ca="1">IFERROR(__xludf.DUMMYFUNCTION("""COMPUTED_VALUE"""),107.93)</f>
        <v>107.93</v>
      </c>
      <c r="C651" s="1">
        <f ca="1">IFERROR(__xludf.DUMMYFUNCTION("""COMPUTED_VALUE"""),115.71)</f>
        <v>115.71</v>
      </c>
      <c r="D651" s="1">
        <f ca="1">IFERROR(__xludf.DUMMYFUNCTION("""COMPUTED_VALUE"""),107.93)</f>
        <v>107.93</v>
      </c>
      <c r="E651" s="1">
        <f ca="1">IFERROR(__xludf.DUMMYFUNCTION("""COMPUTED_VALUE"""),112.63)</f>
        <v>112.63</v>
      </c>
      <c r="F651" s="1">
        <f ca="1">IFERROR(__xludf.DUMMYFUNCTION("""COMPUTED_VALUE"""),6874151)</f>
        <v>6874151</v>
      </c>
    </row>
    <row r="652" spans="1:6" ht="12.6">
      <c r="A652" s="2">
        <f ca="1">IFERROR(__xludf.DUMMYFUNCTION("""COMPUTED_VALUE"""),45510.6666666666)</f>
        <v>45510.666666666599</v>
      </c>
      <c r="B652" s="1">
        <f ca="1">IFERROR(__xludf.DUMMYFUNCTION("""COMPUTED_VALUE"""),114.64)</f>
        <v>114.64</v>
      </c>
      <c r="C652" s="1">
        <f ca="1">IFERROR(__xludf.DUMMYFUNCTION("""COMPUTED_VALUE"""),117.32)</f>
        <v>117.32</v>
      </c>
      <c r="D652" s="1">
        <f ca="1">IFERROR(__xludf.DUMMYFUNCTION("""COMPUTED_VALUE"""),113.33)</f>
        <v>113.33</v>
      </c>
      <c r="E652" s="1">
        <f ca="1">IFERROR(__xludf.DUMMYFUNCTION("""COMPUTED_VALUE"""),114.82)</f>
        <v>114.82</v>
      </c>
      <c r="F652" s="1">
        <f ca="1">IFERROR(__xludf.DUMMYFUNCTION("""COMPUTED_VALUE"""),5342579)</f>
        <v>5342579</v>
      </c>
    </row>
    <row r="653" spans="1:6" ht="12.6">
      <c r="A653" s="2">
        <f ca="1">IFERROR(__xludf.DUMMYFUNCTION("""COMPUTED_VALUE"""),45511.6666666666)</f>
        <v>45511.666666666599</v>
      </c>
      <c r="B653" s="1">
        <f ca="1">IFERROR(__xludf.DUMMYFUNCTION("""COMPUTED_VALUE"""),117.51)</f>
        <v>117.51</v>
      </c>
      <c r="C653" s="1">
        <f ca="1">IFERROR(__xludf.DUMMYFUNCTION("""COMPUTED_VALUE"""),121.53)</f>
        <v>121.53</v>
      </c>
      <c r="D653" s="1">
        <f ca="1">IFERROR(__xludf.DUMMYFUNCTION("""COMPUTED_VALUE"""),115.05)</f>
        <v>115.05</v>
      </c>
      <c r="E653" s="1">
        <f ca="1">IFERROR(__xludf.DUMMYFUNCTION("""COMPUTED_VALUE"""),115.1)</f>
        <v>115.1</v>
      </c>
      <c r="F653" s="1">
        <f ca="1">IFERROR(__xludf.DUMMYFUNCTION("""COMPUTED_VALUE"""),5616914)</f>
        <v>5616914</v>
      </c>
    </row>
    <row r="654" spans="1:6" ht="12.6">
      <c r="A654" s="2">
        <f ca="1">IFERROR(__xludf.DUMMYFUNCTION("""COMPUTED_VALUE"""),45512.6666666666)</f>
        <v>45512.666666666599</v>
      </c>
      <c r="B654" s="1">
        <f ca="1">IFERROR(__xludf.DUMMYFUNCTION("""COMPUTED_VALUE"""),118.05)</f>
        <v>118.05</v>
      </c>
      <c r="C654" s="1">
        <f ca="1">IFERROR(__xludf.DUMMYFUNCTION("""COMPUTED_VALUE"""),122.06)</f>
        <v>122.06</v>
      </c>
      <c r="D654" s="1">
        <f ca="1">IFERROR(__xludf.DUMMYFUNCTION("""COMPUTED_VALUE"""),117.28)</f>
        <v>117.28</v>
      </c>
      <c r="E654" s="1">
        <f ca="1">IFERROR(__xludf.DUMMYFUNCTION("""COMPUTED_VALUE"""),121.6)</f>
        <v>121.6</v>
      </c>
      <c r="F654" s="1">
        <f ca="1">IFERROR(__xludf.DUMMYFUNCTION("""COMPUTED_VALUE"""),4556413)</f>
        <v>4556413</v>
      </c>
    </row>
    <row r="655" spans="1:6" ht="12.6">
      <c r="A655" s="2">
        <f ca="1">IFERROR(__xludf.DUMMYFUNCTION("""COMPUTED_VALUE"""),45513.6666666666)</f>
        <v>45513.666666666599</v>
      </c>
      <c r="B655" s="1">
        <f ca="1">IFERROR(__xludf.DUMMYFUNCTION("""COMPUTED_VALUE"""),121.06)</f>
        <v>121.06</v>
      </c>
      <c r="C655" s="1">
        <f ca="1">IFERROR(__xludf.DUMMYFUNCTION("""COMPUTED_VALUE"""),124.63)</f>
        <v>124.63</v>
      </c>
      <c r="D655" s="1">
        <f ca="1">IFERROR(__xludf.DUMMYFUNCTION("""COMPUTED_VALUE"""),120.47)</f>
        <v>120.47</v>
      </c>
      <c r="E655" s="1">
        <f ca="1">IFERROR(__xludf.DUMMYFUNCTION("""COMPUTED_VALUE"""),124.41)</f>
        <v>124.41</v>
      </c>
      <c r="F655" s="1">
        <f ca="1">IFERROR(__xludf.DUMMYFUNCTION("""COMPUTED_VALUE"""),3685865)</f>
        <v>3685865</v>
      </c>
    </row>
    <row r="656" spans="1:6" ht="12.6">
      <c r="A656" s="2">
        <f ca="1">IFERROR(__xludf.DUMMYFUNCTION("""COMPUTED_VALUE"""),45516.6666666666)</f>
        <v>45516.666666666599</v>
      </c>
      <c r="B656" s="1">
        <f ca="1">IFERROR(__xludf.DUMMYFUNCTION("""COMPUTED_VALUE"""),125.29)</f>
        <v>125.29</v>
      </c>
      <c r="C656" s="1">
        <f ca="1">IFERROR(__xludf.DUMMYFUNCTION("""COMPUTED_VALUE"""),126.19)</f>
        <v>126.19</v>
      </c>
      <c r="D656" s="1">
        <f ca="1">IFERROR(__xludf.DUMMYFUNCTION("""COMPUTED_VALUE"""),121.95)</f>
        <v>121.95</v>
      </c>
      <c r="E656" s="1">
        <f ca="1">IFERROR(__xludf.DUMMYFUNCTION("""COMPUTED_VALUE"""),123.03)</f>
        <v>123.03</v>
      </c>
      <c r="F656" s="1">
        <f ca="1">IFERROR(__xludf.DUMMYFUNCTION("""COMPUTED_VALUE"""),2662605)</f>
        <v>2662605</v>
      </c>
    </row>
    <row r="657" spans="1:6" ht="12.6">
      <c r="A657" s="2">
        <f ca="1">IFERROR(__xludf.DUMMYFUNCTION("""COMPUTED_VALUE"""),45517.6666666666)</f>
        <v>45517.666666666599</v>
      </c>
      <c r="B657" s="1">
        <f ca="1">IFERROR(__xludf.DUMMYFUNCTION("""COMPUTED_VALUE"""),123.27)</f>
        <v>123.27</v>
      </c>
      <c r="C657" s="1">
        <f ca="1">IFERROR(__xludf.DUMMYFUNCTION("""COMPUTED_VALUE"""),127.77)</f>
        <v>127.77</v>
      </c>
      <c r="D657" s="1">
        <f ca="1">IFERROR(__xludf.DUMMYFUNCTION("""COMPUTED_VALUE"""),122.85)</f>
        <v>122.85</v>
      </c>
      <c r="E657" s="1">
        <f ca="1">IFERROR(__xludf.DUMMYFUNCTION("""COMPUTED_VALUE"""),127.06)</f>
        <v>127.06</v>
      </c>
      <c r="F657" s="1">
        <f ca="1">IFERROR(__xludf.DUMMYFUNCTION("""COMPUTED_VALUE"""),3797623)</f>
        <v>3797623</v>
      </c>
    </row>
    <row r="658" spans="1:6" ht="12.6">
      <c r="A658" s="2">
        <f ca="1">IFERROR(__xludf.DUMMYFUNCTION("""COMPUTED_VALUE"""),45518.6666666666)</f>
        <v>45518.666666666599</v>
      </c>
      <c r="B658" s="1">
        <f ca="1">IFERROR(__xludf.DUMMYFUNCTION("""COMPUTED_VALUE"""),127.56)</f>
        <v>127.56</v>
      </c>
      <c r="C658" s="1">
        <f ca="1">IFERROR(__xludf.DUMMYFUNCTION("""COMPUTED_VALUE"""),128.11)</f>
        <v>128.11000000000001</v>
      </c>
      <c r="D658" s="1">
        <f ca="1">IFERROR(__xludf.DUMMYFUNCTION("""COMPUTED_VALUE"""),125.19)</f>
        <v>125.19</v>
      </c>
      <c r="E658" s="1">
        <f ca="1">IFERROR(__xludf.DUMMYFUNCTION("""COMPUTED_VALUE"""),127.3)</f>
        <v>127.3</v>
      </c>
      <c r="F658" s="1">
        <f ca="1">IFERROR(__xludf.DUMMYFUNCTION("""COMPUTED_VALUE"""),3289028)</f>
        <v>3289028</v>
      </c>
    </row>
    <row r="659" spans="1:6" ht="12.6">
      <c r="A659" s="2">
        <f ca="1">IFERROR(__xludf.DUMMYFUNCTION("""COMPUTED_VALUE"""),45519.6666666666)</f>
        <v>45519.666666666599</v>
      </c>
      <c r="B659" s="1">
        <f ca="1">IFERROR(__xludf.DUMMYFUNCTION("""COMPUTED_VALUE"""),124)</f>
        <v>124</v>
      </c>
      <c r="C659" s="1">
        <f ca="1">IFERROR(__xludf.DUMMYFUNCTION("""COMPUTED_VALUE"""),128.66)</f>
        <v>128.66</v>
      </c>
      <c r="D659" s="1">
        <f ca="1">IFERROR(__xludf.DUMMYFUNCTION("""COMPUTED_VALUE"""),123.99)</f>
        <v>123.99</v>
      </c>
      <c r="E659" s="1">
        <f ca="1">IFERROR(__xludf.DUMMYFUNCTION("""COMPUTED_VALUE"""),127.05)</f>
        <v>127.05</v>
      </c>
      <c r="F659" s="1">
        <f ca="1">IFERROR(__xludf.DUMMYFUNCTION("""COMPUTED_VALUE"""),8167942)</f>
        <v>8167942</v>
      </c>
    </row>
    <row r="660" spans="1:6" ht="12.6">
      <c r="A660" s="2">
        <f ca="1">IFERROR(__xludf.DUMMYFUNCTION("""COMPUTED_VALUE"""),45520.6666666666)</f>
        <v>45520.666666666599</v>
      </c>
      <c r="B660" s="1">
        <f ca="1">IFERROR(__xludf.DUMMYFUNCTION("""COMPUTED_VALUE"""),125)</f>
        <v>125</v>
      </c>
      <c r="C660" s="1">
        <f ca="1">IFERROR(__xludf.DUMMYFUNCTION("""COMPUTED_VALUE"""),128.64)</f>
        <v>128.63999999999999</v>
      </c>
      <c r="D660" s="1">
        <f ca="1">IFERROR(__xludf.DUMMYFUNCTION("""COMPUTED_VALUE"""),124.73)</f>
        <v>124.73</v>
      </c>
      <c r="E660" s="1">
        <f ca="1">IFERROR(__xludf.DUMMYFUNCTION("""COMPUTED_VALUE"""),128.04)</f>
        <v>128.04</v>
      </c>
      <c r="F660" s="1">
        <f ca="1">IFERROR(__xludf.DUMMYFUNCTION("""COMPUTED_VALUE"""),6261926)</f>
        <v>6261926</v>
      </c>
    </row>
    <row r="661" spans="1:6" ht="12.6">
      <c r="A661" s="2">
        <f ca="1">IFERROR(__xludf.DUMMYFUNCTION("""COMPUTED_VALUE"""),45523.6666666666)</f>
        <v>45523.666666666599</v>
      </c>
      <c r="B661" s="1">
        <f ca="1">IFERROR(__xludf.DUMMYFUNCTION("""COMPUTED_VALUE"""),128.56)</f>
        <v>128.56</v>
      </c>
      <c r="C661" s="1">
        <f ca="1">IFERROR(__xludf.DUMMYFUNCTION("""COMPUTED_VALUE"""),132.66)</f>
        <v>132.66</v>
      </c>
      <c r="D661" s="1">
        <f ca="1">IFERROR(__xludf.DUMMYFUNCTION("""COMPUTED_VALUE"""),128.25)</f>
        <v>128.25</v>
      </c>
      <c r="E661" s="1">
        <f ca="1">IFERROR(__xludf.DUMMYFUNCTION("""COMPUTED_VALUE"""),131.42)</f>
        <v>131.41999999999999</v>
      </c>
      <c r="F661" s="1">
        <f ca="1">IFERROR(__xludf.DUMMYFUNCTION("""COMPUTED_VALUE"""),5326410)</f>
        <v>5326410</v>
      </c>
    </row>
    <row r="662" spans="1:6" ht="12.6">
      <c r="A662" s="2">
        <f ca="1">IFERROR(__xludf.DUMMYFUNCTION("""COMPUTED_VALUE"""),45524.6666666666)</f>
        <v>45524.666666666599</v>
      </c>
      <c r="B662" s="1">
        <f ca="1">IFERROR(__xludf.DUMMYFUNCTION("""COMPUTED_VALUE"""),131.43)</f>
        <v>131.43</v>
      </c>
      <c r="C662" s="1">
        <f ca="1">IFERROR(__xludf.DUMMYFUNCTION("""COMPUTED_VALUE"""),133.67)</f>
        <v>133.66999999999999</v>
      </c>
      <c r="D662" s="1">
        <f ca="1">IFERROR(__xludf.DUMMYFUNCTION("""COMPUTED_VALUE"""),130.76)</f>
        <v>130.76</v>
      </c>
      <c r="E662" s="1">
        <f ca="1">IFERROR(__xludf.DUMMYFUNCTION("""COMPUTED_VALUE"""),131.92)</f>
        <v>131.91999999999999</v>
      </c>
      <c r="F662" s="1">
        <f ca="1">IFERROR(__xludf.DUMMYFUNCTION("""COMPUTED_VALUE"""),4929412)</f>
        <v>4929412</v>
      </c>
    </row>
    <row r="663" spans="1:6" ht="12.6">
      <c r="A663" s="2">
        <f ca="1">IFERROR(__xludf.DUMMYFUNCTION("""COMPUTED_VALUE"""),45525.6666666666)</f>
        <v>45525.666666666599</v>
      </c>
      <c r="B663" s="1">
        <f ca="1">IFERROR(__xludf.DUMMYFUNCTION("""COMPUTED_VALUE"""),132.76)</f>
        <v>132.76</v>
      </c>
      <c r="C663" s="1">
        <f ca="1">IFERROR(__xludf.DUMMYFUNCTION("""COMPUTED_VALUE"""),135.72)</f>
        <v>135.72</v>
      </c>
      <c r="D663" s="1">
        <f ca="1">IFERROR(__xludf.DUMMYFUNCTION("""COMPUTED_VALUE"""),130.66)</f>
        <v>130.66</v>
      </c>
      <c r="E663" s="1">
        <f ca="1">IFERROR(__xludf.DUMMYFUNCTION("""COMPUTED_VALUE"""),135.06)</f>
        <v>135.06</v>
      </c>
      <c r="F663" s="1">
        <f ca="1">IFERROR(__xludf.DUMMYFUNCTION("""COMPUTED_VALUE"""),16442974)</f>
        <v>16442974</v>
      </c>
    </row>
    <row r="664" spans="1:6" ht="12.6">
      <c r="A664" s="2">
        <f ca="1">IFERROR(__xludf.DUMMYFUNCTION("""COMPUTED_VALUE"""),45526.6666666666)</f>
        <v>45526.666666666599</v>
      </c>
      <c r="B664" s="1">
        <f ca="1">IFERROR(__xludf.DUMMYFUNCTION("""COMPUTED_VALUE"""),122.1)</f>
        <v>122.1</v>
      </c>
      <c r="C664" s="1">
        <f ca="1">IFERROR(__xludf.DUMMYFUNCTION("""COMPUTED_VALUE"""),123.98)</f>
        <v>123.98</v>
      </c>
      <c r="D664" s="1">
        <f ca="1">IFERROR(__xludf.DUMMYFUNCTION("""COMPUTED_VALUE"""),115.14)</f>
        <v>115.14</v>
      </c>
      <c r="E664" s="1">
        <f ca="1">IFERROR(__xludf.DUMMYFUNCTION("""COMPUTED_VALUE"""),115.21)</f>
        <v>115.21</v>
      </c>
      <c r="F664" s="1">
        <f ca="1">IFERROR(__xludf.DUMMYFUNCTION("""COMPUTED_VALUE"""),37236875)</f>
        <v>37236875</v>
      </c>
    </row>
    <row r="665" spans="1:6" ht="12.6">
      <c r="A665" s="2">
        <f ca="1">IFERROR(__xludf.DUMMYFUNCTION("""COMPUTED_VALUE"""),45527.6666666666)</f>
        <v>45527.666666666599</v>
      </c>
      <c r="B665" s="1">
        <f ca="1">IFERROR(__xludf.DUMMYFUNCTION("""COMPUTED_VALUE"""),117.13)</f>
        <v>117.13</v>
      </c>
      <c r="C665" s="1">
        <f ca="1">IFERROR(__xludf.DUMMYFUNCTION("""COMPUTED_VALUE"""),117.3)</f>
        <v>117.3</v>
      </c>
      <c r="D665" s="1">
        <f ca="1">IFERROR(__xludf.DUMMYFUNCTION("""COMPUTED_VALUE"""),113.24)</f>
        <v>113.24</v>
      </c>
      <c r="E665" s="1">
        <f ca="1">IFERROR(__xludf.DUMMYFUNCTION("""COMPUTED_VALUE"""),115.86)</f>
        <v>115.86</v>
      </c>
      <c r="F665" s="1">
        <f ca="1">IFERROR(__xludf.DUMMYFUNCTION("""COMPUTED_VALUE"""),16772605)</f>
        <v>16772605</v>
      </c>
    </row>
    <row r="666" spans="1:6" ht="12.6">
      <c r="A666" s="2">
        <f ca="1">IFERROR(__xludf.DUMMYFUNCTION("""COMPUTED_VALUE"""),45530.6666666666)</f>
        <v>45530.666666666599</v>
      </c>
      <c r="B666" s="1">
        <f ca="1">IFERROR(__xludf.DUMMYFUNCTION("""COMPUTED_VALUE"""),115.05)</f>
        <v>115.05</v>
      </c>
      <c r="C666" s="1">
        <f ca="1">IFERROR(__xludf.DUMMYFUNCTION("""COMPUTED_VALUE"""),120.03)</f>
        <v>120.03</v>
      </c>
      <c r="D666" s="1">
        <f ca="1">IFERROR(__xludf.DUMMYFUNCTION("""COMPUTED_VALUE"""),114.85)</f>
        <v>114.85</v>
      </c>
      <c r="E666" s="1">
        <f ca="1">IFERROR(__xludf.DUMMYFUNCTION("""COMPUTED_VALUE"""),118)</f>
        <v>118</v>
      </c>
      <c r="F666" s="1">
        <f ca="1">IFERROR(__xludf.DUMMYFUNCTION("""COMPUTED_VALUE"""),12690117)</f>
        <v>12690117</v>
      </c>
    </row>
    <row r="667" spans="1:6" ht="12.6">
      <c r="A667" s="2">
        <f ca="1">IFERROR(__xludf.DUMMYFUNCTION("""COMPUTED_VALUE"""),45531.6666666666)</f>
        <v>45531.666666666599</v>
      </c>
      <c r="B667" s="1">
        <f ca="1">IFERROR(__xludf.DUMMYFUNCTION("""COMPUTED_VALUE"""),117.83)</f>
        <v>117.83</v>
      </c>
      <c r="C667" s="1">
        <f ca="1">IFERROR(__xludf.DUMMYFUNCTION("""COMPUTED_VALUE"""),118.98)</f>
        <v>118.98</v>
      </c>
      <c r="D667" s="1">
        <f ca="1">IFERROR(__xludf.DUMMYFUNCTION("""COMPUTED_VALUE"""),115.32)</f>
        <v>115.32</v>
      </c>
      <c r="E667" s="1">
        <f ca="1">IFERROR(__xludf.DUMMYFUNCTION("""COMPUTED_VALUE"""),115.54)</f>
        <v>115.54</v>
      </c>
      <c r="F667" s="1">
        <f ca="1">IFERROR(__xludf.DUMMYFUNCTION("""COMPUTED_VALUE"""),6461841)</f>
        <v>6461841</v>
      </c>
    </row>
    <row r="668" spans="1:6" ht="12.6">
      <c r="A668" s="2">
        <f ca="1">IFERROR(__xludf.DUMMYFUNCTION("""COMPUTED_VALUE"""),45532.6666666666)</f>
        <v>45532.666666666599</v>
      </c>
      <c r="B668" s="1">
        <f ca="1">IFERROR(__xludf.DUMMYFUNCTION("""COMPUTED_VALUE"""),114.93)</f>
        <v>114.93</v>
      </c>
      <c r="C668" s="1">
        <f ca="1">IFERROR(__xludf.DUMMYFUNCTION("""COMPUTED_VALUE"""),115.68)</f>
        <v>115.68</v>
      </c>
      <c r="D668" s="1">
        <f ca="1">IFERROR(__xludf.DUMMYFUNCTION("""COMPUTED_VALUE"""),110.26)</f>
        <v>110.26</v>
      </c>
      <c r="E668" s="1">
        <f ca="1">IFERROR(__xludf.DUMMYFUNCTION("""COMPUTED_VALUE"""),111.56)</f>
        <v>111.56</v>
      </c>
      <c r="F668" s="1">
        <f ca="1">IFERROR(__xludf.DUMMYFUNCTION("""COMPUTED_VALUE"""),7769874)</f>
        <v>7769874</v>
      </c>
    </row>
    <row r="669" spans="1:6" ht="12.6">
      <c r="A669" s="2">
        <f ca="1">IFERROR(__xludf.DUMMYFUNCTION("""COMPUTED_VALUE"""),45533.6666666666)</f>
        <v>45533.666666666599</v>
      </c>
      <c r="B669" s="1">
        <f ca="1">IFERROR(__xludf.DUMMYFUNCTION("""COMPUTED_VALUE"""),112.45)</f>
        <v>112.45</v>
      </c>
      <c r="C669" s="1">
        <f ca="1">IFERROR(__xludf.DUMMYFUNCTION("""COMPUTED_VALUE"""),117.08)</f>
        <v>117.08</v>
      </c>
      <c r="D669" s="1">
        <f ca="1">IFERROR(__xludf.DUMMYFUNCTION("""COMPUTED_VALUE"""),112.45)</f>
        <v>112.45</v>
      </c>
      <c r="E669" s="1">
        <f ca="1">IFERROR(__xludf.DUMMYFUNCTION("""COMPUTED_VALUE"""),114.14)</f>
        <v>114.14</v>
      </c>
      <c r="F669" s="1">
        <f ca="1">IFERROR(__xludf.DUMMYFUNCTION("""COMPUTED_VALUE"""),6871398)</f>
        <v>6871398</v>
      </c>
    </row>
    <row r="670" spans="1:6" ht="12.6">
      <c r="A670" s="2">
        <f ca="1">IFERROR(__xludf.DUMMYFUNCTION("""COMPUTED_VALUE"""),45534.6666666666)</f>
        <v>45534.666666666599</v>
      </c>
      <c r="B670" s="1">
        <f ca="1">IFERROR(__xludf.DUMMYFUNCTION("""COMPUTED_VALUE"""),115.38)</f>
        <v>115.38</v>
      </c>
      <c r="C670" s="1">
        <f ca="1">IFERROR(__xludf.DUMMYFUNCTION("""COMPUTED_VALUE"""),115.92)</f>
        <v>115.92</v>
      </c>
      <c r="D670" s="1">
        <f ca="1">IFERROR(__xludf.DUMMYFUNCTION("""COMPUTED_VALUE"""),112.53)</f>
        <v>112.53</v>
      </c>
      <c r="E670" s="1">
        <f ca="1">IFERROR(__xludf.DUMMYFUNCTION("""COMPUTED_VALUE"""),114.23)</f>
        <v>114.23</v>
      </c>
      <c r="F670" s="1">
        <f ca="1">IFERROR(__xludf.DUMMYFUNCTION("""COMPUTED_VALUE"""),5217236)</f>
        <v>5217236</v>
      </c>
    </row>
    <row r="671" spans="1:6" ht="12.6">
      <c r="A671" s="2">
        <f ca="1">IFERROR(__xludf.DUMMYFUNCTION("""COMPUTED_VALUE"""),45538.6666666666)</f>
        <v>45538.666666666599</v>
      </c>
      <c r="B671" s="1">
        <f ca="1">IFERROR(__xludf.DUMMYFUNCTION("""COMPUTED_VALUE"""),113.06)</f>
        <v>113.06</v>
      </c>
      <c r="C671" s="1">
        <f ca="1">IFERROR(__xludf.DUMMYFUNCTION("""COMPUTED_VALUE"""),114.73)</f>
        <v>114.73</v>
      </c>
      <c r="D671" s="1">
        <f ca="1">IFERROR(__xludf.DUMMYFUNCTION("""COMPUTED_VALUE"""),109.37)</f>
        <v>109.37</v>
      </c>
      <c r="E671" s="1">
        <f ca="1">IFERROR(__xludf.DUMMYFUNCTION("""COMPUTED_VALUE"""),110.41)</f>
        <v>110.41</v>
      </c>
      <c r="F671" s="1">
        <f ca="1">IFERROR(__xludf.DUMMYFUNCTION("""COMPUTED_VALUE"""),6277547)</f>
        <v>6277547</v>
      </c>
    </row>
    <row r="672" spans="1:6" ht="12.6">
      <c r="A672" s="2">
        <f ca="1">IFERROR(__xludf.DUMMYFUNCTION("""COMPUTED_VALUE"""),45539.6666666666)</f>
        <v>45539.666666666599</v>
      </c>
      <c r="B672" s="1">
        <f ca="1">IFERROR(__xludf.DUMMYFUNCTION("""COMPUTED_VALUE"""),110)</f>
        <v>110</v>
      </c>
      <c r="C672" s="1">
        <f ca="1">IFERROR(__xludf.DUMMYFUNCTION("""COMPUTED_VALUE"""),112.87)</f>
        <v>112.87</v>
      </c>
      <c r="D672" s="1">
        <f ca="1">IFERROR(__xludf.DUMMYFUNCTION("""COMPUTED_VALUE"""),109.4)</f>
        <v>109.4</v>
      </c>
      <c r="E672" s="1">
        <f ca="1">IFERROR(__xludf.DUMMYFUNCTION("""COMPUTED_VALUE"""),110.8)</f>
        <v>110.8</v>
      </c>
      <c r="F672" s="1">
        <f ca="1">IFERROR(__xludf.DUMMYFUNCTION("""COMPUTED_VALUE"""),3727650)</f>
        <v>3727650</v>
      </c>
    </row>
    <row r="673" spans="1:6" ht="12.6">
      <c r="A673" s="2">
        <f ca="1">IFERROR(__xludf.DUMMYFUNCTION("""COMPUTED_VALUE"""),45540.6666666666)</f>
        <v>45540.666666666599</v>
      </c>
      <c r="B673" s="1">
        <f ca="1">IFERROR(__xludf.DUMMYFUNCTION("""COMPUTED_VALUE"""),110.04)</f>
        <v>110.04</v>
      </c>
      <c r="C673" s="1">
        <f ca="1">IFERROR(__xludf.DUMMYFUNCTION("""COMPUTED_VALUE"""),113.79)</f>
        <v>113.79</v>
      </c>
      <c r="D673" s="1">
        <f ca="1">IFERROR(__xludf.DUMMYFUNCTION("""COMPUTED_VALUE"""),110)</f>
        <v>110</v>
      </c>
      <c r="E673" s="1">
        <f ca="1">IFERROR(__xludf.DUMMYFUNCTION("""COMPUTED_VALUE"""),111.75)</f>
        <v>111.75</v>
      </c>
      <c r="F673" s="1">
        <f ca="1">IFERROR(__xludf.DUMMYFUNCTION("""COMPUTED_VALUE"""),3891499)</f>
        <v>3891499</v>
      </c>
    </row>
    <row r="674" spans="1:6" ht="12.6">
      <c r="A674" s="2">
        <f ca="1">IFERROR(__xludf.DUMMYFUNCTION("""COMPUTED_VALUE"""),45541.6666666666)</f>
        <v>45541.666666666599</v>
      </c>
      <c r="B674" s="1">
        <f ca="1">IFERROR(__xludf.DUMMYFUNCTION("""COMPUTED_VALUE"""),112.28)</f>
        <v>112.28</v>
      </c>
      <c r="C674" s="1">
        <f ca="1">IFERROR(__xludf.DUMMYFUNCTION("""COMPUTED_VALUE"""),112.66)</f>
        <v>112.66</v>
      </c>
      <c r="D674" s="1">
        <f ca="1">IFERROR(__xludf.DUMMYFUNCTION("""COMPUTED_VALUE"""),107.13)</f>
        <v>107.13</v>
      </c>
      <c r="E674" s="1">
        <f ca="1">IFERROR(__xludf.DUMMYFUNCTION("""COMPUTED_VALUE"""),108.56)</f>
        <v>108.56</v>
      </c>
      <c r="F674" s="1">
        <f ca="1">IFERROR(__xludf.DUMMYFUNCTION("""COMPUTED_VALUE"""),5651714)</f>
        <v>5651714</v>
      </c>
    </row>
    <row r="675" spans="1:6" ht="12.6">
      <c r="A675" s="2">
        <f ca="1">IFERROR(__xludf.DUMMYFUNCTION("""COMPUTED_VALUE"""),45544.6666666666)</f>
        <v>45544.666666666599</v>
      </c>
      <c r="B675" s="1">
        <f ca="1">IFERROR(__xludf.DUMMYFUNCTION("""COMPUTED_VALUE"""),109.32)</f>
        <v>109.32</v>
      </c>
      <c r="C675" s="1">
        <f ca="1">IFERROR(__xludf.DUMMYFUNCTION("""COMPUTED_VALUE"""),111.49)</f>
        <v>111.49</v>
      </c>
      <c r="D675" s="1">
        <f ca="1">IFERROR(__xludf.DUMMYFUNCTION("""COMPUTED_VALUE"""),108.64)</f>
        <v>108.64</v>
      </c>
      <c r="E675" s="1">
        <f ca="1">IFERROR(__xludf.DUMMYFUNCTION("""COMPUTED_VALUE"""),109.96)</f>
        <v>109.96</v>
      </c>
      <c r="F675" s="1">
        <f ca="1">IFERROR(__xludf.DUMMYFUNCTION("""COMPUTED_VALUE"""),3674555)</f>
        <v>3674555</v>
      </c>
    </row>
    <row r="676" spans="1:6" ht="12.6">
      <c r="A676" s="2">
        <f ca="1">IFERROR(__xludf.DUMMYFUNCTION("""COMPUTED_VALUE"""),45545.6666666666)</f>
        <v>45545.666666666599</v>
      </c>
      <c r="B676" s="1">
        <f ca="1">IFERROR(__xludf.DUMMYFUNCTION("""COMPUTED_VALUE"""),109.96)</f>
        <v>109.96</v>
      </c>
      <c r="C676" s="1">
        <f ca="1">IFERROR(__xludf.DUMMYFUNCTION("""COMPUTED_VALUE"""),110.76)</f>
        <v>110.76</v>
      </c>
      <c r="D676" s="1">
        <f ca="1">IFERROR(__xludf.DUMMYFUNCTION("""COMPUTED_VALUE"""),108.13)</f>
        <v>108.13</v>
      </c>
      <c r="E676" s="1">
        <f ca="1">IFERROR(__xludf.DUMMYFUNCTION("""COMPUTED_VALUE"""),110.27)</f>
        <v>110.27</v>
      </c>
      <c r="F676" s="1">
        <f ca="1">IFERROR(__xludf.DUMMYFUNCTION("""COMPUTED_VALUE"""),3380125)</f>
        <v>3380125</v>
      </c>
    </row>
    <row r="677" spans="1:6" ht="12.6">
      <c r="A677" s="2">
        <f ca="1">IFERROR(__xludf.DUMMYFUNCTION("""COMPUTED_VALUE"""),45546.6666666666)</f>
        <v>45546.666666666599</v>
      </c>
      <c r="B677" s="1">
        <f ca="1">IFERROR(__xludf.DUMMYFUNCTION("""COMPUTED_VALUE"""),110.27)</f>
        <v>110.27</v>
      </c>
      <c r="C677" s="1">
        <f ca="1">IFERROR(__xludf.DUMMYFUNCTION("""COMPUTED_VALUE"""),112.31)</f>
        <v>112.31</v>
      </c>
      <c r="D677" s="1">
        <f ca="1">IFERROR(__xludf.DUMMYFUNCTION("""COMPUTED_VALUE"""),108.86)</f>
        <v>108.86</v>
      </c>
      <c r="E677" s="1">
        <f ca="1">IFERROR(__xludf.DUMMYFUNCTION("""COMPUTED_VALUE"""),112)</f>
        <v>112</v>
      </c>
      <c r="F677" s="1">
        <f ca="1">IFERROR(__xludf.DUMMYFUNCTION("""COMPUTED_VALUE"""),4000917)</f>
        <v>4000917</v>
      </c>
    </row>
    <row r="678" spans="1:6" ht="12.6">
      <c r="A678" s="2">
        <f ca="1">IFERROR(__xludf.DUMMYFUNCTION("""COMPUTED_VALUE"""),45547.6666666666)</f>
        <v>45547.666666666599</v>
      </c>
      <c r="B678" s="1">
        <f ca="1">IFERROR(__xludf.DUMMYFUNCTION("""COMPUTED_VALUE"""),112.6)</f>
        <v>112.6</v>
      </c>
      <c r="C678" s="1">
        <f ca="1">IFERROR(__xludf.DUMMYFUNCTION("""COMPUTED_VALUE"""),114.73)</f>
        <v>114.73</v>
      </c>
      <c r="D678" s="1">
        <f ca="1">IFERROR(__xludf.DUMMYFUNCTION("""COMPUTED_VALUE"""),111.35)</f>
        <v>111.35</v>
      </c>
      <c r="E678" s="1">
        <f ca="1">IFERROR(__xludf.DUMMYFUNCTION("""COMPUTED_VALUE"""),112.99)</f>
        <v>112.99</v>
      </c>
      <c r="F678" s="1">
        <f ca="1">IFERROR(__xludf.DUMMYFUNCTION("""COMPUTED_VALUE"""),4706131)</f>
        <v>4706131</v>
      </c>
    </row>
    <row r="679" spans="1:6" ht="12.6">
      <c r="A679" s="2">
        <f ca="1">IFERROR(__xludf.DUMMYFUNCTION("""COMPUTED_VALUE"""),45548.6666666666)</f>
        <v>45548.666666666599</v>
      </c>
      <c r="B679" s="1">
        <f ca="1">IFERROR(__xludf.DUMMYFUNCTION("""COMPUTED_VALUE"""),113.25)</f>
        <v>113.25</v>
      </c>
      <c r="C679" s="1">
        <f ca="1">IFERROR(__xludf.DUMMYFUNCTION("""COMPUTED_VALUE"""),115.04)</f>
        <v>115.04</v>
      </c>
      <c r="D679" s="1">
        <f ca="1">IFERROR(__xludf.DUMMYFUNCTION("""COMPUTED_VALUE"""),112.9)</f>
        <v>112.9</v>
      </c>
      <c r="E679" s="1">
        <f ca="1">IFERROR(__xludf.DUMMYFUNCTION("""COMPUTED_VALUE"""),113.67)</f>
        <v>113.67</v>
      </c>
      <c r="F679" s="1">
        <f ca="1">IFERROR(__xludf.DUMMYFUNCTION("""COMPUTED_VALUE"""),3235558)</f>
        <v>3235558</v>
      </c>
    </row>
    <row r="680" spans="1:6" ht="12.6">
      <c r="A680" s="2">
        <f ca="1">IFERROR(__xludf.DUMMYFUNCTION("""COMPUTED_VALUE"""),45551.6666666666)</f>
        <v>45551.666666666599</v>
      </c>
      <c r="B680" s="1">
        <f ca="1">IFERROR(__xludf.DUMMYFUNCTION("""COMPUTED_VALUE"""),112.36)</f>
        <v>112.36</v>
      </c>
      <c r="C680" s="1">
        <f ca="1">IFERROR(__xludf.DUMMYFUNCTION("""COMPUTED_VALUE"""),113.84)</f>
        <v>113.84</v>
      </c>
      <c r="D680" s="1">
        <f ca="1">IFERROR(__xludf.DUMMYFUNCTION("""COMPUTED_VALUE"""),111.21)</f>
        <v>111.21</v>
      </c>
      <c r="E680" s="1">
        <f ca="1">IFERROR(__xludf.DUMMYFUNCTION("""COMPUTED_VALUE"""),112.84)</f>
        <v>112.84</v>
      </c>
      <c r="F680" s="1">
        <f ca="1">IFERROR(__xludf.DUMMYFUNCTION("""COMPUTED_VALUE"""),5435254)</f>
        <v>5435254</v>
      </c>
    </row>
    <row r="681" spans="1:6" ht="12.6">
      <c r="A681" s="2">
        <f ca="1">IFERROR(__xludf.DUMMYFUNCTION("""COMPUTED_VALUE"""),45552.6666666666)</f>
        <v>45552.666666666599</v>
      </c>
      <c r="B681" s="1">
        <f ca="1">IFERROR(__xludf.DUMMYFUNCTION("""COMPUTED_VALUE"""),114.08)</f>
        <v>114.08</v>
      </c>
      <c r="C681" s="1">
        <f ca="1">IFERROR(__xludf.DUMMYFUNCTION("""COMPUTED_VALUE"""),114.39)</f>
        <v>114.39</v>
      </c>
      <c r="D681" s="1">
        <f ca="1">IFERROR(__xludf.DUMMYFUNCTION("""COMPUTED_VALUE"""),111.28)</f>
        <v>111.28</v>
      </c>
      <c r="E681" s="1">
        <f ca="1">IFERROR(__xludf.DUMMYFUNCTION("""COMPUTED_VALUE"""),111.63)</f>
        <v>111.63</v>
      </c>
      <c r="F681" s="1">
        <f ca="1">IFERROR(__xludf.DUMMYFUNCTION("""COMPUTED_VALUE"""),4539470)</f>
        <v>4539470</v>
      </c>
    </row>
    <row r="682" spans="1:6" ht="12.6">
      <c r="A682" s="2">
        <f ca="1">IFERROR(__xludf.DUMMYFUNCTION("""COMPUTED_VALUE"""),45553.6666666666)</f>
        <v>45553.666666666599</v>
      </c>
      <c r="B682" s="1">
        <f ca="1">IFERROR(__xludf.DUMMYFUNCTION("""COMPUTED_VALUE"""),111.53)</f>
        <v>111.53</v>
      </c>
      <c r="C682" s="1">
        <f ca="1">IFERROR(__xludf.DUMMYFUNCTION("""COMPUTED_VALUE"""),112.61)</f>
        <v>112.61</v>
      </c>
      <c r="D682" s="1">
        <f ca="1">IFERROR(__xludf.DUMMYFUNCTION("""COMPUTED_VALUE"""),110.13)</f>
        <v>110.13</v>
      </c>
      <c r="E682" s="1">
        <f ca="1">IFERROR(__xludf.DUMMYFUNCTION("""COMPUTED_VALUE"""),110.78)</f>
        <v>110.78</v>
      </c>
      <c r="F682" s="1">
        <f ca="1">IFERROR(__xludf.DUMMYFUNCTION("""COMPUTED_VALUE"""),6484140)</f>
        <v>6484140</v>
      </c>
    </row>
    <row r="683" spans="1:6" ht="12.6">
      <c r="A683" s="2">
        <f ca="1">IFERROR(__xludf.DUMMYFUNCTION("""COMPUTED_VALUE"""),45554.6666666666)</f>
        <v>45554.666666666599</v>
      </c>
      <c r="B683" s="1">
        <f ca="1">IFERROR(__xludf.DUMMYFUNCTION("""COMPUTED_VALUE"""),112.91)</f>
        <v>112.91</v>
      </c>
      <c r="C683" s="1">
        <f ca="1">IFERROR(__xludf.DUMMYFUNCTION("""COMPUTED_VALUE"""),115.01)</f>
        <v>115.01</v>
      </c>
      <c r="D683" s="1">
        <f ca="1">IFERROR(__xludf.DUMMYFUNCTION("""COMPUTED_VALUE"""),111.66)</f>
        <v>111.66</v>
      </c>
      <c r="E683" s="1">
        <f ca="1">IFERROR(__xludf.DUMMYFUNCTION("""COMPUTED_VALUE"""),114.02)</f>
        <v>114.02</v>
      </c>
      <c r="F683" s="1">
        <f ca="1">IFERROR(__xludf.DUMMYFUNCTION("""COMPUTED_VALUE"""),8518077)</f>
        <v>8518077</v>
      </c>
    </row>
    <row r="684" spans="1:6" ht="12.6">
      <c r="A684" s="2">
        <f ca="1">IFERROR(__xludf.DUMMYFUNCTION("""COMPUTED_VALUE"""),45555.6666666666)</f>
        <v>45555.666666666599</v>
      </c>
      <c r="B684" s="1">
        <f ca="1">IFERROR(__xludf.DUMMYFUNCTION("""COMPUTED_VALUE"""),113.28)</f>
        <v>113.28</v>
      </c>
      <c r="C684" s="1">
        <f ca="1">IFERROR(__xludf.DUMMYFUNCTION("""COMPUTED_VALUE"""),113.59)</f>
        <v>113.59</v>
      </c>
      <c r="D684" s="1">
        <f ca="1">IFERROR(__xludf.DUMMYFUNCTION("""COMPUTED_VALUE"""),109.34)</f>
        <v>109.34</v>
      </c>
      <c r="E684" s="1">
        <f ca="1">IFERROR(__xludf.DUMMYFUNCTION("""COMPUTED_VALUE"""),110.27)</f>
        <v>110.27</v>
      </c>
      <c r="F684" s="1">
        <f ca="1">IFERROR(__xludf.DUMMYFUNCTION("""COMPUTED_VALUE"""),20222034)</f>
        <v>20222034</v>
      </c>
    </row>
    <row r="685" spans="1:6" ht="12.6">
      <c r="A685" s="2">
        <f ca="1">IFERROR(__xludf.DUMMYFUNCTION("""COMPUTED_VALUE"""),45558.6666666666)</f>
        <v>45558.666666666599</v>
      </c>
      <c r="B685" s="1">
        <f ca="1">IFERROR(__xludf.DUMMYFUNCTION("""COMPUTED_VALUE"""),111.41)</f>
        <v>111.41</v>
      </c>
      <c r="C685" s="1">
        <f ca="1">IFERROR(__xludf.DUMMYFUNCTION("""COMPUTED_VALUE"""),113.94)</f>
        <v>113.94</v>
      </c>
      <c r="D685" s="1">
        <f ca="1">IFERROR(__xludf.DUMMYFUNCTION("""COMPUTED_VALUE"""),109.91)</f>
        <v>109.91</v>
      </c>
      <c r="E685" s="1">
        <f ca="1">IFERROR(__xludf.DUMMYFUNCTION("""COMPUTED_VALUE"""),113.26)</f>
        <v>113.26</v>
      </c>
      <c r="F685" s="1">
        <f ca="1">IFERROR(__xludf.DUMMYFUNCTION("""COMPUTED_VALUE"""),8335834)</f>
        <v>8335834</v>
      </c>
    </row>
    <row r="686" spans="1:6" ht="12.6">
      <c r="A686" s="2">
        <f ca="1">IFERROR(__xludf.DUMMYFUNCTION("""COMPUTED_VALUE"""),45559.6666666666)</f>
        <v>45559.666666666599</v>
      </c>
      <c r="B686" s="1">
        <f ca="1">IFERROR(__xludf.DUMMYFUNCTION("""COMPUTED_VALUE"""),112.15)</f>
        <v>112.15</v>
      </c>
      <c r="C686" s="1">
        <f ca="1">IFERROR(__xludf.DUMMYFUNCTION("""COMPUTED_VALUE"""),112.94)</f>
        <v>112.94</v>
      </c>
      <c r="D686" s="1">
        <f ca="1">IFERROR(__xludf.DUMMYFUNCTION("""COMPUTED_VALUE"""),109.89)</f>
        <v>109.89</v>
      </c>
      <c r="E686" s="1">
        <f ca="1">IFERROR(__xludf.DUMMYFUNCTION("""COMPUTED_VALUE"""),112.5)</f>
        <v>112.5</v>
      </c>
      <c r="F686" s="1">
        <f ca="1">IFERROR(__xludf.DUMMYFUNCTION("""COMPUTED_VALUE"""),9271885)</f>
        <v>9271885</v>
      </c>
    </row>
    <row r="687" spans="1:6" ht="12.6">
      <c r="A687" s="2">
        <f ca="1">IFERROR(__xludf.DUMMYFUNCTION("""COMPUTED_VALUE"""),45560.6666666666)</f>
        <v>45560.666666666599</v>
      </c>
      <c r="B687" s="1">
        <f ca="1">IFERROR(__xludf.DUMMYFUNCTION("""COMPUTED_VALUE"""),114.97)</f>
        <v>114.97</v>
      </c>
      <c r="C687" s="1">
        <f ca="1">IFERROR(__xludf.DUMMYFUNCTION("""COMPUTED_VALUE"""),116.62)</f>
        <v>116.62</v>
      </c>
      <c r="D687" s="1">
        <f ca="1">IFERROR(__xludf.DUMMYFUNCTION("""COMPUTED_VALUE"""),112.56)</f>
        <v>112.56</v>
      </c>
      <c r="E687" s="1">
        <f ca="1">IFERROR(__xludf.DUMMYFUNCTION("""COMPUTED_VALUE"""),112.62)</f>
        <v>112.62</v>
      </c>
      <c r="F687" s="1">
        <f ca="1">IFERROR(__xludf.DUMMYFUNCTION("""COMPUTED_VALUE"""),18611867)</f>
        <v>18611867</v>
      </c>
    </row>
    <row r="688" spans="1:6" ht="12.6">
      <c r="A688" s="2">
        <f ca="1">IFERROR(__xludf.DUMMYFUNCTION("""COMPUTED_VALUE"""),45561.6666666666)</f>
        <v>45561.666666666599</v>
      </c>
      <c r="B688" s="1">
        <f ca="1">IFERROR(__xludf.DUMMYFUNCTION("""COMPUTED_VALUE"""),114.88)</f>
        <v>114.88</v>
      </c>
      <c r="C688" s="1">
        <f ca="1">IFERROR(__xludf.DUMMYFUNCTION("""COMPUTED_VALUE"""),115.28)</f>
        <v>115.28</v>
      </c>
      <c r="D688" s="1">
        <f ca="1">IFERROR(__xludf.DUMMYFUNCTION("""COMPUTED_VALUE"""),110.01)</f>
        <v>110.01</v>
      </c>
      <c r="E688" s="1">
        <f ca="1">IFERROR(__xludf.DUMMYFUNCTION("""COMPUTED_VALUE"""),112.49)</f>
        <v>112.49</v>
      </c>
      <c r="F688" s="1">
        <f ca="1">IFERROR(__xludf.DUMMYFUNCTION("""COMPUTED_VALUE"""),8431145)</f>
        <v>8431145</v>
      </c>
    </row>
    <row r="689" spans="1:6" ht="12.6">
      <c r="A689" s="2">
        <f ca="1">IFERROR(__xludf.DUMMYFUNCTION("""COMPUTED_VALUE"""),45562.6666666666)</f>
        <v>45562.666666666599</v>
      </c>
      <c r="B689" s="1">
        <f ca="1">IFERROR(__xludf.DUMMYFUNCTION("""COMPUTED_VALUE"""),113.93)</f>
        <v>113.93</v>
      </c>
      <c r="C689" s="1">
        <f ca="1">IFERROR(__xludf.DUMMYFUNCTION("""COMPUTED_VALUE"""),115.39)</f>
        <v>115.39</v>
      </c>
      <c r="D689" s="1">
        <f ca="1">IFERROR(__xludf.DUMMYFUNCTION("""COMPUTED_VALUE"""),113.21)</f>
        <v>113.21</v>
      </c>
      <c r="E689" s="1">
        <f ca="1">IFERROR(__xludf.DUMMYFUNCTION("""COMPUTED_VALUE"""),113.92)</f>
        <v>113.92</v>
      </c>
      <c r="F689" s="1">
        <f ca="1">IFERROR(__xludf.DUMMYFUNCTION("""COMPUTED_VALUE"""),7123315)</f>
        <v>7123315</v>
      </c>
    </row>
    <row r="690" spans="1:6" ht="12.6">
      <c r="A690" s="2">
        <f ca="1">IFERROR(__xludf.DUMMYFUNCTION("""COMPUTED_VALUE"""),45565.6666666666)</f>
        <v>45565.666666666599</v>
      </c>
      <c r="B690" s="1">
        <f ca="1">IFERROR(__xludf.DUMMYFUNCTION("""COMPUTED_VALUE"""),113.3)</f>
        <v>113.3</v>
      </c>
      <c r="C690" s="1">
        <f ca="1">IFERROR(__xludf.DUMMYFUNCTION("""COMPUTED_VALUE"""),116.08)</f>
        <v>116.08</v>
      </c>
      <c r="D690" s="1">
        <f ca="1">IFERROR(__xludf.DUMMYFUNCTION("""COMPUTED_VALUE"""),112.9)</f>
        <v>112.9</v>
      </c>
      <c r="E690" s="1">
        <f ca="1">IFERROR(__xludf.DUMMYFUNCTION("""COMPUTED_VALUE"""),114.86)</f>
        <v>114.86</v>
      </c>
      <c r="F690" s="1">
        <f ca="1">IFERROR(__xludf.DUMMYFUNCTION("""COMPUTED_VALUE"""),7936351)</f>
        <v>7936351</v>
      </c>
    </row>
    <row r="691" spans="1:6" ht="12.6">
      <c r="A691" s="2">
        <f ca="1">IFERROR(__xludf.DUMMYFUNCTION("""COMPUTED_VALUE"""),45566.6666666666)</f>
        <v>45566.666666666599</v>
      </c>
      <c r="B691" s="1">
        <f ca="1">IFERROR(__xludf.DUMMYFUNCTION("""COMPUTED_VALUE"""),113.76)</f>
        <v>113.76</v>
      </c>
      <c r="C691" s="1">
        <f ca="1">IFERROR(__xludf.DUMMYFUNCTION("""COMPUTED_VALUE"""),114.71)</f>
        <v>114.71</v>
      </c>
      <c r="D691" s="1">
        <f ca="1">IFERROR(__xludf.DUMMYFUNCTION("""COMPUTED_VALUE"""),109.71)</f>
        <v>109.71</v>
      </c>
      <c r="E691" s="1">
        <f ca="1">IFERROR(__xludf.DUMMYFUNCTION("""COMPUTED_VALUE"""),110.23)</f>
        <v>110.23</v>
      </c>
      <c r="F691" s="1">
        <f ca="1">IFERROR(__xludf.DUMMYFUNCTION("""COMPUTED_VALUE"""),7087817)</f>
        <v>7087817</v>
      </c>
    </row>
    <row r="692" spans="1:6" ht="12.6">
      <c r="A692" s="2">
        <f ca="1">IFERROR(__xludf.DUMMYFUNCTION("""COMPUTED_VALUE"""),45567.6666666666)</f>
        <v>45567.666666666599</v>
      </c>
      <c r="B692" s="1">
        <f ca="1">IFERROR(__xludf.DUMMYFUNCTION("""COMPUTED_VALUE"""),109.96)</f>
        <v>109.96</v>
      </c>
      <c r="C692" s="1">
        <f ca="1">IFERROR(__xludf.DUMMYFUNCTION("""COMPUTED_VALUE"""),111.38)</f>
        <v>111.38</v>
      </c>
      <c r="D692" s="1">
        <f ca="1">IFERROR(__xludf.DUMMYFUNCTION("""COMPUTED_VALUE"""),109.16)</f>
        <v>109.16</v>
      </c>
      <c r="E692" s="1">
        <f ca="1">IFERROR(__xludf.DUMMYFUNCTION("""COMPUTED_VALUE"""),109.65)</f>
        <v>109.65</v>
      </c>
      <c r="F692" s="1">
        <f ca="1">IFERROR(__xludf.DUMMYFUNCTION("""COMPUTED_VALUE"""),5396703)</f>
        <v>5396703</v>
      </c>
    </row>
    <row r="693" spans="1:6" ht="12.6">
      <c r="A693" s="2">
        <f ca="1">IFERROR(__xludf.DUMMYFUNCTION("""COMPUTED_VALUE"""),45568.6666666666)</f>
        <v>45568.666666666599</v>
      </c>
      <c r="B693" s="1">
        <f ca="1">IFERROR(__xludf.DUMMYFUNCTION("""COMPUTED_VALUE"""),109)</f>
        <v>109</v>
      </c>
      <c r="C693" s="1">
        <f ca="1">IFERROR(__xludf.DUMMYFUNCTION("""COMPUTED_VALUE"""),110.81)</f>
        <v>110.81</v>
      </c>
      <c r="D693" s="1">
        <f ca="1">IFERROR(__xludf.DUMMYFUNCTION("""COMPUTED_VALUE"""),108.71)</f>
        <v>108.71</v>
      </c>
      <c r="E693" s="1">
        <f ca="1">IFERROR(__xludf.DUMMYFUNCTION("""COMPUTED_VALUE"""),110.47)</f>
        <v>110.47</v>
      </c>
      <c r="F693" s="1">
        <f ca="1">IFERROR(__xludf.DUMMYFUNCTION("""COMPUTED_VALUE"""),4122448)</f>
        <v>4122448</v>
      </c>
    </row>
    <row r="694" spans="1:6" ht="12.6">
      <c r="A694" s="2">
        <f ca="1">IFERROR(__xludf.DUMMYFUNCTION("""COMPUTED_VALUE"""),45569.6666666666)</f>
        <v>45569.666666666599</v>
      </c>
      <c r="B694" s="1">
        <f ca="1">IFERROR(__xludf.DUMMYFUNCTION("""COMPUTED_VALUE"""),112.01)</f>
        <v>112.01</v>
      </c>
      <c r="C694" s="1">
        <f ca="1">IFERROR(__xludf.DUMMYFUNCTION("""COMPUTED_VALUE"""),115.69)</f>
        <v>115.69</v>
      </c>
      <c r="D694" s="1">
        <f ca="1">IFERROR(__xludf.DUMMYFUNCTION("""COMPUTED_VALUE"""),111.15)</f>
        <v>111.15</v>
      </c>
      <c r="E694" s="1">
        <f ca="1">IFERROR(__xludf.DUMMYFUNCTION("""COMPUTED_VALUE"""),114.72)</f>
        <v>114.72</v>
      </c>
      <c r="F694" s="1">
        <f ca="1">IFERROR(__xludf.DUMMYFUNCTION("""COMPUTED_VALUE"""),6289612)</f>
        <v>6289612</v>
      </c>
    </row>
    <row r="695" spans="1:6" ht="12.6">
      <c r="A695" s="2">
        <f ca="1">IFERROR(__xludf.DUMMYFUNCTION("""COMPUTED_VALUE"""),45572.6666666666)</f>
        <v>45572.666666666599</v>
      </c>
      <c r="B695" s="1">
        <f ca="1">IFERROR(__xludf.DUMMYFUNCTION("""COMPUTED_VALUE"""),114.42)</f>
        <v>114.42</v>
      </c>
      <c r="C695" s="1">
        <f ca="1">IFERROR(__xludf.DUMMYFUNCTION("""COMPUTED_VALUE"""),115.21)</f>
        <v>115.21</v>
      </c>
      <c r="D695" s="1">
        <f ca="1">IFERROR(__xludf.DUMMYFUNCTION("""COMPUTED_VALUE"""),113.06)</f>
        <v>113.06</v>
      </c>
      <c r="E695" s="1">
        <f ca="1">IFERROR(__xludf.DUMMYFUNCTION("""COMPUTED_VALUE"""),113.82)</f>
        <v>113.82</v>
      </c>
      <c r="F695" s="1">
        <f ca="1">IFERROR(__xludf.DUMMYFUNCTION("""COMPUTED_VALUE"""),4186437)</f>
        <v>4186437</v>
      </c>
    </row>
    <row r="696" spans="1:6" ht="12.6">
      <c r="A696" s="2">
        <f ca="1">IFERROR(__xludf.DUMMYFUNCTION("""COMPUTED_VALUE"""),45573.6666666666)</f>
        <v>45573.666666666599</v>
      </c>
      <c r="B696" s="1">
        <f ca="1">IFERROR(__xludf.DUMMYFUNCTION("""COMPUTED_VALUE"""),113.77)</f>
        <v>113.77</v>
      </c>
      <c r="C696" s="1">
        <f ca="1">IFERROR(__xludf.DUMMYFUNCTION("""COMPUTED_VALUE"""),115.02)</f>
        <v>115.02</v>
      </c>
      <c r="D696" s="1">
        <f ca="1">IFERROR(__xludf.DUMMYFUNCTION("""COMPUTED_VALUE"""),113.13)</f>
        <v>113.13</v>
      </c>
      <c r="E696" s="1">
        <f ca="1">IFERROR(__xludf.DUMMYFUNCTION("""COMPUTED_VALUE"""),113.52)</f>
        <v>113.52</v>
      </c>
      <c r="F696" s="1">
        <f ca="1">IFERROR(__xludf.DUMMYFUNCTION("""COMPUTED_VALUE"""),3289937)</f>
        <v>3289937</v>
      </c>
    </row>
    <row r="697" spans="1:6" ht="12.6">
      <c r="A697" s="2">
        <f ca="1">IFERROR(__xludf.DUMMYFUNCTION("""COMPUTED_VALUE"""),45574.6666666666)</f>
        <v>45574.666666666599</v>
      </c>
      <c r="B697" s="1">
        <f ca="1">IFERROR(__xludf.DUMMYFUNCTION("""COMPUTED_VALUE"""),114.32)</f>
        <v>114.32</v>
      </c>
      <c r="C697" s="1">
        <f ca="1">IFERROR(__xludf.DUMMYFUNCTION("""COMPUTED_VALUE"""),119.86)</f>
        <v>119.86</v>
      </c>
      <c r="D697" s="1">
        <f ca="1">IFERROR(__xludf.DUMMYFUNCTION("""COMPUTED_VALUE"""),113.85)</f>
        <v>113.85</v>
      </c>
      <c r="E697" s="1">
        <f ca="1">IFERROR(__xludf.DUMMYFUNCTION("""COMPUTED_VALUE"""),119.67)</f>
        <v>119.67</v>
      </c>
      <c r="F697" s="1">
        <f ca="1">IFERROR(__xludf.DUMMYFUNCTION("""COMPUTED_VALUE"""),8812299)</f>
        <v>8812299</v>
      </c>
    </row>
    <row r="698" spans="1:6" ht="12.6">
      <c r="A698" s="2">
        <f ca="1">IFERROR(__xludf.DUMMYFUNCTION("""COMPUTED_VALUE"""),45575.6666666666)</f>
        <v>45575.666666666599</v>
      </c>
      <c r="B698" s="1">
        <f ca="1">IFERROR(__xludf.DUMMYFUNCTION("""COMPUTED_VALUE"""),119.48)</f>
        <v>119.48</v>
      </c>
      <c r="C698" s="1">
        <f ca="1">IFERROR(__xludf.DUMMYFUNCTION("""COMPUTED_VALUE"""),123.87)</f>
        <v>123.87</v>
      </c>
      <c r="D698" s="1">
        <f ca="1">IFERROR(__xludf.DUMMYFUNCTION("""COMPUTED_VALUE"""),119.15)</f>
        <v>119.15</v>
      </c>
      <c r="E698" s="1">
        <f ca="1">IFERROR(__xludf.DUMMYFUNCTION("""COMPUTED_VALUE"""),123.79)</f>
        <v>123.79</v>
      </c>
      <c r="F698" s="1">
        <f ca="1">IFERROR(__xludf.DUMMYFUNCTION("""COMPUTED_VALUE"""),8831497)</f>
        <v>8831497</v>
      </c>
    </row>
    <row r="699" spans="1:6" ht="12.6">
      <c r="A699" s="2">
        <f ca="1">IFERROR(__xludf.DUMMYFUNCTION("""COMPUTED_VALUE"""),45576.6666666666)</f>
        <v>45576.666666666599</v>
      </c>
      <c r="B699" s="1">
        <f ca="1">IFERROR(__xludf.DUMMYFUNCTION("""COMPUTED_VALUE"""),123.57)</f>
        <v>123.57</v>
      </c>
      <c r="C699" s="1">
        <f ca="1">IFERROR(__xludf.DUMMYFUNCTION("""COMPUTED_VALUE"""),126.99)</f>
        <v>126.99</v>
      </c>
      <c r="D699" s="1">
        <f ca="1">IFERROR(__xludf.DUMMYFUNCTION("""COMPUTED_VALUE"""),122.89)</f>
        <v>122.89</v>
      </c>
      <c r="E699" s="1">
        <f ca="1">IFERROR(__xludf.DUMMYFUNCTION("""COMPUTED_VALUE"""),124.03)</f>
        <v>124.03</v>
      </c>
      <c r="F699" s="1">
        <f ca="1">IFERROR(__xludf.DUMMYFUNCTION("""COMPUTED_VALUE"""),6703174)</f>
        <v>6703174</v>
      </c>
    </row>
    <row r="700" spans="1:6" ht="12.6">
      <c r="A700" s="2">
        <f ca="1">IFERROR(__xludf.DUMMYFUNCTION("""COMPUTED_VALUE"""),45579.6666666666)</f>
        <v>45579.666666666599</v>
      </c>
      <c r="B700" s="1">
        <f ca="1">IFERROR(__xludf.DUMMYFUNCTION("""COMPUTED_VALUE"""),125.42)</f>
        <v>125.42</v>
      </c>
      <c r="C700" s="1">
        <f ca="1">IFERROR(__xludf.DUMMYFUNCTION("""COMPUTED_VALUE"""),126.5)</f>
        <v>126.5</v>
      </c>
      <c r="D700" s="1">
        <f ca="1">IFERROR(__xludf.DUMMYFUNCTION("""COMPUTED_VALUE"""),122.5)</f>
        <v>122.5</v>
      </c>
      <c r="E700" s="1">
        <f ca="1">IFERROR(__xludf.DUMMYFUNCTION("""COMPUTED_VALUE"""),123.16)</f>
        <v>123.16</v>
      </c>
      <c r="F700" s="1">
        <f ca="1">IFERROR(__xludf.DUMMYFUNCTION("""COMPUTED_VALUE"""),4002362)</f>
        <v>4002362</v>
      </c>
    </row>
    <row r="701" spans="1:6" ht="12.6">
      <c r="A701" s="2">
        <f ca="1">IFERROR(__xludf.DUMMYFUNCTION("""COMPUTED_VALUE"""),45580.6666666666)</f>
        <v>45580.666666666599</v>
      </c>
      <c r="B701" s="1">
        <f ca="1">IFERROR(__xludf.DUMMYFUNCTION("""COMPUTED_VALUE"""),122.5)</f>
        <v>122.5</v>
      </c>
      <c r="C701" s="1">
        <f ca="1">IFERROR(__xludf.DUMMYFUNCTION("""COMPUTED_VALUE"""),123.96)</f>
        <v>123.96</v>
      </c>
      <c r="D701" s="1">
        <f ca="1">IFERROR(__xludf.DUMMYFUNCTION("""COMPUTED_VALUE"""),121.33)</f>
        <v>121.33</v>
      </c>
      <c r="E701" s="1">
        <f ca="1">IFERROR(__xludf.DUMMYFUNCTION("""COMPUTED_VALUE"""),122.74)</f>
        <v>122.74</v>
      </c>
      <c r="F701" s="1">
        <f ca="1">IFERROR(__xludf.DUMMYFUNCTION("""COMPUTED_VALUE"""),3182623)</f>
        <v>3182623</v>
      </c>
    </row>
    <row r="702" spans="1:6" ht="12.6">
      <c r="A702" s="2">
        <f ca="1">IFERROR(__xludf.DUMMYFUNCTION("""COMPUTED_VALUE"""),45581.6666666666)</f>
        <v>45581.666666666599</v>
      </c>
      <c r="B702" s="1">
        <f ca="1">IFERROR(__xludf.DUMMYFUNCTION("""COMPUTED_VALUE"""),123.5)</f>
        <v>123.5</v>
      </c>
      <c r="C702" s="1">
        <f ca="1">IFERROR(__xludf.DUMMYFUNCTION("""COMPUTED_VALUE"""),123.5)</f>
        <v>123.5</v>
      </c>
      <c r="D702" s="1">
        <f ca="1">IFERROR(__xludf.DUMMYFUNCTION("""COMPUTED_VALUE"""),118.82)</f>
        <v>118.82</v>
      </c>
      <c r="E702" s="1">
        <f ca="1">IFERROR(__xludf.DUMMYFUNCTION("""COMPUTED_VALUE"""),118.9)</f>
        <v>118.9</v>
      </c>
      <c r="F702" s="1">
        <f ca="1">IFERROR(__xludf.DUMMYFUNCTION("""COMPUTED_VALUE"""),4359114)</f>
        <v>4359114</v>
      </c>
    </row>
    <row r="703" spans="1:6" ht="12.6">
      <c r="A703" s="2">
        <f ca="1">IFERROR(__xludf.DUMMYFUNCTION("""COMPUTED_VALUE"""),45582.6666666666)</f>
        <v>45582.666666666599</v>
      </c>
      <c r="B703" s="1">
        <f ca="1">IFERROR(__xludf.DUMMYFUNCTION("""COMPUTED_VALUE"""),119)</f>
        <v>119</v>
      </c>
      <c r="C703" s="1">
        <f ca="1">IFERROR(__xludf.DUMMYFUNCTION("""COMPUTED_VALUE"""),119.7)</f>
        <v>119.7</v>
      </c>
      <c r="D703" s="1">
        <f ca="1">IFERROR(__xludf.DUMMYFUNCTION("""COMPUTED_VALUE"""),117.3)</f>
        <v>117.3</v>
      </c>
      <c r="E703" s="1">
        <f ca="1">IFERROR(__xludf.DUMMYFUNCTION("""COMPUTED_VALUE"""),119.03)</f>
        <v>119.03</v>
      </c>
      <c r="F703" s="1">
        <f ca="1">IFERROR(__xludf.DUMMYFUNCTION("""COMPUTED_VALUE"""),4023528)</f>
        <v>4023528</v>
      </c>
    </row>
    <row r="704" spans="1:6" ht="12.6">
      <c r="A704" s="2">
        <f ca="1">IFERROR(__xludf.DUMMYFUNCTION("""COMPUTED_VALUE"""),45583.6666666666)</f>
        <v>45583.666666666599</v>
      </c>
      <c r="B704" s="1">
        <f ca="1">IFERROR(__xludf.DUMMYFUNCTION("""COMPUTED_VALUE"""),120)</f>
        <v>120</v>
      </c>
      <c r="C704" s="1">
        <f ca="1">IFERROR(__xludf.DUMMYFUNCTION("""COMPUTED_VALUE"""),120.56)</f>
        <v>120.56</v>
      </c>
      <c r="D704" s="1">
        <f ca="1">IFERROR(__xludf.DUMMYFUNCTION("""COMPUTED_VALUE"""),118.22)</f>
        <v>118.22</v>
      </c>
      <c r="E704" s="1">
        <f ca="1">IFERROR(__xludf.DUMMYFUNCTION("""COMPUTED_VALUE"""),119.54)</f>
        <v>119.54</v>
      </c>
      <c r="F704" s="1">
        <f ca="1">IFERROR(__xludf.DUMMYFUNCTION("""COMPUTED_VALUE"""),2751726)</f>
        <v>2751726</v>
      </c>
    </row>
    <row r="705" spans="1:6" ht="12.6">
      <c r="A705" s="2">
        <f ca="1">IFERROR(__xludf.DUMMYFUNCTION("""COMPUTED_VALUE"""),45586.6666666666)</f>
        <v>45586.666666666599</v>
      </c>
      <c r="B705" s="1">
        <f ca="1">IFERROR(__xludf.DUMMYFUNCTION("""COMPUTED_VALUE"""),119.29)</f>
        <v>119.29</v>
      </c>
      <c r="C705" s="1">
        <f ca="1">IFERROR(__xludf.DUMMYFUNCTION("""COMPUTED_VALUE"""),121.05)</f>
        <v>121.05</v>
      </c>
      <c r="D705" s="1">
        <f ca="1">IFERROR(__xludf.DUMMYFUNCTION("""COMPUTED_VALUE"""),117.73)</f>
        <v>117.73</v>
      </c>
      <c r="E705" s="1">
        <f ca="1">IFERROR(__xludf.DUMMYFUNCTION("""COMPUTED_VALUE"""),119.56)</f>
        <v>119.56</v>
      </c>
      <c r="F705" s="1">
        <f ca="1">IFERROR(__xludf.DUMMYFUNCTION("""COMPUTED_VALUE"""),2577079)</f>
        <v>2577079</v>
      </c>
    </row>
    <row r="706" spans="1:6" ht="12.6">
      <c r="A706" s="2">
        <f ca="1">IFERROR(__xludf.DUMMYFUNCTION("""COMPUTED_VALUE"""),45587.6666666666)</f>
        <v>45587.666666666599</v>
      </c>
      <c r="B706" s="1">
        <f ca="1">IFERROR(__xludf.DUMMYFUNCTION("""COMPUTED_VALUE"""),116.9)</f>
        <v>116.9</v>
      </c>
      <c r="C706" s="1">
        <f ca="1">IFERROR(__xludf.DUMMYFUNCTION("""COMPUTED_VALUE"""),117.58)</f>
        <v>117.58</v>
      </c>
      <c r="D706" s="1">
        <f ca="1">IFERROR(__xludf.DUMMYFUNCTION("""COMPUTED_VALUE"""),114.13)</f>
        <v>114.13</v>
      </c>
      <c r="E706" s="1">
        <f ca="1">IFERROR(__xludf.DUMMYFUNCTION("""COMPUTED_VALUE"""),115.5)</f>
        <v>115.5</v>
      </c>
      <c r="F706" s="1">
        <f ca="1">IFERROR(__xludf.DUMMYFUNCTION("""COMPUTED_VALUE"""),5650818)</f>
        <v>5650818</v>
      </c>
    </row>
    <row r="707" spans="1:6" ht="12.6">
      <c r="A707" s="2">
        <f ca="1">IFERROR(__xludf.DUMMYFUNCTION("""COMPUTED_VALUE"""),45588.6666666666)</f>
        <v>45588.666666666599</v>
      </c>
      <c r="B707" s="1">
        <f ca="1">IFERROR(__xludf.DUMMYFUNCTION("""COMPUTED_VALUE"""),115.75)</f>
        <v>115.75</v>
      </c>
      <c r="C707" s="1">
        <f ca="1">IFERROR(__xludf.DUMMYFUNCTION("""COMPUTED_VALUE"""),116.41)</f>
        <v>116.41</v>
      </c>
      <c r="D707" s="1">
        <f ca="1">IFERROR(__xludf.DUMMYFUNCTION("""COMPUTED_VALUE"""),113.28)</f>
        <v>113.28</v>
      </c>
      <c r="E707" s="1">
        <f ca="1">IFERROR(__xludf.DUMMYFUNCTION("""COMPUTED_VALUE"""),113.61)</f>
        <v>113.61</v>
      </c>
      <c r="F707" s="1">
        <f ca="1">IFERROR(__xludf.DUMMYFUNCTION("""COMPUTED_VALUE"""),2925310)</f>
        <v>2925310</v>
      </c>
    </row>
    <row r="708" spans="1:6" ht="12.6">
      <c r="A708" s="2">
        <f ca="1">IFERROR(__xludf.DUMMYFUNCTION("""COMPUTED_VALUE"""),45589.6666666666)</f>
        <v>45589.666666666599</v>
      </c>
      <c r="B708" s="1">
        <f ca="1">IFERROR(__xludf.DUMMYFUNCTION("""COMPUTED_VALUE"""),114.84)</f>
        <v>114.84</v>
      </c>
      <c r="C708" s="1">
        <f ca="1">IFERROR(__xludf.DUMMYFUNCTION("""COMPUTED_VALUE"""),116.33)</f>
        <v>116.33</v>
      </c>
      <c r="D708" s="1">
        <f ca="1">IFERROR(__xludf.DUMMYFUNCTION("""COMPUTED_VALUE"""),113.94)</f>
        <v>113.94</v>
      </c>
      <c r="E708" s="1">
        <f ca="1">IFERROR(__xludf.DUMMYFUNCTION("""COMPUTED_VALUE"""),114.92)</f>
        <v>114.92</v>
      </c>
      <c r="F708" s="1">
        <f ca="1">IFERROR(__xludf.DUMMYFUNCTION("""COMPUTED_VALUE"""),2817323)</f>
        <v>2817323</v>
      </c>
    </row>
    <row r="709" spans="1:6" ht="12.6">
      <c r="A709" s="2">
        <f ca="1">IFERROR(__xludf.DUMMYFUNCTION("""COMPUTED_VALUE"""),45590.6666666666)</f>
        <v>45590.666666666599</v>
      </c>
      <c r="B709" s="1">
        <f ca="1">IFERROR(__xludf.DUMMYFUNCTION("""COMPUTED_VALUE"""),115.35)</f>
        <v>115.35</v>
      </c>
      <c r="C709" s="1">
        <f ca="1">IFERROR(__xludf.DUMMYFUNCTION("""COMPUTED_VALUE"""),117.07)</f>
        <v>117.07</v>
      </c>
      <c r="D709" s="1">
        <f ca="1">IFERROR(__xludf.DUMMYFUNCTION("""COMPUTED_VALUE"""),115.12)</f>
        <v>115.12</v>
      </c>
      <c r="E709" s="1">
        <f ca="1">IFERROR(__xludf.DUMMYFUNCTION("""COMPUTED_VALUE"""),116.04)</f>
        <v>116.04</v>
      </c>
      <c r="F709" s="1">
        <f ca="1">IFERROR(__xludf.DUMMYFUNCTION("""COMPUTED_VALUE"""),2718781)</f>
        <v>2718781</v>
      </c>
    </row>
    <row r="710" spans="1:6" ht="12.6">
      <c r="A710" s="2">
        <f ca="1">IFERROR(__xludf.DUMMYFUNCTION("""COMPUTED_VALUE"""),45593.6666666666)</f>
        <v>45593.666666666599</v>
      </c>
      <c r="B710" s="1">
        <f ca="1">IFERROR(__xludf.DUMMYFUNCTION("""COMPUTED_VALUE"""),117.84)</f>
        <v>117.84</v>
      </c>
      <c r="C710" s="1">
        <f ca="1">IFERROR(__xludf.DUMMYFUNCTION("""COMPUTED_VALUE"""),119.2)</f>
        <v>119.2</v>
      </c>
      <c r="D710" s="1">
        <f ca="1">IFERROR(__xludf.DUMMYFUNCTION("""COMPUTED_VALUE"""),116.86)</f>
        <v>116.86</v>
      </c>
      <c r="E710" s="1">
        <f ca="1">IFERROR(__xludf.DUMMYFUNCTION("""COMPUTED_VALUE"""),117.33)</f>
        <v>117.33</v>
      </c>
      <c r="F710" s="1">
        <f ca="1">IFERROR(__xludf.DUMMYFUNCTION("""COMPUTED_VALUE"""),5238649)</f>
        <v>5238649</v>
      </c>
    </row>
    <row r="711" spans="1:6" ht="12.6">
      <c r="A711" s="2">
        <f ca="1">IFERROR(__xludf.DUMMYFUNCTION("""COMPUTED_VALUE"""),45594.6666666666)</f>
        <v>45594.666666666599</v>
      </c>
      <c r="B711" s="1">
        <f ca="1">IFERROR(__xludf.DUMMYFUNCTION("""COMPUTED_VALUE"""),117.51)</f>
        <v>117.51</v>
      </c>
      <c r="C711" s="1">
        <f ca="1">IFERROR(__xludf.DUMMYFUNCTION("""COMPUTED_VALUE"""),119.59)</f>
        <v>119.59</v>
      </c>
      <c r="D711" s="1">
        <f ca="1">IFERROR(__xludf.DUMMYFUNCTION("""COMPUTED_VALUE"""),116.55)</f>
        <v>116.55</v>
      </c>
      <c r="E711" s="1">
        <f ca="1">IFERROR(__xludf.DUMMYFUNCTION("""COMPUTED_VALUE"""),118.39)</f>
        <v>118.39</v>
      </c>
      <c r="F711" s="1">
        <f ca="1">IFERROR(__xludf.DUMMYFUNCTION("""COMPUTED_VALUE"""),4154581)</f>
        <v>4154581</v>
      </c>
    </row>
    <row r="712" spans="1:6" ht="12.6">
      <c r="A712" s="2">
        <f ca="1">IFERROR(__xludf.DUMMYFUNCTION("""COMPUTED_VALUE"""),45595.6666666666)</f>
        <v>45595.666666666599</v>
      </c>
      <c r="B712" s="1">
        <f ca="1">IFERROR(__xludf.DUMMYFUNCTION("""COMPUTED_VALUE"""),118.25)</f>
        <v>118.25</v>
      </c>
      <c r="C712" s="1">
        <f ca="1">IFERROR(__xludf.DUMMYFUNCTION("""COMPUTED_VALUE"""),121.19)</f>
        <v>121.19</v>
      </c>
      <c r="D712" s="1">
        <f ca="1">IFERROR(__xludf.DUMMYFUNCTION("""COMPUTED_VALUE"""),118.02)</f>
        <v>118.02</v>
      </c>
      <c r="E712" s="1">
        <f ca="1">IFERROR(__xludf.DUMMYFUNCTION("""COMPUTED_VALUE"""),118.99)</f>
        <v>118.99</v>
      </c>
      <c r="F712" s="1">
        <f ca="1">IFERROR(__xludf.DUMMYFUNCTION("""COMPUTED_VALUE"""),4610050)</f>
        <v>4610050</v>
      </c>
    </row>
    <row r="713" spans="1:6" ht="12.6">
      <c r="A713" s="2">
        <f ca="1">IFERROR(__xludf.DUMMYFUNCTION("""COMPUTED_VALUE"""),45596.6666666666)</f>
        <v>45596.666666666599</v>
      </c>
      <c r="B713" s="1">
        <f ca="1">IFERROR(__xludf.DUMMYFUNCTION("""COMPUTED_VALUE"""),117)</f>
        <v>117</v>
      </c>
      <c r="C713" s="1">
        <f ca="1">IFERROR(__xludf.DUMMYFUNCTION("""COMPUTED_VALUE"""),117.83)</f>
        <v>117.83</v>
      </c>
      <c r="D713" s="1">
        <f ca="1">IFERROR(__xludf.DUMMYFUNCTION("""COMPUTED_VALUE"""),113.86)</f>
        <v>113.86</v>
      </c>
      <c r="E713" s="1">
        <f ca="1">IFERROR(__xludf.DUMMYFUNCTION("""COMPUTED_VALUE"""),114.82)</f>
        <v>114.82</v>
      </c>
      <c r="F713" s="1">
        <f ca="1">IFERROR(__xludf.DUMMYFUNCTION("""COMPUTED_VALUE"""),5284636)</f>
        <v>5284636</v>
      </c>
    </row>
    <row r="714" spans="1:6" ht="12.6">
      <c r="A714" s="2">
        <f ca="1">IFERROR(__xludf.DUMMYFUNCTION("""COMPUTED_VALUE"""),45597.6666666666)</f>
        <v>45597.666666666599</v>
      </c>
      <c r="B714" s="1">
        <f ca="1">IFERROR(__xludf.DUMMYFUNCTION("""COMPUTED_VALUE"""),115.98)</f>
        <v>115.98</v>
      </c>
      <c r="C714" s="1">
        <f ca="1">IFERROR(__xludf.DUMMYFUNCTION("""COMPUTED_VALUE"""),117.06)</f>
        <v>117.06</v>
      </c>
      <c r="D714" s="1">
        <f ca="1">IFERROR(__xludf.DUMMYFUNCTION("""COMPUTED_VALUE"""),113.25)</f>
        <v>113.25</v>
      </c>
      <c r="E714" s="1">
        <f ca="1">IFERROR(__xludf.DUMMYFUNCTION("""COMPUTED_VALUE"""),115.49)</f>
        <v>115.49</v>
      </c>
      <c r="F714" s="1">
        <f ca="1">IFERROR(__xludf.DUMMYFUNCTION("""COMPUTED_VALUE"""),4659481)</f>
        <v>4659481</v>
      </c>
    </row>
    <row r="715" spans="1:6" ht="12.6">
      <c r="A715" s="2">
        <f ca="1">IFERROR(__xludf.DUMMYFUNCTION("""COMPUTED_VALUE"""),45600.6666666666)</f>
        <v>45600.666666666599</v>
      </c>
      <c r="B715" s="1">
        <f ca="1">IFERROR(__xludf.DUMMYFUNCTION("""COMPUTED_VALUE"""),115.51)</f>
        <v>115.51</v>
      </c>
      <c r="C715" s="1">
        <f ca="1">IFERROR(__xludf.DUMMYFUNCTION("""COMPUTED_VALUE"""),116.19)</f>
        <v>116.19</v>
      </c>
      <c r="D715" s="1">
        <f ca="1">IFERROR(__xludf.DUMMYFUNCTION("""COMPUTED_VALUE"""),113.23)</f>
        <v>113.23</v>
      </c>
      <c r="E715" s="1">
        <f ca="1">IFERROR(__xludf.DUMMYFUNCTION("""COMPUTED_VALUE"""),113.74)</f>
        <v>113.74</v>
      </c>
      <c r="F715" s="1">
        <f ca="1">IFERROR(__xludf.DUMMYFUNCTION("""COMPUTED_VALUE"""),3762473)</f>
        <v>3762473</v>
      </c>
    </row>
    <row r="716" spans="1:6" ht="12.6">
      <c r="A716" s="2">
        <f ca="1">IFERROR(__xludf.DUMMYFUNCTION("""COMPUTED_VALUE"""),45601.6666666666)</f>
        <v>45601.666666666599</v>
      </c>
      <c r="B716" s="1">
        <f ca="1">IFERROR(__xludf.DUMMYFUNCTION("""COMPUTED_VALUE"""),114.26)</f>
        <v>114.26</v>
      </c>
      <c r="C716" s="1">
        <f ca="1">IFERROR(__xludf.DUMMYFUNCTION("""COMPUTED_VALUE"""),117.34)</f>
        <v>117.34</v>
      </c>
      <c r="D716" s="1">
        <f ca="1">IFERROR(__xludf.DUMMYFUNCTION("""COMPUTED_VALUE"""),113.65)</f>
        <v>113.65</v>
      </c>
      <c r="E716" s="1">
        <f ca="1">IFERROR(__xludf.DUMMYFUNCTION("""COMPUTED_VALUE"""),116.5)</f>
        <v>116.5</v>
      </c>
      <c r="F716" s="1">
        <f ca="1">IFERROR(__xludf.DUMMYFUNCTION("""COMPUTED_VALUE"""),3774553)</f>
        <v>3774553</v>
      </c>
    </row>
    <row r="717" spans="1:6" ht="12.6">
      <c r="A717" s="2">
        <f ca="1">IFERROR(__xludf.DUMMYFUNCTION("""COMPUTED_VALUE"""),45602.6666666666)</f>
        <v>45602.666666666599</v>
      </c>
      <c r="B717" s="1">
        <f ca="1">IFERROR(__xludf.DUMMYFUNCTION("""COMPUTED_VALUE"""),120.43)</f>
        <v>120.43</v>
      </c>
      <c r="C717" s="1">
        <f ca="1">IFERROR(__xludf.DUMMYFUNCTION("""COMPUTED_VALUE"""),121.75)</f>
        <v>121.75</v>
      </c>
      <c r="D717" s="1">
        <f ca="1">IFERROR(__xludf.DUMMYFUNCTION("""COMPUTED_VALUE"""),118.8)</f>
        <v>118.8</v>
      </c>
      <c r="E717" s="1">
        <f ca="1">IFERROR(__xludf.DUMMYFUNCTION("""COMPUTED_VALUE"""),121.42)</f>
        <v>121.42</v>
      </c>
      <c r="F717" s="1">
        <f ca="1">IFERROR(__xludf.DUMMYFUNCTION("""COMPUTED_VALUE"""),5455889)</f>
        <v>5455889</v>
      </c>
    </row>
    <row r="718" spans="1:6" ht="12.6">
      <c r="A718" s="2">
        <f ca="1">IFERROR(__xludf.DUMMYFUNCTION("""COMPUTED_VALUE"""),45603.6666666666)</f>
        <v>45603.666666666599</v>
      </c>
      <c r="B718" s="1">
        <f ca="1">IFERROR(__xludf.DUMMYFUNCTION("""COMPUTED_VALUE"""),122.26)</f>
        <v>122.26</v>
      </c>
      <c r="C718" s="1">
        <f ca="1">IFERROR(__xludf.DUMMYFUNCTION("""COMPUTED_VALUE"""),124.96)</f>
        <v>124.96</v>
      </c>
      <c r="D718" s="1">
        <f ca="1">IFERROR(__xludf.DUMMYFUNCTION("""COMPUTED_VALUE"""),122.02)</f>
        <v>122.02</v>
      </c>
      <c r="E718" s="1">
        <f ca="1">IFERROR(__xludf.DUMMYFUNCTION("""COMPUTED_VALUE"""),123.54)</f>
        <v>123.54</v>
      </c>
      <c r="F718" s="1">
        <f ca="1">IFERROR(__xludf.DUMMYFUNCTION("""COMPUTED_VALUE"""),4596365)</f>
        <v>4596365</v>
      </c>
    </row>
    <row r="719" spans="1:6" ht="12.6">
      <c r="A719" s="2">
        <f ca="1">IFERROR(__xludf.DUMMYFUNCTION("""COMPUTED_VALUE"""),45604.6666666666)</f>
        <v>45604.666666666599</v>
      </c>
      <c r="B719" s="1">
        <f ca="1">IFERROR(__xludf.DUMMYFUNCTION("""COMPUTED_VALUE"""),123)</f>
        <v>123</v>
      </c>
      <c r="C719" s="1">
        <f ca="1">IFERROR(__xludf.DUMMYFUNCTION("""COMPUTED_VALUE"""),123)</f>
        <v>123</v>
      </c>
      <c r="D719" s="1">
        <f ca="1">IFERROR(__xludf.DUMMYFUNCTION("""COMPUTED_VALUE"""),119.66)</f>
        <v>119.66</v>
      </c>
      <c r="E719" s="1">
        <f ca="1">IFERROR(__xludf.DUMMYFUNCTION("""COMPUTED_VALUE"""),120.89)</f>
        <v>120.89</v>
      </c>
      <c r="F719" s="1">
        <f ca="1">IFERROR(__xludf.DUMMYFUNCTION("""COMPUTED_VALUE"""),4914403)</f>
        <v>4914403</v>
      </c>
    </row>
    <row r="720" spans="1:6" ht="12.6">
      <c r="A720" s="2">
        <f ca="1">IFERROR(__xludf.DUMMYFUNCTION("""COMPUTED_VALUE"""),45607.6666666666)</f>
        <v>45607.666666666599</v>
      </c>
      <c r="B720" s="1">
        <f ca="1">IFERROR(__xludf.DUMMYFUNCTION("""COMPUTED_VALUE"""),122.22)</f>
        <v>122.22</v>
      </c>
      <c r="C720" s="1">
        <f ca="1">IFERROR(__xludf.DUMMYFUNCTION("""COMPUTED_VALUE"""),123.71)</f>
        <v>123.71</v>
      </c>
      <c r="D720" s="1">
        <f ca="1">IFERROR(__xludf.DUMMYFUNCTION("""COMPUTED_VALUE"""),121.69)</f>
        <v>121.69</v>
      </c>
      <c r="E720" s="1">
        <f ca="1">IFERROR(__xludf.DUMMYFUNCTION("""COMPUTED_VALUE"""),123.5)</f>
        <v>123.5</v>
      </c>
      <c r="F720" s="1">
        <f ca="1">IFERROR(__xludf.DUMMYFUNCTION("""COMPUTED_VALUE"""),3829661)</f>
        <v>3829661</v>
      </c>
    </row>
    <row r="721" spans="1:6" ht="12.6">
      <c r="A721" s="2">
        <f ca="1">IFERROR(__xludf.DUMMYFUNCTION("""COMPUTED_VALUE"""),45608.6666666666)</f>
        <v>45608.666666666599</v>
      </c>
      <c r="B721" s="1">
        <f ca="1">IFERROR(__xludf.DUMMYFUNCTION("""COMPUTED_VALUE"""),123)</f>
        <v>123</v>
      </c>
      <c r="C721" s="1">
        <f ca="1">IFERROR(__xludf.DUMMYFUNCTION("""COMPUTED_VALUE"""),127.05)</f>
        <v>127.05</v>
      </c>
      <c r="D721" s="1">
        <f ca="1">IFERROR(__xludf.DUMMYFUNCTION("""COMPUTED_VALUE"""),123)</f>
        <v>123</v>
      </c>
      <c r="E721" s="1">
        <f ca="1">IFERROR(__xludf.DUMMYFUNCTION("""COMPUTED_VALUE"""),125.46)</f>
        <v>125.46</v>
      </c>
      <c r="F721" s="1">
        <f ca="1">IFERROR(__xludf.DUMMYFUNCTION("""COMPUTED_VALUE"""),5754758)</f>
        <v>5754758</v>
      </c>
    </row>
    <row r="722" spans="1:6" ht="12.6">
      <c r="A722" s="2">
        <f ca="1">IFERROR(__xludf.DUMMYFUNCTION("""COMPUTED_VALUE"""),45609.6666666666)</f>
        <v>45609.666666666599</v>
      </c>
      <c r="B722" s="1">
        <f ca="1">IFERROR(__xludf.DUMMYFUNCTION("""COMPUTED_VALUE"""),126.38)</f>
        <v>126.38</v>
      </c>
      <c r="C722" s="1">
        <f ca="1">IFERROR(__xludf.DUMMYFUNCTION("""COMPUTED_VALUE"""),134.59)</f>
        <v>134.59</v>
      </c>
      <c r="D722" s="1">
        <f ca="1">IFERROR(__xludf.DUMMYFUNCTION("""COMPUTED_VALUE"""),126.01)</f>
        <v>126.01</v>
      </c>
      <c r="E722" s="1">
        <f ca="1">IFERROR(__xludf.DUMMYFUNCTION("""COMPUTED_VALUE"""),130.73)</f>
        <v>130.72999999999999</v>
      </c>
      <c r="F722" s="1">
        <f ca="1">IFERROR(__xludf.DUMMYFUNCTION("""COMPUTED_VALUE"""),11352149)</f>
        <v>11352149</v>
      </c>
    </row>
    <row r="723" spans="1:6" ht="12.6">
      <c r="A723" s="2">
        <f ca="1">IFERROR(__xludf.DUMMYFUNCTION("""COMPUTED_VALUE"""),45610.6666666666)</f>
        <v>45610.666666666599</v>
      </c>
      <c r="B723" s="1">
        <f ca="1">IFERROR(__xludf.DUMMYFUNCTION("""COMPUTED_VALUE"""),132.06)</f>
        <v>132.06</v>
      </c>
      <c r="C723" s="1">
        <f ca="1">IFERROR(__xludf.DUMMYFUNCTION("""COMPUTED_VALUE"""),132.26)</f>
        <v>132.26</v>
      </c>
      <c r="D723" s="1">
        <f ca="1">IFERROR(__xludf.DUMMYFUNCTION("""COMPUTED_VALUE"""),129.07)</f>
        <v>129.07</v>
      </c>
      <c r="E723" s="1">
        <f ca="1">IFERROR(__xludf.DUMMYFUNCTION("""COMPUTED_VALUE"""),129.27)</f>
        <v>129.27000000000001</v>
      </c>
      <c r="F723" s="1">
        <f ca="1">IFERROR(__xludf.DUMMYFUNCTION("""COMPUTED_VALUE"""),4959602)</f>
        <v>4959602</v>
      </c>
    </row>
    <row r="724" spans="1:6" ht="12.6">
      <c r="A724" s="2">
        <f ca="1">IFERROR(__xludf.DUMMYFUNCTION("""COMPUTED_VALUE"""),45611.6666666666)</f>
        <v>45611.666666666599</v>
      </c>
      <c r="B724" s="1">
        <f ca="1">IFERROR(__xludf.DUMMYFUNCTION("""COMPUTED_VALUE"""),128.59)</f>
        <v>128.59</v>
      </c>
      <c r="C724" s="1">
        <f ca="1">IFERROR(__xludf.DUMMYFUNCTION("""COMPUTED_VALUE"""),128.95)</f>
        <v>128.94999999999999</v>
      </c>
      <c r="D724" s="1">
        <f ca="1">IFERROR(__xludf.DUMMYFUNCTION("""COMPUTED_VALUE"""),123.36)</f>
        <v>123.36</v>
      </c>
      <c r="E724" s="1">
        <f ca="1">IFERROR(__xludf.DUMMYFUNCTION("""COMPUTED_VALUE"""),125.96)</f>
        <v>125.96</v>
      </c>
      <c r="F724" s="1">
        <f ca="1">IFERROR(__xludf.DUMMYFUNCTION("""COMPUTED_VALUE"""),5737745)</f>
        <v>5737745</v>
      </c>
    </row>
    <row r="725" spans="1:6" ht="12.6">
      <c r="A725" s="2">
        <f ca="1">IFERROR(__xludf.DUMMYFUNCTION("""COMPUTED_VALUE"""),45614.6666666666)</f>
        <v>45614.666666666599</v>
      </c>
      <c r="B725" s="1">
        <f ca="1">IFERROR(__xludf.DUMMYFUNCTION("""COMPUTED_VALUE"""),126.48)</f>
        <v>126.48</v>
      </c>
      <c r="C725" s="1">
        <f ca="1">IFERROR(__xludf.DUMMYFUNCTION("""COMPUTED_VALUE"""),127.53)</f>
        <v>127.53</v>
      </c>
      <c r="D725" s="1">
        <f ca="1">IFERROR(__xludf.DUMMYFUNCTION("""COMPUTED_VALUE"""),125)</f>
        <v>125</v>
      </c>
      <c r="E725" s="1">
        <f ca="1">IFERROR(__xludf.DUMMYFUNCTION("""COMPUTED_VALUE"""),127.43)</f>
        <v>127.43</v>
      </c>
      <c r="F725" s="1">
        <f ca="1">IFERROR(__xludf.DUMMYFUNCTION("""COMPUTED_VALUE"""),4589918)</f>
        <v>4589918</v>
      </c>
    </row>
    <row r="726" spans="1:6" ht="12.6">
      <c r="A726" s="2">
        <f ca="1">IFERROR(__xludf.DUMMYFUNCTION("""COMPUTED_VALUE"""),45615.6666666666)</f>
        <v>45615.666666666599</v>
      </c>
      <c r="B726" s="1">
        <f ca="1">IFERROR(__xludf.DUMMYFUNCTION("""COMPUTED_VALUE"""),127.55)</f>
        <v>127.55</v>
      </c>
      <c r="C726" s="1">
        <f ca="1">IFERROR(__xludf.DUMMYFUNCTION("""COMPUTED_VALUE"""),130.34)</f>
        <v>130.34</v>
      </c>
      <c r="D726" s="1">
        <f ca="1">IFERROR(__xludf.DUMMYFUNCTION("""COMPUTED_VALUE"""),126.36)</f>
        <v>126.36</v>
      </c>
      <c r="E726" s="1">
        <f ca="1">IFERROR(__xludf.DUMMYFUNCTION("""COMPUTED_VALUE"""),130.24)</f>
        <v>130.24</v>
      </c>
      <c r="F726" s="1">
        <f ca="1">IFERROR(__xludf.DUMMYFUNCTION("""COMPUTED_VALUE"""),4844089)</f>
        <v>4844089</v>
      </c>
    </row>
    <row r="727" spans="1:6" ht="12.6">
      <c r="A727" s="2">
        <f ca="1">IFERROR(__xludf.DUMMYFUNCTION("""COMPUTED_VALUE"""),45616.6666666666)</f>
        <v>45616.666666666599</v>
      </c>
      <c r="B727" s="1">
        <f ca="1">IFERROR(__xludf.DUMMYFUNCTION("""COMPUTED_VALUE"""),131.26)</f>
        <v>131.26</v>
      </c>
      <c r="C727" s="1">
        <f ca="1">IFERROR(__xludf.DUMMYFUNCTION("""COMPUTED_VALUE"""),133.55)</f>
        <v>133.55000000000001</v>
      </c>
      <c r="D727" s="1">
        <f ca="1">IFERROR(__xludf.DUMMYFUNCTION("""COMPUTED_VALUE"""),127.55)</f>
        <v>127.55</v>
      </c>
      <c r="E727" s="1">
        <f ca="1">IFERROR(__xludf.DUMMYFUNCTION("""COMPUTED_VALUE"""),129.12)</f>
        <v>129.12</v>
      </c>
      <c r="F727" s="1">
        <f ca="1">IFERROR(__xludf.DUMMYFUNCTION("""COMPUTED_VALUE"""),15555707)</f>
        <v>15555707</v>
      </c>
    </row>
    <row r="728" spans="1:6" ht="12.6">
      <c r="A728" s="2">
        <f ca="1">IFERROR(__xludf.DUMMYFUNCTION("""COMPUTED_VALUE"""),45617.6666666666)</f>
        <v>45617.666666666599</v>
      </c>
      <c r="B728" s="1">
        <f ca="1">IFERROR(__xludf.DUMMYFUNCTION("""COMPUTED_VALUE"""),161.26)</f>
        <v>161.26</v>
      </c>
      <c r="C728" s="1">
        <f ca="1">IFERROR(__xludf.DUMMYFUNCTION("""COMPUTED_VALUE"""),174.65)</f>
        <v>174.65</v>
      </c>
      <c r="D728" s="1">
        <f ca="1">IFERROR(__xludf.DUMMYFUNCTION("""COMPUTED_VALUE"""),161.16)</f>
        <v>161.16</v>
      </c>
      <c r="E728" s="1">
        <f ca="1">IFERROR(__xludf.DUMMYFUNCTION("""COMPUTED_VALUE"""),171.35)</f>
        <v>171.35</v>
      </c>
      <c r="F728" s="1">
        <f ca="1">IFERROR(__xludf.DUMMYFUNCTION("""COMPUTED_VALUE"""),55121595)</f>
        <v>55121595</v>
      </c>
    </row>
    <row r="729" spans="1:6" ht="12.6">
      <c r="A729" s="2">
        <f ca="1">IFERROR(__xludf.DUMMYFUNCTION("""COMPUTED_VALUE"""),45618.6666666666)</f>
        <v>45618.666666666599</v>
      </c>
      <c r="B729" s="1">
        <f ca="1">IFERROR(__xludf.DUMMYFUNCTION("""COMPUTED_VALUE"""),175)</f>
        <v>175</v>
      </c>
      <c r="C729" s="1">
        <f ca="1">IFERROR(__xludf.DUMMYFUNCTION("""COMPUTED_VALUE"""),178.7)</f>
        <v>178.7</v>
      </c>
      <c r="D729" s="1">
        <f ca="1">IFERROR(__xludf.DUMMYFUNCTION("""COMPUTED_VALUE"""),166.81)</f>
        <v>166.81</v>
      </c>
      <c r="E729" s="1">
        <f ca="1">IFERROR(__xludf.DUMMYFUNCTION("""COMPUTED_VALUE"""),167.44)</f>
        <v>167.44</v>
      </c>
      <c r="F729" s="1">
        <f ca="1">IFERROR(__xludf.DUMMYFUNCTION("""COMPUTED_VALUE"""),20283860)</f>
        <v>20283860</v>
      </c>
    </row>
    <row r="730" spans="1:6" ht="12.6">
      <c r="A730" s="2">
        <f ca="1">IFERROR(__xludf.DUMMYFUNCTION("""COMPUTED_VALUE"""),45621.6666666666)</f>
        <v>45621.666666666599</v>
      </c>
      <c r="B730" s="1">
        <f ca="1">IFERROR(__xludf.DUMMYFUNCTION("""COMPUTED_VALUE"""),174.96)</f>
        <v>174.96</v>
      </c>
      <c r="C730" s="1">
        <f ca="1">IFERROR(__xludf.DUMMYFUNCTION("""COMPUTED_VALUE"""),177.99)</f>
        <v>177.99</v>
      </c>
      <c r="D730" s="1">
        <f ca="1">IFERROR(__xludf.DUMMYFUNCTION("""COMPUTED_VALUE"""),171.15)</f>
        <v>171.15</v>
      </c>
      <c r="E730" s="1">
        <f ca="1">IFERROR(__xludf.DUMMYFUNCTION("""COMPUTED_VALUE"""),171.42)</f>
        <v>171.42</v>
      </c>
      <c r="F730" s="1">
        <f ca="1">IFERROR(__xludf.DUMMYFUNCTION("""COMPUTED_VALUE"""),15276696)</f>
        <v>15276696</v>
      </c>
    </row>
    <row r="731" spans="1:6" ht="12.6">
      <c r="A731" s="2">
        <f ca="1">IFERROR(__xludf.DUMMYFUNCTION("""COMPUTED_VALUE"""),45622.6666666666)</f>
        <v>45622.666666666599</v>
      </c>
      <c r="B731" s="1">
        <f ca="1">IFERROR(__xludf.DUMMYFUNCTION("""COMPUTED_VALUE"""),173.48)</f>
        <v>173.48</v>
      </c>
      <c r="C731" s="1">
        <f ca="1">IFERROR(__xludf.DUMMYFUNCTION("""COMPUTED_VALUE"""),176.8)</f>
        <v>176.8</v>
      </c>
      <c r="D731" s="1">
        <f ca="1">IFERROR(__xludf.DUMMYFUNCTION("""COMPUTED_VALUE"""),170.91)</f>
        <v>170.91</v>
      </c>
      <c r="E731" s="1">
        <f ca="1">IFERROR(__xludf.DUMMYFUNCTION("""COMPUTED_VALUE"""),171.28)</f>
        <v>171.28</v>
      </c>
      <c r="F731" s="1">
        <f ca="1">IFERROR(__xludf.DUMMYFUNCTION("""COMPUTED_VALUE"""),7669642)</f>
        <v>7669642</v>
      </c>
    </row>
    <row r="732" spans="1:6" ht="12.6">
      <c r="A732" s="2">
        <f ca="1">IFERROR(__xludf.DUMMYFUNCTION("""COMPUTED_VALUE"""),45623.6666666666)</f>
        <v>45623.666666666599</v>
      </c>
      <c r="B732" s="1">
        <f ca="1">IFERROR(__xludf.DUMMYFUNCTION("""COMPUTED_VALUE"""),172.39)</f>
        <v>172.39</v>
      </c>
      <c r="C732" s="1">
        <f ca="1">IFERROR(__xludf.DUMMYFUNCTION("""COMPUTED_VALUE"""),173.93)</f>
        <v>173.93</v>
      </c>
      <c r="D732" s="1">
        <f ca="1">IFERROR(__xludf.DUMMYFUNCTION("""COMPUTED_VALUE"""),167.38)</f>
        <v>167.38</v>
      </c>
      <c r="E732" s="1">
        <f ca="1">IFERROR(__xludf.DUMMYFUNCTION("""COMPUTED_VALUE"""),173.7)</f>
        <v>173.7</v>
      </c>
      <c r="F732" s="1">
        <f ca="1">IFERROR(__xludf.DUMMYFUNCTION("""COMPUTED_VALUE"""),6980317)</f>
        <v>6980317</v>
      </c>
    </row>
    <row r="733" spans="1:6" ht="12.6">
      <c r="A733" s="2">
        <f ca="1">IFERROR(__xludf.DUMMYFUNCTION("""COMPUTED_VALUE"""),45625.5416666666)</f>
        <v>45625.541666666599</v>
      </c>
      <c r="B733" s="1">
        <f ca="1">IFERROR(__xludf.DUMMYFUNCTION("""COMPUTED_VALUE"""),174.75)</f>
        <v>174.75</v>
      </c>
      <c r="C733" s="1">
        <f ca="1">IFERROR(__xludf.DUMMYFUNCTION("""COMPUTED_VALUE"""),178.37)</f>
        <v>178.37</v>
      </c>
      <c r="D733" s="1">
        <f ca="1">IFERROR(__xludf.DUMMYFUNCTION("""COMPUTED_VALUE"""),173.17)</f>
        <v>173.17</v>
      </c>
      <c r="E733" s="1">
        <f ca="1">IFERROR(__xludf.DUMMYFUNCTION("""COMPUTED_VALUE"""),174.8)</f>
        <v>174.8</v>
      </c>
      <c r="F733" s="1">
        <f ca="1">IFERROR(__xludf.DUMMYFUNCTION("""COMPUTED_VALUE"""),4429163)</f>
        <v>4429163</v>
      </c>
    </row>
    <row r="734" spans="1:6" ht="12.6">
      <c r="A734" s="2">
        <f ca="1">IFERROR(__xludf.DUMMYFUNCTION("""COMPUTED_VALUE"""),45628.6666666666)</f>
        <v>45628.666666666599</v>
      </c>
      <c r="B734" s="1">
        <f ca="1">IFERROR(__xludf.DUMMYFUNCTION("""COMPUTED_VALUE"""),175.03)</f>
        <v>175.03</v>
      </c>
      <c r="C734" s="1">
        <f ca="1">IFERROR(__xludf.DUMMYFUNCTION("""COMPUTED_VALUE"""),177.65)</f>
        <v>177.65</v>
      </c>
      <c r="D734" s="1">
        <f ca="1">IFERROR(__xludf.DUMMYFUNCTION("""COMPUTED_VALUE"""),171.3)</f>
        <v>171.3</v>
      </c>
      <c r="E734" s="1">
        <f ca="1">IFERROR(__xludf.DUMMYFUNCTION("""COMPUTED_VALUE"""),172.42)</f>
        <v>172.42</v>
      </c>
      <c r="F734" s="1">
        <f ca="1">IFERROR(__xludf.DUMMYFUNCTION("""COMPUTED_VALUE"""),5832133)</f>
        <v>5832133</v>
      </c>
    </row>
    <row r="735" spans="1:6" ht="12.6">
      <c r="A735" s="2">
        <f ca="1">IFERROR(__xludf.DUMMYFUNCTION("""COMPUTED_VALUE"""),45629.6666666666)</f>
        <v>45629.666666666599</v>
      </c>
      <c r="B735" s="1">
        <f ca="1">IFERROR(__xludf.DUMMYFUNCTION("""COMPUTED_VALUE"""),171)</f>
        <v>171</v>
      </c>
      <c r="C735" s="1">
        <f ca="1">IFERROR(__xludf.DUMMYFUNCTION("""COMPUTED_VALUE"""),176.07)</f>
        <v>176.07</v>
      </c>
      <c r="D735" s="1">
        <f ca="1">IFERROR(__xludf.DUMMYFUNCTION("""COMPUTED_VALUE"""),170.59)</f>
        <v>170.59</v>
      </c>
      <c r="E735" s="1">
        <f ca="1">IFERROR(__xludf.DUMMYFUNCTION("""COMPUTED_VALUE"""),175.94)</f>
        <v>175.94</v>
      </c>
      <c r="F735" s="1">
        <f ca="1">IFERROR(__xludf.DUMMYFUNCTION("""COMPUTED_VALUE"""),5301462)</f>
        <v>5301462</v>
      </c>
    </row>
    <row r="736" spans="1:6" ht="12.6">
      <c r="A736" s="2">
        <f ca="1">IFERROR(__xludf.DUMMYFUNCTION("""COMPUTED_VALUE"""),45630.6666666666)</f>
        <v>45630.666666666599</v>
      </c>
      <c r="B736" s="1">
        <f ca="1">IFERROR(__xludf.DUMMYFUNCTION("""COMPUTED_VALUE"""),180)</f>
        <v>180</v>
      </c>
      <c r="C736" s="1">
        <f ca="1">IFERROR(__xludf.DUMMYFUNCTION("""COMPUTED_VALUE"""),186.82)</f>
        <v>186.82</v>
      </c>
      <c r="D736" s="1">
        <f ca="1">IFERROR(__xludf.DUMMYFUNCTION("""COMPUTED_VALUE"""),178.59)</f>
        <v>178.59</v>
      </c>
      <c r="E736" s="1">
        <f ca="1">IFERROR(__xludf.DUMMYFUNCTION("""COMPUTED_VALUE"""),186.51)</f>
        <v>186.51</v>
      </c>
      <c r="F736" s="1">
        <f ca="1">IFERROR(__xludf.DUMMYFUNCTION("""COMPUTED_VALUE"""),13585589)</f>
        <v>13585589</v>
      </c>
    </row>
    <row r="737" spans="1:6" ht="12.6">
      <c r="A737" s="2">
        <f ca="1">IFERROR(__xludf.DUMMYFUNCTION("""COMPUTED_VALUE"""),45631.6666666666)</f>
        <v>45631.666666666599</v>
      </c>
      <c r="B737" s="1">
        <f ca="1">IFERROR(__xludf.DUMMYFUNCTION("""COMPUTED_VALUE"""),186.34)</f>
        <v>186.34</v>
      </c>
      <c r="C737" s="1">
        <f ca="1">IFERROR(__xludf.DUMMYFUNCTION("""COMPUTED_VALUE"""),186.55)</f>
        <v>186.55</v>
      </c>
      <c r="D737" s="1">
        <f ca="1">IFERROR(__xludf.DUMMYFUNCTION("""COMPUTED_VALUE"""),182.3)</f>
        <v>182.3</v>
      </c>
      <c r="E737" s="1">
        <f ca="1">IFERROR(__xludf.DUMMYFUNCTION("""COMPUTED_VALUE"""),183.06)</f>
        <v>183.06</v>
      </c>
      <c r="F737" s="1">
        <f ca="1">IFERROR(__xludf.DUMMYFUNCTION("""COMPUTED_VALUE"""),6668294)</f>
        <v>6668294</v>
      </c>
    </row>
    <row r="738" spans="1:6" ht="12.6">
      <c r="A738" s="2">
        <f ca="1">IFERROR(__xludf.DUMMYFUNCTION("""COMPUTED_VALUE"""),45632.6666666666)</f>
        <v>45632.666666666599</v>
      </c>
      <c r="B738" s="1">
        <f ca="1">IFERROR(__xludf.DUMMYFUNCTION("""COMPUTED_VALUE"""),186.01)</f>
        <v>186.01</v>
      </c>
      <c r="C738" s="1">
        <f ca="1">IFERROR(__xludf.DUMMYFUNCTION("""COMPUTED_VALUE"""),186.9)</f>
        <v>186.9</v>
      </c>
      <c r="D738" s="1">
        <f ca="1">IFERROR(__xludf.DUMMYFUNCTION("""COMPUTED_VALUE"""),181.37)</f>
        <v>181.37</v>
      </c>
      <c r="E738" s="1">
        <f ca="1">IFERROR(__xludf.DUMMYFUNCTION("""COMPUTED_VALUE"""),183.64)</f>
        <v>183.64</v>
      </c>
      <c r="F738" s="1">
        <f ca="1">IFERROR(__xludf.DUMMYFUNCTION("""COMPUTED_VALUE"""),4988273)</f>
        <v>4988273</v>
      </c>
    </row>
    <row r="739" spans="1:6" ht="12.6">
      <c r="A739" s="2">
        <f ca="1">IFERROR(__xludf.DUMMYFUNCTION("""COMPUTED_VALUE"""),45635.6666666666)</f>
        <v>45635.666666666599</v>
      </c>
      <c r="B739" s="1">
        <f ca="1">IFERROR(__xludf.DUMMYFUNCTION("""COMPUTED_VALUE"""),183.2)</f>
        <v>183.2</v>
      </c>
      <c r="C739" s="1">
        <f ca="1">IFERROR(__xludf.DUMMYFUNCTION("""COMPUTED_VALUE"""),185.4)</f>
        <v>185.4</v>
      </c>
      <c r="D739" s="1">
        <f ca="1">IFERROR(__xludf.DUMMYFUNCTION("""COMPUTED_VALUE"""),178.79)</f>
        <v>178.79</v>
      </c>
      <c r="E739" s="1">
        <f ca="1">IFERROR(__xludf.DUMMYFUNCTION("""COMPUTED_VALUE"""),180.76)</f>
        <v>180.76</v>
      </c>
      <c r="F739" s="1">
        <f ca="1">IFERROR(__xludf.DUMMYFUNCTION("""COMPUTED_VALUE"""),6336082)</f>
        <v>6336082</v>
      </c>
    </row>
    <row r="740" spans="1:6" ht="12.6">
      <c r="A740" s="2">
        <f ca="1">IFERROR(__xludf.DUMMYFUNCTION("""COMPUTED_VALUE"""),45636.6666666666)</f>
        <v>45636.666666666599</v>
      </c>
      <c r="B740" s="1">
        <f ca="1">IFERROR(__xludf.DUMMYFUNCTION("""COMPUTED_VALUE"""),179)</f>
        <v>179</v>
      </c>
      <c r="C740" s="1">
        <f ca="1">IFERROR(__xludf.DUMMYFUNCTION("""COMPUTED_VALUE"""),180.9)</f>
        <v>180.9</v>
      </c>
      <c r="D740" s="1">
        <f ca="1">IFERROR(__xludf.DUMMYFUNCTION("""COMPUTED_VALUE"""),169.35)</f>
        <v>169.35</v>
      </c>
      <c r="E740" s="1">
        <f ca="1">IFERROR(__xludf.DUMMYFUNCTION("""COMPUTED_VALUE"""),171.55)</f>
        <v>171.55</v>
      </c>
      <c r="F740" s="1">
        <f ca="1">IFERROR(__xludf.DUMMYFUNCTION("""COMPUTED_VALUE"""),8609645)</f>
        <v>8609645</v>
      </c>
    </row>
    <row r="741" spans="1:6" ht="12.6">
      <c r="A741" s="2">
        <f ca="1">IFERROR(__xludf.DUMMYFUNCTION("""COMPUTED_VALUE"""),45637.6666666666)</f>
        <v>45637.666666666599</v>
      </c>
      <c r="B741" s="1">
        <f ca="1">IFERROR(__xludf.DUMMYFUNCTION("""COMPUTED_VALUE"""),173.46)</f>
        <v>173.46</v>
      </c>
      <c r="C741" s="1">
        <f ca="1">IFERROR(__xludf.DUMMYFUNCTION("""COMPUTED_VALUE"""),176.3)</f>
        <v>176.3</v>
      </c>
      <c r="D741" s="1">
        <f ca="1">IFERROR(__xludf.DUMMYFUNCTION("""COMPUTED_VALUE"""),170.3)</f>
        <v>170.3</v>
      </c>
      <c r="E741" s="1">
        <f ca="1">IFERROR(__xludf.DUMMYFUNCTION("""COMPUTED_VALUE"""),171.96)</f>
        <v>171.96</v>
      </c>
      <c r="F741" s="1">
        <f ca="1">IFERROR(__xludf.DUMMYFUNCTION("""COMPUTED_VALUE"""),5475453)</f>
        <v>5475453</v>
      </c>
    </row>
    <row r="742" spans="1:6" ht="12.6">
      <c r="A742" s="2">
        <f ca="1">IFERROR(__xludf.DUMMYFUNCTION("""COMPUTED_VALUE"""),45638.6666666666)</f>
        <v>45638.666666666599</v>
      </c>
      <c r="B742" s="1">
        <f ca="1">IFERROR(__xludf.DUMMYFUNCTION("""COMPUTED_VALUE"""),169.6)</f>
        <v>169.6</v>
      </c>
      <c r="C742" s="1">
        <f ca="1">IFERROR(__xludf.DUMMYFUNCTION("""COMPUTED_VALUE"""),172.41)</f>
        <v>172.41</v>
      </c>
      <c r="D742" s="1">
        <f ca="1">IFERROR(__xludf.DUMMYFUNCTION("""COMPUTED_VALUE"""),169.08)</f>
        <v>169.08</v>
      </c>
      <c r="E742" s="1">
        <f ca="1">IFERROR(__xludf.DUMMYFUNCTION("""COMPUTED_VALUE"""),170)</f>
        <v>170</v>
      </c>
      <c r="F742" s="1">
        <f ca="1">IFERROR(__xludf.DUMMYFUNCTION("""COMPUTED_VALUE"""),4404054)</f>
        <v>4404054</v>
      </c>
    </row>
    <row r="743" spans="1:6" ht="12.6">
      <c r="A743" s="2">
        <f ca="1">IFERROR(__xludf.DUMMYFUNCTION("""COMPUTED_VALUE"""),45639.6666666666)</f>
        <v>45639.666666666599</v>
      </c>
      <c r="B743" s="1">
        <f ca="1">IFERROR(__xludf.DUMMYFUNCTION("""COMPUTED_VALUE"""),169.52)</f>
        <v>169.52</v>
      </c>
      <c r="C743" s="1">
        <f ca="1">IFERROR(__xludf.DUMMYFUNCTION("""COMPUTED_VALUE"""),170.73)</f>
        <v>170.73</v>
      </c>
      <c r="D743" s="1">
        <f ca="1">IFERROR(__xludf.DUMMYFUNCTION("""COMPUTED_VALUE"""),165.73)</f>
        <v>165.73</v>
      </c>
      <c r="E743" s="1">
        <f ca="1">IFERROR(__xludf.DUMMYFUNCTION("""COMPUTED_VALUE"""),167.67)</f>
        <v>167.67</v>
      </c>
      <c r="F743" s="1">
        <f ca="1">IFERROR(__xludf.DUMMYFUNCTION("""COMPUTED_VALUE"""),5516920)</f>
        <v>5516920</v>
      </c>
    </row>
    <row r="744" spans="1:6" ht="12.6">
      <c r="A744" s="2">
        <f ca="1">IFERROR(__xludf.DUMMYFUNCTION("""COMPUTED_VALUE"""),45642.6666666666)</f>
        <v>45642.666666666599</v>
      </c>
      <c r="B744" s="1">
        <f ca="1">IFERROR(__xludf.DUMMYFUNCTION("""COMPUTED_VALUE"""),167.66)</f>
        <v>167.66</v>
      </c>
      <c r="C744" s="1">
        <f ca="1">IFERROR(__xludf.DUMMYFUNCTION("""COMPUTED_VALUE"""),173.4)</f>
        <v>173.4</v>
      </c>
      <c r="D744" s="1">
        <f ca="1">IFERROR(__xludf.DUMMYFUNCTION("""COMPUTED_VALUE"""),167.22)</f>
        <v>167.22</v>
      </c>
      <c r="E744" s="1">
        <f ca="1">IFERROR(__xludf.DUMMYFUNCTION("""COMPUTED_VALUE"""),172.47)</f>
        <v>172.47</v>
      </c>
      <c r="F744" s="1">
        <f ca="1">IFERROR(__xludf.DUMMYFUNCTION("""COMPUTED_VALUE"""),6559276)</f>
        <v>6559276</v>
      </c>
    </row>
    <row r="745" spans="1:6" ht="12.6">
      <c r="A745" s="2">
        <f ca="1">IFERROR(__xludf.DUMMYFUNCTION("""COMPUTED_VALUE"""),45643.6666666666)</f>
        <v>45643.666666666599</v>
      </c>
      <c r="B745" s="1">
        <f ca="1">IFERROR(__xludf.DUMMYFUNCTION("""COMPUTED_VALUE"""),171)</f>
        <v>171</v>
      </c>
      <c r="C745" s="1">
        <f ca="1">IFERROR(__xludf.DUMMYFUNCTION("""COMPUTED_VALUE"""),172.65)</f>
        <v>172.65</v>
      </c>
      <c r="D745" s="1">
        <f ca="1">IFERROR(__xludf.DUMMYFUNCTION("""COMPUTED_VALUE"""),169.24)</f>
        <v>169.24</v>
      </c>
      <c r="E745" s="1">
        <f ca="1">IFERROR(__xludf.DUMMYFUNCTION("""COMPUTED_VALUE"""),170.81)</f>
        <v>170.81</v>
      </c>
      <c r="F745" s="1">
        <f ca="1">IFERROR(__xludf.DUMMYFUNCTION("""COMPUTED_VALUE"""),5162427)</f>
        <v>5162427</v>
      </c>
    </row>
    <row r="746" spans="1:6" ht="12.6">
      <c r="A746" s="2">
        <f ca="1">IFERROR(__xludf.DUMMYFUNCTION("""COMPUTED_VALUE"""),45644.6666666666)</f>
        <v>45644.666666666599</v>
      </c>
      <c r="B746" s="1">
        <f ca="1">IFERROR(__xludf.DUMMYFUNCTION("""COMPUTED_VALUE"""),170.43)</f>
        <v>170.43</v>
      </c>
      <c r="C746" s="1">
        <f ca="1">IFERROR(__xludf.DUMMYFUNCTION("""COMPUTED_VALUE"""),170.5)</f>
        <v>170.5</v>
      </c>
      <c r="D746" s="1">
        <f ca="1">IFERROR(__xludf.DUMMYFUNCTION("""COMPUTED_VALUE"""),160.76)</f>
        <v>160.76</v>
      </c>
      <c r="E746" s="1">
        <f ca="1">IFERROR(__xludf.DUMMYFUNCTION("""COMPUTED_VALUE"""),162.59)</f>
        <v>162.59</v>
      </c>
      <c r="F746" s="1">
        <f ca="1">IFERROR(__xludf.DUMMYFUNCTION("""COMPUTED_VALUE"""),5159280)</f>
        <v>5159280</v>
      </c>
    </row>
    <row r="747" spans="1:6" ht="12.6">
      <c r="A747" s="2">
        <f ca="1">IFERROR(__xludf.DUMMYFUNCTION("""COMPUTED_VALUE"""),45645.6666666666)</f>
        <v>45645.666666666599</v>
      </c>
      <c r="B747" s="1">
        <f ca="1">IFERROR(__xludf.DUMMYFUNCTION("""COMPUTED_VALUE"""),164.5)</f>
        <v>164.5</v>
      </c>
      <c r="C747" s="1">
        <f ca="1">IFERROR(__xludf.DUMMYFUNCTION("""COMPUTED_VALUE"""),165.75)</f>
        <v>165.75</v>
      </c>
      <c r="D747" s="1">
        <f ca="1">IFERROR(__xludf.DUMMYFUNCTION("""COMPUTED_VALUE"""),160.65)</f>
        <v>160.65</v>
      </c>
      <c r="E747" s="1">
        <f ca="1">IFERROR(__xludf.DUMMYFUNCTION("""COMPUTED_VALUE"""),164.21)</f>
        <v>164.21</v>
      </c>
      <c r="F747" s="1">
        <f ca="1">IFERROR(__xludf.DUMMYFUNCTION("""COMPUTED_VALUE"""),5792306)</f>
        <v>5792306</v>
      </c>
    </row>
    <row r="748" spans="1:6" ht="12.6">
      <c r="A748" s="2">
        <f ca="1">IFERROR(__xludf.DUMMYFUNCTION("""COMPUTED_VALUE"""),45646.6666666666)</f>
        <v>45646.666666666599</v>
      </c>
      <c r="B748" s="1">
        <f ca="1">IFERROR(__xludf.DUMMYFUNCTION("""COMPUTED_VALUE"""),162.07)</f>
        <v>162.07</v>
      </c>
      <c r="C748" s="1">
        <f ca="1">IFERROR(__xludf.DUMMYFUNCTION("""COMPUTED_VALUE"""),168.94)</f>
        <v>168.94</v>
      </c>
      <c r="D748" s="1">
        <f ca="1">IFERROR(__xludf.DUMMYFUNCTION("""COMPUTED_VALUE"""),161.55)</f>
        <v>161.55000000000001</v>
      </c>
      <c r="E748" s="1">
        <f ca="1">IFERROR(__xludf.DUMMYFUNCTION("""COMPUTED_VALUE"""),166.29)</f>
        <v>166.29</v>
      </c>
      <c r="F748" s="1">
        <f ca="1">IFERROR(__xludf.DUMMYFUNCTION("""COMPUTED_VALUE"""),5304356)</f>
        <v>5304356</v>
      </c>
    </row>
    <row r="749" spans="1:6" ht="12.6">
      <c r="A749" s="2">
        <f ca="1">IFERROR(__xludf.DUMMYFUNCTION("""COMPUTED_VALUE"""),45649.6666666666)</f>
        <v>45649.666666666599</v>
      </c>
      <c r="B749" s="1">
        <f ca="1">IFERROR(__xludf.DUMMYFUNCTION("""COMPUTED_VALUE"""),165.31)</f>
        <v>165.31</v>
      </c>
      <c r="C749" s="1">
        <f ca="1">IFERROR(__xludf.DUMMYFUNCTION("""COMPUTED_VALUE"""),166.41)</f>
        <v>166.41</v>
      </c>
      <c r="D749" s="1">
        <f ca="1">IFERROR(__xludf.DUMMYFUNCTION("""COMPUTED_VALUE"""),160.86)</f>
        <v>160.86000000000001</v>
      </c>
      <c r="E749" s="1">
        <f ca="1">IFERROR(__xludf.DUMMYFUNCTION("""COMPUTED_VALUE"""),161.44)</f>
        <v>161.44</v>
      </c>
      <c r="F749" s="1">
        <f ca="1">IFERROR(__xludf.DUMMYFUNCTION("""COMPUTED_VALUE"""),5711993)</f>
        <v>5711993</v>
      </c>
    </row>
    <row r="750" spans="1:6" ht="12.6">
      <c r="A750" s="2">
        <f ca="1">IFERROR(__xludf.DUMMYFUNCTION("""COMPUTED_VALUE"""),45650.5416666666)</f>
        <v>45650.541666666599</v>
      </c>
      <c r="B750" s="1">
        <f ca="1">IFERROR(__xludf.DUMMYFUNCTION("""COMPUTED_VALUE"""),161.8)</f>
        <v>161.80000000000001</v>
      </c>
      <c r="C750" s="1">
        <f ca="1">IFERROR(__xludf.DUMMYFUNCTION("""COMPUTED_VALUE"""),163.69)</f>
        <v>163.69</v>
      </c>
      <c r="D750" s="1">
        <f ca="1">IFERROR(__xludf.DUMMYFUNCTION("""COMPUTED_VALUE"""),161.41)</f>
        <v>161.41</v>
      </c>
      <c r="E750" s="1">
        <f ca="1">IFERROR(__xludf.DUMMYFUNCTION("""COMPUTED_VALUE"""),163.06)</f>
        <v>163.06</v>
      </c>
      <c r="F750" s="1">
        <f ca="1">IFERROR(__xludf.DUMMYFUNCTION("""COMPUTED_VALUE"""),1754277)</f>
        <v>1754277</v>
      </c>
    </row>
    <row r="751" spans="1:6" ht="12.6">
      <c r="A751" s="2">
        <f ca="1">IFERROR(__xludf.DUMMYFUNCTION("""COMPUTED_VALUE"""),45652.6666666666)</f>
        <v>45652.666666666599</v>
      </c>
      <c r="B751" s="1">
        <f ca="1">IFERROR(__xludf.DUMMYFUNCTION("""COMPUTED_VALUE"""),162.65)</f>
        <v>162.65</v>
      </c>
      <c r="C751" s="1">
        <f ca="1">IFERROR(__xludf.DUMMYFUNCTION("""COMPUTED_VALUE"""),164.93)</f>
        <v>164.93</v>
      </c>
      <c r="D751" s="1">
        <f ca="1">IFERROR(__xludf.DUMMYFUNCTION("""COMPUTED_VALUE"""),161.32)</f>
        <v>161.32</v>
      </c>
      <c r="E751" s="1">
        <f ca="1">IFERROR(__xludf.DUMMYFUNCTION("""COMPUTED_VALUE"""),163.48)</f>
        <v>163.47999999999999</v>
      </c>
      <c r="F751" s="1">
        <f ca="1">IFERROR(__xludf.DUMMYFUNCTION("""COMPUTED_VALUE"""),2692943)</f>
        <v>2692943</v>
      </c>
    </row>
    <row r="752" spans="1:6" ht="12.6">
      <c r="A752" s="2">
        <f ca="1">IFERROR(__xludf.DUMMYFUNCTION("""COMPUTED_VALUE"""),45653.6666666666)</f>
        <v>45653.666666666599</v>
      </c>
      <c r="B752" s="1">
        <f ca="1">IFERROR(__xludf.DUMMYFUNCTION("""COMPUTED_VALUE"""),162.65)</f>
        <v>162.65</v>
      </c>
      <c r="C752" s="1">
        <f ca="1">IFERROR(__xludf.DUMMYFUNCTION("""COMPUTED_VALUE"""),162.76)</f>
        <v>162.76</v>
      </c>
      <c r="D752" s="1">
        <f ca="1">IFERROR(__xludf.DUMMYFUNCTION("""COMPUTED_VALUE"""),157.26)</f>
        <v>157.26</v>
      </c>
      <c r="E752" s="1">
        <f ca="1">IFERROR(__xludf.DUMMYFUNCTION("""COMPUTED_VALUE"""),158.65)</f>
        <v>158.65</v>
      </c>
      <c r="F752" s="1">
        <f ca="1">IFERROR(__xludf.DUMMYFUNCTION("""COMPUTED_VALUE"""),4040021)</f>
        <v>4040021</v>
      </c>
    </row>
    <row r="753" spans="1:6" ht="12.6">
      <c r="A753" s="2">
        <f ca="1">IFERROR(__xludf.DUMMYFUNCTION("""COMPUTED_VALUE"""),45656.6666666666)</f>
        <v>45656.666666666599</v>
      </c>
      <c r="B753" s="1">
        <f ca="1">IFERROR(__xludf.DUMMYFUNCTION("""COMPUTED_VALUE"""),155.36)</f>
        <v>155.36000000000001</v>
      </c>
      <c r="C753" s="1">
        <f ca="1">IFERROR(__xludf.DUMMYFUNCTION("""COMPUTED_VALUE"""),156.68)</f>
        <v>156.68</v>
      </c>
      <c r="D753" s="1">
        <f ca="1">IFERROR(__xludf.DUMMYFUNCTION("""COMPUTED_VALUE"""),153.12)</f>
        <v>153.12</v>
      </c>
      <c r="E753" s="1">
        <f ca="1">IFERROR(__xludf.DUMMYFUNCTION("""COMPUTED_VALUE"""),154.97)</f>
        <v>154.97</v>
      </c>
      <c r="F753" s="1">
        <f ca="1">IFERROR(__xludf.DUMMYFUNCTION("""COMPUTED_VALUE"""),3853717)</f>
        <v>3853717</v>
      </c>
    </row>
    <row r="754" spans="1:6" ht="12.6">
      <c r="A754" s="2">
        <f ca="1">IFERROR(__xludf.DUMMYFUNCTION("""COMPUTED_VALUE"""),45657.6666666666)</f>
        <v>45657.666666666599</v>
      </c>
      <c r="B754" s="1">
        <f ca="1">IFERROR(__xludf.DUMMYFUNCTION("""COMPUTED_VALUE"""),155.95)</f>
        <v>155.94999999999999</v>
      </c>
      <c r="C754" s="1">
        <f ca="1">IFERROR(__xludf.DUMMYFUNCTION("""COMPUTED_VALUE"""),156.39)</f>
        <v>156.38999999999999</v>
      </c>
      <c r="D754" s="1">
        <f ca="1">IFERROR(__xludf.DUMMYFUNCTION("""COMPUTED_VALUE"""),153.38)</f>
        <v>153.38</v>
      </c>
      <c r="E754" s="1">
        <f ca="1">IFERROR(__xludf.DUMMYFUNCTION("""COMPUTED_VALUE"""),154.41)</f>
        <v>154.41</v>
      </c>
      <c r="F754" s="1">
        <f ca="1">IFERROR(__xludf.DUMMYFUNCTION("""COMPUTED_VALUE"""),2977410)</f>
        <v>2977410</v>
      </c>
    </row>
    <row r="755" spans="1:6" ht="12.6">
      <c r="A755" s="2">
        <f ca="1">IFERROR(__xludf.DUMMYFUNCTION("""COMPUTED_VALUE"""),45659.6666666666)</f>
        <v>45659.666666666599</v>
      </c>
      <c r="B755" s="1">
        <f ca="1">IFERROR(__xludf.DUMMYFUNCTION("""COMPUTED_VALUE"""),156.99)</f>
        <v>156.99</v>
      </c>
      <c r="C755" s="1">
        <f ca="1">IFERROR(__xludf.DUMMYFUNCTION("""COMPUTED_VALUE"""),160.34)</f>
        <v>160.34</v>
      </c>
      <c r="D755" s="1">
        <f ca="1">IFERROR(__xludf.DUMMYFUNCTION("""COMPUTED_VALUE"""),154.96)</f>
        <v>154.96</v>
      </c>
      <c r="E755" s="1">
        <f ca="1">IFERROR(__xludf.DUMMYFUNCTION("""COMPUTED_VALUE"""),157.51)</f>
        <v>157.51</v>
      </c>
      <c r="F755" s="1">
        <f ca="1">IFERROR(__xludf.DUMMYFUNCTION("""COMPUTED_VALUE"""),3405277)</f>
        <v>3405277</v>
      </c>
    </row>
    <row r="756" spans="1:6" ht="12.6">
      <c r="A756" s="2">
        <f ca="1">IFERROR(__xludf.DUMMYFUNCTION("""COMPUTED_VALUE"""),45660.6666666666)</f>
        <v>45660.666666666599</v>
      </c>
      <c r="B756" s="1">
        <f ca="1">IFERROR(__xludf.DUMMYFUNCTION("""COMPUTED_VALUE"""),158.8)</f>
        <v>158.80000000000001</v>
      </c>
      <c r="C756" s="1">
        <f ca="1">IFERROR(__xludf.DUMMYFUNCTION("""COMPUTED_VALUE"""),162.68)</f>
        <v>162.68</v>
      </c>
      <c r="D756" s="1">
        <f ca="1">IFERROR(__xludf.DUMMYFUNCTION("""COMPUTED_VALUE"""),158.14)</f>
        <v>158.13999999999999</v>
      </c>
      <c r="E756" s="1">
        <f ca="1">IFERROR(__xludf.DUMMYFUNCTION("""COMPUTED_VALUE"""),162.22)</f>
        <v>162.22</v>
      </c>
      <c r="F756" s="1">
        <f ca="1">IFERROR(__xludf.DUMMYFUNCTION("""COMPUTED_VALUE"""),3408875)</f>
        <v>3408875</v>
      </c>
    </row>
    <row r="757" spans="1:6" ht="12.6">
      <c r="A757" s="2">
        <f ca="1">IFERROR(__xludf.DUMMYFUNCTION("""COMPUTED_VALUE"""),45663.6666666666)</f>
        <v>45663.666666666599</v>
      </c>
      <c r="B757" s="1">
        <f ca="1">IFERROR(__xludf.DUMMYFUNCTION("""COMPUTED_VALUE"""),165.32)</f>
        <v>165.32</v>
      </c>
      <c r="C757" s="1">
        <f ca="1">IFERROR(__xludf.DUMMYFUNCTION("""COMPUTED_VALUE"""),166.6)</f>
        <v>166.6</v>
      </c>
      <c r="D757" s="1">
        <f ca="1">IFERROR(__xludf.DUMMYFUNCTION("""COMPUTED_VALUE"""),162.42)</f>
        <v>162.41999999999999</v>
      </c>
      <c r="E757" s="1">
        <f ca="1">IFERROR(__xludf.DUMMYFUNCTION("""COMPUTED_VALUE"""),163.08)</f>
        <v>163.08000000000001</v>
      </c>
      <c r="F757" s="1">
        <f ca="1">IFERROR(__xludf.DUMMYFUNCTION("""COMPUTED_VALUE"""),4130111)</f>
        <v>4130111</v>
      </c>
    </row>
    <row r="758" spans="1:6" ht="12.6">
      <c r="A758" s="2">
        <f ca="1">IFERROR(__xludf.DUMMYFUNCTION("""COMPUTED_VALUE"""),45664.6666666666)</f>
        <v>45664.666666666599</v>
      </c>
      <c r="B758" s="1">
        <f ca="1">IFERROR(__xludf.DUMMYFUNCTION("""COMPUTED_VALUE"""),167.4)</f>
        <v>167.4</v>
      </c>
      <c r="C758" s="1">
        <f ca="1">IFERROR(__xludf.DUMMYFUNCTION("""COMPUTED_VALUE"""),167.91)</f>
        <v>167.91</v>
      </c>
      <c r="D758" s="1">
        <f ca="1">IFERROR(__xludf.DUMMYFUNCTION("""COMPUTED_VALUE"""),157.04)</f>
        <v>157.04</v>
      </c>
      <c r="E758" s="1">
        <f ca="1">IFERROR(__xludf.DUMMYFUNCTION("""COMPUTED_VALUE"""),158.84)</f>
        <v>158.84</v>
      </c>
      <c r="F758" s="1">
        <f ca="1">IFERROR(__xludf.DUMMYFUNCTION("""COMPUTED_VALUE"""),6588461)</f>
        <v>6588461</v>
      </c>
    </row>
    <row r="759" spans="1:6" ht="12.6">
      <c r="A759" s="2">
        <f ca="1">IFERROR(__xludf.DUMMYFUNCTION("""COMPUTED_VALUE"""),45665.6666666666)</f>
        <v>45665.666666666599</v>
      </c>
      <c r="B759" s="1">
        <f ca="1">IFERROR(__xludf.DUMMYFUNCTION("""COMPUTED_VALUE"""),158.3)</f>
        <v>158.30000000000001</v>
      </c>
      <c r="C759" s="1">
        <f ca="1">IFERROR(__xludf.DUMMYFUNCTION("""COMPUTED_VALUE"""),162.58)</f>
        <v>162.58000000000001</v>
      </c>
      <c r="D759" s="1">
        <f ca="1">IFERROR(__xludf.DUMMYFUNCTION("""COMPUTED_VALUE"""),156.7)</f>
        <v>156.69999999999999</v>
      </c>
      <c r="E759" s="1">
        <f ca="1">IFERROR(__xludf.DUMMYFUNCTION("""COMPUTED_VALUE"""),161.03)</f>
        <v>161.03</v>
      </c>
      <c r="F759" s="1">
        <f ca="1">IFERROR(__xludf.DUMMYFUNCTION("""COMPUTED_VALUE"""),5407756)</f>
        <v>5407756</v>
      </c>
    </row>
    <row r="760" spans="1:6" ht="12.6">
      <c r="A760" s="2">
        <f ca="1">IFERROR(__xludf.DUMMYFUNCTION("""COMPUTED_VALUE"""),45667.6666666666)</f>
        <v>45667.666666666599</v>
      </c>
      <c r="B760" s="1">
        <f ca="1">IFERROR(__xludf.DUMMYFUNCTION("""COMPUTED_VALUE"""),161.38)</f>
        <v>161.38</v>
      </c>
      <c r="C760" s="1">
        <f ca="1">IFERROR(__xludf.DUMMYFUNCTION("""COMPUTED_VALUE"""),165.45)</f>
        <v>165.45</v>
      </c>
      <c r="D760" s="1">
        <f ca="1">IFERROR(__xludf.DUMMYFUNCTION("""COMPUTED_VALUE"""),160.63)</f>
        <v>160.63</v>
      </c>
      <c r="E760" s="1">
        <f ca="1">IFERROR(__xludf.DUMMYFUNCTION("""COMPUTED_VALUE"""),162.46)</f>
        <v>162.46</v>
      </c>
      <c r="F760" s="1">
        <f ca="1">IFERROR(__xludf.DUMMYFUNCTION("""COMPUTED_VALUE"""),5902730)</f>
        <v>5902730</v>
      </c>
    </row>
    <row r="761" spans="1:6" ht="12.6">
      <c r="A761" s="2">
        <f ca="1">IFERROR(__xludf.DUMMYFUNCTION("""COMPUTED_VALUE"""),45670.6666666666)</f>
        <v>45670.666666666599</v>
      </c>
      <c r="B761" s="1">
        <f ca="1">IFERROR(__xludf.DUMMYFUNCTION("""COMPUTED_VALUE"""),160.27)</f>
        <v>160.27000000000001</v>
      </c>
      <c r="C761" s="1">
        <f ca="1">IFERROR(__xludf.DUMMYFUNCTION("""COMPUTED_VALUE"""),164.31)</f>
        <v>164.31</v>
      </c>
      <c r="D761" s="1">
        <f ca="1">IFERROR(__xludf.DUMMYFUNCTION("""COMPUTED_VALUE"""),158.6)</f>
        <v>158.6</v>
      </c>
      <c r="E761" s="1">
        <f ca="1">IFERROR(__xludf.DUMMYFUNCTION("""COMPUTED_VALUE"""),162.43)</f>
        <v>162.43</v>
      </c>
      <c r="F761" s="1">
        <f ca="1">IFERROR(__xludf.DUMMYFUNCTION("""COMPUTED_VALUE"""),4399594)</f>
        <v>4399594</v>
      </c>
    </row>
    <row r="762" spans="1:6" ht="12.6">
      <c r="A762" s="2">
        <f ca="1">IFERROR(__xludf.DUMMYFUNCTION("""COMPUTED_VALUE"""),45671.6666666666)</f>
        <v>45671.666666666599</v>
      </c>
      <c r="B762" s="1">
        <f ca="1">IFERROR(__xludf.DUMMYFUNCTION("""COMPUTED_VALUE"""),165.01)</f>
        <v>165.01</v>
      </c>
      <c r="C762" s="1">
        <f ca="1">IFERROR(__xludf.DUMMYFUNCTION("""COMPUTED_VALUE"""),170.2)</f>
        <v>170.2</v>
      </c>
      <c r="D762" s="1">
        <f ca="1">IFERROR(__xludf.DUMMYFUNCTION("""COMPUTED_VALUE"""),162.48)</f>
        <v>162.47999999999999</v>
      </c>
      <c r="E762" s="1">
        <f ca="1">IFERROR(__xludf.DUMMYFUNCTION("""COMPUTED_VALUE"""),163.41)</f>
        <v>163.41</v>
      </c>
      <c r="F762" s="1">
        <f ca="1">IFERROR(__xludf.DUMMYFUNCTION("""COMPUTED_VALUE"""),6325872)</f>
        <v>6325872</v>
      </c>
    </row>
    <row r="763" spans="1:6" ht="12.6">
      <c r="A763" s="2">
        <f ca="1">IFERROR(__xludf.DUMMYFUNCTION("""COMPUTED_VALUE"""),45672.6666666666)</f>
        <v>45672.666666666599</v>
      </c>
      <c r="B763" s="1">
        <f ca="1">IFERROR(__xludf.DUMMYFUNCTION("""COMPUTED_VALUE"""),168.25)</f>
        <v>168.25</v>
      </c>
      <c r="C763" s="1">
        <f ca="1">IFERROR(__xludf.DUMMYFUNCTION("""COMPUTED_VALUE"""),170.42)</f>
        <v>170.42</v>
      </c>
      <c r="D763" s="1">
        <f ca="1">IFERROR(__xludf.DUMMYFUNCTION("""COMPUTED_VALUE"""),165.59)</f>
        <v>165.59</v>
      </c>
      <c r="E763" s="1">
        <f ca="1">IFERROR(__xludf.DUMMYFUNCTION("""COMPUTED_VALUE"""),165.71)</f>
        <v>165.71</v>
      </c>
      <c r="F763" s="1">
        <f ca="1">IFERROR(__xludf.DUMMYFUNCTION("""COMPUTED_VALUE"""),7010745)</f>
        <v>7010745</v>
      </c>
    </row>
    <row r="764" spans="1:6" ht="12.6">
      <c r="A764" s="2">
        <f ca="1">IFERROR(__xludf.DUMMYFUNCTION("""COMPUTED_VALUE"""),45673.6666666666)</f>
        <v>45673.666666666599</v>
      </c>
      <c r="B764" s="1">
        <f ca="1">IFERROR(__xludf.DUMMYFUNCTION("""COMPUTED_VALUE"""),166.52)</f>
        <v>166.52</v>
      </c>
      <c r="C764" s="1">
        <f ca="1">IFERROR(__xludf.DUMMYFUNCTION("""COMPUTED_VALUE"""),170.67)</f>
        <v>170.67</v>
      </c>
      <c r="D764" s="1">
        <f ca="1">IFERROR(__xludf.DUMMYFUNCTION("""COMPUTED_VALUE"""),164.39)</f>
        <v>164.39</v>
      </c>
      <c r="E764" s="1">
        <f ca="1">IFERROR(__xludf.DUMMYFUNCTION("""COMPUTED_VALUE"""),167.64)</f>
        <v>167.64</v>
      </c>
      <c r="F764" s="1">
        <f ca="1">IFERROR(__xludf.DUMMYFUNCTION("""COMPUTED_VALUE"""),4432717)</f>
        <v>4432717</v>
      </c>
    </row>
    <row r="765" spans="1:6" ht="12.6">
      <c r="A765" s="2">
        <f ca="1">IFERROR(__xludf.DUMMYFUNCTION("""COMPUTED_VALUE"""),45674.6666666666)</f>
        <v>45674.666666666599</v>
      </c>
      <c r="B765" s="1">
        <f ca="1">IFERROR(__xludf.DUMMYFUNCTION("""COMPUTED_VALUE"""),172.51)</f>
        <v>172.51</v>
      </c>
      <c r="C765" s="1">
        <f ca="1">IFERROR(__xludf.DUMMYFUNCTION("""COMPUTED_VALUE"""),172.99)</f>
        <v>172.99</v>
      </c>
      <c r="D765" s="1">
        <f ca="1">IFERROR(__xludf.DUMMYFUNCTION("""COMPUTED_VALUE"""),169.25)</f>
        <v>169.25</v>
      </c>
      <c r="E765" s="1">
        <f ca="1">IFERROR(__xludf.DUMMYFUNCTION("""COMPUTED_VALUE"""),170.79)</f>
        <v>170.79</v>
      </c>
      <c r="F765" s="1">
        <f ca="1">IFERROR(__xludf.DUMMYFUNCTION("""COMPUTED_VALUE"""),4162186)</f>
        <v>4162186</v>
      </c>
    </row>
    <row r="766" spans="1:6" ht="12.6">
      <c r="A766" s="2">
        <f ca="1">IFERROR(__xludf.DUMMYFUNCTION("""COMPUTED_VALUE"""),45678.6666666666)</f>
        <v>45678.666666666599</v>
      </c>
      <c r="B766" s="1">
        <f ca="1">IFERROR(__xludf.DUMMYFUNCTION("""COMPUTED_VALUE"""),172.77)</f>
        <v>172.77</v>
      </c>
      <c r="C766" s="1">
        <f ca="1">IFERROR(__xludf.DUMMYFUNCTION("""COMPUTED_VALUE"""),176.18)</f>
        <v>176.18</v>
      </c>
      <c r="D766" s="1">
        <f ca="1">IFERROR(__xludf.DUMMYFUNCTION("""COMPUTED_VALUE"""),172.35)</f>
        <v>172.35</v>
      </c>
      <c r="E766" s="1">
        <f ca="1">IFERROR(__xludf.DUMMYFUNCTION("""COMPUTED_VALUE"""),173.53)</f>
        <v>173.53</v>
      </c>
      <c r="F766" s="1">
        <f ca="1">IFERROR(__xludf.DUMMYFUNCTION("""COMPUTED_VALUE"""),5279075)</f>
        <v>5279075</v>
      </c>
    </row>
    <row r="767" spans="1:6" ht="12.6">
      <c r="A767" s="2">
        <f ca="1">IFERROR(__xludf.DUMMYFUNCTION("""COMPUTED_VALUE"""),45679.6666666666)</f>
        <v>45679.666666666599</v>
      </c>
      <c r="B767" s="1">
        <f ca="1">IFERROR(__xludf.DUMMYFUNCTION("""COMPUTED_VALUE"""),175.65)</f>
        <v>175.65</v>
      </c>
      <c r="C767" s="1">
        <f ca="1">IFERROR(__xludf.DUMMYFUNCTION("""COMPUTED_VALUE"""),177.6)</f>
        <v>177.6</v>
      </c>
      <c r="D767" s="1">
        <f ca="1">IFERROR(__xludf.DUMMYFUNCTION("""COMPUTED_VALUE"""),173.2)</f>
        <v>173.2</v>
      </c>
      <c r="E767" s="1">
        <f ca="1">IFERROR(__xludf.DUMMYFUNCTION("""COMPUTED_VALUE"""),177.49)</f>
        <v>177.49</v>
      </c>
      <c r="F767" s="1">
        <f ca="1">IFERROR(__xludf.DUMMYFUNCTION("""COMPUTED_VALUE"""),5039883)</f>
        <v>5039883</v>
      </c>
    </row>
    <row r="768" spans="1:6" ht="12.6">
      <c r="A768" s="2">
        <f ca="1">IFERROR(__xludf.DUMMYFUNCTION("""COMPUTED_VALUE"""),45680.6666666666)</f>
        <v>45680.666666666599</v>
      </c>
      <c r="B768" s="1">
        <f ca="1">IFERROR(__xludf.DUMMYFUNCTION("""COMPUTED_VALUE"""),175.1)</f>
        <v>175.1</v>
      </c>
      <c r="C768" s="1">
        <f ca="1">IFERROR(__xludf.DUMMYFUNCTION("""COMPUTED_VALUE"""),177.8)</f>
        <v>177.8</v>
      </c>
      <c r="D768" s="1">
        <f ca="1">IFERROR(__xludf.DUMMYFUNCTION("""COMPUTED_VALUE"""),174.03)</f>
        <v>174.03</v>
      </c>
      <c r="E768" s="1">
        <f ca="1">IFERROR(__xludf.DUMMYFUNCTION("""COMPUTED_VALUE"""),174.94)</f>
        <v>174.94</v>
      </c>
      <c r="F768" s="1">
        <f ca="1">IFERROR(__xludf.DUMMYFUNCTION("""COMPUTED_VALUE"""),3746286)</f>
        <v>3746286</v>
      </c>
    </row>
    <row r="769" spans="1:6" ht="12.6">
      <c r="A769" s="2">
        <f ca="1">IFERROR(__xludf.DUMMYFUNCTION("""COMPUTED_VALUE"""),45681.6666666666)</f>
        <v>45681.666666666599</v>
      </c>
      <c r="B769" s="1">
        <f ca="1">IFERROR(__xludf.DUMMYFUNCTION("""COMPUTED_VALUE"""),176.88)</f>
        <v>176.88</v>
      </c>
      <c r="C769" s="1">
        <f ca="1">IFERROR(__xludf.DUMMYFUNCTION("""COMPUTED_VALUE"""),176.88)</f>
        <v>176.88</v>
      </c>
      <c r="D769" s="1">
        <f ca="1">IFERROR(__xludf.DUMMYFUNCTION("""COMPUTED_VALUE"""),172.89)</f>
        <v>172.89</v>
      </c>
      <c r="E769" s="1">
        <f ca="1">IFERROR(__xludf.DUMMYFUNCTION("""COMPUTED_VALUE"""),174.12)</f>
        <v>174.12</v>
      </c>
      <c r="F769" s="1">
        <f ca="1">IFERROR(__xludf.DUMMYFUNCTION("""COMPUTED_VALUE"""),2945798)</f>
        <v>2945798</v>
      </c>
    </row>
    <row r="770" spans="1:6" ht="12.6">
      <c r="A770" s="2">
        <f ca="1">IFERROR(__xludf.DUMMYFUNCTION("""COMPUTED_VALUE"""),45684.6666666666)</f>
        <v>45684.666666666599</v>
      </c>
      <c r="B770" s="1">
        <f ca="1">IFERROR(__xludf.DUMMYFUNCTION("""COMPUTED_VALUE"""),171.51)</f>
        <v>171.51</v>
      </c>
      <c r="C770" s="1">
        <f ca="1">IFERROR(__xludf.DUMMYFUNCTION("""COMPUTED_VALUE"""),181.77)</f>
        <v>181.77</v>
      </c>
      <c r="D770" s="1">
        <f ca="1">IFERROR(__xludf.DUMMYFUNCTION("""COMPUTED_VALUE"""),170.1)</f>
        <v>170.1</v>
      </c>
      <c r="E770" s="1">
        <f ca="1">IFERROR(__xludf.DUMMYFUNCTION("""COMPUTED_VALUE"""),175.52)</f>
        <v>175.52</v>
      </c>
      <c r="F770" s="1">
        <f ca="1">IFERROR(__xludf.DUMMYFUNCTION("""COMPUTED_VALUE"""),7398781)</f>
        <v>7398781</v>
      </c>
    </row>
    <row r="771" spans="1:6" ht="12.6">
      <c r="A771" s="2">
        <f ca="1">IFERROR(__xludf.DUMMYFUNCTION("""COMPUTED_VALUE"""),45685.6666666666)</f>
        <v>45685.666666666599</v>
      </c>
      <c r="B771" s="1">
        <f ca="1">IFERROR(__xludf.DUMMYFUNCTION("""COMPUTED_VALUE"""),179.03)</f>
        <v>179.03</v>
      </c>
      <c r="C771" s="1">
        <f ca="1">IFERROR(__xludf.DUMMYFUNCTION("""COMPUTED_VALUE"""),188.43)</f>
        <v>188.43</v>
      </c>
      <c r="D771" s="1">
        <f ca="1">IFERROR(__xludf.DUMMYFUNCTION("""COMPUTED_VALUE"""),177.05)</f>
        <v>177.05</v>
      </c>
      <c r="E771" s="1">
        <f ca="1">IFERROR(__xludf.DUMMYFUNCTION("""COMPUTED_VALUE"""),188.02)</f>
        <v>188.02</v>
      </c>
      <c r="F771" s="1">
        <f ca="1">IFERROR(__xludf.DUMMYFUNCTION("""COMPUTED_VALUE"""),8558166)</f>
        <v>8558166</v>
      </c>
    </row>
    <row r="772" spans="1:6" ht="12.6">
      <c r="A772" s="2">
        <f ca="1">IFERROR(__xludf.DUMMYFUNCTION("""COMPUTED_VALUE"""),45686.6666666666)</f>
        <v>45686.666666666599</v>
      </c>
      <c r="B772" s="1">
        <f ca="1">IFERROR(__xludf.DUMMYFUNCTION("""COMPUTED_VALUE"""),184.5)</f>
        <v>184.5</v>
      </c>
      <c r="C772" s="1">
        <f ca="1">IFERROR(__xludf.DUMMYFUNCTION("""COMPUTED_VALUE"""),185)</f>
        <v>185</v>
      </c>
      <c r="D772" s="1">
        <f ca="1">IFERROR(__xludf.DUMMYFUNCTION("""COMPUTED_VALUE"""),181.25)</f>
        <v>181.25</v>
      </c>
      <c r="E772" s="1">
        <f ca="1">IFERROR(__xludf.DUMMYFUNCTION("""COMPUTED_VALUE"""),182.88)</f>
        <v>182.88</v>
      </c>
      <c r="F772" s="1">
        <f ca="1">IFERROR(__xludf.DUMMYFUNCTION("""COMPUTED_VALUE"""),5219474)</f>
        <v>5219474</v>
      </c>
    </row>
    <row r="773" spans="1:6" ht="12.6">
      <c r="A773" s="2">
        <f ca="1">IFERROR(__xludf.DUMMYFUNCTION("""COMPUTED_VALUE"""),45687.6666666666)</f>
        <v>45687.666666666599</v>
      </c>
      <c r="B773" s="1">
        <f ca="1">IFERROR(__xludf.DUMMYFUNCTION("""COMPUTED_VALUE"""),179.31)</f>
        <v>179.31</v>
      </c>
      <c r="C773" s="1">
        <f ca="1">IFERROR(__xludf.DUMMYFUNCTION("""COMPUTED_VALUE"""),180.86)</f>
        <v>180.86</v>
      </c>
      <c r="D773" s="1">
        <f ca="1">IFERROR(__xludf.DUMMYFUNCTION("""COMPUTED_VALUE"""),176.22)</f>
        <v>176.22</v>
      </c>
      <c r="E773" s="1">
        <f ca="1">IFERROR(__xludf.DUMMYFUNCTION("""COMPUTED_VALUE"""),179.29)</f>
        <v>179.29</v>
      </c>
      <c r="F773" s="1">
        <f ca="1">IFERROR(__xludf.DUMMYFUNCTION("""COMPUTED_VALUE"""),6428334)</f>
        <v>6428334</v>
      </c>
    </row>
    <row r="774" spans="1:6" ht="12.6">
      <c r="A774" s="2">
        <f ca="1">IFERROR(__xludf.DUMMYFUNCTION("""COMPUTED_VALUE"""),45688.6666666666)</f>
        <v>45688.666666666599</v>
      </c>
      <c r="B774" s="1">
        <f ca="1">IFERROR(__xludf.DUMMYFUNCTION("""COMPUTED_VALUE"""),183.3)</f>
        <v>183.3</v>
      </c>
      <c r="C774" s="1">
        <f ca="1">IFERROR(__xludf.DUMMYFUNCTION("""COMPUTED_VALUE"""),185.87)</f>
        <v>185.87</v>
      </c>
      <c r="D774" s="1">
        <f ca="1">IFERROR(__xludf.DUMMYFUNCTION("""COMPUTED_VALUE"""),180.87)</f>
        <v>180.87</v>
      </c>
      <c r="E774" s="1">
        <f ca="1">IFERROR(__xludf.DUMMYFUNCTION("""COMPUTED_VALUE"""),181.51)</f>
        <v>181.51</v>
      </c>
      <c r="F774" s="1">
        <f ca="1">IFERROR(__xludf.DUMMYFUNCTION("""COMPUTED_VALUE"""),4717377)</f>
        <v>4717377</v>
      </c>
    </row>
    <row r="775" spans="1:6" ht="12.6">
      <c r="A775" s="2">
        <f ca="1">IFERROR(__xludf.DUMMYFUNCTION("""COMPUTED_VALUE"""),45691.6666666666)</f>
        <v>45691.666666666599</v>
      </c>
      <c r="B775" s="1">
        <f ca="1">IFERROR(__xludf.DUMMYFUNCTION("""COMPUTED_VALUE"""),176.17)</f>
        <v>176.17</v>
      </c>
      <c r="C775" s="1">
        <f ca="1">IFERROR(__xludf.DUMMYFUNCTION("""COMPUTED_VALUE"""),184.5)</f>
        <v>184.5</v>
      </c>
      <c r="D775" s="1">
        <f ca="1">IFERROR(__xludf.DUMMYFUNCTION("""COMPUTED_VALUE"""),175.25)</f>
        <v>175.25</v>
      </c>
      <c r="E775" s="1">
        <f ca="1">IFERROR(__xludf.DUMMYFUNCTION("""COMPUTED_VALUE"""),182.54)</f>
        <v>182.54</v>
      </c>
      <c r="F775" s="1">
        <f ca="1">IFERROR(__xludf.DUMMYFUNCTION("""COMPUTED_VALUE"""),4388718)</f>
        <v>4388718</v>
      </c>
    </row>
    <row r="776" spans="1:6" ht="12.6">
      <c r="A776" s="2">
        <f ca="1">IFERROR(__xludf.DUMMYFUNCTION("""COMPUTED_VALUE"""),45692.6666666666)</f>
        <v>45692.666666666599</v>
      </c>
      <c r="B776" s="1">
        <f ca="1">IFERROR(__xludf.DUMMYFUNCTION("""COMPUTED_VALUE"""),186.5)</f>
        <v>186.5</v>
      </c>
      <c r="C776" s="1">
        <f ca="1">IFERROR(__xludf.DUMMYFUNCTION("""COMPUTED_VALUE"""),190.92)</f>
        <v>190.92</v>
      </c>
      <c r="D776" s="1">
        <f ca="1">IFERROR(__xludf.DUMMYFUNCTION("""COMPUTED_VALUE"""),184.41)</f>
        <v>184.41</v>
      </c>
      <c r="E776" s="1">
        <f ca="1">IFERROR(__xludf.DUMMYFUNCTION("""COMPUTED_VALUE"""),189.11)</f>
        <v>189.11</v>
      </c>
      <c r="F776" s="1">
        <f ca="1">IFERROR(__xludf.DUMMYFUNCTION("""COMPUTED_VALUE"""),6903811)</f>
        <v>6903811</v>
      </c>
    </row>
    <row r="777" spans="1:6" ht="12.6">
      <c r="A777" s="2">
        <f ca="1">IFERROR(__xludf.DUMMYFUNCTION("""COMPUTED_VALUE"""),45693.6666666666)</f>
        <v>45693.666666666599</v>
      </c>
      <c r="B777" s="1">
        <f ca="1">IFERROR(__xludf.DUMMYFUNCTION("""COMPUTED_VALUE"""),184)</f>
        <v>184</v>
      </c>
      <c r="C777" s="1">
        <f ca="1">IFERROR(__xludf.DUMMYFUNCTION("""COMPUTED_VALUE"""),188.93)</f>
        <v>188.93</v>
      </c>
      <c r="D777" s="1">
        <f ca="1">IFERROR(__xludf.DUMMYFUNCTION("""COMPUTED_VALUE"""),181.68)</f>
        <v>181.68</v>
      </c>
      <c r="E777" s="1">
        <f ca="1">IFERROR(__xludf.DUMMYFUNCTION("""COMPUTED_VALUE"""),188.93)</f>
        <v>188.93</v>
      </c>
      <c r="F777" s="1">
        <f ca="1">IFERROR(__xludf.DUMMYFUNCTION("""COMPUTED_VALUE"""),4965337)</f>
        <v>4965337</v>
      </c>
    </row>
    <row r="778" spans="1:6" ht="12.6">
      <c r="A778" s="2">
        <f ca="1">IFERROR(__xludf.DUMMYFUNCTION("""COMPUTED_VALUE"""),45694.6666666666)</f>
        <v>45694.666666666599</v>
      </c>
      <c r="B778" s="1">
        <f ca="1">IFERROR(__xludf.DUMMYFUNCTION("""COMPUTED_VALUE"""),189.11)</f>
        <v>189.11</v>
      </c>
      <c r="C778" s="1">
        <f ca="1">IFERROR(__xludf.DUMMYFUNCTION("""COMPUTED_VALUE"""),190)</f>
        <v>190</v>
      </c>
      <c r="D778" s="1">
        <f ca="1">IFERROR(__xludf.DUMMYFUNCTION("""COMPUTED_VALUE"""),185.69)</f>
        <v>185.69</v>
      </c>
      <c r="E778" s="1">
        <f ca="1">IFERROR(__xludf.DUMMYFUNCTION("""COMPUTED_VALUE"""),186.37)</f>
        <v>186.37</v>
      </c>
      <c r="F778" s="1">
        <f ca="1">IFERROR(__xludf.DUMMYFUNCTION("""COMPUTED_VALUE"""),3724781)</f>
        <v>3724781</v>
      </c>
    </row>
    <row r="779" spans="1:6" ht="12.6">
      <c r="A779" s="2">
        <f ca="1">IFERROR(__xludf.DUMMYFUNCTION("""COMPUTED_VALUE"""),45695.6666666666)</f>
        <v>45695.666666666599</v>
      </c>
      <c r="B779" s="1">
        <f ca="1">IFERROR(__xludf.DUMMYFUNCTION("""COMPUTED_VALUE"""),187.73)</f>
        <v>187.73</v>
      </c>
      <c r="C779" s="1">
        <f ca="1">IFERROR(__xludf.DUMMYFUNCTION("""COMPUTED_VALUE"""),189.49)</f>
        <v>189.49</v>
      </c>
      <c r="D779" s="1">
        <f ca="1">IFERROR(__xludf.DUMMYFUNCTION("""COMPUTED_VALUE"""),183.61)</f>
        <v>183.61</v>
      </c>
      <c r="E779" s="1">
        <f ca="1">IFERROR(__xludf.DUMMYFUNCTION("""COMPUTED_VALUE"""),184.03)</f>
        <v>184.03</v>
      </c>
      <c r="F779" s="1">
        <f ca="1">IFERROR(__xludf.DUMMYFUNCTION("""COMPUTED_VALUE"""),4549301)</f>
        <v>4549301</v>
      </c>
    </row>
    <row r="780" spans="1:6" ht="12.6">
      <c r="A780" s="2">
        <f ca="1">IFERROR(__xludf.DUMMYFUNCTION("""COMPUTED_VALUE"""),45698.6666666666)</f>
        <v>45698.666666666599</v>
      </c>
      <c r="B780" s="1">
        <f ca="1">IFERROR(__xludf.DUMMYFUNCTION("""COMPUTED_VALUE"""),185.86)</f>
        <v>185.86</v>
      </c>
      <c r="C780" s="1">
        <f ca="1">IFERROR(__xludf.DUMMYFUNCTION("""COMPUTED_VALUE"""),188.88)</f>
        <v>188.88</v>
      </c>
      <c r="D780" s="1">
        <f ca="1">IFERROR(__xludf.DUMMYFUNCTION("""COMPUTED_VALUE"""),184.75)</f>
        <v>184.75</v>
      </c>
      <c r="E780" s="1">
        <f ca="1">IFERROR(__xludf.DUMMYFUNCTION("""COMPUTED_VALUE"""),186.12)</f>
        <v>186.12</v>
      </c>
      <c r="F780" s="1">
        <f ca="1">IFERROR(__xludf.DUMMYFUNCTION("""COMPUTED_VALUE"""),4488669)</f>
        <v>4488669</v>
      </c>
    </row>
    <row r="781" spans="1:6" ht="12.6">
      <c r="A781" s="2">
        <f ca="1">IFERROR(__xludf.DUMMYFUNCTION("""COMPUTED_VALUE"""),45699.6666666666)</f>
        <v>45699.666666666599</v>
      </c>
      <c r="B781" s="1">
        <f ca="1">IFERROR(__xludf.DUMMYFUNCTION("""COMPUTED_VALUE"""),184.25)</f>
        <v>184.25</v>
      </c>
      <c r="C781" s="1">
        <f ca="1">IFERROR(__xludf.DUMMYFUNCTION("""COMPUTED_VALUE"""),186.31)</f>
        <v>186.31</v>
      </c>
      <c r="D781" s="1">
        <f ca="1">IFERROR(__xludf.DUMMYFUNCTION("""COMPUTED_VALUE"""),182.17)</f>
        <v>182.17</v>
      </c>
      <c r="E781" s="1">
        <f ca="1">IFERROR(__xludf.DUMMYFUNCTION("""COMPUTED_VALUE"""),183.55)</f>
        <v>183.55</v>
      </c>
      <c r="F781" s="1">
        <f ca="1">IFERROR(__xludf.DUMMYFUNCTION("""COMPUTED_VALUE"""),3196726)</f>
        <v>3196726</v>
      </c>
    </row>
    <row r="782" spans="1:6" ht="12.6">
      <c r="A782" s="2">
        <f ca="1">IFERROR(__xludf.DUMMYFUNCTION("""COMPUTED_VALUE"""),45700.6666666666)</f>
        <v>45700.666666666599</v>
      </c>
      <c r="B782" s="1">
        <f ca="1">IFERROR(__xludf.DUMMYFUNCTION("""COMPUTED_VALUE"""),180.42)</f>
        <v>180.42</v>
      </c>
      <c r="C782" s="1">
        <f ca="1">IFERROR(__xludf.DUMMYFUNCTION("""COMPUTED_VALUE"""),188.02)</f>
        <v>188.02</v>
      </c>
      <c r="D782" s="1">
        <f ca="1">IFERROR(__xludf.DUMMYFUNCTION("""COMPUTED_VALUE"""),178.52)</f>
        <v>178.52</v>
      </c>
      <c r="E782" s="1">
        <f ca="1">IFERROR(__xludf.DUMMYFUNCTION("""COMPUTED_VALUE"""),187.23)</f>
        <v>187.23</v>
      </c>
      <c r="F782" s="1">
        <f ca="1">IFERROR(__xludf.DUMMYFUNCTION("""COMPUTED_VALUE"""),4555333)</f>
        <v>4555333</v>
      </c>
    </row>
    <row r="783" spans="1:6" ht="12.6">
      <c r="A783" s="2">
        <f ca="1">IFERROR(__xludf.DUMMYFUNCTION("""COMPUTED_VALUE"""),45701.6666666666)</f>
        <v>45701.666666666599</v>
      </c>
      <c r="B783" s="1">
        <f ca="1">IFERROR(__xludf.DUMMYFUNCTION("""COMPUTED_VALUE"""),186.96)</f>
        <v>186.96</v>
      </c>
      <c r="C783" s="1">
        <f ca="1">IFERROR(__xludf.DUMMYFUNCTION("""COMPUTED_VALUE"""),192.77)</f>
        <v>192.77</v>
      </c>
      <c r="D783" s="1">
        <f ca="1">IFERROR(__xludf.DUMMYFUNCTION("""COMPUTED_VALUE"""),185.2)</f>
        <v>185.2</v>
      </c>
      <c r="E783" s="1">
        <f ca="1">IFERROR(__xludf.DUMMYFUNCTION("""COMPUTED_VALUE"""),192.66)</f>
        <v>192.66</v>
      </c>
      <c r="F783" s="1">
        <f ca="1">IFERROR(__xludf.DUMMYFUNCTION("""COMPUTED_VALUE"""),5686407)</f>
        <v>5686407</v>
      </c>
    </row>
    <row r="784" spans="1:6" ht="12.6">
      <c r="A784" s="2">
        <f ca="1">IFERROR(__xludf.DUMMYFUNCTION("""COMPUTED_VALUE"""),45702.6666666666)</f>
        <v>45702.666666666599</v>
      </c>
      <c r="B784" s="1">
        <f ca="1">IFERROR(__xludf.DUMMYFUNCTION("""COMPUTED_VALUE"""),192.86)</f>
        <v>192.86</v>
      </c>
      <c r="C784" s="1">
        <f ca="1">IFERROR(__xludf.DUMMYFUNCTION("""COMPUTED_VALUE"""),193)</f>
        <v>193</v>
      </c>
      <c r="D784" s="1">
        <f ca="1">IFERROR(__xludf.DUMMYFUNCTION("""COMPUTED_VALUE"""),184.07)</f>
        <v>184.07</v>
      </c>
      <c r="E784" s="1">
        <f ca="1">IFERROR(__xludf.DUMMYFUNCTION("""COMPUTED_VALUE"""),187.6)</f>
        <v>187.6</v>
      </c>
      <c r="F784" s="1">
        <f ca="1">IFERROR(__xludf.DUMMYFUNCTION("""COMPUTED_VALUE"""),5812268)</f>
        <v>5812268</v>
      </c>
    </row>
    <row r="785" spans="1:6" ht="12.6">
      <c r="A785" s="2">
        <f ca="1">IFERROR(__xludf.DUMMYFUNCTION("""COMPUTED_VALUE"""),45706.6666666666)</f>
        <v>45706.666666666599</v>
      </c>
      <c r="B785" s="1">
        <f ca="1">IFERROR(__xludf.DUMMYFUNCTION("""COMPUTED_VALUE"""),193.6)</f>
        <v>193.6</v>
      </c>
      <c r="C785" s="1">
        <f ca="1">IFERROR(__xludf.DUMMYFUNCTION("""COMPUTED_VALUE"""),194.4)</f>
        <v>194.4</v>
      </c>
      <c r="D785" s="1">
        <f ca="1">IFERROR(__xludf.DUMMYFUNCTION("""COMPUTED_VALUE"""),189.09)</f>
        <v>189.09</v>
      </c>
      <c r="E785" s="1">
        <f ca="1">IFERROR(__xludf.DUMMYFUNCTION("""COMPUTED_VALUE"""),192.78)</f>
        <v>192.78</v>
      </c>
      <c r="F785" s="1">
        <f ca="1">IFERROR(__xludf.DUMMYFUNCTION("""COMPUTED_VALUE"""),7308886)</f>
        <v>7308886</v>
      </c>
    </row>
    <row r="786" spans="1:6" ht="12.6">
      <c r="A786" s="2">
        <f ca="1">IFERROR(__xludf.DUMMYFUNCTION("""COMPUTED_VALUE"""),45707.6666666666)</f>
        <v>45707.666666666599</v>
      </c>
      <c r="B786" s="1">
        <f ca="1">IFERROR(__xludf.DUMMYFUNCTION("""COMPUTED_VALUE"""),189.2)</f>
        <v>189.2</v>
      </c>
      <c r="C786" s="1">
        <f ca="1">IFERROR(__xludf.DUMMYFUNCTION("""COMPUTED_VALUE"""),192)</f>
        <v>192</v>
      </c>
      <c r="D786" s="1">
        <f ca="1">IFERROR(__xludf.DUMMYFUNCTION("""COMPUTED_VALUE"""),186.19)</f>
        <v>186.19</v>
      </c>
      <c r="E786" s="1">
        <f ca="1">IFERROR(__xludf.DUMMYFUNCTION("""COMPUTED_VALUE"""),186.56)</f>
        <v>186.56</v>
      </c>
      <c r="F786" s="1">
        <f ca="1">IFERROR(__xludf.DUMMYFUNCTION("""COMPUTED_VALUE"""),5088992)</f>
        <v>5088992</v>
      </c>
    </row>
    <row r="787" spans="1:6" ht="12.6">
      <c r="A787" s="2">
        <f ca="1">IFERROR(__xludf.DUMMYFUNCTION("""COMPUTED_VALUE"""),45708.6666666666)</f>
        <v>45708.666666666599</v>
      </c>
      <c r="B787" s="1">
        <f ca="1">IFERROR(__xludf.DUMMYFUNCTION("""COMPUTED_VALUE"""),186)</f>
        <v>186</v>
      </c>
      <c r="C787" s="1">
        <f ca="1">IFERROR(__xludf.DUMMYFUNCTION("""COMPUTED_VALUE"""),186.18)</f>
        <v>186.18</v>
      </c>
      <c r="D787" s="1">
        <f ca="1">IFERROR(__xludf.DUMMYFUNCTION("""COMPUTED_VALUE"""),178.55)</f>
        <v>178.55</v>
      </c>
      <c r="E787" s="1">
        <f ca="1">IFERROR(__xludf.DUMMYFUNCTION("""COMPUTED_VALUE"""),184.96)</f>
        <v>184.96</v>
      </c>
      <c r="F787" s="1">
        <f ca="1">IFERROR(__xludf.DUMMYFUNCTION("""COMPUTED_VALUE"""),5423798)</f>
        <v>5423798</v>
      </c>
    </row>
    <row r="788" spans="1:6" ht="12.6">
      <c r="A788" s="2">
        <f ca="1">IFERROR(__xludf.DUMMYFUNCTION("""COMPUTED_VALUE"""),45709.6666666666)</f>
        <v>45709.666666666599</v>
      </c>
      <c r="B788" s="1">
        <f ca="1">IFERROR(__xludf.DUMMYFUNCTION("""COMPUTED_VALUE"""),184.9)</f>
        <v>184.9</v>
      </c>
      <c r="C788" s="1">
        <f ca="1">IFERROR(__xludf.DUMMYFUNCTION("""COMPUTED_VALUE"""),185.93)</f>
        <v>185.93</v>
      </c>
      <c r="D788" s="1">
        <f ca="1">IFERROR(__xludf.DUMMYFUNCTION("""COMPUTED_VALUE"""),176.35)</f>
        <v>176.35</v>
      </c>
      <c r="E788" s="1">
        <f ca="1">IFERROR(__xludf.DUMMYFUNCTION("""COMPUTED_VALUE"""),177.89)</f>
        <v>177.89</v>
      </c>
      <c r="F788" s="1">
        <f ca="1">IFERROR(__xludf.DUMMYFUNCTION("""COMPUTED_VALUE"""),5324231)</f>
        <v>5324231</v>
      </c>
    </row>
    <row r="789" spans="1:6" ht="12.6">
      <c r="A789" s="2">
        <f ca="1">IFERROR(__xludf.DUMMYFUNCTION("""COMPUTED_VALUE"""),45712.6666666666)</f>
        <v>45712.666666666599</v>
      </c>
      <c r="B789" s="1">
        <f ca="1">IFERROR(__xludf.DUMMYFUNCTION("""COMPUTED_VALUE"""),177.58)</f>
        <v>177.58</v>
      </c>
      <c r="C789" s="1">
        <f ca="1">IFERROR(__xludf.DUMMYFUNCTION("""COMPUTED_VALUE"""),177.7)</f>
        <v>177.7</v>
      </c>
      <c r="D789" s="1">
        <f ca="1">IFERROR(__xludf.DUMMYFUNCTION("""COMPUTED_VALUE"""),167.3)</f>
        <v>167.3</v>
      </c>
      <c r="E789" s="1">
        <f ca="1">IFERROR(__xludf.DUMMYFUNCTION("""COMPUTED_VALUE"""),170.92)</f>
        <v>170.92</v>
      </c>
      <c r="F789" s="1">
        <f ca="1">IFERROR(__xludf.DUMMYFUNCTION("""COMPUTED_VALUE"""),6482055)</f>
        <v>6482055</v>
      </c>
    </row>
    <row r="790" spans="1:6" ht="12.6">
      <c r="A790" s="2">
        <f ca="1">IFERROR(__xludf.DUMMYFUNCTION("""COMPUTED_VALUE"""),45713.6666666666)</f>
        <v>45713.666666666599</v>
      </c>
      <c r="B790" s="1">
        <f ca="1">IFERROR(__xludf.DUMMYFUNCTION("""COMPUTED_VALUE"""),168.79)</f>
        <v>168.79</v>
      </c>
      <c r="C790" s="1">
        <f ca="1">IFERROR(__xludf.DUMMYFUNCTION("""COMPUTED_VALUE"""),169.96)</f>
        <v>169.96</v>
      </c>
      <c r="D790" s="1">
        <f ca="1">IFERROR(__xludf.DUMMYFUNCTION("""COMPUTED_VALUE"""),160.66)</f>
        <v>160.66</v>
      </c>
      <c r="E790" s="1">
        <f ca="1">IFERROR(__xludf.DUMMYFUNCTION("""COMPUTED_VALUE"""),164.2)</f>
        <v>164.2</v>
      </c>
      <c r="F790" s="1">
        <f ca="1">IFERROR(__xludf.DUMMYFUNCTION("""COMPUTED_VALUE"""),7163230)</f>
        <v>7163230</v>
      </c>
    </row>
    <row r="791" spans="1:6" ht="12.6">
      <c r="A791" s="2">
        <f ca="1">IFERROR(__xludf.DUMMYFUNCTION("""COMPUTED_VALUE"""),45714.6666666666)</f>
        <v>45714.666666666599</v>
      </c>
      <c r="B791" s="1">
        <f ca="1">IFERROR(__xludf.DUMMYFUNCTION("""COMPUTED_VALUE"""),166)</f>
        <v>166</v>
      </c>
      <c r="C791" s="1">
        <f ca="1">IFERROR(__xludf.DUMMYFUNCTION("""COMPUTED_VALUE"""),170.01)</f>
        <v>170.01</v>
      </c>
      <c r="D791" s="1">
        <f ca="1">IFERROR(__xludf.DUMMYFUNCTION("""COMPUTED_VALUE"""),164.8)</f>
        <v>164.8</v>
      </c>
      <c r="E791" s="1">
        <f ca="1">IFERROR(__xludf.DUMMYFUNCTION("""COMPUTED_VALUE"""),166.19)</f>
        <v>166.19</v>
      </c>
      <c r="F791" s="1">
        <f ca="1">IFERROR(__xludf.DUMMYFUNCTION("""COMPUTED_VALUE"""),12954876)</f>
        <v>12954876</v>
      </c>
    </row>
    <row r="792" spans="1:6" ht="12.6">
      <c r="A792" s="2">
        <f ca="1">IFERROR(__xludf.DUMMYFUNCTION("""COMPUTED_VALUE"""),45715.6666666666)</f>
        <v>45715.666666666599</v>
      </c>
      <c r="B792" s="1">
        <f ca="1">IFERROR(__xludf.DUMMYFUNCTION("""COMPUTED_VALUE"""),187.01)</f>
        <v>187.01</v>
      </c>
      <c r="C792" s="1">
        <f ca="1">IFERROR(__xludf.DUMMYFUNCTION("""COMPUTED_VALUE"""),187.95)</f>
        <v>187.95</v>
      </c>
      <c r="D792" s="1">
        <f ca="1">IFERROR(__xludf.DUMMYFUNCTION("""COMPUTED_VALUE"""),173.59)</f>
        <v>173.59</v>
      </c>
      <c r="E792" s="1">
        <f ca="1">IFERROR(__xludf.DUMMYFUNCTION("""COMPUTED_VALUE"""),173.69)</f>
        <v>173.69</v>
      </c>
      <c r="F792" s="1">
        <f ca="1">IFERROR(__xludf.DUMMYFUNCTION("""COMPUTED_VALUE"""),20555706)</f>
        <v>20555706</v>
      </c>
    </row>
    <row r="793" spans="1:6" ht="12.6">
      <c r="A793" s="2">
        <f ca="1">IFERROR(__xludf.DUMMYFUNCTION("""COMPUTED_VALUE"""),45716.6666666666)</f>
        <v>45716.666666666599</v>
      </c>
      <c r="B793" s="1">
        <f ca="1">IFERROR(__xludf.DUMMYFUNCTION("""COMPUTED_VALUE"""),172.03)</f>
        <v>172.03</v>
      </c>
      <c r="C793" s="1">
        <f ca="1">IFERROR(__xludf.DUMMYFUNCTION("""COMPUTED_VALUE"""),177.26)</f>
        <v>177.26</v>
      </c>
      <c r="D793" s="1">
        <f ca="1">IFERROR(__xludf.DUMMYFUNCTION("""COMPUTED_VALUE"""),170.57)</f>
        <v>170.57</v>
      </c>
      <c r="E793" s="1">
        <f ca="1">IFERROR(__xludf.DUMMYFUNCTION("""COMPUTED_VALUE"""),177.1)</f>
        <v>177.1</v>
      </c>
      <c r="F793" s="1">
        <f ca="1">IFERROR(__xludf.DUMMYFUNCTION("""COMPUTED_VALUE"""),8793460)</f>
        <v>8793460</v>
      </c>
    </row>
    <row r="794" spans="1:6" ht="12.6">
      <c r="A794" s="2">
        <f ca="1">IFERROR(__xludf.DUMMYFUNCTION("""COMPUTED_VALUE"""),45719.6666666666)</f>
        <v>45719.666666666599</v>
      </c>
      <c r="B794" s="1">
        <f ca="1">IFERROR(__xludf.DUMMYFUNCTION("""COMPUTED_VALUE"""),178.7)</f>
        <v>178.7</v>
      </c>
      <c r="C794" s="1">
        <f ca="1">IFERROR(__xludf.DUMMYFUNCTION("""COMPUTED_VALUE"""),180.95)</f>
        <v>180.95</v>
      </c>
      <c r="D794" s="1">
        <f ca="1">IFERROR(__xludf.DUMMYFUNCTION("""COMPUTED_VALUE"""),173.06)</f>
        <v>173.06</v>
      </c>
      <c r="E794" s="1">
        <f ca="1">IFERROR(__xludf.DUMMYFUNCTION("""COMPUTED_VALUE"""),173.65)</f>
        <v>173.65</v>
      </c>
      <c r="F794" s="1">
        <f ca="1">IFERROR(__xludf.DUMMYFUNCTION("""COMPUTED_VALUE"""),5974621)</f>
        <v>5974621</v>
      </c>
    </row>
    <row r="795" spans="1:6" ht="12.6">
      <c r="A795" s="2">
        <f ca="1">IFERROR(__xludf.DUMMYFUNCTION("""COMPUTED_VALUE"""),45720.6666666666)</f>
        <v>45720.666666666599</v>
      </c>
      <c r="B795" s="1">
        <f ca="1">IFERROR(__xludf.DUMMYFUNCTION("""COMPUTED_VALUE"""),171.75)</f>
        <v>171.75</v>
      </c>
      <c r="C795" s="1">
        <f ca="1">IFERROR(__xludf.DUMMYFUNCTION("""COMPUTED_VALUE"""),176.64)</f>
        <v>176.64</v>
      </c>
      <c r="D795" s="1">
        <f ca="1">IFERROR(__xludf.DUMMYFUNCTION("""COMPUTED_VALUE"""),165.8)</f>
        <v>165.8</v>
      </c>
      <c r="E795" s="1">
        <f ca="1">IFERROR(__xludf.DUMMYFUNCTION("""COMPUTED_VALUE"""),173.6)</f>
        <v>173.6</v>
      </c>
      <c r="F795" s="1">
        <f ca="1">IFERROR(__xludf.DUMMYFUNCTION("""COMPUTED_VALUE"""),6988017)</f>
        <v>6988017</v>
      </c>
    </row>
    <row r="796" spans="1:6" ht="12.6">
      <c r="A796" s="2">
        <f ca="1">IFERROR(__xludf.DUMMYFUNCTION("""COMPUTED_VALUE"""),45721.6666666666)</f>
        <v>45721.666666666599</v>
      </c>
      <c r="B796" s="1">
        <f ca="1">IFERROR(__xludf.DUMMYFUNCTION("""COMPUTED_VALUE"""),174)</f>
        <v>174</v>
      </c>
      <c r="C796" s="1">
        <f ca="1">IFERROR(__xludf.DUMMYFUNCTION("""COMPUTED_VALUE"""),177.77)</f>
        <v>177.77</v>
      </c>
      <c r="D796" s="1">
        <f ca="1">IFERROR(__xludf.DUMMYFUNCTION("""COMPUTED_VALUE"""),170.02)</f>
        <v>170.02</v>
      </c>
      <c r="E796" s="1">
        <f ca="1">IFERROR(__xludf.DUMMYFUNCTION("""COMPUTED_VALUE"""),177.31)</f>
        <v>177.31</v>
      </c>
      <c r="F796" s="1">
        <f ca="1">IFERROR(__xludf.DUMMYFUNCTION("""COMPUTED_VALUE"""),4463558)</f>
        <v>4463558</v>
      </c>
    </row>
    <row r="797" spans="1:6" ht="12.6">
      <c r="A797" s="2">
        <f ca="1">IFERROR(__xludf.DUMMYFUNCTION("""COMPUTED_VALUE"""),45722.6666666666)</f>
        <v>45722.666666666599</v>
      </c>
      <c r="B797" s="1">
        <f ca="1">IFERROR(__xludf.DUMMYFUNCTION("""COMPUTED_VALUE"""),167.26)</f>
        <v>167.26</v>
      </c>
      <c r="C797" s="1">
        <f ca="1">IFERROR(__xludf.DUMMYFUNCTION("""COMPUTED_VALUE"""),171.07)</f>
        <v>171.07</v>
      </c>
      <c r="D797" s="1">
        <f ca="1">IFERROR(__xludf.DUMMYFUNCTION("""COMPUTED_VALUE"""),155.89)</f>
        <v>155.88999999999999</v>
      </c>
      <c r="E797" s="1">
        <f ca="1">IFERROR(__xludf.DUMMYFUNCTION("""COMPUTED_VALUE"""),156.22)</f>
        <v>156.22</v>
      </c>
      <c r="F797" s="1">
        <f ca="1">IFERROR(__xludf.DUMMYFUNCTION("""COMPUTED_VALUE"""),11756214)</f>
        <v>11756214</v>
      </c>
    </row>
    <row r="798" spans="1:6" ht="12.6">
      <c r="A798" s="2">
        <f ca="1">IFERROR(__xludf.DUMMYFUNCTION("""COMPUTED_VALUE"""),45723.6666666666)</f>
        <v>45723.666666666599</v>
      </c>
      <c r="B798" s="1">
        <f ca="1">IFERROR(__xludf.DUMMYFUNCTION("""COMPUTED_VALUE"""),156.25)</f>
        <v>156.25</v>
      </c>
      <c r="C798" s="1">
        <f ca="1">IFERROR(__xludf.DUMMYFUNCTION("""COMPUTED_VALUE"""),159.88)</f>
        <v>159.88</v>
      </c>
      <c r="D798" s="1">
        <f ca="1">IFERROR(__xludf.DUMMYFUNCTION("""COMPUTED_VALUE"""),148.49)</f>
        <v>148.49</v>
      </c>
      <c r="E798" s="1">
        <f ca="1">IFERROR(__xludf.DUMMYFUNCTION("""COMPUTED_VALUE"""),158.91)</f>
        <v>158.91</v>
      </c>
      <c r="F798" s="1">
        <f ca="1">IFERROR(__xludf.DUMMYFUNCTION("""COMPUTED_VALUE"""),11044583)</f>
        <v>11044583</v>
      </c>
    </row>
    <row r="799" spans="1:6" ht="12.6">
      <c r="A799" s="2">
        <f ca="1">IFERROR(__xludf.DUMMYFUNCTION("""COMPUTED_VALUE"""),45726.6666666666)</f>
        <v>45726.666666666599</v>
      </c>
      <c r="B799" s="1">
        <f ca="1">IFERROR(__xludf.DUMMYFUNCTION("""COMPUTED_VALUE"""),151.76)</f>
        <v>151.76</v>
      </c>
      <c r="C799" s="1">
        <f ca="1">IFERROR(__xludf.DUMMYFUNCTION("""COMPUTED_VALUE"""),152.65)</f>
        <v>152.65</v>
      </c>
      <c r="D799" s="1">
        <f ca="1">IFERROR(__xludf.DUMMYFUNCTION("""COMPUTED_VALUE"""),146.55)</f>
        <v>146.55000000000001</v>
      </c>
      <c r="E799" s="1">
        <f ca="1">IFERROR(__xludf.DUMMYFUNCTION("""COMPUTED_VALUE"""),147.59)</f>
        <v>147.59</v>
      </c>
      <c r="F799" s="1">
        <f ca="1">IFERROR(__xludf.DUMMYFUNCTION("""COMPUTED_VALUE"""),12158604)</f>
        <v>12158604</v>
      </c>
    </row>
    <row r="800" spans="1:6" ht="12.6">
      <c r="A800" s="2">
        <f ca="1">IFERROR(__xludf.DUMMYFUNCTION("""COMPUTED_VALUE"""),45727.6666666666)</f>
        <v>45727.666666666599</v>
      </c>
      <c r="B800" s="1">
        <f ca="1">IFERROR(__xludf.DUMMYFUNCTION("""COMPUTED_VALUE"""),147.24)</f>
        <v>147.24</v>
      </c>
      <c r="C800" s="1">
        <f ca="1">IFERROR(__xludf.DUMMYFUNCTION("""COMPUTED_VALUE"""),155.48)</f>
        <v>155.47999999999999</v>
      </c>
      <c r="D800" s="1">
        <f ca="1">IFERROR(__xludf.DUMMYFUNCTION("""COMPUTED_VALUE"""),146)</f>
        <v>146</v>
      </c>
      <c r="E800" s="1">
        <f ca="1">IFERROR(__xludf.DUMMYFUNCTION("""COMPUTED_VALUE"""),149.9)</f>
        <v>149.9</v>
      </c>
      <c r="F800" s="1">
        <f ca="1">IFERROR(__xludf.DUMMYFUNCTION("""COMPUTED_VALUE"""),7547890)</f>
        <v>7547890</v>
      </c>
    </row>
    <row r="801" spans="1:6" ht="12.6">
      <c r="A801" s="2">
        <f ca="1">IFERROR(__xludf.DUMMYFUNCTION("""COMPUTED_VALUE"""),45728.6666666666)</f>
        <v>45728.666666666599</v>
      </c>
      <c r="B801" s="1">
        <f ca="1">IFERROR(__xludf.DUMMYFUNCTION("""COMPUTED_VALUE"""),155.37)</f>
        <v>155.37</v>
      </c>
      <c r="C801" s="1">
        <f ca="1">IFERROR(__xludf.DUMMYFUNCTION("""COMPUTED_VALUE"""),155.85)</f>
        <v>155.85</v>
      </c>
      <c r="D801" s="1">
        <f ca="1">IFERROR(__xludf.DUMMYFUNCTION("""COMPUTED_VALUE"""),151)</f>
        <v>151</v>
      </c>
      <c r="E801" s="1">
        <f ca="1">IFERROR(__xludf.DUMMYFUNCTION("""COMPUTED_VALUE"""),152.37)</f>
        <v>152.37</v>
      </c>
      <c r="F801" s="1">
        <f ca="1">IFERROR(__xludf.DUMMYFUNCTION("""COMPUTED_VALUE"""),6264907)</f>
        <v>6264907</v>
      </c>
    </row>
    <row r="802" spans="1:6" ht="12.6">
      <c r="A802" s="2">
        <f ca="1">IFERROR(__xludf.DUMMYFUNCTION("""COMPUTED_VALUE"""),45729.6666666666)</f>
        <v>45729.666666666599</v>
      </c>
      <c r="B802" s="1">
        <f ca="1">IFERROR(__xludf.DUMMYFUNCTION("""COMPUTED_VALUE"""),149.95)</f>
        <v>149.94999999999999</v>
      </c>
      <c r="C802" s="1">
        <f ca="1">IFERROR(__xludf.DUMMYFUNCTION("""COMPUTED_VALUE"""),151.3)</f>
        <v>151.30000000000001</v>
      </c>
      <c r="D802" s="1">
        <f ca="1">IFERROR(__xludf.DUMMYFUNCTION("""COMPUTED_VALUE"""),146.14)</f>
        <v>146.13999999999999</v>
      </c>
      <c r="E802" s="1">
        <f ca="1">IFERROR(__xludf.DUMMYFUNCTION("""COMPUTED_VALUE"""),149.83)</f>
        <v>149.83000000000001</v>
      </c>
      <c r="F802" s="1">
        <f ca="1">IFERROR(__xludf.DUMMYFUNCTION("""COMPUTED_VALUE"""),5213542)</f>
        <v>5213542</v>
      </c>
    </row>
    <row r="803" spans="1:6" ht="12.6">
      <c r="A803" s="2">
        <f ca="1">IFERROR(__xludf.DUMMYFUNCTION("""COMPUTED_VALUE"""),45730.6666666666)</f>
        <v>45730.666666666599</v>
      </c>
      <c r="B803" s="1">
        <f ca="1">IFERROR(__xludf.DUMMYFUNCTION("""COMPUTED_VALUE"""),151.24)</f>
        <v>151.24</v>
      </c>
      <c r="C803" s="1">
        <f ca="1">IFERROR(__xludf.DUMMYFUNCTION("""COMPUTED_VALUE"""),156.5)</f>
        <v>156.5</v>
      </c>
      <c r="D803" s="1">
        <f ca="1">IFERROR(__xludf.DUMMYFUNCTION("""COMPUTED_VALUE"""),150.77)</f>
        <v>150.77000000000001</v>
      </c>
      <c r="E803" s="1">
        <f ca="1">IFERROR(__xludf.DUMMYFUNCTION("""COMPUTED_VALUE"""),156.11)</f>
        <v>156.11000000000001</v>
      </c>
      <c r="F803" s="1">
        <f ca="1">IFERROR(__xludf.DUMMYFUNCTION("""COMPUTED_VALUE"""),4155189)</f>
        <v>4155189</v>
      </c>
    </row>
    <row r="804" spans="1:6" ht="12.6">
      <c r="A804" s="2">
        <f ca="1">IFERROR(__xludf.DUMMYFUNCTION("""COMPUTED_VALUE"""),45733.6666666666)</f>
        <v>45733.666666666599</v>
      </c>
      <c r="B804" s="1">
        <f ca="1">IFERROR(__xludf.DUMMYFUNCTION("""COMPUTED_VALUE"""),156.29)</f>
        <v>156.29</v>
      </c>
      <c r="C804" s="1">
        <f ca="1">IFERROR(__xludf.DUMMYFUNCTION("""COMPUTED_VALUE"""),157.91)</f>
        <v>157.91</v>
      </c>
      <c r="D804" s="1">
        <f ca="1">IFERROR(__xludf.DUMMYFUNCTION("""COMPUTED_VALUE"""),154.08)</f>
        <v>154.08000000000001</v>
      </c>
      <c r="E804" s="1">
        <f ca="1">IFERROR(__xludf.DUMMYFUNCTION("""COMPUTED_VALUE"""),156.39)</f>
        <v>156.38999999999999</v>
      </c>
      <c r="F804" s="1">
        <f ca="1">IFERROR(__xludf.DUMMYFUNCTION("""COMPUTED_VALUE"""),3380535)</f>
        <v>3380535</v>
      </c>
    </row>
    <row r="805" spans="1:6" ht="12.6">
      <c r="A805" s="2">
        <f ca="1">IFERROR(__xludf.DUMMYFUNCTION("""COMPUTED_VALUE"""),45734.6666666666)</f>
        <v>45734.666666666599</v>
      </c>
      <c r="B805" s="1">
        <f ca="1">IFERROR(__xludf.DUMMYFUNCTION("""COMPUTED_VALUE"""),154.9)</f>
        <v>154.9</v>
      </c>
      <c r="C805" s="1">
        <f ca="1">IFERROR(__xludf.DUMMYFUNCTION("""COMPUTED_VALUE"""),155.69)</f>
        <v>155.69</v>
      </c>
      <c r="D805" s="1">
        <f ca="1">IFERROR(__xludf.DUMMYFUNCTION("""COMPUTED_VALUE"""),149.83)</f>
        <v>149.83000000000001</v>
      </c>
      <c r="E805" s="1">
        <f ca="1">IFERROR(__xludf.DUMMYFUNCTION("""COMPUTED_VALUE"""),154.36)</f>
        <v>154.36000000000001</v>
      </c>
      <c r="F805" s="1">
        <f ca="1">IFERROR(__xludf.DUMMYFUNCTION("""COMPUTED_VALUE"""),4955918)</f>
        <v>4955918</v>
      </c>
    </row>
    <row r="806" spans="1:6" ht="12.6">
      <c r="A806" s="2">
        <f ca="1">IFERROR(__xludf.DUMMYFUNCTION("""COMPUTED_VALUE"""),45735.6666666666)</f>
        <v>45735.666666666599</v>
      </c>
      <c r="B806" s="1">
        <f ca="1">IFERROR(__xludf.DUMMYFUNCTION("""COMPUTED_VALUE"""),155)</f>
        <v>155</v>
      </c>
      <c r="C806" s="1">
        <f ca="1">IFERROR(__xludf.DUMMYFUNCTION("""COMPUTED_VALUE"""),158.1)</f>
        <v>158.1</v>
      </c>
      <c r="D806" s="1">
        <f ca="1">IFERROR(__xludf.DUMMYFUNCTION("""COMPUTED_VALUE"""),153.62)</f>
        <v>153.62</v>
      </c>
      <c r="E806" s="1">
        <f ca="1">IFERROR(__xludf.DUMMYFUNCTION("""COMPUTED_VALUE"""),155.96)</f>
        <v>155.96</v>
      </c>
      <c r="F806" s="1">
        <f ca="1">IFERROR(__xludf.DUMMYFUNCTION("""COMPUTED_VALUE"""),4559173)</f>
        <v>4559173</v>
      </c>
    </row>
    <row r="807" spans="1:6" ht="12.6">
      <c r="A807" s="2">
        <f ca="1">IFERROR(__xludf.DUMMYFUNCTION("""COMPUTED_VALUE"""),45736.6666666666)</f>
        <v>45736.666666666599</v>
      </c>
      <c r="B807" s="1">
        <f ca="1">IFERROR(__xludf.DUMMYFUNCTION("""COMPUTED_VALUE"""),155.33)</f>
        <v>155.33000000000001</v>
      </c>
      <c r="C807" s="1">
        <f ca="1">IFERROR(__xludf.DUMMYFUNCTION("""COMPUTED_VALUE"""),158.82)</f>
        <v>158.82</v>
      </c>
      <c r="D807" s="1">
        <f ca="1">IFERROR(__xludf.DUMMYFUNCTION("""COMPUTED_VALUE"""),154.29)</f>
        <v>154.29</v>
      </c>
      <c r="E807" s="1">
        <f ca="1">IFERROR(__xludf.DUMMYFUNCTION("""COMPUTED_VALUE"""),157.19)</f>
        <v>157.19</v>
      </c>
      <c r="F807" s="1">
        <f ca="1">IFERROR(__xludf.DUMMYFUNCTION("""COMPUTED_VALUE"""),2717264)</f>
        <v>2717264</v>
      </c>
    </row>
    <row r="808" spans="1:6" ht="12.6">
      <c r="A808" s="2">
        <f ca="1">IFERROR(__xludf.DUMMYFUNCTION("""COMPUTED_VALUE"""),45737.6666666666)</f>
        <v>45737.666666666599</v>
      </c>
      <c r="B808" s="1">
        <f ca="1">IFERROR(__xludf.DUMMYFUNCTION("""COMPUTED_VALUE"""),154.67)</f>
        <v>154.66999999999999</v>
      </c>
      <c r="C808" s="1">
        <f ca="1">IFERROR(__xludf.DUMMYFUNCTION("""COMPUTED_VALUE"""),158.72)</f>
        <v>158.72</v>
      </c>
      <c r="D808" s="1">
        <f ca="1">IFERROR(__xludf.DUMMYFUNCTION("""COMPUTED_VALUE"""),153.01)</f>
        <v>153.01</v>
      </c>
      <c r="E808" s="1">
        <f ca="1">IFERROR(__xludf.DUMMYFUNCTION("""COMPUTED_VALUE"""),158.39)</f>
        <v>158.38999999999999</v>
      </c>
      <c r="F808" s="1">
        <f ca="1">IFERROR(__xludf.DUMMYFUNCTION("""COMPUTED_VALUE"""),3608196)</f>
        <v>3608196</v>
      </c>
    </row>
    <row r="809" spans="1:6" ht="12.6">
      <c r="A809" s="2">
        <f ca="1">IFERROR(__xludf.DUMMYFUNCTION("""COMPUTED_VALUE"""),45740.6666666666)</f>
        <v>45740.666666666599</v>
      </c>
      <c r="B809" s="1">
        <f ca="1">IFERROR(__xludf.DUMMYFUNCTION("""COMPUTED_VALUE"""),161.35)</f>
        <v>161.35</v>
      </c>
      <c r="C809" s="1">
        <f ca="1">IFERROR(__xludf.DUMMYFUNCTION("""COMPUTED_VALUE"""),166.42)</f>
        <v>166.42</v>
      </c>
      <c r="D809" s="1">
        <f ca="1">IFERROR(__xludf.DUMMYFUNCTION("""COMPUTED_VALUE"""),160.79)</f>
        <v>160.79</v>
      </c>
      <c r="E809" s="1">
        <f ca="1">IFERROR(__xludf.DUMMYFUNCTION("""COMPUTED_VALUE"""),163.17)</f>
        <v>163.16999999999999</v>
      </c>
      <c r="F809" s="1">
        <f ca="1">IFERROR(__xludf.DUMMYFUNCTION("""COMPUTED_VALUE"""),3885015)</f>
        <v>3885015</v>
      </c>
    </row>
    <row r="810" spans="1:6" ht="12.6">
      <c r="A810" s="2">
        <f ca="1">IFERROR(__xludf.DUMMYFUNCTION("""COMPUTED_VALUE"""),45741.6666666666)</f>
        <v>45741.666666666599</v>
      </c>
      <c r="B810" s="1">
        <f ca="1">IFERROR(__xludf.DUMMYFUNCTION("""COMPUTED_VALUE"""),162.67)</f>
        <v>162.66999999999999</v>
      </c>
      <c r="C810" s="1">
        <f ca="1">IFERROR(__xludf.DUMMYFUNCTION("""COMPUTED_VALUE"""),166.79)</f>
        <v>166.79</v>
      </c>
      <c r="D810" s="1">
        <f ca="1">IFERROR(__xludf.DUMMYFUNCTION("""COMPUTED_VALUE"""),161.75)</f>
        <v>161.75</v>
      </c>
      <c r="E810" s="1">
        <f ca="1">IFERROR(__xludf.DUMMYFUNCTION("""COMPUTED_VALUE"""),162.83)</f>
        <v>162.83000000000001</v>
      </c>
      <c r="F810" s="1">
        <f ca="1">IFERROR(__xludf.DUMMYFUNCTION("""COMPUTED_VALUE"""),3378613)</f>
        <v>3378613</v>
      </c>
    </row>
    <row r="811" spans="1:6" ht="12.6">
      <c r="A811" s="2">
        <f ca="1">IFERROR(__xludf.DUMMYFUNCTION("""COMPUTED_VALUE"""),45742.6666666666)</f>
        <v>45742.666666666599</v>
      </c>
      <c r="B811" s="1">
        <f ca="1">IFERROR(__xludf.DUMMYFUNCTION("""COMPUTED_VALUE"""),163.25)</f>
        <v>163.25</v>
      </c>
      <c r="C811" s="1">
        <f ca="1">IFERROR(__xludf.DUMMYFUNCTION("""COMPUTED_VALUE"""),163.7)</f>
        <v>163.69999999999999</v>
      </c>
      <c r="D811" s="1">
        <f ca="1">IFERROR(__xludf.DUMMYFUNCTION("""COMPUTED_VALUE"""),158.67)</f>
        <v>158.66999999999999</v>
      </c>
      <c r="E811" s="1">
        <f ca="1">IFERROR(__xludf.DUMMYFUNCTION("""COMPUTED_VALUE"""),159.74)</f>
        <v>159.74</v>
      </c>
      <c r="F811" s="1">
        <f ca="1">IFERROR(__xludf.DUMMYFUNCTION("""COMPUTED_VALUE"""),3456915)</f>
        <v>3456915</v>
      </c>
    </row>
    <row r="812" spans="1:6" ht="12.6">
      <c r="A812" s="2">
        <f ca="1">IFERROR(__xludf.DUMMYFUNCTION("""COMPUTED_VALUE"""),45743.6666666666)</f>
        <v>45743.666666666599</v>
      </c>
      <c r="B812" s="1">
        <f ca="1">IFERROR(__xludf.DUMMYFUNCTION("""COMPUTED_VALUE"""),157.79)</f>
        <v>157.79</v>
      </c>
      <c r="C812" s="1">
        <f ca="1">IFERROR(__xludf.DUMMYFUNCTION("""COMPUTED_VALUE"""),159.11)</f>
        <v>159.11000000000001</v>
      </c>
      <c r="D812" s="1">
        <f ca="1">IFERROR(__xludf.DUMMYFUNCTION("""COMPUTED_VALUE"""),155.06)</f>
        <v>155.06</v>
      </c>
      <c r="E812" s="1">
        <f ca="1">IFERROR(__xludf.DUMMYFUNCTION("""COMPUTED_VALUE"""),156.98)</f>
        <v>156.97999999999999</v>
      </c>
      <c r="F812" s="1">
        <f ca="1">IFERROR(__xludf.DUMMYFUNCTION("""COMPUTED_VALUE"""),2646997)</f>
        <v>2646997</v>
      </c>
    </row>
    <row r="813" spans="1:6" ht="12.6">
      <c r="A813" s="2">
        <f ca="1">IFERROR(__xludf.DUMMYFUNCTION("""COMPUTED_VALUE"""),45744.6666666666)</f>
        <v>45744.666666666599</v>
      </c>
      <c r="B813" s="1">
        <f ca="1">IFERROR(__xludf.DUMMYFUNCTION("""COMPUTED_VALUE"""),154.24)</f>
        <v>154.24</v>
      </c>
      <c r="C813" s="1">
        <f ca="1">IFERROR(__xludf.DUMMYFUNCTION("""COMPUTED_VALUE"""),155.64)</f>
        <v>155.63999999999999</v>
      </c>
      <c r="D813" s="1">
        <f ca="1">IFERROR(__xludf.DUMMYFUNCTION("""COMPUTED_VALUE"""),148.39)</f>
        <v>148.38999999999999</v>
      </c>
      <c r="E813" s="1">
        <f ca="1">IFERROR(__xludf.DUMMYFUNCTION("""COMPUTED_VALUE"""),150.63)</f>
        <v>150.63</v>
      </c>
      <c r="F813" s="1">
        <f ca="1">IFERROR(__xludf.DUMMYFUNCTION("""COMPUTED_VALUE"""),4654539)</f>
        <v>4654539</v>
      </c>
    </row>
    <row r="814" spans="1:6" ht="12.6">
      <c r="A814" s="2">
        <f ca="1">IFERROR(__xludf.DUMMYFUNCTION("""COMPUTED_VALUE"""),45747.6666666666)</f>
        <v>45747.666666666599</v>
      </c>
      <c r="B814" s="1">
        <f ca="1">IFERROR(__xludf.DUMMYFUNCTION("""COMPUTED_VALUE"""),145.17)</f>
        <v>145.16999999999999</v>
      </c>
      <c r="C814" s="1">
        <f ca="1">IFERROR(__xludf.DUMMYFUNCTION("""COMPUTED_VALUE"""),147.22)</f>
        <v>147.22</v>
      </c>
      <c r="D814" s="1">
        <f ca="1">IFERROR(__xludf.DUMMYFUNCTION("""COMPUTED_VALUE"""),141.92)</f>
        <v>141.91999999999999</v>
      </c>
      <c r="E814" s="1">
        <f ca="1">IFERROR(__xludf.DUMMYFUNCTION("""COMPUTED_VALUE"""),146.16)</f>
        <v>146.16</v>
      </c>
      <c r="F814" s="1">
        <f ca="1">IFERROR(__xludf.DUMMYFUNCTION("""COMPUTED_VALUE"""),6219076)</f>
        <v>6219076</v>
      </c>
    </row>
    <row r="815" spans="1:6" ht="12.6">
      <c r="A815" s="2">
        <f ca="1">IFERROR(__xludf.DUMMYFUNCTION("""COMPUTED_VALUE"""),45748.6666666666)</f>
        <v>45748.666666666599</v>
      </c>
      <c r="B815" s="1">
        <f ca="1">IFERROR(__xludf.DUMMYFUNCTION("""COMPUTED_VALUE"""),148.36)</f>
        <v>148.36000000000001</v>
      </c>
      <c r="C815" s="1">
        <f ca="1">IFERROR(__xludf.DUMMYFUNCTION("""COMPUTED_VALUE"""),150.01)</f>
        <v>150.01</v>
      </c>
      <c r="D815" s="1">
        <f ca="1">IFERROR(__xludf.DUMMYFUNCTION("""COMPUTED_VALUE"""),144.76)</f>
        <v>144.76</v>
      </c>
      <c r="E815" s="1">
        <f ca="1">IFERROR(__xludf.DUMMYFUNCTION("""COMPUTED_VALUE"""),149.54)</f>
        <v>149.54</v>
      </c>
      <c r="F815" s="1">
        <f ca="1">IFERROR(__xludf.DUMMYFUNCTION("""COMPUTED_VALUE"""),3426825)</f>
        <v>3426825</v>
      </c>
    </row>
    <row r="816" spans="1:6" ht="12.6">
      <c r="A816" s="2">
        <f ca="1">IFERROR(__xludf.DUMMYFUNCTION("""COMPUTED_VALUE"""),45749.6666666666)</f>
        <v>45749.666666666599</v>
      </c>
      <c r="B816" s="1">
        <f ca="1">IFERROR(__xludf.DUMMYFUNCTION("""COMPUTED_VALUE"""),146.03)</f>
        <v>146.03</v>
      </c>
      <c r="C816" s="1">
        <f ca="1">IFERROR(__xludf.DUMMYFUNCTION("""COMPUTED_VALUE"""),155.7)</f>
        <v>155.69999999999999</v>
      </c>
      <c r="D816" s="1">
        <f ca="1">IFERROR(__xludf.DUMMYFUNCTION("""COMPUTED_VALUE"""),145.01)</f>
        <v>145.01</v>
      </c>
      <c r="E816" s="1">
        <f ca="1">IFERROR(__xludf.DUMMYFUNCTION("""COMPUTED_VALUE"""),153.91)</f>
        <v>153.91</v>
      </c>
      <c r="F816" s="1">
        <f ca="1">IFERROR(__xludf.DUMMYFUNCTION("""COMPUTED_VALUE"""),5980817)</f>
        <v>5980817</v>
      </c>
    </row>
    <row r="817" spans="1:6" ht="12.6">
      <c r="A817" s="2">
        <f ca="1">IFERROR(__xludf.DUMMYFUNCTION("""COMPUTED_VALUE"""),45750.6666666666)</f>
        <v>45750.666666666599</v>
      </c>
      <c r="B817" s="1">
        <f ca="1">IFERROR(__xludf.DUMMYFUNCTION("""COMPUTED_VALUE"""),144.7)</f>
        <v>144.69999999999999</v>
      </c>
      <c r="C817" s="1">
        <f ca="1">IFERROR(__xludf.DUMMYFUNCTION("""COMPUTED_VALUE"""),146.03)</f>
        <v>146.03</v>
      </c>
      <c r="D817" s="1">
        <f ca="1">IFERROR(__xludf.DUMMYFUNCTION("""COMPUTED_VALUE"""),138.13)</f>
        <v>138.13</v>
      </c>
      <c r="E817" s="1">
        <f ca="1">IFERROR(__xludf.DUMMYFUNCTION("""COMPUTED_VALUE"""),139.9)</f>
        <v>139.9</v>
      </c>
      <c r="F817" s="1">
        <f ca="1">IFERROR(__xludf.DUMMYFUNCTION("""COMPUTED_VALUE"""),7967084)</f>
        <v>7967084</v>
      </c>
    </row>
    <row r="818" spans="1:6" ht="12.6">
      <c r="A818" s="2">
        <f ca="1">IFERROR(__xludf.DUMMYFUNCTION("""COMPUTED_VALUE"""),45751.6666666666)</f>
        <v>45751.666666666599</v>
      </c>
      <c r="B818" s="1">
        <f ca="1">IFERROR(__xludf.DUMMYFUNCTION("""COMPUTED_VALUE"""),133.31)</f>
        <v>133.31</v>
      </c>
      <c r="C818" s="1">
        <f ca="1">IFERROR(__xludf.DUMMYFUNCTION("""COMPUTED_VALUE"""),134.71)</f>
        <v>134.71</v>
      </c>
      <c r="D818" s="1">
        <f ca="1">IFERROR(__xludf.DUMMYFUNCTION("""COMPUTED_VALUE"""),125.49)</f>
        <v>125.49</v>
      </c>
      <c r="E818" s="1">
        <f ca="1">IFERROR(__xludf.DUMMYFUNCTION("""COMPUTED_VALUE"""),130.53)</f>
        <v>130.53</v>
      </c>
      <c r="F818" s="1">
        <f ca="1">IFERROR(__xludf.DUMMYFUNCTION("""COMPUTED_VALUE"""),8219272)</f>
        <v>8219272</v>
      </c>
    </row>
    <row r="819" spans="1:6" ht="12.6">
      <c r="A819" s="2">
        <f ca="1">IFERROR(__xludf.DUMMYFUNCTION("""COMPUTED_VALUE"""),45754.6666666666)</f>
        <v>45754.666666666599</v>
      </c>
      <c r="B819" s="1">
        <f ca="1">IFERROR(__xludf.DUMMYFUNCTION("""COMPUTED_VALUE"""),120.7)</f>
        <v>120.7</v>
      </c>
      <c r="C819" s="1">
        <f ca="1">IFERROR(__xludf.DUMMYFUNCTION("""COMPUTED_VALUE"""),137.81)</f>
        <v>137.81</v>
      </c>
      <c r="D819" s="1">
        <f ca="1">IFERROR(__xludf.DUMMYFUNCTION("""COMPUTED_VALUE"""),120.1)</f>
        <v>120.1</v>
      </c>
      <c r="E819" s="1">
        <f ca="1">IFERROR(__xludf.DUMMYFUNCTION("""COMPUTED_VALUE"""),131.04)</f>
        <v>131.04</v>
      </c>
      <c r="F819" s="1">
        <f ca="1">IFERROR(__xludf.DUMMYFUNCTION("""COMPUTED_VALUE"""),8650867)</f>
        <v>8650867</v>
      </c>
    </row>
    <row r="820" spans="1:6" ht="12.6">
      <c r="A820" s="2">
        <f ca="1">IFERROR(__xludf.DUMMYFUNCTION("""COMPUTED_VALUE"""),45755.6666666666)</f>
        <v>45755.666666666599</v>
      </c>
      <c r="B820" s="1">
        <f ca="1">IFERROR(__xludf.DUMMYFUNCTION("""COMPUTED_VALUE"""),138.05)</f>
        <v>138.05000000000001</v>
      </c>
      <c r="C820" s="1">
        <f ca="1">IFERROR(__xludf.DUMMYFUNCTION("""COMPUTED_VALUE"""),140.18)</f>
        <v>140.18</v>
      </c>
      <c r="D820" s="1">
        <f ca="1">IFERROR(__xludf.DUMMYFUNCTION("""COMPUTED_VALUE"""),130.8)</f>
        <v>130.80000000000001</v>
      </c>
      <c r="E820" s="1">
        <f ca="1">IFERROR(__xludf.DUMMYFUNCTION("""COMPUTED_VALUE"""),133.51)</f>
        <v>133.51</v>
      </c>
      <c r="F820" s="1">
        <f ca="1">IFERROR(__xludf.DUMMYFUNCTION("""COMPUTED_VALUE"""),6930595)</f>
        <v>6930595</v>
      </c>
    </row>
    <row r="821" spans="1:6" ht="12.6">
      <c r="A821" s="2">
        <f ca="1">IFERROR(__xludf.DUMMYFUNCTION("""COMPUTED_VALUE"""),45756.6666666666)</f>
        <v>45756.666666666599</v>
      </c>
      <c r="B821" s="1">
        <f ca="1">IFERROR(__xludf.DUMMYFUNCTION("""COMPUTED_VALUE"""),132.45)</f>
        <v>132.44999999999999</v>
      </c>
      <c r="C821" s="1">
        <f ca="1">IFERROR(__xludf.DUMMYFUNCTION("""COMPUTED_VALUE"""),151.95)</f>
        <v>151.94999999999999</v>
      </c>
      <c r="D821" s="1">
        <f ca="1">IFERROR(__xludf.DUMMYFUNCTION("""COMPUTED_VALUE"""),129.85)</f>
        <v>129.85</v>
      </c>
      <c r="E821" s="1">
        <f ca="1">IFERROR(__xludf.DUMMYFUNCTION("""COMPUTED_VALUE"""),151.15)</f>
        <v>151.15</v>
      </c>
      <c r="F821" s="1">
        <f ca="1">IFERROR(__xludf.DUMMYFUNCTION("""COMPUTED_VALUE"""),8999114)</f>
        <v>8999114</v>
      </c>
    </row>
    <row r="822" spans="1:6" ht="12.6">
      <c r="A822" s="2">
        <f ca="1">IFERROR(__xludf.DUMMYFUNCTION("""COMPUTED_VALUE"""),45757.6666666666)</f>
        <v>45757.666666666599</v>
      </c>
      <c r="B822" s="1">
        <f ca="1">IFERROR(__xludf.DUMMYFUNCTION("""COMPUTED_VALUE"""),148.25)</f>
        <v>148.25</v>
      </c>
      <c r="C822" s="1">
        <f ca="1">IFERROR(__xludf.DUMMYFUNCTION("""COMPUTED_VALUE"""),148.78)</f>
        <v>148.78</v>
      </c>
      <c r="D822" s="1">
        <f ca="1">IFERROR(__xludf.DUMMYFUNCTION("""COMPUTED_VALUE"""),140.13)</f>
        <v>140.13</v>
      </c>
      <c r="E822" s="1">
        <f ca="1">IFERROR(__xludf.DUMMYFUNCTION("""COMPUTED_VALUE"""),144.45)</f>
        <v>144.44999999999999</v>
      </c>
      <c r="F822" s="1">
        <f ca="1">IFERROR(__xludf.DUMMYFUNCTION("""COMPUTED_VALUE"""),4087942)</f>
        <v>4087942</v>
      </c>
    </row>
    <row r="823" spans="1:6" ht="12.6">
      <c r="A823" s="2">
        <f ca="1">IFERROR(__xludf.DUMMYFUNCTION("""COMPUTED_VALUE"""),45758.6666666666)</f>
        <v>45758.666666666599</v>
      </c>
      <c r="B823" s="1">
        <f ca="1">IFERROR(__xludf.DUMMYFUNCTION("""COMPUTED_VALUE"""),145.63)</f>
        <v>145.63</v>
      </c>
      <c r="C823" s="1">
        <f ca="1">IFERROR(__xludf.DUMMYFUNCTION("""COMPUTED_VALUE"""),145.63)</f>
        <v>145.63</v>
      </c>
      <c r="D823" s="1">
        <f ca="1">IFERROR(__xludf.DUMMYFUNCTION("""COMPUTED_VALUE"""),140.67)</f>
        <v>140.66999999999999</v>
      </c>
      <c r="E823" s="1">
        <f ca="1">IFERROR(__xludf.DUMMYFUNCTION("""COMPUTED_VALUE"""),144.96)</f>
        <v>144.96</v>
      </c>
      <c r="F823" s="1">
        <f ca="1">IFERROR(__xludf.DUMMYFUNCTION("""COMPUTED_VALUE"""),4085848)</f>
        <v>4085848</v>
      </c>
    </row>
    <row r="824" spans="1:6" ht="12.6">
      <c r="A824" s="2">
        <f ca="1">IFERROR(__xludf.DUMMYFUNCTION("""COMPUTED_VALUE"""),45761.6666666666)</f>
        <v>45761.666666666599</v>
      </c>
      <c r="B824" s="1">
        <f ca="1">IFERROR(__xludf.DUMMYFUNCTION("""COMPUTED_VALUE"""),149)</f>
        <v>149</v>
      </c>
      <c r="C824" s="1">
        <f ca="1">IFERROR(__xludf.DUMMYFUNCTION("""COMPUTED_VALUE"""),150.69)</f>
        <v>150.69</v>
      </c>
      <c r="D824" s="1">
        <f ca="1">IFERROR(__xludf.DUMMYFUNCTION("""COMPUTED_VALUE"""),143.87)</f>
        <v>143.87</v>
      </c>
      <c r="E824" s="1">
        <f ca="1">IFERROR(__xludf.DUMMYFUNCTION("""COMPUTED_VALUE"""),144.55)</f>
        <v>144.55000000000001</v>
      </c>
      <c r="F824" s="1">
        <f ca="1">IFERROR(__xludf.DUMMYFUNCTION("""COMPUTED_VALUE"""),2753130)</f>
        <v>2753130</v>
      </c>
    </row>
    <row r="825" spans="1:6" ht="12.6">
      <c r="A825" s="2">
        <f ca="1">IFERROR(__xludf.DUMMYFUNCTION("""COMPUTED_VALUE"""),45762.6666666666)</f>
        <v>45762.666666666599</v>
      </c>
      <c r="B825" s="1">
        <f ca="1">IFERROR(__xludf.DUMMYFUNCTION("""COMPUTED_VALUE"""),144.71)</f>
        <v>144.71</v>
      </c>
      <c r="C825" s="1">
        <f ca="1">IFERROR(__xludf.DUMMYFUNCTION("""COMPUTED_VALUE"""),147.2)</f>
        <v>147.19999999999999</v>
      </c>
      <c r="D825" s="1">
        <f ca="1">IFERROR(__xludf.DUMMYFUNCTION("""COMPUTED_VALUE"""),144.2)</f>
        <v>144.19999999999999</v>
      </c>
      <c r="E825" s="1">
        <f ca="1">IFERROR(__xludf.DUMMYFUNCTION("""COMPUTED_VALUE"""),146.54)</f>
        <v>146.54</v>
      </c>
      <c r="F825" s="1">
        <f ca="1">IFERROR(__xludf.DUMMYFUNCTION("""COMPUTED_VALUE"""),2390987)</f>
        <v>2390987</v>
      </c>
    </row>
    <row r="826" spans="1:6" ht="12.6">
      <c r="A826" s="2">
        <f ca="1">IFERROR(__xludf.DUMMYFUNCTION("""COMPUTED_VALUE"""),45763.6666666666)</f>
        <v>45763.666666666599</v>
      </c>
      <c r="B826" s="1">
        <f ca="1">IFERROR(__xludf.DUMMYFUNCTION("""COMPUTED_VALUE"""),144.45)</f>
        <v>144.44999999999999</v>
      </c>
      <c r="C826" s="1">
        <f ca="1">IFERROR(__xludf.DUMMYFUNCTION("""COMPUTED_VALUE"""),148.82)</f>
        <v>148.82</v>
      </c>
      <c r="D826" s="1">
        <f ca="1">IFERROR(__xludf.DUMMYFUNCTION("""COMPUTED_VALUE"""),143.65)</f>
        <v>143.65</v>
      </c>
      <c r="E826" s="1">
        <f ca="1">IFERROR(__xludf.DUMMYFUNCTION("""COMPUTED_VALUE"""),146.08)</f>
        <v>146.08000000000001</v>
      </c>
      <c r="F826" s="1">
        <f ca="1">IFERROR(__xludf.DUMMYFUNCTION("""COMPUTED_VALUE"""),3043406)</f>
        <v>3043406</v>
      </c>
    </row>
    <row r="827" spans="1:6" ht="12.6">
      <c r="A827" s="2">
        <f ca="1">IFERROR(__xludf.DUMMYFUNCTION("""COMPUTED_VALUE"""),45764.6666666666)</f>
        <v>45764.666666666599</v>
      </c>
      <c r="B827" s="1">
        <f ca="1">IFERROR(__xludf.DUMMYFUNCTION("""COMPUTED_VALUE"""),146.5)</f>
        <v>146.5</v>
      </c>
      <c r="C827" s="1">
        <f ca="1">IFERROR(__xludf.DUMMYFUNCTION("""COMPUTED_VALUE"""),146.6)</f>
        <v>146.6</v>
      </c>
      <c r="D827" s="1">
        <f ca="1">IFERROR(__xludf.DUMMYFUNCTION("""COMPUTED_VALUE"""),142.19)</f>
        <v>142.19</v>
      </c>
      <c r="E827" s="1">
        <f ca="1">IFERROR(__xludf.DUMMYFUNCTION("""COMPUTED_VALUE"""),143.43)</f>
        <v>143.43</v>
      </c>
      <c r="F827" s="1">
        <f ca="1">IFERROR(__xludf.DUMMYFUNCTION("""COMPUTED_VALUE"""),2487267)</f>
        <v>2487267</v>
      </c>
    </row>
    <row r="828" spans="1:6" ht="12.6">
      <c r="A828" s="2">
        <f ca="1">IFERROR(__xludf.DUMMYFUNCTION("""COMPUTED_VALUE"""),45768.6666666666)</f>
        <v>45768.666666666599</v>
      </c>
      <c r="B828" s="1">
        <f ca="1">IFERROR(__xludf.DUMMYFUNCTION("""COMPUTED_VALUE"""),142)</f>
        <v>142</v>
      </c>
      <c r="C828" s="1">
        <f ca="1">IFERROR(__xludf.DUMMYFUNCTION("""COMPUTED_VALUE"""),142.14)</f>
        <v>142.13999999999999</v>
      </c>
      <c r="D828" s="1">
        <f ca="1">IFERROR(__xludf.DUMMYFUNCTION("""COMPUTED_VALUE"""),135.38)</f>
        <v>135.38</v>
      </c>
      <c r="E828" s="1">
        <f ca="1">IFERROR(__xludf.DUMMYFUNCTION("""COMPUTED_VALUE"""),137)</f>
        <v>137</v>
      </c>
      <c r="F828" s="1">
        <f ca="1">IFERROR(__xludf.DUMMYFUNCTION("""COMPUTED_VALUE"""),3362123)</f>
        <v>3362123</v>
      </c>
    </row>
    <row r="829" spans="1:6" ht="12.6">
      <c r="A829" s="2">
        <f ca="1">IFERROR(__xludf.DUMMYFUNCTION("""COMPUTED_VALUE"""),45769.6666666666)</f>
        <v>45769.666666666599</v>
      </c>
      <c r="B829" s="1">
        <f ca="1">IFERROR(__xludf.DUMMYFUNCTION("""COMPUTED_VALUE"""),138.35)</f>
        <v>138.35</v>
      </c>
      <c r="C829" s="1">
        <f ca="1">IFERROR(__xludf.DUMMYFUNCTION("""COMPUTED_VALUE"""),141.49)</f>
        <v>141.49</v>
      </c>
      <c r="D829" s="1">
        <f ca="1">IFERROR(__xludf.DUMMYFUNCTION("""COMPUTED_VALUE"""),137.36)</f>
        <v>137.36000000000001</v>
      </c>
      <c r="E829" s="1">
        <f ca="1">IFERROR(__xludf.DUMMYFUNCTION("""COMPUTED_VALUE"""),140.23)</f>
        <v>140.22999999999999</v>
      </c>
      <c r="F829" s="1">
        <f ca="1">IFERROR(__xludf.DUMMYFUNCTION("""COMPUTED_VALUE"""),2765221)</f>
        <v>2765221</v>
      </c>
    </row>
    <row r="830" spans="1:6" ht="12.6">
      <c r="A830" s="2">
        <f ca="1">IFERROR(__xludf.DUMMYFUNCTION("""COMPUTED_VALUE"""),45770.6666666666)</f>
        <v>45770.666666666599</v>
      </c>
      <c r="B830" s="1">
        <f ca="1">IFERROR(__xludf.DUMMYFUNCTION("""COMPUTED_VALUE"""),146.31)</f>
        <v>146.31</v>
      </c>
      <c r="C830" s="1">
        <f ca="1">IFERROR(__xludf.DUMMYFUNCTION("""COMPUTED_VALUE"""),151.83)</f>
        <v>151.83000000000001</v>
      </c>
      <c r="D830" s="1">
        <f ca="1">IFERROR(__xludf.DUMMYFUNCTION("""COMPUTED_VALUE"""),146.31)</f>
        <v>146.31</v>
      </c>
      <c r="E830" s="1">
        <f ca="1">IFERROR(__xludf.DUMMYFUNCTION("""COMPUTED_VALUE"""),147.39)</f>
        <v>147.38999999999999</v>
      </c>
      <c r="F830" s="1">
        <f ca="1">IFERROR(__xludf.DUMMYFUNCTION("""COMPUTED_VALUE"""),5693212)</f>
        <v>5693212</v>
      </c>
    </row>
    <row r="831" spans="1:6" ht="12.6">
      <c r="A831" s="2">
        <f ca="1">IFERROR(__xludf.DUMMYFUNCTION("""COMPUTED_VALUE"""),45771.6666666666)</f>
        <v>45771.666666666599</v>
      </c>
      <c r="B831" s="1">
        <f ca="1">IFERROR(__xludf.DUMMYFUNCTION("""COMPUTED_VALUE"""),149.21)</f>
        <v>149.21</v>
      </c>
      <c r="C831" s="1">
        <f ca="1">IFERROR(__xludf.DUMMYFUNCTION("""COMPUTED_VALUE"""),159.17)</f>
        <v>159.16999999999999</v>
      </c>
      <c r="D831" s="1">
        <f ca="1">IFERROR(__xludf.DUMMYFUNCTION("""COMPUTED_VALUE"""),149.09)</f>
        <v>149.09</v>
      </c>
      <c r="E831" s="1">
        <f ca="1">IFERROR(__xludf.DUMMYFUNCTION("""COMPUTED_VALUE"""),158.66)</f>
        <v>158.66</v>
      </c>
      <c r="F831" s="1">
        <f ca="1">IFERROR(__xludf.DUMMYFUNCTION("""COMPUTED_VALUE"""),6855527)</f>
        <v>6855527</v>
      </c>
    </row>
    <row r="832" spans="1:6" ht="12.6">
      <c r="A832" s="2">
        <f ca="1">IFERROR(__xludf.DUMMYFUNCTION("""COMPUTED_VALUE"""),45772.6666666666)</f>
        <v>45772.666666666599</v>
      </c>
      <c r="B832" s="1">
        <f ca="1">IFERROR(__xludf.DUMMYFUNCTION("""COMPUTED_VALUE"""),157.8)</f>
        <v>157.80000000000001</v>
      </c>
      <c r="C832" s="1">
        <f ca="1">IFERROR(__xludf.DUMMYFUNCTION("""COMPUTED_VALUE"""),160.57)</f>
        <v>160.57</v>
      </c>
      <c r="D832" s="1">
        <f ca="1">IFERROR(__xludf.DUMMYFUNCTION("""COMPUTED_VALUE"""),156.1)</f>
        <v>156.1</v>
      </c>
      <c r="E832" s="1">
        <f ca="1">IFERROR(__xludf.DUMMYFUNCTION("""COMPUTED_VALUE"""),158.4)</f>
        <v>158.4</v>
      </c>
      <c r="F832" s="1">
        <f ca="1">IFERROR(__xludf.DUMMYFUNCTION("""COMPUTED_VALUE"""),4164104)</f>
        <v>4164104</v>
      </c>
    </row>
    <row r="833" spans="1:6" ht="12.6">
      <c r="A833" s="2">
        <f ca="1">IFERROR(__xludf.DUMMYFUNCTION("""COMPUTED_VALUE"""),45775.6666666666)</f>
        <v>45775.666666666599</v>
      </c>
      <c r="B833" s="1">
        <f ca="1">IFERROR(__xludf.DUMMYFUNCTION("""COMPUTED_VALUE"""),158.28)</f>
        <v>158.28</v>
      </c>
      <c r="C833" s="1">
        <f ca="1">IFERROR(__xludf.DUMMYFUNCTION("""COMPUTED_VALUE"""),159.88)</f>
        <v>159.88</v>
      </c>
      <c r="D833" s="1">
        <f ca="1">IFERROR(__xludf.DUMMYFUNCTION("""COMPUTED_VALUE"""),156.52)</f>
        <v>156.52000000000001</v>
      </c>
      <c r="E833" s="1">
        <f ca="1">IFERROR(__xludf.DUMMYFUNCTION("""COMPUTED_VALUE"""),158.96)</f>
        <v>158.96</v>
      </c>
      <c r="F833" s="1">
        <f ca="1">IFERROR(__xludf.DUMMYFUNCTION("""COMPUTED_VALUE"""),2019044)</f>
        <v>2019044</v>
      </c>
    </row>
    <row r="834" spans="1:6" ht="12.6">
      <c r="A834" s="2">
        <f ca="1">IFERROR(__xludf.DUMMYFUNCTION("""COMPUTED_VALUE"""),45776.6666666666)</f>
        <v>45776.666666666599</v>
      </c>
      <c r="B834" s="1">
        <f ca="1">IFERROR(__xludf.DUMMYFUNCTION("""COMPUTED_VALUE"""),159.51)</f>
        <v>159.51</v>
      </c>
      <c r="C834" s="1">
        <f ca="1">IFERROR(__xludf.DUMMYFUNCTION("""COMPUTED_VALUE"""),161.6)</f>
        <v>161.6</v>
      </c>
      <c r="D834" s="1">
        <f ca="1">IFERROR(__xludf.DUMMYFUNCTION("""COMPUTED_VALUE"""),158.39)</f>
        <v>158.38999999999999</v>
      </c>
      <c r="E834" s="1">
        <f ca="1">IFERROR(__xludf.DUMMYFUNCTION("""COMPUTED_VALUE"""),160.35)</f>
        <v>160.35</v>
      </c>
      <c r="F834" s="1">
        <f ca="1">IFERROR(__xludf.DUMMYFUNCTION("""COMPUTED_VALUE"""),2329402)</f>
        <v>2329402</v>
      </c>
    </row>
    <row r="835" spans="1:6" ht="12.6">
      <c r="A835" s="2">
        <f ca="1">IFERROR(__xludf.DUMMYFUNCTION("""COMPUTED_VALUE"""),45777.6666666666)</f>
        <v>45777.666666666599</v>
      </c>
      <c r="B835" s="1">
        <f ca="1">IFERROR(__xludf.DUMMYFUNCTION("""COMPUTED_VALUE"""),156)</f>
        <v>156</v>
      </c>
      <c r="C835" s="1">
        <f ca="1">IFERROR(__xludf.DUMMYFUNCTION("""COMPUTED_VALUE"""),159.55)</f>
        <v>159.55000000000001</v>
      </c>
      <c r="D835" s="1">
        <f ca="1">IFERROR(__xludf.DUMMYFUNCTION("""COMPUTED_VALUE"""),154.38)</f>
        <v>154.38</v>
      </c>
      <c r="E835" s="1">
        <f ca="1">IFERROR(__xludf.DUMMYFUNCTION("""COMPUTED_VALUE"""),159.49)</f>
        <v>159.49</v>
      </c>
      <c r="F835" s="1">
        <f ca="1">IFERROR(__xludf.DUMMYFUNCTION("""COMPUTED_VALUE"""),3406569)</f>
        <v>3406569</v>
      </c>
    </row>
    <row r="836" spans="1:6" ht="12.6">
      <c r="A836" s="2">
        <f ca="1">IFERROR(__xludf.DUMMYFUNCTION("""COMPUTED_VALUE"""),45778.6666666666)</f>
        <v>45778.666666666599</v>
      </c>
      <c r="B836" s="1">
        <f ca="1">IFERROR(__xludf.DUMMYFUNCTION("""COMPUTED_VALUE"""),168.4)</f>
        <v>168.4</v>
      </c>
      <c r="C836" s="1">
        <f ca="1">IFERROR(__xludf.DUMMYFUNCTION("""COMPUTED_VALUE"""),169.39)</f>
        <v>169.39</v>
      </c>
      <c r="D836" s="1">
        <f ca="1">IFERROR(__xludf.DUMMYFUNCTION("""COMPUTED_VALUE"""),164.38)</f>
        <v>164.38</v>
      </c>
      <c r="E836" s="1">
        <f ca="1">IFERROR(__xludf.DUMMYFUNCTION("""COMPUTED_VALUE"""),165.36)</f>
        <v>165.36</v>
      </c>
      <c r="F836" s="1">
        <f ca="1">IFERROR(__xludf.DUMMYFUNCTION("""COMPUTED_VALUE"""),5105913)</f>
        <v>5105913</v>
      </c>
    </row>
    <row r="837" spans="1:6" ht="12.6">
      <c r="A837" s="2">
        <f ca="1">IFERROR(__xludf.DUMMYFUNCTION("""COMPUTED_VALUE"""),45779.6666666666)</f>
        <v>45779.666666666599</v>
      </c>
      <c r="B837" s="1">
        <f ca="1">IFERROR(__xludf.DUMMYFUNCTION("""COMPUTED_VALUE"""),167.56)</f>
        <v>167.56</v>
      </c>
      <c r="C837" s="1">
        <f ca="1">IFERROR(__xludf.DUMMYFUNCTION("""COMPUTED_VALUE"""),169.72)</f>
        <v>169.72</v>
      </c>
      <c r="D837" s="1">
        <f ca="1">IFERROR(__xludf.DUMMYFUNCTION("""COMPUTED_VALUE"""),166.11)</f>
        <v>166.11</v>
      </c>
      <c r="E837" s="1">
        <f ca="1">IFERROR(__xludf.DUMMYFUNCTION("""COMPUTED_VALUE"""),167.66)</f>
        <v>167.66</v>
      </c>
      <c r="F837" s="1">
        <f ca="1">IFERROR(__xludf.DUMMYFUNCTION("""COMPUTED_VALUE"""),3332744)</f>
        <v>3332744</v>
      </c>
    </row>
    <row r="838" spans="1:6" ht="12.6">
      <c r="A838" s="2">
        <f ca="1">IFERROR(__xludf.DUMMYFUNCTION("""COMPUTED_VALUE"""),45782.6666666666)</f>
        <v>45782.666666666599</v>
      </c>
      <c r="B838" s="1">
        <f ca="1">IFERROR(__xludf.DUMMYFUNCTION("""COMPUTED_VALUE"""),166.5)</f>
        <v>166.5</v>
      </c>
      <c r="C838" s="1">
        <f ca="1">IFERROR(__xludf.DUMMYFUNCTION("""COMPUTED_VALUE"""),170.2)</f>
        <v>170.2</v>
      </c>
      <c r="D838" s="1">
        <f ca="1">IFERROR(__xludf.DUMMYFUNCTION("""COMPUTED_VALUE"""),165.5)</f>
        <v>165.5</v>
      </c>
      <c r="E838" s="1">
        <f ca="1">IFERROR(__xludf.DUMMYFUNCTION("""COMPUTED_VALUE"""),167.87)</f>
        <v>167.87</v>
      </c>
      <c r="F838" s="1">
        <f ca="1">IFERROR(__xludf.DUMMYFUNCTION("""COMPUTED_VALUE"""),2496022)</f>
        <v>2496022</v>
      </c>
    </row>
    <row r="839" spans="1:6" ht="12.6">
      <c r="A839" s="2">
        <f ca="1">IFERROR(__xludf.DUMMYFUNCTION("""COMPUTED_VALUE"""),45783.6666666666)</f>
        <v>45783.666666666599</v>
      </c>
      <c r="B839" s="1">
        <f ca="1">IFERROR(__xludf.DUMMYFUNCTION("""COMPUTED_VALUE"""),165.48)</f>
        <v>165.48</v>
      </c>
      <c r="C839" s="1">
        <f ca="1">IFERROR(__xludf.DUMMYFUNCTION("""COMPUTED_VALUE"""),169.83)</f>
        <v>169.83</v>
      </c>
      <c r="D839" s="1">
        <f ca="1">IFERROR(__xludf.DUMMYFUNCTION("""COMPUTED_VALUE"""),164.24)</f>
        <v>164.24</v>
      </c>
      <c r="E839" s="1">
        <f ca="1">IFERROR(__xludf.DUMMYFUNCTION("""COMPUTED_VALUE"""),168.45)</f>
        <v>168.45</v>
      </c>
      <c r="F839" s="1">
        <f ca="1">IFERROR(__xludf.DUMMYFUNCTION("""COMPUTED_VALUE"""),2293950)</f>
        <v>2293950</v>
      </c>
    </row>
    <row r="840" spans="1:6" ht="12.6">
      <c r="A840" s="2">
        <f ca="1">IFERROR(__xludf.DUMMYFUNCTION("""COMPUTED_VALUE"""),45784.6666666666)</f>
        <v>45784.666666666599</v>
      </c>
      <c r="B840" s="1">
        <f ca="1">IFERROR(__xludf.DUMMYFUNCTION("""COMPUTED_VALUE"""),168.75)</f>
        <v>168.75</v>
      </c>
      <c r="C840" s="1">
        <f ca="1">IFERROR(__xludf.DUMMYFUNCTION("""COMPUTED_VALUE"""),171.67)</f>
        <v>171.67</v>
      </c>
      <c r="D840" s="1">
        <f ca="1">IFERROR(__xludf.DUMMYFUNCTION("""COMPUTED_VALUE"""),167.32)</f>
        <v>167.32</v>
      </c>
      <c r="E840" s="1">
        <f ca="1">IFERROR(__xludf.DUMMYFUNCTION("""COMPUTED_VALUE"""),170.56)</f>
        <v>170.56</v>
      </c>
      <c r="F840" s="1">
        <f ca="1">IFERROR(__xludf.DUMMYFUNCTION("""COMPUTED_VALUE"""),1965187)</f>
        <v>1965187</v>
      </c>
    </row>
    <row r="841" spans="1:6" ht="12.6">
      <c r="A841" s="2">
        <f ca="1">IFERROR(__xludf.DUMMYFUNCTION("""COMPUTED_VALUE"""),45785.6666666666)</f>
        <v>45785.666666666599</v>
      </c>
      <c r="B841" s="1">
        <f ca="1">IFERROR(__xludf.DUMMYFUNCTION("""COMPUTED_VALUE"""),173)</f>
        <v>173</v>
      </c>
      <c r="C841" s="1">
        <f ca="1">IFERROR(__xludf.DUMMYFUNCTION("""COMPUTED_VALUE"""),176.42)</f>
        <v>176.42</v>
      </c>
      <c r="D841" s="1">
        <f ca="1">IFERROR(__xludf.DUMMYFUNCTION("""COMPUTED_VALUE"""),171.53)</f>
        <v>171.53</v>
      </c>
      <c r="E841" s="1">
        <f ca="1">IFERROR(__xludf.DUMMYFUNCTION("""COMPUTED_VALUE"""),173.97)</f>
        <v>173.97</v>
      </c>
      <c r="F841" s="1">
        <f ca="1">IFERROR(__xludf.DUMMYFUNCTION("""COMPUTED_VALUE"""),3462465)</f>
        <v>3462465</v>
      </c>
    </row>
    <row r="842" spans="1:6" ht="12.6">
      <c r="A842" s="2">
        <f ca="1">IFERROR(__xludf.DUMMYFUNCTION("""COMPUTED_VALUE"""),45786.6666666666)</f>
        <v>45786.666666666599</v>
      </c>
      <c r="B842" s="1">
        <f ca="1">IFERROR(__xludf.DUMMYFUNCTION("""COMPUTED_VALUE"""),175)</f>
        <v>175</v>
      </c>
      <c r="C842" s="1">
        <f ca="1">IFERROR(__xludf.DUMMYFUNCTION("""COMPUTED_VALUE"""),176.36)</f>
        <v>176.36</v>
      </c>
      <c r="D842" s="1">
        <f ca="1">IFERROR(__xludf.DUMMYFUNCTION("""COMPUTED_VALUE"""),172)</f>
        <v>172</v>
      </c>
      <c r="E842" s="1">
        <f ca="1">IFERROR(__xludf.DUMMYFUNCTION("""COMPUTED_VALUE"""),174.14)</f>
        <v>174.14</v>
      </c>
      <c r="F842" s="1">
        <f ca="1">IFERROR(__xludf.DUMMYFUNCTION("""COMPUTED_VALUE"""),2595508)</f>
        <v>2595508</v>
      </c>
    </row>
    <row r="843" spans="1:6" ht="12.6">
      <c r="A843" s="2">
        <f ca="1">IFERROR(__xludf.DUMMYFUNCTION("""COMPUTED_VALUE"""),45789.6666666666)</f>
        <v>45789.666666666599</v>
      </c>
      <c r="B843" s="1">
        <f ca="1">IFERROR(__xludf.DUMMYFUNCTION("""COMPUTED_VALUE"""),181.16)</f>
        <v>181.16</v>
      </c>
      <c r="C843" s="1">
        <f ca="1">IFERROR(__xludf.DUMMYFUNCTION("""COMPUTED_VALUE"""),182.7)</f>
        <v>182.7</v>
      </c>
      <c r="D843" s="1">
        <f ca="1">IFERROR(__xludf.DUMMYFUNCTION("""COMPUTED_VALUE"""),177.67)</f>
        <v>177.67</v>
      </c>
      <c r="E843" s="1">
        <f ca="1">IFERROR(__xludf.DUMMYFUNCTION("""COMPUTED_VALUE"""),180.54)</f>
        <v>180.54</v>
      </c>
      <c r="F843" s="1">
        <f ca="1">IFERROR(__xludf.DUMMYFUNCTION("""COMPUTED_VALUE"""),4276539)</f>
        <v>4276539</v>
      </c>
    </row>
    <row r="844" spans="1:6" ht="12.6">
      <c r="A844" s="2">
        <f ca="1">IFERROR(__xludf.DUMMYFUNCTION("""COMPUTED_VALUE"""),45790.6666666666)</f>
        <v>45790.666666666599</v>
      </c>
      <c r="B844" s="1">
        <f ca="1">IFERROR(__xludf.DUMMYFUNCTION("""COMPUTED_VALUE"""),180.7)</f>
        <v>180.7</v>
      </c>
      <c r="C844" s="1">
        <f ca="1">IFERROR(__xludf.DUMMYFUNCTION("""COMPUTED_VALUE"""),184.29)</f>
        <v>184.29</v>
      </c>
      <c r="D844" s="1">
        <f ca="1">IFERROR(__xludf.DUMMYFUNCTION("""COMPUTED_VALUE"""),179.97)</f>
        <v>179.97</v>
      </c>
      <c r="E844" s="1">
        <f ca="1">IFERROR(__xludf.DUMMYFUNCTION("""COMPUTED_VALUE"""),181.02)</f>
        <v>181.02</v>
      </c>
      <c r="F844" s="1">
        <f ca="1">IFERROR(__xludf.DUMMYFUNCTION("""COMPUTED_VALUE"""),4143906)</f>
        <v>4143906</v>
      </c>
    </row>
    <row r="845" spans="1:6" ht="12.6">
      <c r="A845" s="2">
        <f ca="1">IFERROR(__xludf.DUMMYFUNCTION("""COMPUTED_VALUE"""),45791.6666666666)</f>
        <v>45791.666666666599</v>
      </c>
      <c r="B845" s="1">
        <f ca="1">IFERROR(__xludf.DUMMYFUNCTION("""COMPUTED_VALUE"""),181.74)</f>
        <v>181.74</v>
      </c>
      <c r="C845" s="1">
        <f ca="1">IFERROR(__xludf.DUMMYFUNCTION("""COMPUTED_VALUE"""),183.5)</f>
        <v>183.5</v>
      </c>
      <c r="D845" s="1">
        <f ca="1">IFERROR(__xludf.DUMMYFUNCTION("""COMPUTED_VALUE"""),180.15)</f>
        <v>180.15</v>
      </c>
      <c r="E845" s="1">
        <f ca="1">IFERROR(__xludf.DUMMYFUNCTION("""COMPUTED_VALUE"""),181.45)</f>
        <v>181.45</v>
      </c>
      <c r="F845" s="1">
        <f ca="1">IFERROR(__xludf.DUMMYFUNCTION("""COMPUTED_VALUE"""),4642308)</f>
        <v>4642308</v>
      </c>
    </row>
    <row r="846" spans="1:6" ht="12.6">
      <c r="A846" s="2">
        <f ca="1">IFERROR(__xludf.DUMMYFUNCTION("""COMPUTED_VALUE"""),45792.6666666666)</f>
        <v>45792.666666666599</v>
      </c>
      <c r="B846" s="1">
        <f ca="1">IFERROR(__xludf.DUMMYFUNCTION("""COMPUTED_VALUE"""),180)</f>
        <v>180</v>
      </c>
      <c r="C846" s="1">
        <f ca="1">IFERROR(__xludf.DUMMYFUNCTION("""COMPUTED_VALUE"""),183.32)</f>
        <v>183.32</v>
      </c>
      <c r="D846" s="1">
        <f ca="1">IFERROR(__xludf.DUMMYFUNCTION("""COMPUTED_VALUE"""),178.67)</f>
        <v>178.67</v>
      </c>
      <c r="E846" s="1">
        <f ca="1">IFERROR(__xludf.DUMMYFUNCTION("""COMPUTED_VALUE"""),182.97)</f>
        <v>182.97</v>
      </c>
      <c r="F846" s="1">
        <f ca="1">IFERROR(__xludf.DUMMYFUNCTION("""COMPUTED_VALUE"""),3122783)</f>
        <v>3122783</v>
      </c>
    </row>
    <row r="847" spans="1:6" ht="12.6">
      <c r="A847" s="2">
        <f ca="1">IFERROR(__xludf.DUMMYFUNCTION("""COMPUTED_VALUE"""),45793.6666666666)</f>
        <v>45793.666666666599</v>
      </c>
      <c r="B847" s="1">
        <f ca="1">IFERROR(__xludf.DUMMYFUNCTION("""COMPUTED_VALUE"""),182.6)</f>
        <v>182.6</v>
      </c>
      <c r="C847" s="1">
        <f ca="1">IFERROR(__xludf.DUMMYFUNCTION("""COMPUTED_VALUE"""),184.25)</f>
        <v>184.25</v>
      </c>
      <c r="D847" s="1">
        <f ca="1">IFERROR(__xludf.DUMMYFUNCTION("""COMPUTED_VALUE"""),181.67)</f>
        <v>181.67</v>
      </c>
      <c r="E847" s="1">
        <f ca="1">IFERROR(__xludf.DUMMYFUNCTION("""COMPUTED_VALUE"""),183.08)</f>
        <v>183.08</v>
      </c>
      <c r="F847" s="1">
        <f ca="1">IFERROR(__xludf.DUMMYFUNCTION("""COMPUTED_VALUE"""),3440016)</f>
        <v>3440016</v>
      </c>
    </row>
    <row r="848" spans="1:6" ht="12.6">
      <c r="A848" s="2">
        <f ca="1">IFERROR(__xludf.DUMMYFUNCTION("""COMPUTED_VALUE"""),45796.6666666666)</f>
        <v>45796.666666666599</v>
      </c>
      <c r="B848" s="1">
        <f ca="1">IFERROR(__xludf.DUMMYFUNCTION("""COMPUTED_VALUE"""),181.91)</f>
        <v>181.91</v>
      </c>
      <c r="C848" s="1">
        <f ca="1">IFERROR(__xludf.DUMMYFUNCTION("""COMPUTED_VALUE"""),183.1)</f>
        <v>183.1</v>
      </c>
      <c r="D848" s="1">
        <f ca="1">IFERROR(__xludf.DUMMYFUNCTION("""COMPUTED_VALUE"""),179.94)</f>
        <v>179.94</v>
      </c>
      <c r="E848" s="1">
        <f ca="1">IFERROR(__xludf.DUMMYFUNCTION("""COMPUTED_VALUE"""),182.05)</f>
        <v>182.05</v>
      </c>
      <c r="F848" s="1">
        <f ca="1">IFERROR(__xludf.DUMMYFUNCTION("""COMPUTED_VALUE"""),3828007)</f>
        <v>3828007</v>
      </c>
    </row>
    <row r="849" spans="1:6" ht="12.6">
      <c r="A849" s="2">
        <f ca="1">IFERROR(__xludf.DUMMYFUNCTION("""COMPUTED_VALUE"""),45797.6666666666)</f>
        <v>45797.666666666599</v>
      </c>
      <c r="B849" s="1">
        <f ca="1">IFERROR(__xludf.DUMMYFUNCTION("""COMPUTED_VALUE"""),183.5)</f>
        <v>183.5</v>
      </c>
      <c r="C849" s="1">
        <f ca="1">IFERROR(__xludf.DUMMYFUNCTION("""COMPUTED_VALUE"""),183.6)</f>
        <v>183.6</v>
      </c>
      <c r="D849" s="1">
        <f ca="1">IFERROR(__xludf.DUMMYFUNCTION("""COMPUTED_VALUE"""),181.5)</f>
        <v>181.5</v>
      </c>
      <c r="E849" s="1">
        <f ca="1">IFERROR(__xludf.DUMMYFUNCTION("""COMPUTED_VALUE"""),182.88)</f>
        <v>182.88</v>
      </c>
      <c r="F849" s="1">
        <f ca="1">IFERROR(__xludf.DUMMYFUNCTION("""COMPUTED_VALUE"""),4228457)</f>
        <v>4228457</v>
      </c>
    </row>
    <row r="850" spans="1:6" ht="12.6">
      <c r="A850" s="2">
        <f ca="1">IFERROR(__xludf.DUMMYFUNCTION("""COMPUTED_VALUE"""),45798.6666666666)</f>
        <v>45798.666666666599</v>
      </c>
      <c r="B850" s="1">
        <f ca="1">IFERROR(__xludf.DUMMYFUNCTION("""COMPUTED_VALUE"""),180.91)</f>
        <v>180.91</v>
      </c>
      <c r="C850" s="1">
        <f ca="1">IFERROR(__xludf.DUMMYFUNCTION("""COMPUTED_VALUE"""),184.09)</f>
        <v>184.09</v>
      </c>
      <c r="D850" s="1">
        <f ca="1">IFERROR(__xludf.DUMMYFUNCTION("""COMPUTED_VALUE"""),178.91)</f>
        <v>178.91</v>
      </c>
      <c r="E850" s="1">
        <f ca="1">IFERROR(__xludf.DUMMYFUNCTION("""COMPUTED_VALUE"""),179.12)</f>
        <v>179.12</v>
      </c>
      <c r="F850" s="1">
        <f ca="1">IFERROR(__xludf.DUMMYFUNCTION("""COMPUTED_VALUE"""),11101438)</f>
        <v>11101438</v>
      </c>
    </row>
    <row r="851" spans="1:6" ht="12.6">
      <c r="A851" s="2">
        <f ca="1">IFERROR(__xludf.DUMMYFUNCTION("""COMPUTED_VALUE"""),45799.6666666666)</f>
        <v>45799.666666666599</v>
      </c>
      <c r="B851" s="1">
        <f ca="1">IFERROR(__xludf.DUMMYFUNCTION("""COMPUTED_VALUE"""),180.91)</f>
        <v>180.91</v>
      </c>
      <c r="C851" s="1">
        <f ca="1">IFERROR(__xludf.DUMMYFUNCTION("""COMPUTED_VALUE"""),0)</f>
        <v>0</v>
      </c>
      <c r="D851" s="1">
        <f ca="1">IFERROR(__xludf.DUMMYFUNCTION("""COMPUTED_VALUE"""),0)</f>
        <v>0</v>
      </c>
      <c r="E851" s="1">
        <f ca="1">IFERROR(__xludf.DUMMYFUNCTION("""COMPUTED_VALUE"""),179.12)</f>
        <v>179.12</v>
      </c>
      <c r="F851" s="1">
        <f ca="1">IFERROR(__xludf.DUMMYFUNCTION("""COMPUTED_VALUE"""),1224549)</f>
        <v>1224549</v>
      </c>
    </row>
    <row r="852" spans="1:6" ht="12.6">
      <c r="A852" s="2">
        <f ca="1">IFERROR(__xludf.DUMMYFUNCTION("""COMPUTED_VALUE"""),45800.6666666666)</f>
        <v>45800.666666666599</v>
      </c>
      <c r="B852" s="1">
        <f ca="1">IFERROR(__xludf.DUMMYFUNCTION("""COMPUTED_VALUE"""),198.51)</f>
        <v>198.51</v>
      </c>
      <c r="C852" s="1">
        <f ca="1">IFERROR(__xludf.DUMMYFUNCTION("""COMPUTED_VALUE"""),205.4)</f>
        <v>205.4</v>
      </c>
      <c r="D852" s="1">
        <f ca="1">IFERROR(__xludf.DUMMYFUNCTION("""COMPUTED_VALUE"""),197.7)</f>
        <v>197.7</v>
      </c>
      <c r="E852" s="1">
        <f ca="1">IFERROR(__xludf.DUMMYFUNCTION("""COMPUTED_VALUE"""),200.05)</f>
        <v>200.05</v>
      </c>
      <c r="F852" s="1">
        <f ca="1">IFERROR(__xludf.DUMMYFUNCTION("""COMPUTED_VALUE"""),11909691)</f>
        <v>11909691</v>
      </c>
    </row>
    <row r="853" spans="1:6" ht="12.6">
      <c r="A853" s="2">
        <f ca="1">IFERROR(__xludf.DUMMYFUNCTION("""COMPUTED_VALUE"""),45804.6666666666)</f>
        <v>45804.666666666599</v>
      </c>
      <c r="B853" s="1">
        <f ca="1">IFERROR(__xludf.DUMMYFUNCTION("""COMPUTED_VALUE"""),202.6)</f>
        <v>202.6</v>
      </c>
      <c r="C853" s="1">
        <f ca="1">IFERROR(__xludf.DUMMYFUNCTION("""COMPUTED_VALUE"""),208.31)</f>
        <v>208.31</v>
      </c>
      <c r="D853" s="1">
        <f ca="1">IFERROR(__xludf.DUMMYFUNCTION("""COMPUTED_VALUE"""),202.05)</f>
        <v>202.05</v>
      </c>
      <c r="E853" s="1">
        <f ca="1">IFERROR(__xludf.DUMMYFUNCTION("""COMPUTED_VALUE"""),206.35)</f>
        <v>206.35</v>
      </c>
      <c r="F853" s="1">
        <f ca="1">IFERROR(__xludf.DUMMYFUNCTION("""COMPUTED_VALUE"""),9638951)</f>
        <v>9638951</v>
      </c>
    </row>
    <row r="854" spans="1:6" ht="12.6">
      <c r="A854" s="2">
        <f ca="1">IFERROR(__xludf.DUMMYFUNCTION("""COMPUTED_VALUE"""),45805.6666666666)</f>
        <v>45805.666666666599</v>
      </c>
      <c r="B854" s="1">
        <f ca="1">IFERROR(__xludf.DUMMYFUNCTION("""COMPUTED_VALUE"""),207)</f>
        <v>207</v>
      </c>
      <c r="C854" s="1">
        <f ca="1">IFERROR(__xludf.DUMMYFUNCTION("""COMPUTED_VALUE"""),209.8)</f>
        <v>209.8</v>
      </c>
      <c r="D854" s="1">
        <f ca="1">IFERROR(__xludf.DUMMYFUNCTION("""COMPUTED_VALUE"""),203.87)</f>
        <v>203.87</v>
      </c>
      <c r="E854" s="1">
        <f ca="1">IFERROR(__xludf.DUMMYFUNCTION("""COMPUTED_VALUE"""),204.4)</f>
        <v>204.4</v>
      </c>
      <c r="F854" s="1">
        <f ca="1">IFERROR(__xludf.DUMMYFUNCTION("""COMPUTED_VALUE"""),4370949)</f>
        <v>4370949</v>
      </c>
    </row>
    <row r="855" spans="1:6" ht="12.6">
      <c r="A855" s="2">
        <f ca="1">IFERROR(__xludf.DUMMYFUNCTION("""COMPUTED_VALUE"""),45806.6666666666)</f>
        <v>45806.666666666599</v>
      </c>
      <c r="B855" s="1">
        <f ca="1">IFERROR(__xludf.DUMMYFUNCTION("""COMPUTED_VALUE"""),206.29)</f>
        <v>206.29</v>
      </c>
      <c r="C855" s="1">
        <f ca="1">IFERROR(__xludf.DUMMYFUNCTION("""COMPUTED_VALUE"""),206.71)</f>
        <v>206.71</v>
      </c>
      <c r="D855" s="1">
        <f ca="1">IFERROR(__xludf.DUMMYFUNCTION("""COMPUTED_VALUE"""),201.08)</f>
        <v>201.08</v>
      </c>
      <c r="E855" s="1">
        <f ca="1">IFERROR(__xludf.DUMMYFUNCTION("""COMPUTED_VALUE"""),202.31)</f>
        <v>202.31</v>
      </c>
      <c r="F855" s="1">
        <f ca="1">IFERROR(__xludf.DUMMYFUNCTION("""COMPUTED_VALUE"""),3805005)</f>
        <v>3805005</v>
      </c>
    </row>
    <row r="856" spans="1:6" ht="12.6">
      <c r="A856" s="2">
        <f ca="1">IFERROR(__xludf.DUMMYFUNCTION("""COMPUTED_VALUE"""),45807.6666666666)</f>
        <v>45807.666666666599</v>
      </c>
      <c r="B856" s="1">
        <f ca="1">IFERROR(__xludf.DUMMYFUNCTION("""COMPUTED_VALUE"""),202.19)</f>
        <v>202.19</v>
      </c>
      <c r="C856" s="1">
        <f ca="1">IFERROR(__xludf.DUMMYFUNCTION("""COMPUTED_VALUE"""),206)</f>
        <v>206</v>
      </c>
      <c r="D856" s="1">
        <f ca="1">IFERROR(__xludf.DUMMYFUNCTION("""COMPUTED_VALUE"""),199.75)</f>
        <v>199.75</v>
      </c>
      <c r="E856" s="1">
        <f ca="1">IFERROR(__xludf.DUMMYFUNCTION("""COMPUTED_VALUE"""),205.67)</f>
        <v>205.67</v>
      </c>
      <c r="F856" s="1">
        <f ca="1">IFERROR(__xludf.DUMMYFUNCTION("""COMPUTED_VALUE"""),7077520)</f>
        <v>7077520</v>
      </c>
    </row>
    <row r="857" spans="1:6" ht="12.6">
      <c r="A857" s="2">
        <f ca="1">IFERROR(__xludf.DUMMYFUNCTION("""COMPUTED_VALUE"""),45810.6666666666)</f>
        <v>45810.666666666599</v>
      </c>
      <c r="B857" s="1">
        <f ca="1">IFERROR(__xludf.DUMMYFUNCTION("""COMPUTED_VALUE"""),205.67)</f>
        <v>205.67</v>
      </c>
      <c r="C857" s="1">
        <f ca="1">IFERROR(__xludf.DUMMYFUNCTION("""COMPUTED_VALUE"""),210.44)</f>
        <v>210.44</v>
      </c>
      <c r="D857" s="1">
        <f ca="1">IFERROR(__xludf.DUMMYFUNCTION("""COMPUTED_VALUE"""),204.41)</f>
        <v>204.41</v>
      </c>
      <c r="E857" s="1">
        <f ca="1">IFERROR(__xludf.DUMMYFUNCTION("""COMPUTED_VALUE"""),210.17)</f>
        <v>210.17</v>
      </c>
      <c r="F857" s="1">
        <f ca="1">IFERROR(__xludf.DUMMYFUNCTION("""COMPUTED_VALUE"""),4476945)</f>
        <v>4476945</v>
      </c>
    </row>
    <row r="858" spans="1:6" ht="12.6">
      <c r="A858" s="2">
        <f ca="1">IFERROR(__xludf.DUMMYFUNCTION("""COMPUTED_VALUE"""),45811.6666666666)</f>
        <v>45811.666666666599</v>
      </c>
      <c r="B858" s="1">
        <f ca="1">IFERROR(__xludf.DUMMYFUNCTION("""COMPUTED_VALUE"""),210.5)</f>
        <v>210.5</v>
      </c>
      <c r="C858" s="1">
        <f ca="1">IFERROR(__xludf.DUMMYFUNCTION("""COMPUTED_VALUE"""),210.82)</f>
        <v>210.82</v>
      </c>
      <c r="D858" s="1">
        <f ca="1">IFERROR(__xludf.DUMMYFUNCTION("""COMPUTED_VALUE"""),207.2)</f>
        <v>207.2</v>
      </c>
      <c r="E858" s="1">
        <f ca="1">IFERROR(__xludf.DUMMYFUNCTION("""COMPUTED_VALUE"""),209.15)</f>
        <v>209.15</v>
      </c>
      <c r="F858" s="1">
        <f ca="1">IFERROR(__xludf.DUMMYFUNCTION("""COMPUTED_VALUE"""),4063004)</f>
        <v>4063004</v>
      </c>
    </row>
    <row r="859" spans="1:6" ht="12.6">
      <c r="A859" s="2">
        <f ca="1">IFERROR(__xludf.DUMMYFUNCTION("""COMPUTED_VALUE"""),45812.6666666666)</f>
        <v>45812.666666666599</v>
      </c>
      <c r="B859" s="1">
        <f ca="1">IFERROR(__xludf.DUMMYFUNCTION("""COMPUTED_VALUE"""),213.43)</f>
        <v>213.43</v>
      </c>
      <c r="C859" s="1">
        <f ca="1">IFERROR(__xludf.DUMMYFUNCTION("""COMPUTED_VALUE"""),214.83)</f>
        <v>214.83</v>
      </c>
      <c r="D859" s="1">
        <f ca="1">IFERROR(__xludf.DUMMYFUNCTION("""COMPUTED_VALUE"""),205.29)</f>
        <v>205.29</v>
      </c>
      <c r="E859" s="1">
        <f ca="1">IFERROR(__xludf.DUMMYFUNCTION("""COMPUTED_VALUE"""),209.6)</f>
        <v>209.6</v>
      </c>
      <c r="F859" s="1">
        <f ca="1">IFERROR(__xludf.DUMMYFUNCTION("""COMPUTED_VALUE"""),6648504)</f>
        <v>6648504</v>
      </c>
    </row>
    <row r="860" spans="1:6" ht="12.6">
      <c r="A860" s="2">
        <f ca="1">IFERROR(__xludf.DUMMYFUNCTION("""COMPUTED_VALUE"""),45813.6666666666)</f>
        <v>45813.666666666599</v>
      </c>
      <c r="B860" s="1">
        <f ca="1">IFERROR(__xludf.DUMMYFUNCTION("""COMPUTED_VALUE"""),211.23)</f>
        <v>211.23</v>
      </c>
      <c r="C860" s="1">
        <f ca="1">IFERROR(__xludf.DUMMYFUNCTION("""COMPUTED_VALUE"""),214.37)</f>
        <v>214.37</v>
      </c>
      <c r="D860" s="1">
        <f ca="1">IFERROR(__xludf.DUMMYFUNCTION("""COMPUTED_VALUE"""),208.89)</f>
        <v>208.89</v>
      </c>
      <c r="E860" s="1">
        <f ca="1">IFERROR(__xludf.DUMMYFUNCTION("""COMPUTED_VALUE"""),210.1)</f>
        <v>210.1</v>
      </c>
      <c r="F860" s="1">
        <f ca="1">IFERROR(__xludf.DUMMYFUNCTION("""COMPUTED_VALUE"""),5234404)</f>
        <v>5234404</v>
      </c>
    </row>
    <row r="861" spans="1:6" ht="12.6">
      <c r="A861" s="2">
        <f ca="1">IFERROR(__xludf.DUMMYFUNCTION("""COMPUTED_VALUE"""),45814.6666666666)</f>
        <v>45814.666666666599</v>
      </c>
      <c r="B861" s="1">
        <f ca="1">IFERROR(__xludf.DUMMYFUNCTION("""COMPUTED_VALUE"""),211.45)</f>
        <v>211.45</v>
      </c>
      <c r="C861" s="1">
        <f ca="1">IFERROR(__xludf.DUMMYFUNCTION("""COMPUTED_VALUE"""),213)</f>
        <v>213</v>
      </c>
      <c r="D861" s="1">
        <f ca="1">IFERROR(__xludf.DUMMYFUNCTION("""COMPUTED_VALUE"""),209.4)</f>
        <v>209.4</v>
      </c>
      <c r="E861" s="1">
        <f ca="1">IFERROR(__xludf.DUMMYFUNCTION("""COMPUTED_VALUE"""),210.84)</f>
        <v>210.84</v>
      </c>
      <c r="F861" s="1">
        <f ca="1">IFERROR(__xludf.DUMMYFUNCTION("""COMPUTED_VALUE"""),3798936)</f>
        <v>3798936</v>
      </c>
    </row>
    <row r="862" spans="1:6" ht="12.6">
      <c r="A862" s="2">
        <f ca="1">IFERROR(__xludf.DUMMYFUNCTION("""COMPUTED_VALUE"""),45817.6666666666)</f>
        <v>45817.666666666599</v>
      </c>
      <c r="B862" s="1">
        <f ca="1">IFERROR(__xludf.DUMMYFUNCTION("""COMPUTED_VALUE"""),211.32)</f>
        <v>211.32</v>
      </c>
      <c r="C862" s="1">
        <f ca="1">IFERROR(__xludf.DUMMYFUNCTION("""COMPUTED_VALUE"""),212.09)</f>
        <v>212.09</v>
      </c>
      <c r="D862" s="1">
        <f ca="1">IFERROR(__xludf.DUMMYFUNCTION("""COMPUTED_VALUE"""),208.5)</f>
        <v>208.5</v>
      </c>
      <c r="E862" s="1">
        <f ca="1">IFERROR(__xludf.DUMMYFUNCTION("""COMPUTED_VALUE"""),210.85)</f>
        <v>210.85</v>
      </c>
      <c r="F862" s="1">
        <f ca="1">IFERROR(__xludf.DUMMYFUNCTION("""COMPUTED_VALUE"""),3548170)</f>
        <v>3548170</v>
      </c>
    </row>
    <row r="863" spans="1:6" ht="12.6">
      <c r="A863" s="2">
        <f ca="1">IFERROR(__xludf.DUMMYFUNCTION("""COMPUTED_VALUE"""),45818.6666666666)</f>
        <v>45818.666666666599</v>
      </c>
      <c r="B863" s="1">
        <f ca="1">IFERROR(__xludf.DUMMYFUNCTION("""COMPUTED_VALUE"""),210.08)</f>
        <v>210.08</v>
      </c>
      <c r="C863" s="1">
        <f ca="1">IFERROR(__xludf.DUMMYFUNCTION("""COMPUTED_VALUE"""),212.4)</f>
        <v>212.4</v>
      </c>
      <c r="D863" s="1">
        <f ca="1">IFERROR(__xludf.DUMMYFUNCTION("""COMPUTED_VALUE"""),206.22)</f>
        <v>206.22</v>
      </c>
      <c r="E863" s="1">
        <f ca="1">IFERROR(__xludf.DUMMYFUNCTION("""COMPUTED_VALUE"""),208.24)</f>
        <v>208.24</v>
      </c>
      <c r="F863" s="1">
        <f ca="1">IFERROR(__xludf.DUMMYFUNCTION("""COMPUTED_VALUE"""),3598135)</f>
        <v>3598135</v>
      </c>
    </row>
    <row r="864" spans="1:6" ht="12.6">
      <c r="A864" s="2">
        <f ca="1">IFERROR(__xludf.DUMMYFUNCTION("""COMPUTED_VALUE"""),45819.6666666666)</f>
        <v>45819.666666666599</v>
      </c>
      <c r="B864" s="1">
        <f ca="1">IFERROR(__xludf.DUMMYFUNCTION("""COMPUTED_VALUE"""),207.99)</f>
        <v>207.99</v>
      </c>
      <c r="C864" s="1">
        <f ca="1">IFERROR(__xludf.DUMMYFUNCTION("""COMPUTED_VALUE"""),210.2)</f>
        <v>210.2</v>
      </c>
      <c r="D864" s="1">
        <f ca="1">IFERROR(__xludf.DUMMYFUNCTION("""COMPUTED_VALUE"""),205.23)</f>
        <v>205.23</v>
      </c>
      <c r="E864" s="1">
        <f ca="1">IFERROR(__xludf.DUMMYFUNCTION("""COMPUTED_VALUE"""),208.61)</f>
        <v>208.61</v>
      </c>
      <c r="F864" s="1">
        <f ca="1">IFERROR(__xludf.DUMMYFUNCTION("""COMPUTED_VALUE"""),5140168)</f>
        <v>5140168</v>
      </c>
    </row>
    <row r="865" spans="1:6" ht="12.6">
      <c r="A865" s="2">
        <f ca="1">IFERROR(__xludf.DUMMYFUNCTION("""COMPUTED_VALUE"""),45820.6666666666)</f>
        <v>45820.666666666599</v>
      </c>
      <c r="B865" s="1">
        <f ca="1">IFERROR(__xludf.DUMMYFUNCTION("""COMPUTED_VALUE"""),206.14)</f>
        <v>206.14</v>
      </c>
      <c r="C865" s="1">
        <f ca="1">IFERROR(__xludf.DUMMYFUNCTION("""COMPUTED_VALUE"""),213.1)</f>
        <v>213.1</v>
      </c>
      <c r="D865" s="1">
        <f ca="1">IFERROR(__xludf.DUMMYFUNCTION("""COMPUTED_VALUE"""),206.14)</f>
        <v>206.14</v>
      </c>
      <c r="E865" s="1">
        <f ca="1">IFERROR(__xludf.DUMMYFUNCTION("""COMPUTED_VALUE"""),211.28)</f>
        <v>211.28</v>
      </c>
      <c r="F865" s="1">
        <f ca="1">IFERROR(__xludf.DUMMYFUNCTION("""COMPUTED_VALUE"""),5138792)</f>
        <v>5138792</v>
      </c>
    </row>
    <row r="866" spans="1:6" ht="12.6">
      <c r="A866" s="2">
        <f ca="1">IFERROR(__xludf.DUMMYFUNCTION("""COMPUTED_VALUE"""),45821.6666666666)</f>
        <v>45821.666666666599</v>
      </c>
      <c r="B866" s="1">
        <f ca="1">IFERROR(__xludf.DUMMYFUNCTION("""COMPUTED_VALUE"""),208)</f>
        <v>208</v>
      </c>
      <c r="C866" s="1">
        <f ca="1">IFERROR(__xludf.DUMMYFUNCTION("""COMPUTED_VALUE"""),212.3)</f>
        <v>212.3</v>
      </c>
      <c r="D866" s="1">
        <f ca="1">IFERROR(__xludf.DUMMYFUNCTION("""COMPUTED_VALUE"""),207.44)</f>
        <v>207.44</v>
      </c>
      <c r="E866" s="1">
        <f ca="1">IFERROR(__xludf.DUMMYFUNCTION("""COMPUTED_VALUE"""),208.18)</f>
        <v>208.18</v>
      </c>
      <c r="F866" s="1">
        <f ca="1">IFERROR(__xludf.DUMMYFUNCTION("""COMPUTED_VALUE"""),3636510)</f>
        <v>3636510</v>
      </c>
    </row>
    <row r="867" spans="1:6" ht="12.6">
      <c r="A867" s="2">
        <f ca="1">IFERROR(__xludf.DUMMYFUNCTION("""COMPUTED_VALUE"""),45824.6666666666)</f>
        <v>45824.666666666599</v>
      </c>
      <c r="B867" s="1">
        <f ca="1">IFERROR(__xludf.DUMMYFUNCTION("""COMPUTED_VALUE"""),210.31)</f>
        <v>210.31</v>
      </c>
      <c r="C867" s="1">
        <f ca="1">IFERROR(__xludf.DUMMYFUNCTION("""COMPUTED_VALUE"""),211)</f>
        <v>211</v>
      </c>
      <c r="D867" s="1">
        <f ca="1">IFERROR(__xludf.DUMMYFUNCTION("""COMPUTED_VALUE"""),207.05)</f>
        <v>207.05</v>
      </c>
      <c r="E867" s="1">
        <f ca="1">IFERROR(__xludf.DUMMYFUNCTION("""COMPUTED_VALUE"""),209.12)</f>
        <v>209.12</v>
      </c>
      <c r="F867" s="1">
        <f ca="1">IFERROR(__xludf.DUMMYFUNCTION("""COMPUTED_VALUE"""),2579570)</f>
        <v>2579570</v>
      </c>
    </row>
    <row r="868" spans="1:6" ht="12.6">
      <c r="A868" s="2">
        <f ca="1">IFERROR(__xludf.DUMMYFUNCTION("""COMPUTED_VALUE"""),45825.6666666666)</f>
        <v>45825.666666666599</v>
      </c>
      <c r="B868" s="1">
        <f ca="1">IFERROR(__xludf.DUMMYFUNCTION("""COMPUTED_VALUE"""),208)</f>
        <v>208</v>
      </c>
      <c r="C868" s="1">
        <f ca="1">IFERROR(__xludf.DUMMYFUNCTION("""COMPUTED_VALUE"""),210.3)</f>
        <v>210.3</v>
      </c>
      <c r="D868" s="1">
        <f ca="1">IFERROR(__xludf.DUMMYFUNCTION("""COMPUTED_VALUE"""),206.26)</f>
        <v>206.26</v>
      </c>
      <c r="E868" s="1">
        <f ca="1">IFERROR(__xludf.DUMMYFUNCTION("""COMPUTED_VALUE"""),209.45)</f>
        <v>209.45</v>
      </c>
      <c r="F868" s="1">
        <f ca="1">IFERROR(__xludf.DUMMYFUNCTION("""COMPUTED_VALUE"""),2217902)</f>
        <v>2217902</v>
      </c>
    </row>
    <row r="869" spans="1:6" ht="12.6">
      <c r="A869" s="2">
        <f ca="1">IFERROR(__xludf.DUMMYFUNCTION("""COMPUTED_VALUE"""),45826.6666666666)</f>
        <v>45826.666666666599</v>
      </c>
      <c r="B869" s="1">
        <f ca="1">IFERROR(__xludf.DUMMYFUNCTION("""COMPUTED_VALUE"""),210.36)</f>
        <v>210.36</v>
      </c>
      <c r="C869" s="1">
        <f ca="1">IFERROR(__xludf.DUMMYFUNCTION("""COMPUTED_VALUE"""),212.7)</f>
        <v>212.7</v>
      </c>
      <c r="D869" s="1">
        <f ca="1">IFERROR(__xludf.DUMMYFUNCTION("""COMPUTED_VALUE"""),209.47)</f>
        <v>209.47</v>
      </c>
      <c r="E869" s="1">
        <f ca="1">IFERROR(__xludf.DUMMYFUNCTION("""COMPUTED_VALUE"""),212.08)</f>
        <v>212.08</v>
      </c>
      <c r="F869" s="1">
        <f ca="1">IFERROR(__xludf.DUMMYFUNCTION("""COMPUTED_VALUE"""),4218197)</f>
        <v>4218197</v>
      </c>
    </row>
    <row r="870" spans="1:6" ht="12.6">
      <c r="A870" s="2">
        <f ca="1">IFERROR(__xludf.DUMMYFUNCTION("""COMPUTED_VALUE"""),45828.6666666666)</f>
        <v>45828.666666666599</v>
      </c>
      <c r="B870" s="1">
        <f ca="1">IFERROR(__xludf.DUMMYFUNCTION("""COMPUTED_VALUE"""),213.35)</f>
        <v>213.35</v>
      </c>
      <c r="C870" s="1">
        <f ca="1">IFERROR(__xludf.DUMMYFUNCTION("""COMPUTED_VALUE"""),215.99)</f>
        <v>215.99</v>
      </c>
      <c r="D870" s="1">
        <f ca="1">IFERROR(__xludf.DUMMYFUNCTION("""COMPUTED_VALUE"""),210.85)</f>
        <v>210.85</v>
      </c>
      <c r="E870" s="1">
        <f ca="1">IFERROR(__xludf.DUMMYFUNCTION("""COMPUTED_VALUE"""),211.99)</f>
        <v>211.99</v>
      </c>
      <c r="F870" s="1">
        <f ca="1">IFERROR(__xludf.DUMMYFUNCTION("""COMPUTED_VALUE"""),4246319)</f>
        <v>4246319</v>
      </c>
    </row>
    <row r="871" spans="1:6" ht="12.6">
      <c r="A871" s="2">
        <f ca="1">IFERROR(__xludf.DUMMYFUNCTION("""COMPUTED_VALUE"""),45831.6666666666)</f>
        <v>45831.666666666599</v>
      </c>
      <c r="B871" s="1">
        <f ca="1">IFERROR(__xludf.DUMMYFUNCTION("""COMPUTED_VALUE"""),209.63)</f>
        <v>209.63</v>
      </c>
      <c r="C871" s="1">
        <f ca="1">IFERROR(__xludf.DUMMYFUNCTION("""COMPUTED_VALUE"""),214.88)</f>
        <v>214.88</v>
      </c>
      <c r="D871" s="1">
        <f ca="1">IFERROR(__xludf.DUMMYFUNCTION("""COMPUTED_VALUE"""),207.36)</f>
        <v>207.36</v>
      </c>
      <c r="E871" s="1">
        <f ca="1">IFERROR(__xludf.DUMMYFUNCTION("""COMPUTED_VALUE"""),213.71)</f>
        <v>213.71</v>
      </c>
      <c r="F871" s="1">
        <f ca="1">IFERROR(__xludf.DUMMYFUNCTION("""COMPUTED_VALUE"""),3146772)</f>
        <v>3146772</v>
      </c>
    </row>
    <row r="872" spans="1:6" ht="12.6">
      <c r="A872" s="2">
        <f ca="1">IFERROR(__xludf.DUMMYFUNCTION("""COMPUTED_VALUE"""),45832.6666666666)</f>
        <v>45832.666666666599</v>
      </c>
      <c r="B872" s="1">
        <f ca="1">IFERROR(__xludf.DUMMYFUNCTION("""COMPUTED_VALUE"""),219.49)</f>
        <v>219.49</v>
      </c>
      <c r="C872" s="1">
        <f ca="1">IFERROR(__xludf.DUMMYFUNCTION("""COMPUTED_VALUE"""),224.61)</f>
        <v>224.61</v>
      </c>
      <c r="D872" s="1">
        <f ca="1">IFERROR(__xludf.DUMMYFUNCTION("""COMPUTED_VALUE"""),219.25)</f>
        <v>219.25</v>
      </c>
      <c r="E872" s="1">
        <f ca="1">IFERROR(__xludf.DUMMYFUNCTION("""COMPUTED_VALUE"""),223.14)</f>
        <v>223.14</v>
      </c>
      <c r="F872" s="1">
        <f ca="1">IFERROR(__xludf.DUMMYFUNCTION("""COMPUTED_VALUE"""),7206453)</f>
        <v>7206453</v>
      </c>
    </row>
    <row r="873" spans="1:6" ht="12.6">
      <c r="A873" s="2">
        <f ca="1">IFERROR(__xludf.DUMMYFUNCTION("""COMPUTED_VALUE"""),45833.6666666666)</f>
        <v>45833.666666666599</v>
      </c>
      <c r="B873" s="1">
        <f ca="1">IFERROR(__xludf.DUMMYFUNCTION("""COMPUTED_VALUE"""),219.49)</f>
        <v>219.49</v>
      </c>
      <c r="C873" s="1">
        <f ca="1">IFERROR(__xludf.DUMMYFUNCTION("""COMPUTED_VALUE"""),224.61)</f>
        <v>224.61</v>
      </c>
      <c r="D873" s="1">
        <f ca="1">IFERROR(__xludf.DUMMYFUNCTION("""COMPUTED_VALUE"""),219.25)</f>
        <v>219.25</v>
      </c>
      <c r="E873" s="1">
        <f ca="1">IFERROR(__xludf.DUMMYFUNCTION("""COMPUTED_VALUE"""),223.14)</f>
        <v>223.14</v>
      </c>
      <c r="F873" s="1">
        <f ca="1">IFERROR(__xludf.DUMMYFUNCTION("""COMPUTED_VALUE"""),128551)</f>
        <v>128551</v>
      </c>
    </row>
    <row r="874" spans="1:6" ht="12.6">
      <c r="A874" s="2">
        <f ca="1">IFERROR(__xludf.DUMMYFUNCTION("""COMPUTED_VALUE"""),45835.6666666666)</f>
        <v>45835.666666666599</v>
      </c>
      <c r="B874" s="1">
        <f ca="1">IFERROR(__xludf.DUMMYFUNCTION("""COMPUTED_VALUE"""),222.43)</f>
        <v>222.43</v>
      </c>
      <c r="C874" s="1">
        <f ca="1">IFERROR(__xludf.DUMMYFUNCTION("""COMPUTED_VALUE"""),224.43)</f>
        <v>224.43</v>
      </c>
      <c r="D874" s="1">
        <f ca="1">IFERROR(__xludf.DUMMYFUNCTION("""COMPUTED_VALUE"""),219.82)</f>
        <v>219.82</v>
      </c>
      <c r="E874" s="1">
        <f ca="1">IFERROR(__xludf.DUMMYFUNCTION("""COMPUTED_VALUE"""),222.61)</f>
        <v>222.61</v>
      </c>
      <c r="F874" s="1">
        <f ca="1">IFERROR(__xludf.DUMMYFUNCTION("""COMPUTED_VALUE"""),4924398)</f>
        <v>4924398</v>
      </c>
    </row>
    <row r="875" spans="1:6" ht="12.6">
      <c r="A875" s="2">
        <f ca="1">IFERROR(__xludf.DUMMYFUNCTION("""COMPUTED_VALUE"""),45838.6666666666)</f>
        <v>45838.666666666599</v>
      </c>
      <c r="B875" s="1">
        <f ca="1">IFERROR(__xludf.DUMMYFUNCTION("""COMPUTED_VALUE"""),224.4)</f>
        <v>224.4</v>
      </c>
      <c r="C875" s="1">
        <f ca="1">IFERROR(__xludf.DUMMYFUNCTION("""COMPUTED_VALUE"""),225.51)</f>
        <v>225.51</v>
      </c>
      <c r="D875" s="1">
        <f ca="1">IFERROR(__xludf.DUMMYFUNCTION("""COMPUTED_VALUE"""),222.61)</f>
        <v>222.61</v>
      </c>
      <c r="E875" s="1">
        <f ca="1">IFERROR(__xludf.DUMMYFUNCTION("""COMPUTED_VALUE"""),223.77)</f>
        <v>223.77</v>
      </c>
      <c r="F875" s="1">
        <f ca="1">IFERROR(__xludf.DUMMYFUNCTION("""COMPUTED_VALUE"""),3492413)</f>
        <v>3492413</v>
      </c>
    </row>
    <row r="876" spans="1:6" ht="12.6">
      <c r="A876" s="2">
        <f ca="1">IFERROR(__xludf.DUMMYFUNCTION("""COMPUTED_VALUE"""),45839.6666666666)</f>
        <v>45839.666666666599</v>
      </c>
      <c r="B876" s="1">
        <f ca="1">IFERROR(__xludf.DUMMYFUNCTION("""COMPUTED_VALUE"""),218.9)</f>
        <v>218.9</v>
      </c>
      <c r="C876" s="1">
        <f ca="1">IFERROR(__xludf.DUMMYFUNCTION("""COMPUTED_VALUE"""),223.16)</f>
        <v>223.16</v>
      </c>
      <c r="D876" s="1">
        <f ca="1">IFERROR(__xludf.DUMMYFUNCTION("""COMPUTED_VALUE"""),214.42)</f>
        <v>214.42</v>
      </c>
      <c r="E876" s="1">
        <f ca="1">IFERROR(__xludf.DUMMYFUNCTION("""COMPUTED_VALUE"""),215.97)</f>
        <v>215.97</v>
      </c>
      <c r="F876" s="1">
        <f ca="1">IFERROR(__xludf.DUMMYFUNCTION("""COMPUTED_VALUE"""),5398126)</f>
        <v>5398126</v>
      </c>
    </row>
    <row r="877" spans="1:6" ht="12.6">
      <c r="A877" s="2">
        <f ca="1">IFERROR(__xludf.DUMMYFUNCTION("""COMPUTED_VALUE"""),45840.6666666666)</f>
        <v>45840.666666666599</v>
      </c>
      <c r="B877" s="1">
        <f ca="1">IFERROR(__xludf.DUMMYFUNCTION("""COMPUTED_VALUE"""),215.61)</f>
        <v>215.61</v>
      </c>
      <c r="C877" s="1">
        <f ca="1">IFERROR(__xludf.DUMMYFUNCTION("""COMPUTED_VALUE"""),218.29)</f>
        <v>218.29</v>
      </c>
      <c r="D877" s="1">
        <f ca="1">IFERROR(__xludf.DUMMYFUNCTION("""COMPUTED_VALUE"""),214.52)</f>
        <v>214.52</v>
      </c>
      <c r="E877" s="1">
        <f ca="1">IFERROR(__xludf.DUMMYFUNCTION("""COMPUTED_VALUE"""),217.34)</f>
        <v>217.34</v>
      </c>
      <c r="F877" s="1">
        <f ca="1">IFERROR(__xludf.DUMMYFUNCTION("""COMPUTED_VALUE"""),2363692)</f>
        <v>2363692</v>
      </c>
    </row>
    <row r="878" spans="1:6" ht="12.6">
      <c r="A878" s="2">
        <f ca="1">IFERROR(__xludf.DUMMYFUNCTION("""COMPUTED_VALUE"""),45841.5416666666)</f>
        <v>45841.541666666599</v>
      </c>
      <c r="B878" s="1">
        <f ca="1">IFERROR(__xludf.DUMMYFUNCTION("""COMPUTED_VALUE"""),215.61)</f>
        <v>215.61</v>
      </c>
      <c r="C878" s="1">
        <f ca="1">IFERROR(__xludf.DUMMYFUNCTION("""COMPUTED_VALUE"""),218.29)</f>
        <v>218.29</v>
      </c>
      <c r="D878" s="1">
        <f ca="1">IFERROR(__xludf.DUMMYFUNCTION("""COMPUTED_VALUE"""),214.52)</f>
        <v>214.52</v>
      </c>
      <c r="E878" s="1">
        <f ca="1">IFERROR(__xludf.DUMMYFUNCTION("""COMPUTED_VALUE"""),217.34)</f>
        <v>217.34</v>
      </c>
      <c r="F878" s="1">
        <f ca="1">IFERROR(__xludf.DUMMYFUNCTION("""COMPUTED_VALUE"""),48442)</f>
        <v>48442</v>
      </c>
    </row>
    <row r="879" spans="1:6" ht="12.6">
      <c r="A879" s="2">
        <f ca="1">IFERROR(__xludf.DUMMYFUNCTION("""COMPUTED_VALUE"""),45845.6666666666)</f>
        <v>45845.666666666599</v>
      </c>
      <c r="B879" s="1">
        <f ca="1">IFERROR(__xludf.DUMMYFUNCTION("""COMPUTED_VALUE"""),221.43)</f>
        <v>221.43</v>
      </c>
      <c r="C879" s="1">
        <f ca="1">IFERROR(__xludf.DUMMYFUNCTION("""COMPUTED_VALUE"""),225.86)</f>
        <v>225.86</v>
      </c>
      <c r="D879" s="1">
        <f ca="1">IFERROR(__xludf.DUMMYFUNCTION("""COMPUTED_VALUE"""),220.18)</f>
        <v>220.18</v>
      </c>
      <c r="E879" s="1">
        <f ca="1">IFERROR(__xludf.DUMMYFUNCTION("""COMPUTED_VALUE"""),225.79)</f>
        <v>225.79</v>
      </c>
      <c r="F879" s="1">
        <f ca="1">IFERROR(__xludf.DUMMYFUNCTION("""COMPUTED_VALUE"""),4090043)</f>
        <v>4090043</v>
      </c>
    </row>
    <row r="880" spans="1:6" ht="12.6">
      <c r="A880" s="2">
        <f ca="1">IFERROR(__xludf.DUMMYFUNCTION("""COMPUTED_VALUE"""),45846.6666666666)</f>
        <v>45846.666666666599</v>
      </c>
      <c r="B880" s="1">
        <f ca="1">IFERROR(__xludf.DUMMYFUNCTION("""COMPUTED_VALUE"""),221.43)</f>
        <v>221.43</v>
      </c>
      <c r="C880" s="1">
        <f ca="1">IFERROR(__xludf.DUMMYFUNCTION("""COMPUTED_VALUE"""),225.86)</f>
        <v>225.86</v>
      </c>
      <c r="D880" s="1">
        <f ca="1">IFERROR(__xludf.DUMMYFUNCTION("""COMPUTED_VALUE"""),220.18)</f>
        <v>220.18</v>
      </c>
      <c r="E880" s="1">
        <f ca="1">IFERROR(__xludf.DUMMYFUNCTION("""COMPUTED_VALUE"""),225.79)</f>
        <v>225.79</v>
      </c>
      <c r="F880" s="1">
        <f ca="1">IFERROR(__xludf.DUMMYFUNCTION("""COMPUTED_VALUE"""),48518)</f>
        <v>48518</v>
      </c>
    </row>
    <row r="881" spans="1:6" ht="12.6">
      <c r="A881" s="2">
        <f ca="1">IFERROR(__xludf.DUMMYFUNCTION("""COMPUTED_VALUE"""),45847.6666666666)</f>
        <v>45847.666666666599</v>
      </c>
      <c r="B881" s="1">
        <f ca="1">IFERROR(__xludf.DUMMYFUNCTION("""COMPUTED_VALUE"""),224.6)</f>
        <v>224.6</v>
      </c>
      <c r="C881" s="1">
        <f ca="1">IFERROR(__xludf.DUMMYFUNCTION("""COMPUTED_VALUE"""),224.75)</f>
        <v>224.75</v>
      </c>
      <c r="D881" s="1">
        <f ca="1">IFERROR(__xludf.DUMMYFUNCTION("""COMPUTED_VALUE"""),220.93)</f>
        <v>220.93</v>
      </c>
      <c r="E881" s="1">
        <f ca="1">IFERROR(__xludf.DUMMYFUNCTION("""COMPUTED_VALUE"""),221.9)</f>
        <v>221.9</v>
      </c>
      <c r="F881" s="1">
        <f ca="1">IFERROR(__xludf.DUMMYFUNCTION("""COMPUTED_VALUE"""),2658440)</f>
        <v>2658440</v>
      </c>
    </row>
    <row r="882" spans="1:6" ht="12.6">
      <c r="A882" s="2">
        <f ca="1">IFERROR(__xludf.DUMMYFUNCTION("""COMPUTED_VALUE"""),45848.6666666666)</f>
        <v>45848.666666666599</v>
      </c>
      <c r="B882" s="1">
        <f ca="1">IFERROR(__xludf.DUMMYFUNCTION("""COMPUTED_VALUE"""),224.6)</f>
        <v>224.6</v>
      </c>
      <c r="C882" s="1">
        <f ca="1">IFERROR(__xludf.DUMMYFUNCTION("""COMPUTED_VALUE"""),224.75)</f>
        <v>224.75</v>
      </c>
      <c r="D882" s="1">
        <f ca="1">IFERROR(__xludf.DUMMYFUNCTION("""COMPUTED_VALUE"""),220.93)</f>
        <v>220.93</v>
      </c>
      <c r="E882" s="1">
        <f ca="1">IFERROR(__xludf.DUMMYFUNCTION("""COMPUTED_VALUE"""),221.9)</f>
        <v>221.9</v>
      </c>
      <c r="F882" s="1">
        <f ca="1">IFERROR(__xludf.DUMMYFUNCTION("""COMPUTED_VALUE"""),61557)</f>
        <v>61557</v>
      </c>
    </row>
    <row r="883" spans="1:6" ht="12.6">
      <c r="A883" s="2">
        <f ca="1">IFERROR(__xludf.DUMMYFUNCTION("""COMPUTED_VALUE"""),45849.6666666666)</f>
        <v>45849.666666666599</v>
      </c>
      <c r="B883" s="1">
        <f ca="1">IFERROR(__xludf.DUMMYFUNCTION("""COMPUTED_VALUE"""),213.48)</f>
        <v>213.48</v>
      </c>
      <c r="C883" s="1">
        <f ca="1">IFERROR(__xludf.DUMMYFUNCTION("""COMPUTED_VALUE"""),215.49)</f>
        <v>215.49</v>
      </c>
      <c r="D883" s="1">
        <f ca="1">IFERROR(__xludf.DUMMYFUNCTION("""COMPUTED_VALUE"""),209.46)</f>
        <v>209.46</v>
      </c>
      <c r="E883" s="1">
        <f ca="1">IFERROR(__xludf.DUMMYFUNCTION("""COMPUTED_VALUE"""),210.84)</f>
        <v>210.84</v>
      </c>
      <c r="F883" s="1">
        <f ca="1">IFERROR(__xludf.DUMMYFUNCTION("""COMPUTED_VALUE"""),3868631)</f>
        <v>3868631</v>
      </c>
    </row>
    <row r="884" spans="1:6" ht="12.6">
      <c r="A884" s="2">
        <f ca="1">IFERROR(__xludf.DUMMYFUNCTION("""COMPUTED_VALUE"""),45852.6666666666)</f>
        <v>45852.666666666599</v>
      </c>
      <c r="B884" s="1">
        <f ca="1">IFERROR(__xludf.DUMMYFUNCTION("""COMPUTED_VALUE"""),209.87)</f>
        <v>209.87</v>
      </c>
      <c r="C884" s="1">
        <f ca="1">IFERROR(__xludf.DUMMYFUNCTION("""COMPUTED_VALUE"""),214.94)</f>
        <v>214.94</v>
      </c>
      <c r="D884" s="1">
        <f ca="1">IFERROR(__xludf.DUMMYFUNCTION("""COMPUTED_VALUE"""),208.6)</f>
        <v>208.6</v>
      </c>
      <c r="E884" s="1">
        <f ca="1">IFERROR(__xludf.DUMMYFUNCTION("""COMPUTED_VALUE"""),213.52)</f>
        <v>213.52</v>
      </c>
      <c r="F884" s="1">
        <f ca="1">IFERROR(__xludf.DUMMYFUNCTION("""COMPUTED_VALUE"""),2863820)</f>
        <v>2863820</v>
      </c>
    </row>
    <row r="885" spans="1:6" ht="12.6">
      <c r="A885" s="2">
        <f ca="1">IFERROR(__xludf.DUMMYFUNCTION("""COMPUTED_VALUE"""),45853.6666666666)</f>
        <v>45853.666666666599</v>
      </c>
      <c r="B885" s="1">
        <f ca="1">IFERROR(__xludf.DUMMYFUNCTION("""COMPUTED_VALUE"""),213.75)</f>
        <v>213.75</v>
      </c>
      <c r="C885" s="1">
        <f ca="1">IFERROR(__xludf.DUMMYFUNCTION("""COMPUTED_VALUE"""),215.1)</f>
        <v>215.1</v>
      </c>
      <c r="D885" s="1">
        <f ca="1">IFERROR(__xludf.DUMMYFUNCTION("""COMPUTED_VALUE"""),212.25)</f>
        <v>212.25</v>
      </c>
      <c r="E885" s="1">
        <f ca="1">IFERROR(__xludf.DUMMYFUNCTION("""COMPUTED_VALUE"""),212.79)</f>
        <v>212.79</v>
      </c>
      <c r="F885" s="1">
        <f ca="1">IFERROR(__xludf.DUMMYFUNCTION("""COMPUTED_VALUE"""),3249067)</f>
        <v>3249067</v>
      </c>
    </row>
    <row r="886" spans="1:6" ht="12.6">
      <c r="A886" s="2">
        <f ca="1">IFERROR(__xludf.DUMMYFUNCTION("""COMPUTED_VALUE"""),45854.6666666666)</f>
        <v>45854.666666666599</v>
      </c>
      <c r="B886" s="1">
        <f ca="1">IFERROR(__xludf.DUMMYFUNCTION("""COMPUTED_VALUE"""),213.75)</f>
        <v>213.75</v>
      </c>
      <c r="C886" s="1">
        <f ca="1">IFERROR(__xludf.DUMMYFUNCTION("""COMPUTED_VALUE"""),215.1)</f>
        <v>215.1</v>
      </c>
      <c r="D886" s="1">
        <f ca="1">IFERROR(__xludf.DUMMYFUNCTION("""COMPUTED_VALUE"""),212.25)</f>
        <v>212.25</v>
      </c>
      <c r="E886" s="1">
        <f ca="1">IFERROR(__xludf.DUMMYFUNCTION("""COMPUTED_VALUE"""),212.79)</f>
        <v>212.79</v>
      </c>
      <c r="F886" s="1">
        <f ca="1">IFERROR(__xludf.DUMMYFUNCTION("""COMPUTED_VALUE"""),33387)</f>
        <v>33387</v>
      </c>
    </row>
    <row r="887" spans="1:6" ht="12.6">
      <c r="A887" s="2">
        <f ca="1">IFERROR(__xludf.DUMMYFUNCTION("""COMPUTED_VALUE"""),45855.6666666666)</f>
        <v>45855.666666666599</v>
      </c>
      <c r="B887" s="1">
        <f ca="1">IFERROR(__xludf.DUMMYFUNCTION("""COMPUTED_VALUE"""),211.75)</f>
        <v>211.75</v>
      </c>
      <c r="C887" s="1">
        <f ca="1">IFERROR(__xludf.DUMMYFUNCTION("""COMPUTED_VALUE"""),214.03)</f>
        <v>214.03</v>
      </c>
      <c r="D887" s="1">
        <f ca="1">IFERROR(__xludf.DUMMYFUNCTION("""COMPUTED_VALUE"""),210.31)</f>
        <v>210.31</v>
      </c>
      <c r="E887" s="1">
        <f ca="1">IFERROR(__xludf.DUMMYFUNCTION("""COMPUTED_VALUE"""),211.58)</f>
        <v>211.58</v>
      </c>
      <c r="F887" s="1">
        <f ca="1">IFERROR(__xludf.DUMMYFUNCTION("""COMPUTED_VALUE"""),2681779)</f>
        <v>2681779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888"/>
  <sheetViews>
    <sheetView workbookViewId="0"/>
  </sheetViews>
  <sheetFormatPr defaultColWidth="12.5703125" defaultRowHeight="15.75" customHeight="1"/>
  <sheetData>
    <row r="1" spans="1:6" ht="15.75" customHeight="1">
      <c r="A1" s="1" t="str">
        <f ca="1">IFERROR(__xludf.DUMMYFUNCTION("GOOGLEFINANCE(""TSLA"",""all"",DATE(2022,1,1),today())"),"Date")</f>
        <v>Date</v>
      </c>
      <c r="B1" s="1" t="str">
        <f ca="1">IFERROR(__xludf.DUMMYFUNCTION("""COMPUTED_VALUE"""),"Open")</f>
        <v>Open</v>
      </c>
      <c r="C1" s="1" t="str">
        <f ca="1">IFERROR(__xludf.DUMMYFUNCTION("""COMPUTED_VALUE"""),"High")</f>
        <v>High</v>
      </c>
      <c r="D1" s="1" t="str">
        <f ca="1">IFERROR(__xludf.DUMMYFUNCTION("""COMPUTED_VALUE"""),"Low")</f>
        <v>Low</v>
      </c>
      <c r="E1" s="1" t="str">
        <f ca="1">IFERROR(__xludf.DUMMYFUNCTION("""COMPUTED_VALUE"""),"Close")</f>
        <v>Close</v>
      </c>
      <c r="F1" s="1" t="str">
        <f ca="1">IFERROR(__xludf.DUMMYFUNCTION("""COMPUTED_VALUE"""),"Volume")</f>
        <v>Volume</v>
      </c>
    </row>
    <row r="2" spans="1:6" ht="15.75" customHeight="1">
      <c r="A2" s="2">
        <f ca="1">IFERROR(__xludf.DUMMYFUNCTION("""COMPUTED_VALUE"""),44564.6666666666)</f>
        <v>44564.666666666599</v>
      </c>
      <c r="B2" s="1">
        <f ca="1">IFERROR(__xludf.DUMMYFUNCTION("""COMPUTED_VALUE"""),382.58)</f>
        <v>382.58</v>
      </c>
      <c r="C2" s="1">
        <f ca="1">IFERROR(__xludf.DUMMYFUNCTION("""COMPUTED_VALUE"""),400.36)</f>
        <v>400.36</v>
      </c>
      <c r="D2" s="1">
        <f ca="1">IFERROR(__xludf.DUMMYFUNCTION("""COMPUTED_VALUE"""),378.68)</f>
        <v>378.68</v>
      </c>
      <c r="E2" s="1">
        <f ca="1">IFERROR(__xludf.DUMMYFUNCTION("""COMPUTED_VALUE"""),399.93)</f>
        <v>399.93</v>
      </c>
      <c r="F2" s="1">
        <f ca="1">IFERROR(__xludf.DUMMYFUNCTION("""COMPUTED_VALUE"""),34895349)</f>
        <v>34895349</v>
      </c>
    </row>
    <row r="3" spans="1:6" ht="15.75" customHeight="1">
      <c r="A3" s="2">
        <f ca="1">IFERROR(__xludf.DUMMYFUNCTION("""COMPUTED_VALUE"""),44565.6666666666)</f>
        <v>44565.666666666599</v>
      </c>
      <c r="B3" s="1">
        <f ca="1">IFERROR(__xludf.DUMMYFUNCTION("""COMPUTED_VALUE"""),396.52)</f>
        <v>396.52</v>
      </c>
      <c r="C3" s="1">
        <f ca="1">IFERROR(__xludf.DUMMYFUNCTION("""COMPUTED_VALUE"""),402.67)</f>
        <v>402.67</v>
      </c>
      <c r="D3" s="1">
        <f ca="1">IFERROR(__xludf.DUMMYFUNCTION("""COMPUTED_VALUE"""),374.35)</f>
        <v>374.35</v>
      </c>
      <c r="E3" s="1">
        <f ca="1">IFERROR(__xludf.DUMMYFUNCTION("""COMPUTED_VALUE"""),383.2)</f>
        <v>383.2</v>
      </c>
      <c r="F3" s="1">
        <f ca="1">IFERROR(__xludf.DUMMYFUNCTION("""COMPUTED_VALUE"""),33416086)</f>
        <v>33416086</v>
      </c>
    </row>
    <row r="4" spans="1:6" ht="15.75" customHeight="1">
      <c r="A4" s="2">
        <f ca="1">IFERROR(__xludf.DUMMYFUNCTION("""COMPUTED_VALUE"""),44566.6666666666)</f>
        <v>44566.666666666599</v>
      </c>
      <c r="B4" s="1">
        <f ca="1">IFERROR(__xludf.DUMMYFUNCTION("""COMPUTED_VALUE"""),382.22)</f>
        <v>382.22</v>
      </c>
      <c r="C4" s="1">
        <f ca="1">IFERROR(__xludf.DUMMYFUNCTION("""COMPUTED_VALUE"""),390.11)</f>
        <v>390.11</v>
      </c>
      <c r="D4" s="1">
        <f ca="1">IFERROR(__xludf.DUMMYFUNCTION("""COMPUTED_VALUE"""),360.34)</f>
        <v>360.34</v>
      </c>
      <c r="E4" s="1">
        <f ca="1">IFERROR(__xludf.DUMMYFUNCTION("""COMPUTED_VALUE"""),362.71)</f>
        <v>362.71</v>
      </c>
      <c r="F4" s="1">
        <f ca="1">IFERROR(__xludf.DUMMYFUNCTION("""COMPUTED_VALUE"""),26706599)</f>
        <v>26706599</v>
      </c>
    </row>
    <row r="5" spans="1:6" ht="15.75" customHeight="1">
      <c r="A5" s="2">
        <f ca="1">IFERROR(__xludf.DUMMYFUNCTION("""COMPUTED_VALUE"""),44567.6666666666)</f>
        <v>44567.666666666599</v>
      </c>
      <c r="B5" s="1">
        <f ca="1">IFERROR(__xludf.DUMMYFUNCTION("""COMPUTED_VALUE"""),359)</f>
        <v>359</v>
      </c>
      <c r="C5" s="1">
        <f ca="1">IFERROR(__xludf.DUMMYFUNCTION("""COMPUTED_VALUE"""),362.67)</f>
        <v>362.67</v>
      </c>
      <c r="D5" s="1">
        <f ca="1">IFERROR(__xludf.DUMMYFUNCTION("""COMPUTED_VALUE"""),340.17)</f>
        <v>340.17</v>
      </c>
      <c r="E5" s="1">
        <f ca="1">IFERROR(__xludf.DUMMYFUNCTION("""COMPUTED_VALUE"""),354.9)</f>
        <v>354.9</v>
      </c>
      <c r="F5" s="1">
        <f ca="1">IFERROR(__xludf.DUMMYFUNCTION("""COMPUTED_VALUE"""),30112158)</f>
        <v>30112158</v>
      </c>
    </row>
    <row r="6" spans="1:6" ht="15.75" customHeight="1">
      <c r="A6" s="2">
        <f ca="1">IFERROR(__xludf.DUMMYFUNCTION("""COMPUTED_VALUE"""),44568.6666666666)</f>
        <v>44568.666666666599</v>
      </c>
      <c r="B6" s="1">
        <f ca="1">IFERROR(__xludf.DUMMYFUNCTION("""COMPUTED_VALUE"""),360.12)</f>
        <v>360.12</v>
      </c>
      <c r="C6" s="1">
        <f ca="1">IFERROR(__xludf.DUMMYFUNCTION("""COMPUTED_VALUE"""),360.31)</f>
        <v>360.31</v>
      </c>
      <c r="D6" s="1">
        <f ca="1">IFERROR(__xludf.DUMMYFUNCTION("""COMPUTED_VALUE"""),336.67)</f>
        <v>336.67</v>
      </c>
      <c r="E6" s="1">
        <f ca="1">IFERROR(__xludf.DUMMYFUNCTION("""COMPUTED_VALUE"""),342.32)</f>
        <v>342.32</v>
      </c>
      <c r="F6" s="1">
        <f ca="1">IFERROR(__xludf.DUMMYFUNCTION("""COMPUTED_VALUE"""),28054916)</f>
        <v>28054916</v>
      </c>
    </row>
    <row r="7" spans="1:6" ht="15.75" customHeight="1">
      <c r="A7" s="2">
        <f ca="1">IFERROR(__xludf.DUMMYFUNCTION("""COMPUTED_VALUE"""),44571.6666666666)</f>
        <v>44571.666666666599</v>
      </c>
      <c r="B7" s="1">
        <f ca="1">IFERROR(__xludf.DUMMYFUNCTION("""COMPUTED_VALUE"""),333.33)</f>
        <v>333.33</v>
      </c>
      <c r="C7" s="1">
        <f ca="1">IFERROR(__xludf.DUMMYFUNCTION("""COMPUTED_VALUE"""),353.03)</f>
        <v>353.03</v>
      </c>
      <c r="D7" s="1">
        <f ca="1">IFERROR(__xludf.DUMMYFUNCTION("""COMPUTED_VALUE"""),326.67)</f>
        <v>326.67</v>
      </c>
      <c r="E7" s="1">
        <f ca="1">IFERROR(__xludf.DUMMYFUNCTION("""COMPUTED_VALUE"""),352.71)</f>
        <v>352.71</v>
      </c>
      <c r="F7" s="1">
        <f ca="1">IFERROR(__xludf.DUMMYFUNCTION("""COMPUTED_VALUE"""),30604959)</f>
        <v>30604959</v>
      </c>
    </row>
    <row r="8" spans="1:6" ht="15.75" customHeight="1">
      <c r="A8" s="2">
        <f ca="1">IFERROR(__xludf.DUMMYFUNCTION("""COMPUTED_VALUE"""),44572.6666666666)</f>
        <v>44572.666666666599</v>
      </c>
      <c r="B8" s="1">
        <f ca="1">IFERROR(__xludf.DUMMYFUNCTION("""COMPUTED_VALUE"""),351.22)</f>
        <v>351.22</v>
      </c>
      <c r="C8" s="1">
        <f ca="1">IFERROR(__xludf.DUMMYFUNCTION("""COMPUTED_VALUE"""),358.62)</f>
        <v>358.62</v>
      </c>
      <c r="D8" s="1">
        <f ca="1">IFERROR(__xludf.DUMMYFUNCTION("""COMPUTED_VALUE"""),346.27)</f>
        <v>346.27</v>
      </c>
      <c r="E8" s="1">
        <f ca="1">IFERROR(__xludf.DUMMYFUNCTION("""COMPUTED_VALUE"""),354.8)</f>
        <v>354.8</v>
      </c>
      <c r="F8" s="1">
        <f ca="1">IFERROR(__xludf.DUMMYFUNCTION("""COMPUTED_VALUE"""),22021070)</f>
        <v>22021070</v>
      </c>
    </row>
    <row r="9" spans="1:6" ht="15.75" customHeight="1">
      <c r="A9" s="2">
        <f ca="1">IFERROR(__xludf.DUMMYFUNCTION("""COMPUTED_VALUE"""),44573.6666666666)</f>
        <v>44573.666666666599</v>
      </c>
      <c r="B9" s="1">
        <f ca="1">IFERROR(__xludf.DUMMYFUNCTION("""COMPUTED_VALUE"""),359.62)</f>
        <v>359.62</v>
      </c>
      <c r="C9" s="1">
        <f ca="1">IFERROR(__xludf.DUMMYFUNCTION("""COMPUTED_VALUE"""),371.61)</f>
        <v>371.61</v>
      </c>
      <c r="D9" s="1">
        <f ca="1">IFERROR(__xludf.DUMMYFUNCTION("""COMPUTED_VALUE"""),357.53)</f>
        <v>357.53</v>
      </c>
      <c r="E9" s="1">
        <f ca="1">IFERROR(__xludf.DUMMYFUNCTION("""COMPUTED_VALUE"""),368.74)</f>
        <v>368.74</v>
      </c>
      <c r="F9" s="1">
        <f ca="1">IFERROR(__xludf.DUMMYFUNCTION("""COMPUTED_VALUE"""),27913005)</f>
        <v>27913005</v>
      </c>
    </row>
    <row r="10" spans="1:6" ht="15.75" customHeight="1">
      <c r="A10" s="2">
        <f ca="1">IFERROR(__xludf.DUMMYFUNCTION("""COMPUTED_VALUE"""),44574.6666666666)</f>
        <v>44574.666666666599</v>
      </c>
      <c r="B10" s="1">
        <f ca="1">IFERROR(__xludf.DUMMYFUNCTION("""COMPUTED_VALUE"""),369.69)</f>
        <v>369.69</v>
      </c>
      <c r="C10" s="1">
        <f ca="1">IFERROR(__xludf.DUMMYFUNCTION("""COMPUTED_VALUE"""),371.87)</f>
        <v>371.87</v>
      </c>
      <c r="D10" s="1">
        <f ca="1">IFERROR(__xludf.DUMMYFUNCTION("""COMPUTED_VALUE"""),342.18)</f>
        <v>342.18</v>
      </c>
      <c r="E10" s="1">
        <f ca="1">IFERROR(__xludf.DUMMYFUNCTION("""COMPUTED_VALUE"""),343.85)</f>
        <v>343.85</v>
      </c>
      <c r="F10" s="1">
        <f ca="1">IFERROR(__xludf.DUMMYFUNCTION("""COMPUTED_VALUE"""),32403264)</f>
        <v>32403264</v>
      </c>
    </row>
    <row r="11" spans="1:6" ht="15.75" customHeight="1">
      <c r="A11" s="2">
        <f ca="1">IFERROR(__xludf.DUMMYFUNCTION("""COMPUTED_VALUE"""),44575.6666666666)</f>
        <v>44575.666666666599</v>
      </c>
      <c r="B11" s="1">
        <f ca="1">IFERROR(__xludf.DUMMYFUNCTION("""COMPUTED_VALUE"""),339.96)</f>
        <v>339.96</v>
      </c>
      <c r="C11" s="1">
        <f ca="1">IFERROR(__xludf.DUMMYFUNCTION("""COMPUTED_VALUE"""),350.67)</f>
        <v>350.67</v>
      </c>
      <c r="D11" s="1">
        <f ca="1">IFERROR(__xludf.DUMMYFUNCTION("""COMPUTED_VALUE"""),337.79)</f>
        <v>337.79</v>
      </c>
      <c r="E11" s="1">
        <f ca="1">IFERROR(__xludf.DUMMYFUNCTION("""COMPUTED_VALUE"""),349.87)</f>
        <v>349.87</v>
      </c>
      <c r="F11" s="1">
        <f ca="1">IFERROR(__xludf.DUMMYFUNCTION("""COMPUTED_VALUE"""),24308137)</f>
        <v>24308137</v>
      </c>
    </row>
    <row r="12" spans="1:6" ht="15.75" customHeight="1">
      <c r="A12" s="2">
        <f ca="1">IFERROR(__xludf.DUMMYFUNCTION("""COMPUTED_VALUE"""),44579.6666666666)</f>
        <v>44579.666666666599</v>
      </c>
      <c r="B12" s="1">
        <f ca="1">IFERROR(__xludf.DUMMYFUNCTION("""COMPUTED_VALUE"""),342.2)</f>
        <v>342.2</v>
      </c>
      <c r="C12" s="1">
        <f ca="1">IFERROR(__xludf.DUMMYFUNCTION("""COMPUTED_VALUE"""),356.93)</f>
        <v>356.93</v>
      </c>
      <c r="D12" s="1">
        <f ca="1">IFERROR(__xludf.DUMMYFUNCTION("""COMPUTED_VALUE"""),338.69)</f>
        <v>338.69</v>
      </c>
      <c r="E12" s="1">
        <f ca="1">IFERROR(__xludf.DUMMYFUNCTION("""COMPUTED_VALUE"""),343.5)</f>
        <v>343.5</v>
      </c>
      <c r="F12" s="1">
        <f ca="1">IFERROR(__xludf.DUMMYFUNCTION("""COMPUTED_VALUE"""),22329803)</f>
        <v>22329803</v>
      </c>
    </row>
    <row r="13" spans="1:6" ht="15.75" customHeight="1">
      <c r="A13" s="2">
        <f ca="1">IFERROR(__xludf.DUMMYFUNCTION("""COMPUTED_VALUE"""),44580.6666666666)</f>
        <v>44580.666666666599</v>
      </c>
      <c r="B13" s="1">
        <f ca="1">IFERROR(__xludf.DUMMYFUNCTION("""COMPUTED_VALUE"""),347.24)</f>
        <v>347.24</v>
      </c>
      <c r="C13" s="1">
        <f ca="1">IFERROR(__xludf.DUMMYFUNCTION("""COMPUTED_VALUE"""),351.56)</f>
        <v>351.56</v>
      </c>
      <c r="D13" s="1">
        <f ca="1">IFERROR(__xludf.DUMMYFUNCTION("""COMPUTED_VALUE"""),331.67)</f>
        <v>331.67</v>
      </c>
      <c r="E13" s="1">
        <f ca="1">IFERROR(__xludf.DUMMYFUNCTION("""COMPUTED_VALUE"""),331.88)</f>
        <v>331.88</v>
      </c>
      <c r="F13" s="1">
        <f ca="1">IFERROR(__xludf.DUMMYFUNCTION("""COMPUTED_VALUE"""),25147496)</f>
        <v>25147496</v>
      </c>
    </row>
    <row r="14" spans="1:6" ht="15.75" customHeight="1">
      <c r="A14" s="2">
        <f ca="1">IFERROR(__xludf.DUMMYFUNCTION("""COMPUTED_VALUE"""),44581.6666666666)</f>
        <v>44581.666666666599</v>
      </c>
      <c r="B14" s="1">
        <f ca="1">IFERROR(__xludf.DUMMYFUNCTION("""COMPUTED_VALUE"""),336.58)</f>
        <v>336.58</v>
      </c>
      <c r="C14" s="1">
        <f ca="1">IFERROR(__xludf.DUMMYFUNCTION("""COMPUTED_VALUE"""),347.22)</f>
        <v>347.22</v>
      </c>
      <c r="D14" s="1">
        <f ca="1">IFERROR(__xludf.DUMMYFUNCTION("""COMPUTED_VALUE"""),331.33)</f>
        <v>331.33</v>
      </c>
      <c r="E14" s="1">
        <f ca="1">IFERROR(__xludf.DUMMYFUNCTION("""COMPUTED_VALUE"""),332.09)</f>
        <v>332.09</v>
      </c>
      <c r="F14" s="1">
        <f ca="1">IFERROR(__xludf.DUMMYFUNCTION("""COMPUTED_VALUE"""),23496248)</f>
        <v>23496248</v>
      </c>
    </row>
    <row r="15" spans="1:6" ht="15.75" customHeight="1">
      <c r="A15" s="2">
        <f ca="1">IFERROR(__xludf.DUMMYFUNCTION("""COMPUTED_VALUE"""),44582.6666666666)</f>
        <v>44582.666666666599</v>
      </c>
      <c r="B15" s="1">
        <f ca="1">IFERROR(__xludf.DUMMYFUNCTION("""COMPUTED_VALUE"""),332.11)</f>
        <v>332.11</v>
      </c>
      <c r="C15" s="1">
        <f ca="1">IFERROR(__xludf.DUMMYFUNCTION("""COMPUTED_VALUE"""),334.85)</f>
        <v>334.85</v>
      </c>
      <c r="D15" s="1">
        <f ca="1">IFERROR(__xludf.DUMMYFUNCTION("""COMPUTED_VALUE"""),313.5)</f>
        <v>313.5</v>
      </c>
      <c r="E15" s="1">
        <f ca="1">IFERROR(__xludf.DUMMYFUNCTION("""COMPUTED_VALUE"""),314.63)</f>
        <v>314.63</v>
      </c>
      <c r="F15" s="1">
        <f ca="1">IFERROR(__xludf.DUMMYFUNCTION("""COMPUTED_VALUE"""),34472009)</f>
        <v>34472009</v>
      </c>
    </row>
    <row r="16" spans="1:6" ht="15.75" customHeight="1">
      <c r="A16" s="2">
        <f ca="1">IFERROR(__xludf.DUMMYFUNCTION("""COMPUTED_VALUE"""),44585.6666666666)</f>
        <v>44585.666666666599</v>
      </c>
      <c r="B16" s="1">
        <f ca="1">IFERROR(__xludf.DUMMYFUNCTION("""COMPUTED_VALUE"""),301.59)</f>
        <v>301.58999999999997</v>
      </c>
      <c r="C16" s="1">
        <f ca="1">IFERROR(__xludf.DUMMYFUNCTION("""COMPUTED_VALUE"""),311.17)</f>
        <v>311.17</v>
      </c>
      <c r="D16" s="1">
        <f ca="1">IFERROR(__xludf.DUMMYFUNCTION("""COMPUTED_VALUE"""),283.82)</f>
        <v>283.82</v>
      </c>
      <c r="E16" s="1">
        <f ca="1">IFERROR(__xludf.DUMMYFUNCTION("""COMPUTED_VALUE"""),310)</f>
        <v>310</v>
      </c>
      <c r="F16" s="1">
        <f ca="1">IFERROR(__xludf.DUMMYFUNCTION("""COMPUTED_VALUE"""),50791714)</f>
        <v>50791714</v>
      </c>
    </row>
    <row r="17" spans="1:6" ht="15.75" customHeight="1">
      <c r="A17" s="2">
        <f ca="1">IFERROR(__xludf.DUMMYFUNCTION("""COMPUTED_VALUE"""),44586.6666666666)</f>
        <v>44586.666666666599</v>
      </c>
      <c r="B17" s="1">
        <f ca="1">IFERROR(__xludf.DUMMYFUNCTION("""COMPUTED_VALUE"""),304.73)</f>
        <v>304.73</v>
      </c>
      <c r="C17" s="1">
        <f ca="1">IFERROR(__xludf.DUMMYFUNCTION("""COMPUTED_VALUE"""),317.09)</f>
        <v>317.08999999999997</v>
      </c>
      <c r="D17" s="1">
        <f ca="1">IFERROR(__xludf.DUMMYFUNCTION("""COMPUTED_VALUE"""),301.07)</f>
        <v>301.07</v>
      </c>
      <c r="E17" s="1">
        <f ca="1">IFERROR(__xludf.DUMMYFUNCTION("""COMPUTED_VALUE"""),306.13)</f>
        <v>306.13</v>
      </c>
      <c r="F17" s="1">
        <f ca="1">IFERROR(__xludf.DUMMYFUNCTION("""COMPUTED_VALUE"""),28865302)</f>
        <v>28865302</v>
      </c>
    </row>
    <row r="18" spans="1:6" ht="15.75" customHeight="1">
      <c r="A18" s="2">
        <f ca="1">IFERROR(__xludf.DUMMYFUNCTION("""COMPUTED_VALUE"""),44587.6666666666)</f>
        <v>44587.666666666599</v>
      </c>
      <c r="B18" s="1">
        <f ca="1">IFERROR(__xludf.DUMMYFUNCTION("""COMPUTED_VALUE"""),317.48)</f>
        <v>317.48</v>
      </c>
      <c r="C18" s="1">
        <f ca="1">IFERROR(__xludf.DUMMYFUNCTION("""COMPUTED_VALUE"""),329.23)</f>
        <v>329.23</v>
      </c>
      <c r="D18" s="1">
        <f ca="1">IFERROR(__xludf.DUMMYFUNCTION("""COMPUTED_VALUE"""),302)</f>
        <v>302</v>
      </c>
      <c r="E18" s="1">
        <f ca="1">IFERROR(__xludf.DUMMYFUNCTION("""COMPUTED_VALUE"""),312.47)</f>
        <v>312.47000000000003</v>
      </c>
      <c r="F18" s="1">
        <f ca="1">IFERROR(__xludf.DUMMYFUNCTION("""COMPUTED_VALUE"""),34955761)</f>
        <v>34955761</v>
      </c>
    </row>
    <row r="19" spans="1:6" ht="15.75" customHeight="1">
      <c r="A19" s="2">
        <f ca="1">IFERROR(__xludf.DUMMYFUNCTION("""COMPUTED_VALUE"""),44588.6666666666)</f>
        <v>44588.666666666599</v>
      </c>
      <c r="B19" s="1">
        <f ca="1">IFERROR(__xludf.DUMMYFUNCTION("""COMPUTED_VALUE"""),311.12)</f>
        <v>311.12</v>
      </c>
      <c r="C19" s="1">
        <f ca="1">IFERROR(__xludf.DUMMYFUNCTION("""COMPUTED_VALUE"""),311.8)</f>
        <v>311.8</v>
      </c>
      <c r="D19" s="1">
        <f ca="1">IFERROR(__xludf.DUMMYFUNCTION("""COMPUTED_VALUE"""),276.33)</f>
        <v>276.33</v>
      </c>
      <c r="E19" s="1">
        <f ca="1">IFERROR(__xludf.DUMMYFUNCTION("""COMPUTED_VALUE"""),276.37)</f>
        <v>276.37</v>
      </c>
      <c r="F19" s="1">
        <f ca="1">IFERROR(__xludf.DUMMYFUNCTION("""COMPUTED_VALUE"""),49036523)</f>
        <v>49036523</v>
      </c>
    </row>
    <row r="20" spans="1:6" ht="15.75" customHeight="1">
      <c r="A20" s="2">
        <f ca="1">IFERROR(__xludf.DUMMYFUNCTION("""COMPUTED_VALUE"""),44589.6666666666)</f>
        <v>44589.666666666599</v>
      </c>
      <c r="B20" s="1">
        <f ca="1">IFERROR(__xludf.DUMMYFUNCTION("""COMPUTED_VALUE"""),277.19)</f>
        <v>277.19</v>
      </c>
      <c r="C20" s="1">
        <f ca="1">IFERROR(__xludf.DUMMYFUNCTION("""COMPUTED_VALUE"""),285.83)</f>
        <v>285.83</v>
      </c>
      <c r="D20" s="1">
        <f ca="1">IFERROR(__xludf.DUMMYFUNCTION("""COMPUTED_VALUE"""),264)</f>
        <v>264</v>
      </c>
      <c r="E20" s="1">
        <f ca="1">IFERROR(__xludf.DUMMYFUNCTION("""COMPUTED_VALUE"""),282.12)</f>
        <v>282.12</v>
      </c>
      <c r="F20" s="1">
        <f ca="1">IFERROR(__xludf.DUMMYFUNCTION("""COMPUTED_VALUE"""),44929650)</f>
        <v>44929650</v>
      </c>
    </row>
    <row r="21" spans="1:6" ht="15.75" customHeight="1">
      <c r="A21" s="2">
        <f ca="1">IFERROR(__xludf.DUMMYFUNCTION("""COMPUTED_VALUE"""),44592.6666666666)</f>
        <v>44592.666666666599</v>
      </c>
      <c r="B21" s="1">
        <f ca="1">IFERROR(__xludf.DUMMYFUNCTION("""COMPUTED_VALUE"""),290.9)</f>
        <v>290.89999999999998</v>
      </c>
      <c r="C21" s="1">
        <f ca="1">IFERROR(__xludf.DUMMYFUNCTION("""COMPUTED_VALUE"""),312.66)</f>
        <v>312.66000000000003</v>
      </c>
      <c r="D21" s="1">
        <f ca="1">IFERROR(__xludf.DUMMYFUNCTION("""COMPUTED_VALUE"""),287.35)</f>
        <v>287.35000000000002</v>
      </c>
      <c r="E21" s="1">
        <f ca="1">IFERROR(__xludf.DUMMYFUNCTION("""COMPUTED_VALUE"""),312.24)</f>
        <v>312.24</v>
      </c>
      <c r="F21" s="1">
        <f ca="1">IFERROR(__xludf.DUMMYFUNCTION("""COMPUTED_VALUE"""),34812032)</f>
        <v>34812032</v>
      </c>
    </row>
    <row r="22" spans="1:6" ht="15.75" customHeight="1">
      <c r="A22" s="2">
        <f ca="1">IFERROR(__xludf.DUMMYFUNCTION("""COMPUTED_VALUE"""),44593.6666666666)</f>
        <v>44593.666666666599</v>
      </c>
      <c r="B22" s="1">
        <f ca="1">IFERROR(__xludf.DUMMYFUNCTION("""COMPUTED_VALUE"""),311.74)</f>
        <v>311.74</v>
      </c>
      <c r="C22" s="1">
        <f ca="1">IFERROR(__xludf.DUMMYFUNCTION("""COMPUTED_VALUE"""),314.57)</f>
        <v>314.57</v>
      </c>
      <c r="D22" s="1">
        <f ca="1">IFERROR(__xludf.DUMMYFUNCTION("""COMPUTED_VALUE"""),301.67)</f>
        <v>301.67</v>
      </c>
      <c r="E22" s="1">
        <f ca="1">IFERROR(__xludf.DUMMYFUNCTION("""COMPUTED_VALUE"""),310.42)</f>
        <v>310.42</v>
      </c>
      <c r="F22" s="1">
        <f ca="1">IFERROR(__xludf.DUMMYFUNCTION("""COMPUTED_VALUE"""),24379446)</f>
        <v>24379446</v>
      </c>
    </row>
    <row r="23" spans="1:6" ht="15.75" customHeight="1">
      <c r="A23" s="2">
        <f ca="1">IFERROR(__xludf.DUMMYFUNCTION("""COMPUTED_VALUE"""),44594.6666666666)</f>
        <v>44594.666666666599</v>
      </c>
      <c r="B23" s="1">
        <f ca="1">IFERROR(__xludf.DUMMYFUNCTION("""COMPUTED_VALUE"""),309.39)</f>
        <v>309.39</v>
      </c>
      <c r="C23" s="1">
        <f ca="1">IFERROR(__xludf.DUMMYFUNCTION("""COMPUTED_VALUE"""),310.5)</f>
        <v>310.5</v>
      </c>
      <c r="D23" s="1">
        <f ca="1">IFERROR(__xludf.DUMMYFUNCTION("""COMPUTED_VALUE"""),296.47)</f>
        <v>296.47000000000003</v>
      </c>
      <c r="E23" s="1">
        <f ca="1">IFERROR(__xludf.DUMMYFUNCTION("""COMPUTED_VALUE"""),301.89)</f>
        <v>301.89</v>
      </c>
      <c r="F23" s="1">
        <f ca="1">IFERROR(__xludf.DUMMYFUNCTION("""COMPUTED_VALUE"""),22264345)</f>
        <v>22264345</v>
      </c>
    </row>
    <row r="24" spans="1:6" ht="15.75" customHeight="1">
      <c r="A24" s="2">
        <f ca="1">IFERROR(__xludf.DUMMYFUNCTION("""COMPUTED_VALUE"""),44595.6666666666)</f>
        <v>44595.666666666599</v>
      </c>
      <c r="B24" s="1">
        <f ca="1">IFERROR(__xludf.DUMMYFUNCTION("""COMPUTED_VALUE"""),294)</f>
        <v>294</v>
      </c>
      <c r="C24" s="1">
        <f ca="1">IFERROR(__xludf.DUMMYFUNCTION("""COMPUTED_VALUE"""),312.33)</f>
        <v>312.33</v>
      </c>
      <c r="D24" s="1">
        <f ca="1">IFERROR(__xludf.DUMMYFUNCTION("""COMPUTED_VALUE"""),293.51)</f>
        <v>293.51</v>
      </c>
      <c r="E24" s="1">
        <f ca="1">IFERROR(__xludf.DUMMYFUNCTION("""COMPUTED_VALUE"""),297.05)</f>
        <v>297.05</v>
      </c>
      <c r="F24" s="1">
        <f ca="1">IFERROR(__xludf.DUMMYFUNCTION("""COMPUTED_VALUE"""),26285186)</f>
        <v>26285186</v>
      </c>
    </row>
    <row r="25" spans="1:6" ht="15.75" customHeight="1">
      <c r="A25" s="2">
        <f ca="1">IFERROR(__xludf.DUMMYFUNCTION("""COMPUTED_VALUE"""),44596.6666666666)</f>
        <v>44596.666666666599</v>
      </c>
      <c r="B25" s="1">
        <f ca="1">IFERROR(__xludf.DUMMYFUNCTION("""COMPUTED_VALUE"""),299.07)</f>
        <v>299.07</v>
      </c>
      <c r="C25" s="1">
        <f ca="1">IFERROR(__xludf.DUMMYFUNCTION("""COMPUTED_VALUE"""),312.17)</f>
        <v>312.17</v>
      </c>
      <c r="D25" s="1">
        <f ca="1">IFERROR(__xludf.DUMMYFUNCTION("""COMPUTED_VALUE"""),293.72)</f>
        <v>293.72000000000003</v>
      </c>
      <c r="E25" s="1">
        <f ca="1">IFERROR(__xludf.DUMMYFUNCTION("""COMPUTED_VALUE"""),307.77)</f>
        <v>307.77</v>
      </c>
      <c r="F25" s="1">
        <f ca="1">IFERROR(__xludf.DUMMYFUNCTION("""COMPUTED_VALUE"""),24541822)</f>
        <v>24541822</v>
      </c>
    </row>
    <row r="26" spans="1:6" ht="15.75" customHeight="1">
      <c r="A26" s="2">
        <f ca="1">IFERROR(__xludf.DUMMYFUNCTION("""COMPUTED_VALUE"""),44599.6666666666)</f>
        <v>44599.666666666599</v>
      </c>
      <c r="B26" s="1">
        <f ca="1">IFERROR(__xludf.DUMMYFUNCTION("""COMPUTED_VALUE"""),307.93)</f>
        <v>307.93</v>
      </c>
      <c r="C26" s="1">
        <f ca="1">IFERROR(__xludf.DUMMYFUNCTION("""COMPUTED_VALUE"""),315.92)</f>
        <v>315.92</v>
      </c>
      <c r="D26" s="1">
        <f ca="1">IFERROR(__xludf.DUMMYFUNCTION("""COMPUTED_VALUE"""),300.9)</f>
        <v>300.89999999999998</v>
      </c>
      <c r="E26" s="1">
        <f ca="1">IFERROR(__xludf.DUMMYFUNCTION("""COMPUTED_VALUE"""),302.45)</f>
        <v>302.45</v>
      </c>
      <c r="F26" s="1">
        <f ca="1">IFERROR(__xludf.DUMMYFUNCTION("""COMPUTED_VALUE"""),20331488)</f>
        <v>20331488</v>
      </c>
    </row>
    <row r="27" spans="1:6" ht="15.75" customHeight="1">
      <c r="A27" s="2">
        <f ca="1">IFERROR(__xludf.DUMMYFUNCTION("""COMPUTED_VALUE"""),44600.6666666666)</f>
        <v>44600.666666666599</v>
      </c>
      <c r="B27" s="1">
        <f ca="1">IFERROR(__xludf.DUMMYFUNCTION("""COMPUTED_VALUE"""),301.84)</f>
        <v>301.83999999999997</v>
      </c>
      <c r="C27" s="1">
        <f ca="1">IFERROR(__xludf.DUMMYFUNCTION("""COMPUTED_VALUE"""),308.76)</f>
        <v>308.76</v>
      </c>
      <c r="D27" s="1">
        <f ca="1">IFERROR(__xludf.DUMMYFUNCTION("""COMPUTED_VALUE"""),298.27)</f>
        <v>298.27</v>
      </c>
      <c r="E27" s="1">
        <f ca="1">IFERROR(__xludf.DUMMYFUNCTION("""COMPUTED_VALUE"""),307.33)</f>
        <v>307.33</v>
      </c>
      <c r="F27" s="1">
        <f ca="1">IFERROR(__xludf.DUMMYFUNCTION("""COMPUTED_VALUE"""),16909671)</f>
        <v>16909671</v>
      </c>
    </row>
    <row r="28" spans="1:6" ht="15.75" customHeight="1">
      <c r="A28" s="2">
        <f ca="1">IFERROR(__xludf.DUMMYFUNCTION("""COMPUTED_VALUE"""),44601.6666666666)</f>
        <v>44601.666666666599</v>
      </c>
      <c r="B28" s="1">
        <f ca="1">IFERROR(__xludf.DUMMYFUNCTION("""COMPUTED_VALUE"""),311.67)</f>
        <v>311.67</v>
      </c>
      <c r="C28" s="1">
        <f ca="1">IFERROR(__xludf.DUMMYFUNCTION("""COMPUTED_VALUE"""),315.42)</f>
        <v>315.42</v>
      </c>
      <c r="D28" s="1">
        <f ca="1">IFERROR(__xludf.DUMMYFUNCTION("""COMPUTED_VALUE"""),306.67)</f>
        <v>306.67</v>
      </c>
      <c r="E28" s="1">
        <f ca="1">IFERROR(__xludf.DUMMYFUNCTION("""COMPUTED_VALUE"""),310.67)</f>
        <v>310.67</v>
      </c>
      <c r="F28" s="1">
        <f ca="1">IFERROR(__xludf.DUMMYFUNCTION("""COMPUTED_VALUE"""),17419848)</f>
        <v>17419848</v>
      </c>
    </row>
    <row r="29" spans="1:6" ht="15.75" customHeight="1">
      <c r="A29" s="2">
        <f ca="1">IFERROR(__xludf.DUMMYFUNCTION("""COMPUTED_VALUE"""),44602.6666666666)</f>
        <v>44602.666666666599</v>
      </c>
      <c r="B29" s="1">
        <f ca="1">IFERROR(__xludf.DUMMYFUNCTION("""COMPUTED_VALUE"""),302.79)</f>
        <v>302.79000000000002</v>
      </c>
      <c r="C29" s="1">
        <f ca="1">IFERROR(__xludf.DUMMYFUNCTION("""COMPUTED_VALUE"""),314.6)</f>
        <v>314.60000000000002</v>
      </c>
      <c r="D29" s="1">
        <f ca="1">IFERROR(__xludf.DUMMYFUNCTION("""COMPUTED_VALUE"""),298.9)</f>
        <v>298.89999999999998</v>
      </c>
      <c r="E29" s="1">
        <f ca="1">IFERROR(__xludf.DUMMYFUNCTION("""COMPUTED_VALUE"""),301.52)</f>
        <v>301.52</v>
      </c>
      <c r="F29" s="1">
        <f ca="1">IFERROR(__xludf.DUMMYFUNCTION("""COMPUTED_VALUE"""),22042277)</f>
        <v>22042277</v>
      </c>
    </row>
    <row r="30" spans="1:6" ht="15.75" customHeight="1">
      <c r="A30" s="2">
        <f ca="1">IFERROR(__xludf.DUMMYFUNCTION("""COMPUTED_VALUE"""),44603.6666666666)</f>
        <v>44603.666666666599</v>
      </c>
      <c r="B30" s="1">
        <f ca="1">IFERROR(__xludf.DUMMYFUNCTION("""COMPUTED_VALUE"""),303.21)</f>
        <v>303.20999999999998</v>
      </c>
      <c r="C30" s="1">
        <f ca="1">IFERROR(__xludf.DUMMYFUNCTION("""COMPUTED_VALUE"""),305.32)</f>
        <v>305.32</v>
      </c>
      <c r="D30" s="1">
        <f ca="1">IFERROR(__xludf.DUMMYFUNCTION("""COMPUTED_VALUE"""),283.57)</f>
        <v>283.57</v>
      </c>
      <c r="E30" s="1">
        <f ca="1">IFERROR(__xludf.DUMMYFUNCTION("""COMPUTED_VALUE"""),286.67)</f>
        <v>286.67</v>
      </c>
      <c r="F30" s="1">
        <f ca="1">IFERROR(__xludf.DUMMYFUNCTION("""COMPUTED_VALUE"""),26548623)</f>
        <v>26548623</v>
      </c>
    </row>
    <row r="31" spans="1:6" ht="15.75" customHeight="1">
      <c r="A31" s="2">
        <f ca="1">IFERROR(__xludf.DUMMYFUNCTION("""COMPUTED_VALUE"""),44606.6666666666)</f>
        <v>44606.666666666599</v>
      </c>
      <c r="B31" s="1">
        <f ca="1">IFERROR(__xludf.DUMMYFUNCTION("""COMPUTED_VALUE"""),287.19)</f>
        <v>287.19</v>
      </c>
      <c r="C31" s="1">
        <f ca="1">IFERROR(__xludf.DUMMYFUNCTION("""COMPUTED_VALUE"""),299.63)</f>
        <v>299.63</v>
      </c>
      <c r="D31" s="1">
        <f ca="1">IFERROR(__xludf.DUMMYFUNCTION("""COMPUTED_VALUE"""),284.38)</f>
        <v>284.38</v>
      </c>
      <c r="E31" s="1">
        <f ca="1">IFERROR(__xludf.DUMMYFUNCTION("""COMPUTED_VALUE"""),291.92)</f>
        <v>291.92</v>
      </c>
      <c r="F31" s="1">
        <f ca="1">IFERROR(__xludf.DUMMYFUNCTION("""COMPUTED_VALUE"""),22585472)</f>
        <v>22585472</v>
      </c>
    </row>
    <row r="32" spans="1:6" ht="15.75" customHeight="1">
      <c r="A32" s="2">
        <f ca="1">IFERROR(__xludf.DUMMYFUNCTION("""COMPUTED_VALUE"""),44607.6666666666)</f>
        <v>44607.666666666599</v>
      </c>
      <c r="B32" s="1">
        <f ca="1">IFERROR(__xludf.DUMMYFUNCTION("""COMPUTED_VALUE"""),300)</f>
        <v>300</v>
      </c>
      <c r="C32" s="1">
        <f ca="1">IFERROR(__xludf.DUMMYFUNCTION("""COMPUTED_VALUE"""),307.67)</f>
        <v>307.67</v>
      </c>
      <c r="D32" s="1">
        <f ca="1">IFERROR(__xludf.DUMMYFUNCTION("""COMPUTED_VALUE"""),297.79)</f>
        <v>297.79000000000002</v>
      </c>
      <c r="E32" s="1">
        <f ca="1">IFERROR(__xludf.DUMMYFUNCTION("""COMPUTED_VALUE"""),307.48)</f>
        <v>307.48</v>
      </c>
      <c r="F32" s="1">
        <f ca="1">IFERROR(__xludf.DUMMYFUNCTION("""COMPUTED_VALUE"""),19216514)</f>
        <v>19216514</v>
      </c>
    </row>
    <row r="33" spans="1:6" ht="15.75" customHeight="1">
      <c r="A33" s="2">
        <f ca="1">IFERROR(__xludf.DUMMYFUNCTION("""COMPUTED_VALUE"""),44608.6666666666)</f>
        <v>44608.666666666599</v>
      </c>
      <c r="B33" s="1">
        <f ca="1">IFERROR(__xludf.DUMMYFUNCTION("""COMPUTED_VALUE"""),304.68)</f>
        <v>304.68</v>
      </c>
      <c r="C33" s="1">
        <f ca="1">IFERROR(__xludf.DUMMYFUNCTION("""COMPUTED_VALUE"""),308.81)</f>
        <v>308.81</v>
      </c>
      <c r="D33" s="1">
        <f ca="1">IFERROR(__xludf.DUMMYFUNCTION("""COMPUTED_VALUE"""),300.4)</f>
        <v>300.39999999999998</v>
      </c>
      <c r="E33" s="1">
        <f ca="1">IFERROR(__xludf.DUMMYFUNCTION("""COMPUTED_VALUE"""),307.8)</f>
        <v>307.8</v>
      </c>
      <c r="F33" s="1">
        <f ca="1">IFERROR(__xludf.DUMMYFUNCTION("""COMPUTED_VALUE"""),17098132)</f>
        <v>17098132</v>
      </c>
    </row>
    <row r="34" spans="1:6" ht="15.75" customHeight="1">
      <c r="A34" s="2">
        <f ca="1">IFERROR(__xludf.DUMMYFUNCTION("""COMPUTED_VALUE"""),44609.6666666666)</f>
        <v>44609.666666666599</v>
      </c>
      <c r="B34" s="1">
        <f ca="1">IFERROR(__xludf.DUMMYFUNCTION("""COMPUTED_VALUE"""),304.42)</f>
        <v>304.42</v>
      </c>
      <c r="C34" s="1">
        <f ca="1">IFERROR(__xludf.DUMMYFUNCTION("""COMPUTED_VALUE"""),306.17)</f>
        <v>306.17</v>
      </c>
      <c r="D34" s="1">
        <f ca="1">IFERROR(__xludf.DUMMYFUNCTION("""COMPUTED_VALUE"""),291.37)</f>
        <v>291.37</v>
      </c>
      <c r="E34" s="1">
        <f ca="1">IFERROR(__xludf.DUMMYFUNCTION("""COMPUTED_VALUE"""),292.12)</f>
        <v>292.12</v>
      </c>
      <c r="F34" s="1">
        <f ca="1">IFERROR(__xludf.DUMMYFUNCTION("""COMPUTED_VALUE"""),18392806)</f>
        <v>18392806</v>
      </c>
    </row>
    <row r="35" spans="1:6" ht="15.75" customHeight="1">
      <c r="A35" s="2">
        <f ca="1">IFERROR(__xludf.DUMMYFUNCTION("""COMPUTED_VALUE"""),44610.6666666666)</f>
        <v>44610.666666666599</v>
      </c>
      <c r="B35" s="1">
        <f ca="1">IFERROR(__xludf.DUMMYFUNCTION("""COMPUTED_VALUE"""),295.33)</f>
        <v>295.33</v>
      </c>
      <c r="C35" s="1">
        <f ca="1">IFERROR(__xludf.DUMMYFUNCTION("""COMPUTED_VALUE"""),295.62)</f>
        <v>295.62</v>
      </c>
      <c r="D35" s="1">
        <f ca="1">IFERROR(__xludf.DUMMYFUNCTION("""COMPUTED_VALUE"""),279.2)</f>
        <v>279.2</v>
      </c>
      <c r="E35" s="1">
        <f ca="1">IFERROR(__xludf.DUMMYFUNCTION("""COMPUTED_VALUE"""),285.66)</f>
        <v>285.66000000000003</v>
      </c>
      <c r="F35" s="1">
        <f ca="1">IFERROR(__xludf.DUMMYFUNCTION("""COMPUTED_VALUE"""),22833947)</f>
        <v>22833947</v>
      </c>
    </row>
    <row r="36" spans="1:6" ht="15.75" customHeight="1">
      <c r="A36" s="2">
        <f ca="1">IFERROR(__xludf.DUMMYFUNCTION("""COMPUTED_VALUE"""),44614.6666666666)</f>
        <v>44614.666666666599</v>
      </c>
      <c r="B36" s="1">
        <f ca="1">IFERROR(__xludf.DUMMYFUNCTION("""COMPUTED_VALUE"""),278.04)</f>
        <v>278.04000000000002</v>
      </c>
      <c r="C36" s="1">
        <f ca="1">IFERROR(__xludf.DUMMYFUNCTION("""COMPUTED_VALUE"""),285.58)</f>
        <v>285.58</v>
      </c>
      <c r="D36" s="1">
        <f ca="1">IFERROR(__xludf.DUMMYFUNCTION("""COMPUTED_VALUE"""),267.03)</f>
        <v>267.02999999999997</v>
      </c>
      <c r="E36" s="1">
        <f ca="1">IFERROR(__xludf.DUMMYFUNCTION("""COMPUTED_VALUE"""),273.84)</f>
        <v>273.83999999999997</v>
      </c>
      <c r="F36" s="1">
        <f ca="1">IFERROR(__xludf.DUMMYFUNCTION("""COMPUTED_VALUE"""),27762734)</f>
        <v>27762734</v>
      </c>
    </row>
    <row r="37" spans="1:6" ht="12.6">
      <c r="A37" s="2">
        <f ca="1">IFERROR(__xludf.DUMMYFUNCTION("""COMPUTED_VALUE"""),44615.6666666666)</f>
        <v>44615.666666666599</v>
      </c>
      <c r="B37" s="1">
        <f ca="1">IFERROR(__xludf.DUMMYFUNCTION("""COMPUTED_VALUE"""),276.81)</f>
        <v>276.81</v>
      </c>
      <c r="C37" s="1">
        <f ca="1">IFERROR(__xludf.DUMMYFUNCTION("""COMPUTED_VALUE"""),278.43)</f>
        <v>278.43</v>
      </c>
      <c r="D37" s="1">
        <f ca="1">IFERROR(__xludf.DUMMYFUNCTION("""COMPUTED_VALUE"""),253.52)</f>
        <v>253.52</v>
      </c>
      <c r="E37" s="1">
        <f ca="1">IFERROR(__xludf.DUMMYFUNCTION("""COMPUTED_VALUE"""),254.68)</f>
        <v>254.68</v>
      </c>
      <c r="F37" s="1">
        <f ca="1">IFERROR(__xludf.DUMMYFUNCTION("""COMPUTED_VALUE"""),31752336)</f>
        <v>31752336</v>
      </c>
    </row>
    <row r="38" spans="1:6" ht="12.6">
      <c r="A38" s="2">
        <f ca="1">IFERROR(__xludf.DUMMYFUNCTION("""COMPUTED_VALUE"""),44616.6666666666)</f>
        <v>44616.666666666599</v>
      </c>
      <c r="B38" s="1">
        <f ca="1">IFERROR(__xludf.DUMMYFUNCTION("""COMPUTED_VALUE"""),233.46)</f>
        <v>233.46</v>
      </c>
      <c r="C38" s="1">
        <f ca="1">IFERROR(__xludf.DUMMYFUNCTION("""COMPUTED_VALUE"""),267.49)</f>
        <v>267.49</v>
      </c>
      <c r="D38" s="1">
        <f ca="1">IFERROR(__xludf.DUMMYFUNCTION("""COMPUTED_VALUE"""),233.33)</f>
        <v>233.33</v>
      </c>
      <c r="E38" s="1">
        <f ca="1">IFERROR(__xludf.DUMMYFUNCTION("""COMPUTED_VALUE"""),266.92)</f>
        <v>266.92</v>
      </c>
      <c r="F38" s="1">
        <f ca="1">IFERROR(__xludf.DUMMYFUNCTION("""COMPUTED_VALUE"""),45107425)</f>
        <v>45107425</v>
      </c>
    </row>
    <row r="39" spans="1:6" ht="12.6">
      <c r="A39" s="2">
        <f ca="1">IFERROR(__xludf.DUMMYFUNCTION("""COMPUTED_VALUE"""),44617.6666666666)</f>
        <v>44617.666666666599</v>
      </c>
      <c r="B39" s="1">
        <f ca="1">IFERROR(__xludf.DUMMYFUNCTION("""COMPUTED_VALUE"""),269.74)</f>
        <v>269.74</v>
      </c>
      <c r="C39" s="1">
        <f ca="1">IFERROR(__xludf.DUMMYFUNCTION("""COMPUTED_VALUE"""),273.17)</f>
        <v>273.17</v>
      </c>
      <c r="D39" s="1">
        <f ca="1">IFERROR(__xludf.DUMMYFUNCTION("""COMPUTED_VALUE"""),260.8)</f>
        <v>260.8</v>
      </c>
      <c r="E39" s="1">
        <f ca="1">IFERROR(__xludf.DUMMYFUNCTION("""COMPUTED_VALUE"""),269.96)</f>
        <v>269.95999999999998</v>
      </c>
      <c r="F39" s="1">
        <f ca="1">IFERROR(__xludf.DUMMYFUNCTION("""COMPUTED_VALUE"""),25355921)</f>
        <v>25355921</v>
      </c>
    </row>
    <row r="40" spans="1:6" ht="12.6">
      <c r="A40" s="2">
        <f ca="1">IFERROR(__xludf.DUMMYFUNCTION("""COMPUTED_VALUE"""),44620.6666666666)</f>
        <v>44620.666666666599</v>
      </c>
      <c r="B40" s="1">
        <f ca="1">IFERROR(__xludf.DUMMYFUNCTION("""COMPUTED_VALUE"""),271.67)</f>
        <v>271.67</v>
      </c>
      <c r="C40" s="1">
        <f ca="1">IFERROR(__xludf.DUMMYFUNCTION("""COMPUTED_VALUE"""),292.29)</f>
        <v>292.29000000000002</v>
      </c>
      <c r="D40" s="1">
        <f ca="1">IFERROR(__xludf.DUMMYFUNCTION("""COMPUTED_VALUE"""),271.57)</f>
        <v>271.57</v>
      </c>
      <c r="E40" s="1">
        <f ca="1">IFERROR(__xludf.DUMMYFUNCTION("""COMPUTED_VALUE"""),290.14)</f>
        <v>290.14</v>
      </c>
      <c r="F40" s="1">
        <f ca="1">IFERROR(__xludf.DUMMYFUNCTION("""COMPUTED_VALUE"""),33002289)</f>
        <v>33002289</v>
      </c>
    </row>
    <row r="41" spans="1:6" ht="12.6">
      <c r="A41" s="2">
        <f ca="1">IFERROR(__xludf.DUMMYFUNCTION("""COMPUTED_VALUE"""),44621.6666666666)</f>
        <v>44621.666666666599</v>
      </c>
      <c r="B41" s="1">
        <f ca="1">IFERROR(__xludf.DUMMYFUNCTION("""COMPUTED_VALUE"""),289.89)</f>
        <v>289.89</v>
      </c>
      <c r="C41" s="1">
        <f ca="1">IFERROR(__xludf.DUMMYFUNCTION("""COMPUTED_VALUE"""),296.63)</f>
        <v>296.63</v>
      </c>
      <c r="D41" s="1">
        <f ca="1">IFERROR(__xludf.DUMMYFUNCTION("""COMPUTED_VALUE"""),284.59)</f>
        <v>284.58999999999997</v>
      </c>
      <c r="E41" s="1">
        <f ca="1">IFERROR(__xludf.DUMMYFUNCTION("""COMPUTED_VALUE"""),288.12)</f>
        <v>288.12</v>
      </c>
      <c r="F41" s="1">
        <f ca="1">IFERROR(__xludf.DUMMYFUNCTION("""COMPUTED_VALUE"""),24922287)</f>
        <v>24922287</v>
      </c>
    </row>
    <row r="42" spans="1:6" ht="12.6">
      <c r="A42" s="2">
        <f ca="1">IFERROR(__xludf.DUMMYFUNCTION("""COMPUTED_VALUE"""),44622.6666666666)</f>
        <v>44622.666666666599</v>
      </c>
      <c r="B42" s="1">
        <f ca="1">IFERROR(__xludf.DUMMYFUNCTION("""COMPUTED_VALUE"""),290.71)</f>
        <v>290.70999999999998</v>
      </c>
      <c r="C42" s="1">
        <f ca="1">IFERROR(__xludf.DUMMYFUNCTION("""COMPUTED_VALUE"""),295.49)</f>
        <v>295.49</v>
      </c>
      <c r="D42" s="1">
        <f ca="1">IFERROR(__xludf.DUMMYFUNCTION("""COMPUTED_VALUE"""),281.42)</f>
        <v>281.42</v>
      </c>
      <c r="E42" s="1">
        <f ca="1">IFERROR(__xludf.DUMMYFUNCTION("""COMPUTED_VALUE"""),293.3)</f>
        <v>293.3</v>
      </c>
      <c r="F42" s="1">
        <f ca="1">IFERROR(__xludf.DUMMYFUNCTION("""COMPUTED_VALUE"""),24881146)</f>
        <v>24881146</v>
      </c>
    </row>
    <row r="43" spans="1:6" ht="12.6">
      <c r="A43" s="2">
        <f ca="1">IFERROR(__xludf.DUMMYFUNCTION("""COMPUTED_VALUE"""),44623.6666666666)</f>
        <v>44623.666666666599</v>
      </c>
      <c r="B43" s="1">
        <f ca="1">IFERROR(__xludf.DUMMYFUNCTION("""COMPUTED_VALUE"""),292.92)</f>
        <v>292.92</v>
      </c>
      <c r="C43" s="1">
        <f ca="1">IFERROR(__xludf.DUMMYFUNCTION("""COMPUTED_VALUE"""),295.48)</f>
        <v>295.48</v>
      </c>
      <c r="D43" s="1">
        <f ca="1">IFERROR(__xludf.DUMMYFUNCTION("""COMPUTED_VALUE"""),277.53)</f>
        <v>277.52999999999997</v>
      </c>
      <c r="E43" s="1">
        <f ca="1">IFERROR(__xludf.DUMMYFUNCTION("""COMPUTED_VALUE"""),279.76)</f>
        <v>279.76</v>
      </c>
      <c r="F43" s="1">
        <f ca="1">IFERROR(__xludf.DUMMYFUNCTION("""COMPUTED_VALUE"""),20541169)</f>
        <v>20541169</v>
      </c>
    </row>
    <row r="44" spans="1:6" ht="12.6">
      <c r="A44" s="2">
        <f ca="1">IFERROR(__xludf.DUMMYFUNCTION("""COMPUTED_VALUE"""),44624.6666666666)</f>
        <v>44624.666666666599</v>
      </c>
      <c r="B44" s="1">
        <f ca="1">IFERROR(__xludf.DUMMYFUNCTION("""COMPUTED_VALUE"""),283.03)</f>
        <v>283.02999999999997</v>
      </c>
      <c r="C44" s="1">
        <f ca="1">IFERROR(__xludf.DUMMYFUNCTION("""COMPUTED_VALUE"""),285.22)</f>
        <v>285.22000000000003</v>
      </c>
      <c r="D44" s="1">
        <f ca="1">IFERROR(__xludf.DUMMYFUNCTION("""COMPUTED_VALUE"""),275.05)</f>
        <v>275.05</v>
      </c>
      <c r="E44" s="1">
        <f ca="1">IFERROR(__xludf.DUMMYFUNCTION("""COMPUTED_VALUE"""),279.43)</f>
        <v>279.43</v>
      </c>
      <c r="F44" s="1">
        <f ca="1">IFERROR(__xludf.DUMMYFUNCTION("""COMPUTED_VALUE"""),22393287)</f>
        <v>22393287</v>
      </c>
    </row>
    <row r="45" spans="1:6" ht="12.6">
      <c r="A45" s="2">
        <f ca="1">IFERROR(__xludf.DUMMYFUNCTION("""COMPUTED_VALUE"""),44627.6666666666)</f>
        <v>44627.666666666599</v>
      </c>
      <c r="B45" s="1">
        <f ca="1">IFERROR(__xludf.DUMMYFUNCTION("""COMPUTED_VALUE"""),285.43)</f>
        <v>285.43</v>
      </c>
      <c r="C45" s="1">
        <f ca="1">IFERROR(__xludf.DUMMYFUNCTION("""COMPUTED_VALUE"""),288.71)</f>
        <v>288.70999999999998</v>
      </c>
      <c r="D45" s="1">
        <f ca="1">IFERROR(__xludf.DUMMYFUNCTION("""COMPUTED_VALUE"""),268.19)</f>
        <v>268.19</v>
      </c>
      <c r="E45" s="1">
        <f ca="1">IFERROR(__xludf.DUMMYFUNCTION("""COMPUTED_VALUE"""),268.19)</f>
        <v>268.19</v>
      </c>
      <c r="F45" s="1">
        <f ca="1">IFERROR(__xludf.DUMMYFUNCTION("""COMPUTED_VALUE"""),24164724)</f>
        <v>24164724</v>
      </c>
    </row>
    <row r="46" spans="1:6" ht="12.6">
      <c r="A46" s="2">
        <f ca="1">IFERROR(__xludf.DUMMYFUNCTION("""COMPUTED_VALUE"""),44628.6666666666)</f>
        <v>44628.666666666599</v>
      </c>
      <c r="B46" s="1">
        <f ca="1">IFERROR(__xludf.DUMMYFUNCTION("""COMPUTED_VALUE"""),265.18)</f>
        <v>265.18</v>
      </c>
      <c r="C46" s="1">
        <f ca="1">IFERROR(__xludf.DUMMYFUNCTION("""COMPUTED_VALUE"""),283.33)</f>
        <v>283.33</v>
      </c>
      <c r="D46" s="1">
        <f ca="1">IFERROR(__xludf.DUMMYFUNCTION("""COMPUTED_VALUE"""),260.72)</f>
        <v>260.72000000000003</v>
      </c>
      <c r="E46" s="1">
        <f ca="1">IFERROR(__xludf.DUMMYFUNCTION("""COMPUTED_VALUE"""),274.8)</f>
        <v>274.8</v>
      </c>
      <c r="F46" s="1">
        <f ca="1">IFERROR(__xludf.DUMMYFUNCTION("""COMPUTED_VALUE"""),26799702)</f>
        <v>26799702</v>
      </c>
    </row>
    <row r="47" spans="1:6" ht="12.6">
      <c r="A47" s="2">
        <f ca="1">IFERROR(__xludf.DUMMYFUNCTION("""COMPUTED_VALUE"""),44629.6666666666)</f>
        <v>44629.666666666599</v>
      </c>
      <c r="B47" s="1">
        <f ca="1">IFERROR(__xludf.DUMMYFUNCTION("""COMPUTED_VALUE"""),279.83)</f>
        <v>279.83</v>
      </c>
      <c r="C47" s="1">
        <f ca="1">IFERROR(__xludf.DUMMYFUNCTION("""COMPUTED_VALUE"""),286.85)</f>
        <v>286.85000000000002</v>
      </c>
      <c r="D47" s="1">
        <f ca="1">IFERROR(__xludf.DUMMYFUNCTION("""COMPUTED_VALUE"""),277.34)</f>
        <v>277.33999999999997</v>
      </c>
      <c r="E47" s="1">
        <f ca="1">IFERROR(__xludf.DUMMYFUNCTION("""COMPUTED_VALUE"""),286.32)</f>
        <v>286.32</v>
      </c>
      <c r="F47" s="1">
        <f ca="1">IFERROR(__xludf.DUMMYFUNCTION("""COMPUTED_VALUE"""),19727993)</f>
        <v>19727993</v>
      </c>
    </row>
    <row r="48" spans="1:6" ht="12.6">
      <c r="A48" s="2">
        <f ca="1">IFERROR(__xludf.DUMMYFUNCTION("""COMPUTED_VALUE"""),44630.6666666666)</f>
        <v>44630.666666666599</v>
      </c>
      <c r="B48" s="1">
        <f ca="1">IFERROR(__xludf.DUMMYFUNCTION("""COMPUTED_VALUE"""),283.82)</f>
        <v>283.82</v>
      </c>
      <c r="C48" s="1">
        <f ca="1">IFERROR(__xludf.DUMMYFUNCTION("""COMPUTED_VALUE"""),284.82)</f>
        <v>284.82</v>
      </c>
      <c r="D48" s="1">
        <f ca="1">IFERROR(__xludf.DUMMYFUNCTION("""COMPUTED_VALUE"""),270.12)</f>
        <v>270.12</v>
      </c>
      <c r="E48" s="1">
        <f ca="1">IFERROR(__xludf.DUMMYFUNCTION("""COMPUTED_VALUE"""),279.43)</f>
        <v>279.43</v>
      </c>
      <c r="F48" s="1">
        <f ca="1">IFERROR(__xludf.DUMMYFUNCTION("""COMPUTED_VALUE"""),19549548)</f>
        <v>19549548</v>
      </c>
    </row>
    <row r="49" spans="1:6" ht="12.6">
      <c r="A49" s="2">
        <f ca="1">IFERROR(__xludf.DUMMYFUNCTION("""COMPUTED_VALUE"""),44631.6666666666)</f>
        <v>44631.666666666599</v>
      </c>
      <c r="B49" s="1">
        <f ca="1">IFERROR(__xludf.DUMMYFUNCTION("""COMPUTED_VALUE"""),280.07)</f>
        <v>280.07</v>
      </c>
      <c r="C49" s="1">
        <f ca="1">IFERROR(__xludf.DUMMYFUNCTION("""COMPUTED_VALUE"""),281.27)</f>
        <v>281.27</v>
      </c>
      <c r="D49" s="1">
        <f ca="1">IFERROR(__xludf.DUMMYFUNCTION("""COMPUTED_VALUE"""),264.59)</f>
        <v>264.58999999999997</v>
      </c>
      <c r="E49" s="1">
        <f ca="1">IFERROR(__xludf.DUMMYFUNCTION("""COMPUTED_VALUE"""),265.12)</f>
        <v>265.12</v>
      </c>
      <c r="F49" s="1">
        <f ca="1">IFERROR(__xludf.DUMMYFUNCTION("""COMPUTED_VALUE"""),22345722)</f>
        <v>22345722</v>
      </c>
    </row>
    <row r="50" spans="1:6" ht="12.6">
      <c r="A50" s="2">
        <f ca="1">IFERROR(__xludf.DUMMYFUNCTION("""COMPUTED_VALUE"""),44634.6666666666)</f>
        <v>44634.666666666599</v>
      </c>
      <c r="B50" s="1">
        <f ca="1">IFERROR(__xludf.DUMMYFUNCTION("""COMPUTED_VALUE"""),260.2)</f>
        <v>260.2</v>
      </c>
      <c r="C50" s="1">
        <f ca="1">IFERROR(__xludf.DUMMYFUNCTION("""COMPUTED_VALUE"""),266.9)</f>
        <v>266.89999999999998</v>
      </c>
      <c r="D50" s="1">
        <f ca="1">IFERROR(__xludf.DUMMYFUNCTION("""COMPUTED_VALUE"""),252.01)</f>
        <v>252.01</v>
      </c>
      <c r="E50" s="1">
        <f ca="1">IFERROR(__xludf.DUMMYFUNCTION("""COMPUTED_VALUE"""),255.46)</f>
        <v>255.46</v>
      </c>
      <c r="F50" s="1">
        <f ca="1">IFERROR(__xludf.DUMMYFUNCTION("""COMPUTED_VALUE"""),23717421)</f>
        <v>23717421</v>
      </c>
    </row>
    <row r="51" spans="1:6" ht="12.6">
      <c r="A51" s="2">
        <f ca="1">IFERROR(__xludf.DUMMYFUNCTION("""COMPUTED_VALUE"""),44635.6666666666)</f>
        <v>44635.666666666599</v>
      </c>
      <c r="B51" s="1">
        <f ca="1">IFERROR(__xludf.DUMMYFUNCTION("""COMPUTED_VALUE"""),258.42)</f>
        <v>258.42</v>
      </c>
      <c r="C51" s="1">
        <f ca="1">IFERROR(__xludf.DUMMYFUNCTION("""COMPUTED_VALUE"""),268.52)</f>
        <v>268.52</v>
      </c>
      <c r="D51" s="1">
        <f ca="1">IFERROR(__xludf.DUMMYFUNCTION("""COMPUTED_VALUE"""),252.19)</f>
        <v>252.19</v>
      </c>
      <c r="E51" s="1">
        <f ca="1">IFERROR(__xludf.DUMMYFUNCTION("""COMPUTED_VALUE"""),267.3)</f>
        <v>267.3</v>
      </c>
      <c r="F51" s="1">
        <f ca="1">IFERROR(__xludf.DUMMYFUNCTION("""COMPUTED_VALUE"""),22280381)</f>
        <v>22280381</v>
      </c>
    </row>
    <row r="52" spans="1:6" ht="12.6">
      <c r="A52" s="2">
        <f ca="1">IFERROR(__xludf.DUMMYFUNCTION("""COMPUTED_VALUE"""),44636.6666666666)</f>
        <v>44636.666666666599</v>
      </c>
      <c r="B52" s="1">
        <f ca="1">IFERROR(__xludf.DUMMYFUNCTION("""COMPUTED_VALUE"""),269.67)</f>
        <v>269.67</v>
      </c>
      <c r="C52" s="1">
        <f ca="1">IFERROR(__xludf.DUMMYFUNCTION("""COMPUTED_VALUE"""),280.67)</f>
        <v>280.67</v>
      </c>
      <c r="D52" s="1">
        <f ca="1">IFERROR(__xludf.DUMMYFUNCTION("""COMPUTED_VALUE"""),267.42)</f>
        <v>267.42</v>
      </c>
      <c r="E52" s="1">
        <f ca="1">IFERROR(__xludf.DUMMYFUNCTION("""COMPUTED_VALUE"""),280.08)</f>
        <v>280.08</v>
      </c>
      <c r="F52" s="1">
        <f ca="1">IFERROR(__xludf.DUMMYFUNCTION("""COMPUTED_VALUE"""),28009607)</f>
        <v>28009607</v>
      </c>
    </row>
    <row r="53" spans="1:6" ht="12.6">
      <c r="A53" s="2">
        <f ca="1">IFERROR(__xludf.DUMMYFUNCTION("""COMPUTED_VALUE"""),44637.6666666666)</f>
        <v>44637.666666666599</v>
      </c>
      <c r="B53" s="1">
        <f ca="1">IFERROR(__xludf.DUMMYFUNCTION("""COMPUTED_VALUE"""),277)</f>
        <v>277</v>
      </c>
      <c r="C53" s="1">
        <f ca="1">IFERROR(__xludf.DUMMYFUNCTION("""COMPUTED_VALUE"""),291.67)</f>
        <v>291.67</v>
      </c>
      <c r="D53" s="1">
        <f ca="1">IFERROR(__xludf.DUMMYFUNCTION("""COMPUTED_VALUE"""),275.24)</f>
        <v>275.24</v>
      </c>
      <c r="E53" s="1">
        <f ca="1">IFERROR(__xludf.DUMMYFUNCTION("""COMPUTED_VALUE"""),290.53)</f>
        <v>290.52999999999997</v>
      </c>
      <c r="F53" s="1">
        <f ca="1">IFERROR(__xludf.DUMMYFUNCTION("""COMPUTED_VALUE"""),22194324)</f>
        <v>22194324</v>
      </c>
    </row>
    <row r="54" spans="1:6" ht="12.6">
      <c r="A54" s="2">
        <f ca="1">IFERROR(__xludf.DUMMYFUNCTION("""COMPUTED_VALUE"""),44638.6666666666)</f>
        <v>44638.666666666599</v>
      </c>
      <c r="B54" s="1">
        <f ca="1">IFERROR(__xludf.DUMMYFUNCTION("""COMPUTED_VALUE"""),291.5)</f>
        <v>291.5</v>
      </c>
      <c r="C54" s="1">
        <f ca="1">IFERROR(__xludf.DUMMYFUNCTION("""COMPUTED_VALUE"""),302.62)</f>
        <v>302.62</v>
      </c>
      <c r="D54" s="1">
        <f ca="1">IFERROR(__xludf.DUMMYFUNCTION("""COMPUTED_VALUE"""),289.13)</f>
        <v>289.13</v>
      </c>
      <c r="E54" s="1">
        <f ca="1">IFERROR(__xludf.DUMMYFUNCTION("""COMPUTED_VALUE"""),301.8)</f>
        <v>301.8</v>
      </c>
      <c r="F54" s="1">
        <f ca="1">IFERROR(__xludf.DUMMYFUNCTION("""COMPUTED_VALUE"""),33471397)</f>
        <v>33471397</v>
      </c>
    </row>
    <row r="55" spans="1:6" ht="12.6">
      <c r="A55" s="2">
        <f ca="1">IFERROR(__xludf.DUMMYFUNCTION("""COMPUTED_VALUE"""),44641.6666666666)</f>
        <v>44641.666666666599</v>
      </c>
      <c r="B55" s="1">
        <f ca="1">IFERROR(__xludf.DUMMYFUNCTION("""COMPUTED_VALUE"""),304.99)</f>
        <v>304.99</v>
      </c>
      <c r="C55" s="1">
        <f ca="1">IFERROR(__xludf.DUMMYFUNCTION("""COMPUTED_VALUE"""),314.28)</f>
        <v>314.27999999999997</v>
      </c>
      <c r="D55" s="1">
        <f ca="1">IFERROR(__xludf.DUMMYFUNCTION("""COMPUTED_VALUE"""),302.36)</f>
        <v>302.36</v>
      </c>
      <c r="E55" s="1">
        <f ca="1">IFERROR(__xludf.DUMMYFUNCTION("""COMPUTED_VALUE"""),307.05)</f>
        <v>307.05</v>
      </c>
      <c r="F55" s="1">
        <f ca="1">IFERROR(__xludf.DUMMYFUNCTION("""COMPUTED_VALUE"""),27327216)</f>
        <v>27327216</v>
      </c>
    </row>
    <row r="56" spans="1:6" ht="12.6">
      <c r="A56" s="2">
        <f ca="1">IFERROR(__xludf.DUMMYFUNCTION("""COMPUTED_VALUE"""),44642.6666666666)</f>
        <v>44642.666666666599</v>
      </c>
      <c r="B56" s="1">
        <f ca="1">IFERROR(__xludf.DUMMYFUNCTION("""COMPUTED_VALUE"""),310)</f>
        <v>310</v>
      </c>
      <c r="C56" s="1">
        <f ca="1">IFERROR(__xludf.DUMMYFUNCTION("""COMPUTED_VALUE"""),332.62)</f>
        <v>332.62</v>
      </c>
      <c r="D56" s="1">
        <f ca="1">IFERROR(__xludf.DUMMYFUNCTION("""COMPUTED_VALUE"""),307.25)</f>
        <v>307.25</v>
      </c>
      <c r="E56" s="1">
        <f ca="1">IFERROR(__xludf.DUMMYFUNCTION("""COMPUTED_VALUE"""),331.33)</f>
        <v>331.33</v>
      </c>
      <c r="F56" s="1">
        <f ca="1">IFERROR(__xludf.DUMMYFUNCTION("""COMPUTED_VALUE"""),35289519)</f>
        <v>35289519</v>
      </c>
    </row>
    <row r="57" spans="1:6" ht="12.6">
      <c r="A57" s="2">
        <f ca="1">IFERROR(__xludf.DUMMYFUNCTION("""COMPUTED_VALUE"""),44643.6666666666)</f>
        <v>44643.666666666599</v>
      </c>
      <c r="B57" s="1">
        <f ca="1">IFERROR(__xludf.DUMMYFUNCTION("""COMPUTED_VALUE"""),326.65)</f>
        <v>326.64999999999998</v>
      </c>
      <c r="C57" s="1">
        <f ca="1">IFERROR(__xludf.DUMMYFUNCTION("""COMPUTED_VALUE"""),346.9)</f>
        <v>346.9</v>
      </c>
      <c r="D57" s="1">
        <f ca="1">IFERROR(__xludf.DUMMYFUNCTION("""COMPUTED_VALUE"""),325.47)</f>
        <v>325.47000000000003</v>
      </c>
      <c r="E57" s="1">
        <f ca="1">IFERROR(__xludf.DUMMYFUNCTION("""COMPUTED_VALUE"""),333.04)</f>
        <v>333.04</v>
      </c>
      <c r="F57" s="1">
        <f ca="1">IFERROR(__xludf.DUMMYFUNCTION("""COMPUTED_VALUE"""),40225383)</f>
        <v>40225383</v>
      </c>
    </row>
    <row r="58" spans="1:6" ht="12.6">
      <c r="A58" s="2">
        <f ca="1">IFERROR(__xludf.DUMMYFUNCTION("""COMPUTED_VALUE"""),44644.6666666666)</f>
        <v>44644.666666666599</v>
      </c>
      <c r="B58" s="1">
        <f ca="1">IFERROR(__xludf.DUMMYFUNCTION("""COMPUTED_VALUE"""),336.58)</f>
        <v>336.58</v>
      </c>
      <c r="C58" s="1">
        <f ca="1">IFERROR(__xludf.DUMMYFUNCTION("""COMPUTED_VALUE"""),341.5)</f>
        <v>341.5</v>
      </c>
      <c r="D58" s="1">
        <f ca="1">IFERROR(__xludf.DUMMYFUNCTION("""COMPUTED_VALUE"""),329.6)</f>
        <v>329.6</v>
      </c>
      <c r="E58" s="1">
        <f ca="1">IFERROR(__xludf.DUMMYFUNCTION("""COMPUTED_VALUE"""),337.97)</f>
        <v>337.97</v>
      </c>
      <c r="F58" s="1">
        <f ca="1">IFERROR(__xludf.DUMMYFUNCTION("""COMPUTED_VALUE"""),22973626)</f>
        <v>22973626</v>
      </c>
    </row>
    <row r="59" spans="1:6" ht="12.6">
      <c r="A59" s="2">
        <f ca="1">IFERROR(__xludf.DUMMYFUNCTION("""COMPUTED_VALUE"""),44645.6666666666)</f>
        <v>44645.666666666599</v>
      </c>
      <c r="B59" s="1">
        <f ca="1">IFERROR(__xludf.DUMMYFUNCTION("""COMPUTED_VALUE"""),336)</f>
        <v>336</v>
      </c>
      <c r="C59" s="1">
        <f ca="1">IFERROR(__xludf.DUMMYFUNCTION("""COMPUTED_VALUE"""),340.6)</f>
        <v>340.6</v>
      </c>
      <c r="D59" s="1">
        <f ca="1">IFERROR(__xludf.DUMMYFUNCTION("""COMPUTED_VALUE"""),332.44)</f>
        <v>332.44</v>
      </c>
      <c r="E59" s="1">
        <f ca="1">IFERROR(__xludf.DUMMYFUNCTION("""COMPUTED_VALUE"""),336.88)</f>
        <v>336.88</v>
      </c>
      <c r="F59" s="1">
        <f ca="1">IFERROR(__xludf.DUMMYFUNCTION("""COMPUTED_VALUE"""),20677182)</f>
        <v>20677182</v>
      </c>
    </row>
    <row r="60" spans="1:6" ht="12.6">
      <c r="A60" s="2">
        <f ca="1">IFERROR(__xludf.DUMMYFUNCTION("""COMPUTED_VALUE"""),44648.6666666666)</f>
        <v>44648.666666666599</v>
      </c>
      <c r="B60" s="1">
        <f ca="1">IFERROR(__xludf.DUMMYFUNCTION("""COMPUTED_VALUE"""),355.03)</f>
        <v>355.03</v>
      </c>
      <c r="C60" s="1">
        <f ca="1">IFERROR(__xludf.DUMMYFUNCTION("""COMPUTED_VALUE"""),365.96)</f>
        <v>365.96</v>
      </c>
      <c r="D60" s="1">
        <f ca="1">IFERROR(__xludf.DUMMYFUNCTION("""COMPUTED_VALUE"""),351.2)</f>
        <v>351.2</v>
      </c>
      <c r="E60" s="1">
        <f ca="1">IFERROR(__xludf.DUMMYFUNCTION("""COMPUTED_VALUE"""),363.95)</f>
        <v>363.95</v>
      </c>
      <c r="F60" s="1">
        <f ca="1">IFERROR(__xludf.DUMMYFUNCTION("""COMPUTED_VALUE"""),34168693)</f>
        <v>34168693</v>
      </c>
    </row>
    <row r="61" spans="1:6" ht="12.6">
      <c r="A61" s="2">
        <f ca="1">IFERROR(__xludf.DUMMYFUNCTION("""COMPUTED_VALUE"""),44649.6666666666)</f>
        <v>44649.666666666599</v>
      </c>
      <c r="B61" s="1">
        <f ca="1">IFERROR(__xludf.DUMMYFUNCTION("""COMPUTED_VALUE"""),369.33)</f>
        <v>369.33</v>
      </c>
      <c r="C61" s="1">
        <f ca="1">IFERROR(__xludf.DUMMYFUNCTION("""COMPUTED_VALUE"""),371.59)</f>
        <v>371.59</v>
      </c>
      <c r="D61" s="1">
        <f ca="1">IFERROR(__xludf.DUMMYFUNCTION("""COMPUTED_VALUE"""),357.7)</f>
        <v>357.7</v>
      </c>
      <c r="E61" s="1">
        <f ca="1">IFERROR(__xludf.DUMMYFUNCTION("""COMPUTED_VALUE"""),366.52)</f>
        <v>366.52</v>
      </c>
      <c r="F61" s="1">
        <f ca="1">IFERROR(__xludf.DUMMYFUNCTION("""COMPUTED_VALUE"""),24538273)</f>
        <v>24538273</v>
      </c>
    </row>
    <row r="62" spans="1:6" ht="12.6">
      <c r="A62" s="2">
        <f ca="1">IFERROR(__xludf.DUMMYFUNCTION("""COMPUTED_VALUE"""),44650.6666666666)</f>
        <v>44650.666666666599</v>
      </c>
      <c r="B62" s="1">
        <f ca="1">IFERROR(__xludf.DUMMYFUNCTION("""COMPUTED_VALUE"""),363.72)</f>
        <v>363.72</v>
      </c>
      <c r="C62" s="1">
        <f ca="1">IFERROR(__xludf.DUMMYFUNCTION("""COMPUTED_VALUE"""),371.32)</f>
        <v>371.32</v>
      </c>
      <c r="D62" s="1">
        <f ca="1">IFERROR(__xludf.DUMMYFUNCTION("""COMPUTED_VALUE"""),361.33)</f>
        <v>361.33</v>
      </c>
      <c r="E62" s="1">
        <f ca="1">IFERROR(__xludf.DUMMYFUNCTION("""COMPUTED_VALUE"""),364.66)</f>
        <v>364.66</v>
      </c>
      <c r="F62" s="1">
        <f ca="1">IFERROR(__xludf.DUMMYFUNCTION("""COMPUTED_VALUE"""),19955002)</f>
        <v>19955002</v>
      </c>
    </row>
    <row r="63" spans="1:6" ht="12.6">
      <c r="A63" s="2">
        <f ca="1">IFERROR(__xludf.DUMMYFUNCTION("""COMPUTED_VALUE"""),44651.6666666666)</f>
        <v>44651.666666666599</v>
      </c>
      <c r="B63" s="1">
        <f ca="1">IFERROR(__xludf.DUMMYFUNCTION("""COMPUTED_VALUE"""),364.86)</f>
        <v>364.86</v>
      </c>
      <c r="C63" s="1">
        <f ca="1">IFERROR(__xludf.DUMMYFUNCTION("""COMPUTED_VALUE"""),367.71)</f>
        <v>367.71</v>
      </c>
      <c r="D63" s="1">
        <f ca="1">IFERROR(__xludf.DUMMYFUNCTION("""COMPUTED_VALUE"""),358.88)</f>
        <v>358.88</v>
      </c>
      <c r="E63" s="1">
        <f ca="1">IFERROR(__xludf.DUMMYFUNCTION("""COMPUTED_VALUE"""),359.2)</f>
        <v>359.2</v>
      </c>
      <c r="F63" s="1">
        <f ca="1">IFERROR(__xludf.DUMMYFUNCTION("""COMPUTED_VALUE"""),16330919)</f>
        <v>16330919</v>
      </c>
    </row>
    <row r="64" spans="1:6" ht="12.6">
      <c r="A64" s="2">
        <f ca="1">IFERROR(__xludf.DUMMYFUNCTION("""COMPUTED_VALUE"""),44652.6666666666)</f>
        <v>44652.666666666599</v>
      </c>
      <c r="B64" s="1">
        <f ca="1">IFERROR(__xludf.DUMMYFUNCTION("""COMPUTED_VALUE"""),360.38)</f>
        <v>360.38</v>
      </c>
      <c r="C64" s="1">
        <f ca="1">IFERROR(__xludf.DUMMYFUNCTION("""COMPUTED_VALUE"""),364.92)</f>
        <v>364.92</v>
      </c>
      <c r="D64" s="1">
        <f ca="1">IFERROR(__xludf.DUMMYFUNCTION("""COMPUTED_VALUE"""),355.55)</f>
        <v>355.55</v>
      </c>
      <c r="E64" s="1">
        <f ca="1">IFERROR(__xludf.DUMMYFUNCTION("""COMPUTED_VALUE"""),361.53)</f>
        <v>361.53</v>
      </c>
      <c r="F64" s="1">
        <f ca="1">IFERROR(__xludf.DUMMYFUNCTION("""COMPUTED_VALUE"""),18087741)</f>
        <v>18087741</v>
      </c>
    </row>
    <row r="65" spans="1:6" ht="12.6">
      <c r="A65" s="2">
        <f ca="1">IFERROR(__xludf.DUMMYFUNCTION("""COMPUTED_VALUE"""),44655.6666666666)</f>
        <v>44655.666666666599</v>
      </c>
      <c r="B65" s="1">
        <f ca="1">IFERROR(__xludf.DUMMYFUNCTION("""COMPUTED_VALUE"""),363.13)</f>
        <v>363.13</v>
      </c>
      <c r="C65" s="1">
        <f ca="1">IFERROR(__xludf.DUMMYFUNCTION("""COMPUTED_VALUE"""),383.3)</f>
        <v>383.3</v>
      </c>
      <c r="D65" s="1">
        <f ca="1">IFERROR(__xludf.DUMMYFUNCTION("""COMPUTED_VALUE"""),357.51)</f>
        <v>357.51</v>
      </c>
      <c r="E65" s="1">
        <f ca="1">IFERROR(__xludf.DUMMYFUNCTION("""COMPUTED_VALUE"""),381.82)</f>
        <v>381.82</v>
      </c>
      <c r="F65" s="1">
        <f ca="1">IFERROR(__xludf.DUMMYFUNCTION("""COMPUTED_VALUE"""),27392567)</f>
        <v>27392567</v>
      </c>
    </row>
    <row r="66" spans="1:6" ht="12.6">
      <c r="A66" s="2">
        <f ca="1">IFERROR(__xludf.DUMMYFUNCTION("""COMPUTED_VALUE"""),44656.6666666666)</f>
        <v>44656.666666666599</v>
      </c>
      <c r="B66" s="1">
        <f ca="1">IFERROR(__xludf.DUMMYFUNCTION("""COMPUTED_VALUE"""),378.77)</f>
        <v>378.77</v>
      </c>
      <c r="C66" s="1">
        <f ca="1">IFERROR(__xludf.DUMMYFUNCTION("""COMPUTED_VALUE"""),384.29)</f>
        <v>384.29</v>
      </c>
      <c r="D66" s="1">
        <f ca="1">IFERROR(__xludf.DUMMYFUNCTION("""COMPUTED_VALUE"""),362.43)</f>
        <v>362.43</v>
      </c>
      <c r="E66" s="1">
        <f ca="1">IFERROR(__xludf.DUMMYFUNCTION("""COMPUTED_VALUE"""),363.75)</f>
        <v>363.75</v>
      </c>
      <c r="F66" s="1">
        <f ca="1">IFERROR(__xludf.DUMMYFUNCTION("""COMPUTED_VALUE"""),26691673)</f>
        <v>26691673</v>
      </c>
    </row>
    <row r="67" spans="1:6" ht="12.6">
      <c r="A67" s="2">
        <f ca="1">IFERROR(__xludf.DUMMYFUNCTION("""COMPUTED_VALUE"""),44657.6666666666)</f>
        <v>44657.666666666599</v>
      </c>
      <c r="B67" s="1">
        <f ca="1">IFERROR(__xludf.DUMMYFUNCTION("""COMPUTED_VALUE"""),357.82)</f>
        <v>357.82</v>
      </c>
      <c r="C67" s="1">
        <f ca="1">IFERROR(__xludf.DUMMYFUNCTION("""COMPUTED_VALUE"""),359.67)</f>
        <v>359.67</v>
      </c>
      <c r="D67" s="1">
        <f ca="1">IFERROR(__xludf.DUMMYFUNCTION("""COMPUTED_VALUE"""),342.57)</f>
        <v>342.57</v>
      </c>
      <c r="E67" s="1">
        <f ca="1">IFERROR(__xludf.DUMMYFUNCTION("""COMPUTED_VALUE"""),348.59)</f>
        <v>348.59</v>
      </c>
      <c r="F67" s="1">
        <f ca="1">IFERROR(__xludf.DUMMYFUNCTION("""COMPUTED_VALUE"""),29782845)</f>
        <v>29782845</v>
      </c>
    </row>
    <row r="68" spans="1:6" ht="12.6">
      <c r="A68" s="2">
        <f ca="1">IFERROR(__xludf.DUMMYFUNCTION("""COMPUTED_VALUE"""),44658.6666666666)</f>
        <v>44658.666666666599</v>
      </c>
      <c r="B68" s="1">
        <f ca="1">IFERROR(__xludf.DUMMYFUNCTION("""COMPUTED_VALUE"""),350.8)</f>
        <v>350.8</v>
      </c>
      <c r="C68" s="1">
        <f ca="1">IFERROR(__xludf.DUMMYFUNCTION("""COMPUTED_VALUE"""),358.86)</f>
        <v>358.86</v>
      </c>
      <c r="D68" s="1">
        <f ca="1">IFERROR(__xludf.DUMMYFUNCTION("""COMPUTED_VALUE"""),340.51)</f>
        <v>340.51</v>
      </c>
      <c r="E68" s="1">
        <f ca="1">IFERROR(__xludf.DUMMYFUNCTION("""COMPUTED_VALUE"""),352.42)</f>
        <v>352.42</v>
      </c>
      <c r="F68" s="1">
        <f ca="1">IFERROR(__xludf.DUMMYFUNCTION("""COMPUTED_VALUE"""),26482353)</f>
        <v>26482353</v>
      </c>
    </row>
    <row r="69" spans="1:6" ht="12.6">
      <c r="A69" s="2">
        <f ca="1">IFERROR(__xludf.DUMMYFUNCTION("""COMPUTED_VALUE"""),44659.6666666666)</f>
        <v>44659.666666666599</v>
      </c>
      <c r="B69" s="1">
        <f ca="1">IFERROR(__xludf.DUMMYFUNCTION("""COMPUTED_VALUE"""),347.74)</f>
        <v>347.74</v>
      </c>
      <c r="C69" s="1">
        <f ca="1">IFERROR(__xludf.DUMMYFUNCTION("""COMPUTED_VALUE"""),349.48)</f>
        <v>349.48</v>
      </c>
      <c r="D69" s="1">
        <f ca="1">IFERROR(__xludf.DUMMYFUNCTION("""COMPUTED_VALUE"""),340.81)</f>
        <v>340.81</v>
      </c>
      <c r="E69" s="1">
        <f ca="1">IFERROR(__xludf.DUMMYFUNCTION("""COMPUTED_VALUE"""),341.83)</f>
        <v>341.83</v>
      </c>
      <c r="F69" s="1">
        <f ca="1">IFERROR(__xludf.DUMMYFUNCTION("""COMPUTED_VALUE"""),18337896)</f>
        <v>18337896</v>
      </c>
    </row>
    <row r="70" spans="1:6" ht="12.6">
      <c r="A70" s="2">
        <f ca="1">IFERROR(__xludf.DUMMYFUNCTION("""COMPUTED_VALUE"""),44662.6666666666)</f>
        <v>44662.666666666599</v>
      </c>
      <c r="B70" s="1">
        <f ca="1">IFERROR(__xludf.DUMMYFUNCTION("""COMPUTED_VALUE"""),326.8)</f>
        <v>326.8</v>
      </c>
      <c r="C70" s="1">
        <f ca="1">IFERROR(__xludf.DUMMYFUNCTION("""COMPUTED_VALUE"""),336.16)</f>
        <v>336.16</v>
      </c>
      <c r="D70" s="1">
        <f ca="1">IFERROR(__xludf.DUMMYFUNCTION("""COMPUTED_VALUE"""),324.88)</f>
        <v>324.88</v>
      </c>
      <c r="E70" s="1">
        <f ca="1">IFERROR(__xludf.DUMMYFUNCTION("""COMPUTED_VALUE"""),325.31)</f>
        <v>325.31</v>
      </c>
      <c r="F70" s="1">
        <f ca="1">IFERROR(__xludf.DUMMYFUNCTION("""COMPUTED_VALUE"""),19785735)</f>
        <v>19785735</v>
      </c>
    </row>
    <row r="71" spans="1:6" ht="12.6">
      <c r="A71" s="2">
        <f ca="1">IFERROR(__xludf.DUMMYFUNCTION("""COMPUTED_VALUE"""),44663.6666666666)</f>
        <v>44663.666666666599</v>
      </c>
      <c r="B71" s="1">
        <f ca="1">IFERROR(__xludf.DUMMYFUNCTION("""COMPUTED_VALUE"""),332.55)</f>
        <v>332.55</v>
      </c>
      <c r="C71" s="1">
        <f ca="1">IFERROR(__xludf.DUMMYFUNCTION("""COMPUTED_VALUE"""),340.4)</f>
        <v>340.4</v>
      </c>
      <c r="D71" s="1">
        <f ca="1">IFERROR(__xludf.DUMMYFUNCTION("""COMPUTED_VALUE"""),325.53)</f>
        <v>325.52999999999997</v>
      </c>
      <c r="E71" s="1">
        <f ca="1">IFERROR(__xludf.DUMMYFUNCTION("""COMPUTED_VALUE"""),328.98)</f>
        <v>328.98</v>
      </c>
      <c r="F71" s="1">
        <f ca="1">IFERROR(__xludf.DUMMYFUNCTION("""COMPUTED_VALUE"""),21992032)</f>
        <v>21992032</v>
      </c>
    </row>
    <row r="72" spans="1:6" ht="12.6">
      <c r="A72" s="2">
        <f ca="1">IFERROR(__xludf.DUMMYFUNCTION("""COMPUTED_VALUE"""),44664.6666666666)</f>
        <v>44664.666666666599</v>
      </c>
      <c r="B72" s="1">
        <f ca="1">IFERROR(__xludf.DUMMYFUNCTION("""COMPUTED_VALUE"""),327.02)</f>
        <v>327.02</v>
      </c>
      <c r="C72" s="1">
        <f ca="1">IFERROR(__xludf.DUMMYFUNCTION("""COMPUTED_VALUE"""),342.08)</f>
        <v>342.08</v>
      </c>
      <c r="D72" s="1">
        <f ca="1">IFERROR(__xludf.DUMMYFUNCTION("""COMPUTED_VALUE"""),324.37)</f>
        <v>324.37</v>
      </c>
      <c r="E72" s="1">
        <f ca="1">IFERROR(__xludf.DUMMYFUNCTION("""COMPUTED_VALUE"""),340.79)</f>
        <v>340.79</v>
      </c>
      <c r="F72" s="1">
        <f ca="1">IFERROR(__xludf.DUMMYFUNCTION("""COMPUTED_VALUE"""),18373737)</f>
        <v>18373737</v>
      </c>
    </row>
    <row r="73" spans="1:6" ht="12.6">
      <c r="A73" s="2">
        <f ca="1">IFERROR(__xludf.DUMMYFUNCTION("""COMPUTED_VALUE"""),44665.6666666666)</f>
        <v>44665.666666666599</v>
      </c>
      <c r="B73" s="1">
        <f ca="1">IFERROR(__xludf.DUMMYFUNCTION("""COMPUTED_VALUE"""),333.1)</f>
        <v>333.1</v>
      </c>
      <c r="C73" s="1">
        <f ca="1">IFERROR(__xludf.DUMMYFUNCTION("""COMPUTED_VALUE"""),337.57)</f>
        <v>337.57</v>
      </c>
      <c r="D73" s="1">
        <f ca="1">IFERROR(__xludf.DUMMYFUNCTION("""COMPUTED_VALUE"""),327.4)</f>
        <v>327.39999999999998</v>
      </c>
      <c r="E73" s="1">
        <f ca="1">IFERROR(__xludf.DUMMYFUNCTION("""COMPUTED_VALUE"""),328.33)</f>
        <v>328.33</v>
      </c>
      <c r="F73" s="1">
        <f ca="1">IFERROR(__xludf.DUMMYFUNCTION("""COMPUTED_VALUE"""),19474135)</f>
        <v>19474135</v>
      </c>
    </row>
    <row r="74" spans="1:6" ht="12.6">
      <c r="A74" s="2">
        <f ca="1">IFERROR(__xludf.DUMMYFUNCTION("""COMPUTED_VALUE"""),44669.6666666666)</f>
        <v>44669.666666666599</v>
      </c>
      <c r="B74" s="1">
        <f ca="1">IFERROR(__xludf.DUMMYFUNCTION("""COMPUTED_VALUE"""),329.68)</f>
        <v>329.68</v>
      </c>
      <c r="C74" s="1">
        <f ca="1">IFERROR(__xludf.DUMMYFUNCTION("""COMPUTED_VALUE"""),338.31)</f>
        <v>338.31</v>
      </c>
      <c r="D74" s="1">
        <f ca="1">IFERROR(__xludf.DUMMYFUNCTION("""COMPUTED_VALUE"""),324.47)</f>
        <v>324.47000000000003</v>
      </c>
      <c r="E74" s="1">
        <f ca="1">IFERROR(__xludf.DUMMYFUNCTION("""COMPUTED_VALUE"""),334.76)</f>
        <v>334.76</v>
      </c>
      <c r="F74" s="1">
        <f ca="1">IFERROR(__xludf.DUMMYFUNCTION("""COMPUTED_VALUE"""),17238407)</f>
        <v>17238407</v>
      </c>
    </row>
    <row r="75" spans="1:6" ht="12.6">
      <c r="A75" s="2">
        <f ca="1">IFERROR(__xludf.DUMMYFUNCTION("""COMPUTED_VALUE"""),44670.6666666666)</f>
        <v>44670.666666666599</v>
      </c>
      <c r="B75" s="1">
        <f ca="1">IFERROR(__xludf.DUMMYFUNCTION("""COMPUTED_VALUE"""),335.02)</f>
        <v>335.02</v>
      </c>
      <c r="C75" s="1">
        <f ca="1">IFERROR(__xludf.DUMMYFUNCTION("""COMPUTED_VALUE"""),344.98)</f>
        <v>344.98</v>
      </c>
      <c r="D75" s="1">
        <f ca="1">IFERROR(__xludf.DUMMYFUNCTION("""COMPUTED_VALUE"""),331.78)</f>
        <v>331.78</v>
      </c>
      <c r="E75" s="1">
        <f ca="1">IFERROR(__xludf.DUMMYFUNCTION("""COMPUTED_VALUE"""),342.72)</f>
        <v>342.72</v>
      </c>
      <c r="F75" s="1">
        <f ca="1">IFERROR(__xludf.DUMMYFUNCTION("""COMPUTED_VALUE"""),16615944)</f>
        <v>16615944</v>
      </c>
    </row>
    <row r="76" spans="1:6" ht="12.6">
      <c r="A76" s="2">
        <f ca="1">IFERROR(__xludf.DUMMYFUNCTION("""COMPUTED_VALUE"""),44671.6666666666)</f>
        <v>44671.666666666599</v>
      </c>
      <c r="B76" s="1">
        <f ca="1">IFERROR(__xludf.DUMMYFUNCTION("""COMPUTED_VALUE"""),343.33)</f>
        <v>343.33</v>
      </c>
      <c r="C76" s="1">
        <f ca="1">IFERROR(__xludf.DUMMYFUNCTION("""COMPUTED_VALUE"""),344.67)</f>
        <v>344.67</v>
      </c>
      <c r="D76" s="1">
        <f ca="1">IFERROR(__xludf.DUMMYFUNCTION("""COMPUTED_VALUE"""),325.08)</f>
        <v>325.08</v>
      </c>
      <c r="E76" s="1">
        <f ca="1">IFERROR(__xludf.DUMMYFUNCTION("""COMPUTED_VALUE"""),325.73)</f>
        <v>325.73</v>
      </c>
      <c r="F76" s="1">
        <f ca="1">IFERROR(__xludf.DUMMYFUNCTION("""COMPUTED_VALUE"""),23570442)</f>
        <v>23570442</v>
      </c>
    </row>
    <row r="77" spans="1:6" ht="12.6">
      <c r="A77" s="2">
        <f ca="1">IFERROR(__xludf.DUMMYFUNCTION("""COMPUTED_VALUE"""),44672.6666666666)</f>
        <v>44672.666666666599</v>
      </c>
      <c r="B77" s="1">
        <f ca="1">IFERROR(__xludf.DUMMYFUNCTION("""COMPUTED_VALUE"""),358.24)</f>
        <v>358.24</v>
      </c>
      <c r="C77" s="1">
        <f ca="1">IFERROR(__xludf.DUMMYFUNCTION("""COMPUTED_VALUE"""),364.07)</f>
        <v>364.07</v>
      </c>
      <c r="D77" s="1">
        <f ca="1">IFERROR(__xludf.DUMMYFUNCTION("""COMPUTED_VALUE"""),332.14)</f>
        <v>332.14</v>
      </c>
      <c r="E77" s="1">
        <f ca="1">IFERROR(__xludf.DUMMYFUNCTION("""COMPUTED_VALUE"""),336.26)</f>
        <v>336.26</v>
      </c>
      <c r="F77" s="1">
        <f ca="1">IFERROR(__xludf.DUMMYFUNCTION("""COMPUTED_VALUE"""),35138779)</f>
        <v>35138779</v>
      </c>
    </row>
    <row r="78" spans="1:6" ht="12.6">
      <c r="A78" s="2">
        <f ca="1">IFERROR(__xludf.DUMMYFUNCTION("""COMPUTED_VALUE"""),44673.6666666666)</f>
        <v>44673.666666666599</v>
      </c>
      <c r="B78" s="1">
        <f ca="1">IFERROR(__xludf.DUMMYFUNCTION("""COMPUTED_VALUE"""),338.3)</f>
        <v>338.3</v>
      </c>
      <c r="C78" s="1">
        <f ca="1">IFERROR(__xludf.DUMMYFUNCTION("""COMPUTED_VALUE"""),344.95)</f>
        <v>344.95</v>
      </c>
      <c r="D78" s="1">
        <f ca="1">IFERROR(__xludf.DUMMYFUNCTION("""COMPUTED_VALUE"""),331.33)</f>
        <v>331.33</v>
      </c>
      <c r="E78" s="1">
        <f ca="1">IFERROR(__xludf.DUMMYFUNCTION("""COMPUTED_VALUE"""),335.02)</f>
        <v>335.02</v>
      </c>
      <c r="F78" s="1">
        <f ca="1">IFERROR(__xludf.DUMMYFUNCTION("""COMPUTED_VALUE"""),23232186)</f>
        <v>23232186</v>
      </c>
    </row>
    <row r="79" spans="1:6" ht="12.6">
      <c r="A79" s="2">
        <f ca="1">IFERROR(__xludf.DUMMYFUNCTION("""COMPUTED_VALUE"""),44676.6666666666)</f>
        <v>44676.666666666599</v>
      </c>
      <c r="B79" s="1">
        <f ca="1">IFERROR(__xludf.DUMMYFUNCTION("""COMPUTED_VALUE"""),326.32)</f>
        <v>326.32</v>
      </c>
      <c r="C79" s="1">
        <f ca="1">IFERROR(__xludf.DUMMYFUNCTION("""COMPUTED_VALUE"""),336.21)</f>
        <v>336.21</v>
      </c>
      <c r="D79" s="1">
        <f ca="1">IFERROR(__xludf.DUMMYFUNCTION("""COMPUTED_VALUE"""),325.1)</f>
        <v>325.10000000000002</v>
      </c>
      <c r="E79" s="1">
        <f ca="1">IFERROR(__xludf.DUMMYFUNCTION("""COMPUTED_VALUE"""),332.67)</f>
        <v>332.67</v>
      </c>
      <c r="F79" s="1">
        <f ca="1">IFERROR(__xludf.DUMMYFUNCTION("""COMPUTED_VALUE"""),22780445)</f>
        <v>22780445</v>
      </c>
    </row>
    <row r="80" spans="1:6" ht="12.6">
      <c r="A80" s="2">
        <f ca="1">IFERROR(__xludf.DUMMYFUNCTION("""COMPUTED_VALUE"""),44677.6666666666)</f>
        <v>44677.666666666599</v>
      </c>
      <c r="B80" s="1">
        <f ca="1">IFERROR(__xludf.DUMMYFUNCTION("""COMPUTED_VALUE"""),331.81)</f>
        <v>331.81</v>
      </c>
      <c r="C80" s="1">
        <f ca="1">IFERROR(__xludf.DUMMYFUNCTION("""COMPUTED_VALUE"""),333.33)</f>
        <v>333.33</v>
      </c>
      <c r="D80" s="1">
        <f ca="1">IFERROR(__xludf.DUMMYFUNCTION("""COMPUTED_VALUE"""),291.67)</f>
        <v>291.67</v>
      </c>
      <c r="E80" s="1">
        <f ca="1">IFERROR(__xludf.DUMMYFUNCTION("""COMPUTED_VALUE"""),292.14)</f>
        <v>292.14</v>
      </c>
      <c r="F80" s="1">
        <f ca="1">IFERROR(__xludf.DUMMYFUNCTION("""COMPUTED_VALUE"""),45377889)</f>
        <v>45377889</v>
      </c>
    </row>
    <row r="81" spans="1:6" ht="12.6">
      <c r="A81" s="2">
        <f ca="1">IFERROR(__xludf.DUMMYFUNCTION("""COMPUTED_VALUE"""),44678.6666666666)</f>
        <v>44678.666666666599</v>
      </c>
      <c r="B81" s="1">
        <f ca="1">IFERROR(__xludf.DUMMYFUNCTION("""COMPUTED_VALUE"""),299.53)</f>
        <v>299.52999999999997</v>
      </c>
      <c r="C81" s="1">
        <f ca="1">IFERROR(__xludf.DUMMYFUNCTION("""COMPUTED_VALUE"""),306)</f>
        <v>306</v>
      </c>
      <c r="D81" s="1">
        <f ca="1">IFERROR(__xludf.DUMMYFUNCTION("""COMPUTED_VALUE"""),292.45)</f>
        <v>292.45</v>
      </c>
      <c r="E81" s="1">
        <f ca="1">IFERROR(__xludf.DUMMYFUNCTION("""COMPUTED_VALUE"""),293.84)</f>
        <v>293.83999999999997</v>
      </c>
      <c r="F81" s="1">
        <f ca="1">IFERROR(__xludf.DUMMYFUNCTION("""COMPUTED_VALUE"""),25652132)</f>
        <v>25652132</v>
      </c>
    </row>
    <row r="82" spans="1:6" ht="12.6">
      <c r="A82" s="2">
        <f ca="1">IFERROR(__xludf.DUMMYFUNCTION("""COMPUTED_VALUE"""),44679.6666666666)</f>
        <v>44679.666666666599</v>
      </c>
      <c r="B82" s="1">
        <f ca="1">IFERROR(__xludf.DUMMYFUNCTION("""COMPUTED_VALUE"""),299.99)</f>
        <v>299.99</v>
      </c>
      <c r="C82" s="1">
        <f ca="1">IFERROR(__xludf.DUMMYFUNCTION("""COMPUTED_VALUE"""),300)</f>
        <v>300</v>
      </c>
      <c r="D82" s="1">
        <f ca="1">IFERROR(__xludf.DUMMYFUNCTION("""COMPUTED_VALUE"""),273.9)</f>
        <v>273.89999999999998</v>
      </c>
      <c r="E82" s="1">
        <f ca="1">IFERROR(__xludf.DUMMYFUNCTION("""COMPUTED_VALUE"""),292.5)</f>
        <v>292.5</v>
      </c>
      <c r="F82" s="1">
        <f ca="1">IFERROR(__xludf.DUMMYFUNCTION("""COMPUTED_VALUE"""),41649509)</f>
        <v>41649509</v>
      </c>
    </row>
    <row r="83" spans="1:6" ht="12.6">
      <c r="A83" s="2">
        <f ca="1">IFERROR(__xludf.DUMMYFUNCTION("""COMPUTED_VALUE"""),44680.6666666666)</f>
        <v>44680.666666666599</v>
      </c>
      <c r="B83" s="1">
        <f ca="1">IFERROR(__xludf.DUMMYFUNCTION("""COMPUTED_VALUE"""),300.75)</f>
        <v>300.75</v>
      </c>
      <c r="C83" s="1">
        <f ca="1">IFERROR(__xludf.DUMMYFUNCTION("""COMPUTED_VALUE"""),311.47)</f>
        <v>311.47000000000003</v>
      </c>
      <c r="D83" s="1">
        <f ca="1">IFERROR(__xludf.DUMMYFUNCTION("""COMPUTED_VALUE"""),290)</f>
        <v>290</v>
      </c>
      <c r="E83" s="1">
        <f ca="1">IFERROR(__xludf.DUMMYFUNCTION("""COMPUTED_VALUE"""),290.25)</f>
        <v>290.25</v>
      </c>
      <c r="F83" s="1">
        <f ca="1">IFERROR(__xludf.DUMMYFUNCTION("""COMPUTED_VALUE"""),29377665)</f>
        <v>29377665</v>
      </c>
    </row>
    <row r="84" spans="1:6" ht="12.6">
      <c r="A84" s="2">
        <f ca="1">IFERROR(__xludf.DUMMYFUNCTION("""COMPUTED_VALUE"""),44683.6666666666)</f>
        <v>44683.666666666599</v>
      </c>
      <c r="B84" s="1">
        <f ca="1">IFERROR(__xludf.DUMMYFUNCTION("""COMPUTED_VALUE"""),286.92)</f>
        <v>286.92</v>
      </c>
      <c r="C84" s="1">
        <f ca="1">IFERROR(__xludf.DUMMYFUNCTION("""COMPUTED_VALUE"""),302.12)</f>
        <v>302.12</v>
      </c>
      <c r="D84" s="1">
        <f ca="1">IFERROR(__xludf.DUMMYFUNCTION("""COMPUTED_VALUE"""),282.68)</f>
        <v>282.68</v>
      </c>
      <c r="E84" s="1">
        <f ca="1">IFERROR(__xludf.DUMMYFUNCTION("""COMPUTED_VALUE"""),300.98)</f>
        <v>300.98</v>
      </c>
      <c r="F84" s="1">
        <f ca="1">IFERROR(__xludf.DUMMYFUNCTION("""COMPUTED_VALUE"""),25260457)</f>
        <v>25260457</v>
      </c>
    </row>
    <row r="85" spans="1:6" ht="12.6">
      <c r="A85" s="2">
        <f ca="1">IFERROR(__xludf.DUMMYFUNCTION("""COMPUTED_VALUE"""),44684.6666666666)</f>
        <v>44684.666666666599</v>
      </c>
      <c r="B85" s="1">
        <f ca="1">IFERROR(__xludf.DUMMYFUNCTION("""COMPUTED_VALUE"""),301.06)</f>
        <v>301.06</v>
      </c>
      <c r="C85" s="1">
        <f ca="1">IFERROR(__xludf.DUMMYFUNCTION("""COMPUTED_VALUE"""),308.03)</f>
        <v>308.02999999999997</v>
      </c>
      <c r="D85" s="1">
        <f ca="1">IFERROR(__xludf.DUMMYFUNCTION("""COMPUTED_VALUE"""),296.2)</f>
        <v>296.2</v>
      </c>
      <c r="E85" s="1">
        <f ca="1">IFERROR(__xludf.DUMMYFUNCTION("""COMPUTED_VALUE"""),303.08)</f>
        <v>303.08</v>
      </c>
      <c r="F85" s="1">
        <f ca="1">IFERROR(__xludf.DUMMYFUNCTION("""COMPUTED_VALUE"""),21236525)</f>
        <v>21236525</v>
      </c>
    </row>
    <row r="86" spans="1:6" ht="12.6">
      <c r="A86" s="2">
        <f ca="1">IFERROR(__xludf.DUMMYFUNCTION("""COMPUTED_VALUE"""),44685.6666666666)</f>
        <v>44685.666666666599</v>
      </c>
      <c r="B86" s="1">
        <f ca="1">IFERROR(__xludf.DUMMYFUNCTION("""COMPUTED_VALUE"""),301.31)</f>
        <v>301.31</v>
      </c>
      <c r="C86" s="1">
        <f ca="1">IFERROR(__xludf.DUMMYFUNCTION("""COMPUTED_VALUE"""),318.5)</f>
        <v>318.5</v>
      </c>
      <c r="D86" s="1">
        <f ca="1">IFERROR(__xludf.DUMMYFUNCTION("""COMPUTED_VALUE"""),295.09)</f>
        <v>295.08999999999997</v>
      </c>
      <c r="E86" s="1">
        <f ca="1">IFERROR(__xludf.DUMMYFUNCTION("""COMPUTED_VALUE"""),317.54)</f>
        <v>317.54000000000002</v>
      </c>
      <c r="F86" s="1">
        <f ca="1">IFERROR(__xludf.DUMMYFUNCTION("""COMPUTED_VALUE"""),27214568)</f>
        <v>27214568</v>
      </c>
    </row>
    <row r="87" spans="1:6" ht="12.6">
      <c r="A87" s="2">
        <f ca="1">IFERROR(__xludf.DUMMYFUNCTION("""COMPUTED_VALUE"""),44686.6666666666)</f>
        <v>44686.666666666599</v>
      </c>
      <c r="B87" s="1">
        <f ca="1">IFERROR(__xludf.DUMMYFUNCTION("""COMPUTED_VALUE"""),313.07)</f>
        <v>313.07</v>
      </c>
      <c r="C87" s="1">
        <f ca="1">IFERROR(__xludf.DUMMYFUNCTION("""COMPUTED_VALUE"""),315.2)</f>
        <v>315.2</v>
      </c>
      <c r="D87" s="1">
        <f ca="1">IFERROR(__xludf.DUMMYFUNCTION("""COMPUTED_VALUE"""),285.9)</f>
        <v>285.89999999999998</v>
      </c>
      <c r="E87" s="1">
        <f ca="1">IFERROR(__xludf.DUMMYFUNCTION("""COMPUTED_VALUE"""),291.09)</f>
        <v>291.08999999999997</v>
      </c>
      <c r="F87" s="1">
        <f ca="1">IFERROR(__xludf.DUMMYFUNCTION("""COMPUTED_VALUE"""),30839731)</f>
        <v>30839731</v>
      </c>
    </row>
    <row r="88" spans="1:6" ht="12.6">
      <c r="A88" s="2">
        <f ca="1">IFERROR(__xludf.DUMMYFUNCTION("""COMPUTED_VALUE"""),44687.6666666666)</f>
        <v>44687.666666666599</v>
      </c>
      <c r="B88" s="1">
        <f ca="1">IFERROR(__xludf.DUMMYFUNCTION("""COMPUTED_VALUE"""),295.67)</f>
        <v>295.67</v>
      </c>
      <c r="C88" s="1">
        <f ca="1">IFERROR(__xludf.DUMMYFUNCTION("""COMPUTED_VALUE"""),296)</f>
        <v>296</v>
      </c>
      <c r="D88" s="1">
        <f ca="1">IFERROR(__xludf.DUMMYFUNCTION("""COMPUTED_VALUE"""),281.04)</f>
        <v>281.04000000000002</v>
      </c>
      <c r="E88" s="1">
        <f ca="1">IFERROR(__xludf.DUMMYFUNCTION("""COMPUTED_VALUE"""),288.55)</f>
        <v>288.55</v>
      </c>
      <c r="F88" s="1">
        <f ca="1">IFERROR(__xludf.DUMMYFUNCTION("""COMPUTED_VALUE"""),24301037)</f>
        <v>24301037</v>
      </c>
    </row>
    <row r="89" spans="1:6" ht="12.6">
      <c r="A89" s="2">
        <f ca="1">IFERROR(__xludf.DUMMYFUNCTION("""COMPUTED_VALUE"""),44690.6666666666)</f>
        <v>44690.666666666599</v>
      </c>
      <c r="B89" s="1">
        <f ca="1">IFERROR(__xludf.DUMMYFUNCTION("""COMPUTED_VALUE"""),278.82)</f>
        <v>278.82</v>
      </c>
      <c r="C89" s="1">
        <f ca="1">IFERROR(__xludf.DUMMYFUNCTION("""COMPUTED_VALUE"""),281.88)</f>
        <v>281.88</v>
      </c>
      <c r="D89" s="1">
        <f ca="1">IFERROR(__xludf.DUMMYFUNCTION("""COMPUTED_VALUE"""),260.38)</f>
        <v>260.38</v>
      </c>
      <c r="E89" s="1">
        <f ca="1">IFERROR(__xludf.DUMMYFUNCTION("""COMPUTED_VALUE"""),262.37)</f>
        <v>262.37</v>
      </c>
      <c r="F89" s="1">
        <f ca="1">IFERROR(__xludf.DUMMYFUNCTION("""COMPUTED_VALUE"""),30270074)</f>
        <v>30270074</v>
      </c>
    </row>
    <row r="90" spans="1:6" ht="12.6">
      <c r="A90" s="2">
        <f ca="1">IFERROR(__xludf.DUMMYFUNCTION("""COMPUTED_VALUE"""),44691.6666666666)</f>
        <v>44691.666666666599</v>
      </c>
      <c r="B90" s="1">
        <f ca="1">IFERROR(__xludf.DUMMYFUNCTION("""COMPUTED_VALUE"""),273.1)</f>
        <v>273.10000000000002</v>
      </c>
      <c r="C90" s="1">
        <f ca="1">IFERROR(__xludf.DUMMYFUNCTION("""COMPUTED_VALUE"""),275.12)</f>
        <v>275.12</v>
      </c>
      <c r="D90" s="1">
        <f ca="1">IFERROR(__xludf.DUMMYFUNCTION("""COMPUTED_VALUE"""),258.08)</f>
        <v>258.08</v>
      </c>
      <c r="E90" s="1">
        <f ca="1">IFERROR(__xludf.DUMMYFUNCTION("""COMPUTED_VALUE"""),266.68)</f>
        <v>266.68</v>
      </c>
      <c r="F90" s="1">
        <f ca="1">IFERROR(__xludf.DUMMYFUNCTION("""COMPUTED_VALUE"""),28133877)</f>
        <v>28133877</v>
      </c>
    </row>
    <row r="91" spans="1:6" ht="12.6">
      <c r="A91" s="2">
        <f ca="1">IFERROR(__xludf.DUMMYFUNCTION("""COMPUTED_VALUE"""),44692.6666666666)</f>
        <v>44692.666666666599</v>
      </c>
      <c r="B91" s="1">
        <f ca="1">IFERROR(__xludf.DUMMYFUNCTION("""COMPUTED_VALUE"""),265)</f>
        <v>265</v>
      </c>
      <c r="C91" s="1">
        <f ca="1">IFERROR(__xludf.DUMMYFUNCTION("""COMPUTED_VALUE"""),269.92)</f>
        <v>269.92</v>
      </c>
      <c r="D91" s="1">
        <f ca="1">IFERROR(__xludf.DUMMYFUNCTION("""COMPUTED_VALUE"""),242.4)</f>
        <v>242.4</v>
      </c>
      <c r="E91" s="1">
        <f ca="1">IFERROR(__xludf.DUMMYFUNCTION("""COMPUTED_VALUE"""),244.67)</f>
        <v>244.67</v>
      </c>
      <c r="F91" s="1">
        <f ca="1">IFERROR(__xludf.DUMMYFUNCTION("""COMPUTED_VALUE"""),32408153)</f>
        <v>32408153</v>
      </c>
    </row>
    <row r="92" spans="1:6" ht="12.6">
      <c r="A92" s="2">
        <f ca="1">IFERROR(__xludf.DUMMYFUNCTION("""COMPUTED_VALUE"""),44693.6666666666)</f>
        <v>44693.666666666599</v>
      </c>
      <c r="B92" s="1">
        <f ca="1">IFERROR(__xludf.DUMMYFUNCTION("""COMPUTED_VALUE"""),233.67)</f>
        <v>233.67</v>
      </c>
      <c r="C92" s="1">
        <f ca="1">IFERROR(__xludf.DUMMYFUNCTION("""COMPUTED_VALUE"""),253.22)</f>
        <v>253.22</v>
      </c>
      <c r="D92" s="1">
        <f ca="1">IFERROR(__xludf.DUMMYFUNCTION("""COMPUTED_VALUE"""),226.67)</f>
        <v>226.67</v>
      </c>
      <c r="E92" s="1">
        <f ca="1">IFERROR(__xludf.DUMMYFUNCTION("""COMPUTED_VALUE"""),242.67)</f>
        <v>242.67</v>
      </c>
      <c r="F92" s="1">
        <f ca="1">IFERROR(__xludf.DUMMYFUNCTION("""COMPUTED_VALUE"""),46770954)</f>
        <v>46770954</v>
      </c>
    </row>
    <row r="93" spans="1:6" ht="12.6">
      <c r="A93" s="2">
        <f ca="1">IFERROR(__xludf.DUMMYFUNCTION("""COMPUTED_VALUE"""),44694.6666666666)</f>
        <v>44694.666666666599</v>
      </c>
      <c r="B93" s="1">
        <f ca="1">IFERROR(__xludf.DUMMYFUNCTION("""COMPUTED_VALUE"""),257.83)</f>
        <v>257.83</v>
      </c>
      <c r="C93" s="1">
        <f ca="1">IFERROR(__xludf.DUMMYFUNCTION("""COMPUTED_VALUE"""),262.45)</f>
        <v>262.45</v>
      </c>
      <c r="D93" s="1">
        <f ca="1">IFERROR(__xludf.DUMMYFUNCTION("""COMPUTED_VALUE"""),250.52)</f>
        <v>250.52</v>
      </c>
      <c r="E93" s="1">
        <f ca="1">IFERROR(__xludf.DUMMYFUNCTION("""COMPUTED_VALUE"""),256.53)</f>
        <v>256.52999999999997</v>
      </c>
      <c r="F93" s="1">
        <f ca="1">IFERROR(__xludf.DUMMYFUNCTION("""COMPUTED_VALUE"""),30716908)</f>
        <v>30716908</v>
      </c>
    </row>
    <row r="94" spans="1:6" ht="12.6">
      <c r="A94" s="2">
        <f ca="1">IFERROR(__xludf.DUMMYFUNCTION("""COMPUTED_VALUE"""),44697.6666666666)</f>
        <v>44697.666666666599</v>
      </c>
      <c r="B94" s="1">
        <f ca="1">IFERROR(__xludf.DUMMYFUNCTION("""COMPUTED_VALUE"""),255.72)</f>
        <v>255.72</v>
      </c>
      <c r="C94" s="1">
        <f ca="1">IFERROR(__xludf.DUMMYFUNCTION("""COMPUTED_VALUE"""),256.59)</f>
        <v>256.58999999999997</v>
      </c>
      <c r="D94" s="1">
        <f ca="1">IFERROR(__xludf.DUMMYFUNCTION("""COMPUTED_VALUE"""),239.7)</f>
        <v>239.7</v>
      </c>
      <c r="E94" s="1">
        <f ca="1">IFERROR(__xludf.DUMMYFUNCTION("""COMPUTED_VALUE"""),241.46)</f>
        <v>241.46</v>
      </c>
      <c r="F94" s="1">
        <f ca="1">IFERROR(__xludf.DUMMYFUNCTION("""COMPUTED_VALUE"""),28699513)</f>
        <v>28699513</v>
      </c>
    </row>
    <row r="95" spans="1:6" ht="12.6">
      <c r="A95" s="2">
        <f ca="1">IFERROR(__xludf.DUMMYFUNCTION("""COMPUTED_VALUE"""),44698.6666666666)</f>
        <v>44698.666666666599</v>
      </c>
      <c r="B95" s="1">
        <f ca="1">IFERROR(__xludf.DUMMYFUNCTION("""COMPUTED_VALUE"""),249.12)</f>
        <v>249.12</v>
      </c>
      <c r="C95" s="1">
        <f ca="1">IFERROR(__xludf.DUMMYFUNCTION("""COMPUTED_VALUE"""),254.83)</f>
        <v>254.83</v>
      </c>
      <c r="D95" s="1">
        <f ca="1">IFERROR(__xludf.DUMMYFUNCTION("""COMPUTED_VALUE"""),242.95)</f>
        <v>242.95</v>
      </c>
      <c r="E95" s="1">
        <f ca="1">IFERROR(__xludf.DUMMYFUNCTION("""COMPUTED_VALUE"""),253.87)</f>
        <v>253.87</v>
      </c>
      <c r="F95" s="1">
        <f ca="1">IFERROR(__xludf.DUMMYFUNCTION("""COMPUTED_VALUE"""),26745370)</f>
        <v>26745370</v>
      </c>
    </row>
    <row r="96" spans="1:6" ht="12.6">
      <c r="A96" s="2">
        <f ca="1">IFERROR(__xludf.DUMMYFUNCTION("""COMPUTED_VALUE"""),44699.6666666666)</f>
        <v>44699.666666666599</v>
      </c>
      <c r="B96" s="1">
        <f ca="1">IFERROR(__xludf.DUMMYFUNCTION("""COMPUTED_VALUE"""),248.17)</f>
        <v>248.17</v>
      </c>
      <c r="C96" s="1">
        <f ca="1">IFERROR(__xludf.DUMMYFUNCTION("""COMPUTED_VALUE"""),253.5)</f>
        <v>253.5</v>
      </c>
      <c r="D96" s="1">
        <f ca="1">IFERROR(__xludf.DUMMYFUNCTION("""COMPUTED_VALUE"""),233.6)</f>
        <v>233.6</v>
      </c>
      <c r="E96" s="1">
        <f ca="1">IFERROR(__xludf.DUMMYFUNCTION("""COMPUTED_VALUE"""),236.6)</f>
        <v>236.6</v>
      </c>
      <c r="F96" s="1">
        <f ca="1">IFERROR(__xludf.DUMMYFUNCTION("""COMPUTED_VALUE"""),29270604)</f>
        <v>29270604</v>
      </c>
    </row>
    <row r="97" spans="1:6" ht="12.6">
      <c r="A97" s="2">
        <f ca="1">IFERROR(__xludf.DUMMYFUNCTION("""COMPUTED_VALUE"""),44700.6666666666)</f>
        <v>44700.666666666599</v>
      </c>
      <c r="B97" s="1">
        <f ca="1">IFERROR(__xludf.DUMMYFUNCTION("""COMPUTED_VALUE"""),235.67)</f>
        <v>235.67</v>
      </c>
      <c r="C97" s="1">
        <f ca="1">IFERROR(__xludf.DUMMYFUNCTION("""COMPUTED_VALUE"""),244.67)</f>
        <v>244.67</v>
      </c>
      <c r="D97" s="1">
        <f ca="1">IFERROR(__xludf.DUMMYFUNCTION("""COMPUTED_VALUE"""),231.37)</f>
        <v>231.37</v>
      </c>
      <c r="E97" s="1">
        <f ca="1">IFERROR(__xludf.DUMMYFUNCTION("""COMPUTED_VALUE"""),236.47)</f>
        <v>236.47</v>
      </c>
      <c r="F97" s="1">
        <f ca="1">IFERROR(__xludf.DUMMYFUNCTION("""COMPUTED_VALUE"""),30098891)</f>
        <v>30098891</v>
      </c>
    </row>
    <row r="98" spans="1:6" ht="12.6">
      <c r="A98" s="2">
        <f ca="1">IFERROR(__xludf.DUMMYFUNCTION("""COMPUTED_VALUE"""),44701.6666666666)</f>
        <v>44701.666666666599</v>
      </c>
      <c r="B98" s="1">
        <f ca="1">IFERROR(__xludf.DUMMYFUNCTION("""COMPUTED_VALUE"""),238)</f>
        <v>238</v>
      </c>
      <c r="C98" s="1">
        <f ca="1">IFERROR(__xludf.DUMMYFUNCTION("""COMPUTED_VALUE"""),240.53)</f>
        <v>240.53</v>
      </c>
      <c r="D98" s="1">
        <f ca="1">IFERROR(__xludf.DUMMYFUNCTION("""COMPUTED_VALUE"""),211)</f>
        <v>211</v>
      </c>
      <c r="E98" s="1">
        <f ca="1">IFERROR(__xludf.DUMMYFUNCTION("""COMPUTED_VALUE"""),221.3)</f>
        <v>221.3</v>
      </c>
      <c r="F98" s="1">
        <f ca="1">IFERROR(__xludf.DUMMYFUNCTION("""COMPUTED_VALUE"""),48324435)</f>
        <v>48324435</v>
      </c>
    </row>
    <row r="99" spans="1:6" ht="12.6">
      <c r="A99" s="2">
        <f ca="1">IFERROR(__xludf.DUMMYFUNCTION("""COMPUTED_VALUE"""),44704.6666666666)</f>
        <v>44704.666666666599</v>
      </c>
      <c r="B99" s="1">
        <f ca="1">IFERROR(__xludf.DUMMYFUNCTION("""COMPUTED_VALUE"""),218.34)</f>
        <v>218.34</v>
      </c>
      <c r="C99" s="1">
        <f ca="1">IFERROR(__xludf.DUMMYFUNCTION("""COMPUTED_VALUE"""),226.65)</f>
        <v>226.65</v>
      </c>
      <c r="D99" s="1">
        <f ca="1">IFERROR(__xludf.DUMMYFUNCTION("""COMPUTED_VALUE"""),212.69)</f>
        <v>212.69</v>
      </c>
      <c r="E99" s="1">
        <f ca="1">IFERROR(__xludf.DUMMYFUNCTION("""COMPUTED_VALUE"""),224.97)</f>
        <v>224.97</v>
      </c>
      <c r="F99" s="1">
        <f ca="1">IFERROR(__xludf.DUMMYFUNCTION("""COMPUTED_VALUE"""),29634546)</f>
        <v>29634546</v>
      </c>
    </row>
    <row r="100" spans="1:6" ht="12.6">
      <c r="A100" s="2">
        <f ca="1">IFERROR(__xludf.DUMMYFUNCTION("""COMPUTED_VALUE"""),44705.6666666666)</f>
        <v>44705.666666666599</v>
      </c>
      <c r="B100" s="1">
        <f ca="1">IFERROR(__xludf.DUMMYFUNCTION("""COMPUTED_VALUE"""),217.84)</f>
        <v>217.84</v>
      </c>
      <c r="C100" s="1">
        <f ca="1">IFERROR(__xludf.DUMMYFUNCTION("""COMPUTED_VALUE"""),217.97)</f>
        <v>217.97</v>
      </c>
      <c r="D100" s="1">
        <f ca="1">IFERROR(__xludf.DUMMYFUNCTION("""COMPUTED_VALUE"""),206.86)</f>
        <v>206.86</v>
      </c>
      <c r="E100" s="1">
        <f ca="1">IFERROR(__xludf.DUMMYFUNCTION("""COMPUTED_VALUE"""),209.39)</f>
        <v>209.39</v>
      </c>
      <c r="F100" s="1">
        <f ca="1">IFERROR(__xludf.DUMMYFUNCTION("""COMPUTED_VALUE"""),29697505)</f>
        <v>29697505</v>
      </c>
    </row>
    <row r="101" spans="1:6" ht="12.6">
      <c r="A101" s="2">
        <f ca="1">IFERROR(__xludf.DUMMYFUNCTION("""COMPUTED_VALUE"""),44706.6666666666)</f>
        <v>44706.666666666599</v>
      </c>
      <c r="B101" s="1">
        <f ca="1">IFERROR(__xludf.DUMMYFUNCTION("""COMPUTED_VALUE"""),207.95)</f>
        <v>207.95</v>
      </c>
      <c r="C101" s="1">
        <f ca="1">IFERROR(__xludf.DUMMYFUNCTION("""COMPUTED_VALUE"""),223.11)</f>
        <v>223.11</v>
      </c>
      <c r="D101" s="1">
        <f ca="1">IFERROR(__xludf.DUMMYFUNCTION("""COMPUTED_VALUE"""),207.67)</f>
        <v>207.67</v>
      </c>
      <c r="E101" s="1">
        <f ca="1">IFERROR(__xludf.DUMMYFUNCTION("""COMPUTED_VALUE"""),219.6)</f>
        <v>219.6</v>
      </c>
      <c r="F101" s="1">
        <f ca="1">IFERROR(__xludf.DUMMYFUNCTION("""COMPUTED_VALUE"""),30713108)</f>
        <v>30713108</v>
      </c>
    </row>
    <row r="102" spans="1:6" ht="12.6">
      <c r="A102" s="2">
        <f ca="1">IFERROR(__xludf.DUMMYFUNCTION("""COMPUTED_VALUE"""),44707.6666666666)</f>
        <v>44707.666666666599</v>
      </c>
      <c r="B102" s="1">
        <f ca="1">IFERROR(__xludf.DUMMYFUNCTION("""COMPUTED_VALUE"""),220.47)</f>
        <v>220.47</v>
      </c>
      <c r="C102" s="1">
        <f ca="1">IFERROR(__xludf.DUMMYFUNCTION("""COMPUTED_VALUE"""),239.56)</f>
        <v>239.56</v>
      </c>
      <c r="D102" s="1">
        <f ca="1">IFERROR(__xludf.DUMMYFUNCTION("""COMPUTED_VALUE"""),217.89)</f>
        <v>217.89</v>
      </c>
      <c r="E102" s="1">
        <f ca="1">IFERROR(__xludf.DUMMYFUNCTION("""COMPUTED_VALUE"""),235.91)</f>
        <v>235.91</v>
      </c>
      <c r="F102" s="1">
        <f ca="1">IFERROR(__xludf.DUMMYFUNCTION("""COMPUTED_VALUE"""),35334448)</f>
        <v>35334448</v>
      </c>
    </row>
    <row r="103" spans="1:6" ht="12.6">
      <c r="A103" s="2">
        <f ca="1">IFERROR(__xludf.DUMMYFUNCTION("""COMPUTED_VALUE"""),44708.6666666666)</f>
        <v>44708.666666666599</v>
      </c>
      <c r="B103" s="1">
        <f ca="1">IFERROR(__xludf.DUMMYFUNCTION("""COMPUTED_VALUE"""),241.08)</f>
        <v>241.08</v>
      </c>
      <c r="C103" s="1">
        <f ca="1">IFERROR(__xludf.DUMMYFUNCTION("""COMPUTED_VALUE"""),253.27)</f>
        <v>253.27</v>
      </c>
      <c r="D103" s="1">
        <f ca="1">IFERROR(__xludf.DUMMYFUNCTION("""COMPUTED_VALUE"""),240.18)</f>
        <v>240.18</v>
      </c>
      <c r="E103" s="1">
        <f ca="1">IFERROR(__xludf.DUMMYFUNCTION("""COMPUTED_VALUE"""),253.21)</f>
        <v>253.21</v>
      </c>
      <c r="F103" s="1">
        <f ca="1">IFERROR(__xludf.DUMMYFUNCTION("""COMPUTED_VALUE"""),29764994)</f>
        <v>29764994</v>
      </c>
    </row>
    <row r="104" spans="1:6" ht="12.6">
      <c r="A104" s="2">
        <f ca="1">IFERROR(__xludf.DUMMYFUNCTION("""COMPUTED_VALUE"""),44712.6666666666)</f>
        <v>44712.666666666599</v>
      </c>
      <c r="B104" s="1">
        <f ca="1">IFERROR(__xludf.DUMMYFUNCTION("""COMPUTED_VALUE"""),257.95)</f>
        <v>257.95</v>
      </c>
      <c r="C104" s="1">
        <f ca="1">IFERROR(__xludf.DUMMYFUNCTION("""COMPUTED_VALUE"""),259.6)</f>
        <v>259.60000000000002</v>
      </c>
      <c r="D104" s="1">
        <f ca="1">IFERROR(__xludf.DUMMYFUNCTION("""COMPUTED_VALUE"""),244.74)</f>
        <v>244.74</v>
      </c>
      <c r="E104" s="1">
        <f ca="1">IFERROR(__xludf.DUMMYFUNCTION("""COMPUTED_VALUE"""),252.75)</f>
        <v>252.75</v>
      </c>
      <c r="F104" s="1">
        <f ca="1">IFERROR(__xludf.DUMMYFUNCTION("""COMPUTED_VALUE"""),33971457)</f>
        <v>33971457</v>
      </c>
    </row>
    <row r="105" spans="1:6" ht="12.6">
      <c r="A105" s="2">
        <f ca="1">IFERROR(__xludf.DUMMYFUNCTION("""COMPUTED_VALUE"""),44713.6666666666)</f>
        <v>44713.666666666599</v>
      </c>
      <c r="B105" s="1">
        <f ca="1">IFERROR(__xludf.DUMMYFUNCTION("""COMPUTED_VALUE"""),251.72)</f>
        <v>251.72</v>
      </c>
      <c r="C105" s="1">
        <f ca="1">IFERROR(__xludf.DUMMYFUNCTION("""COMPUTED_VALUE"""),257.33)</f>
        <v>257.33</v>
      </c>
      <c r="D105" s="1">
        <f ca="1">IFERROR(__xludf.DUMMYFUNCTION("""COMPUTED_VALUE"""),243.64)</f>
        <v>243.64</v>
      </c>
      <c r="E105" s="1">
        <f ca="1">IFERROR(__xludf.DUMMYFUNCTION("""COMPUTED_VALUE"""),246.79)</f>
        <v>246.79</v>
      </c>
      <c r="F105" s="1">
        <f ca="1">IFERROR(__xludf.DUMMYFUNCTION("""COMPUTED_VALUE"""),25749321)</f>
        <v>25749321</v>
      </c>
    </row>
    <row r="106" spans="1:6" ht="12.6">
      <c r="A106" s="2">
        <f ca="1">IFERROR(__xludf.DUMMYFUNCTION("""COMPUTED_VALUE"""),44714.6666666666)</f>
        <v>44714.666666666599</v>
      </c>
      <c r="B106" s="1">
        <f ca="1">IFERROR(__xludf.DUMMYFUNCTION("""COMPUTED_VALUE"""),244.16)</f>
        <v>244.16</v>
      </c>
      <c r="C106" s="1">
        <f ca="1">IFERROR(__xludf.DUMMYFUNCTION("""COMPUTED_VALUE"""),264.21)</f>
        <v>264.20999999999998</v>
      </c>
      <c r="D106" s="1">
        <f ca="1">IFERROR(__xludf.DUMMYFUNCTION("""COMPUTED_VALUE"""),242.07)</f>
        <v>242.07</v>
      </c>
      <c r="E106" s="1">
        <f ca="1">IFERROR(__xludf.DUMMYFUNCTION("""COMPUTED_VALUE"""),258.33)</f>
        <v>258.33</v>
      </c>
      <c r="F106" s="1">
        <f ca="1">IFERROR(__xludf.DUMMYFUNCTION("""COMPUTED_VALUE"""),31157706)</f>
        <v>31157706</v>
      </c>
    </row>
    <row r="107" spans="1:6" ht="12.6">
      <c r="A107" s="2">
        <f ca="1">IFERROR(__xludf.DUMMYFUNCTION("""COMPUTED_VALUE"""),44715.6666666666)</f>
        <v>44715.666666666599</v>
      </c>
      <c r="B107" s="1">
        <f ca="1">IFERROR(__xludf.DUMMYFUNCTION("""COMPUTED_VALUE"""),243.23)</f>
        <v>243.23</v>
      </c>
      <c r="C107" s="1">
        <f ca="1">IFERROR(__xludf.DUMMYFUNCTION("""COMPUTED_VALUE"""),247.8)</f>
        <v>247.8</v>
      </c>
      <c r="D107" s="1">
        <f ca="1">IFERROR(__xludf.DUMMYFUNCTION("""COMPUTED_VALUE"""),233.42)</f>
        <v>233.42</v>
      </c>
      <c r="E107" s="1">
        <f ca="1">IFERROR(__xludf.DUMMYFUNCTION("""COMPUTED_VALUE"""),234.52)</f>
        <v>234.52</v>
      </c>
      <c r="F107" s="1">
        <f ca="1">IFERROR(__xludf.DUMMYFUNCTION("""COMPUTED_VALUE"""),37464579)</f>
        <v>37464579</v>
      </c>
    </row>
    <row r="108" spans="1:6" ht="12.6">
      <c r="A108" s="2">
        <f ca="1">IFERROR(__xludf.DUMMYFUNCTION("""COMPUTED_VALUE"""),44718.6666666666)</f>
        <v>44718.666666666599</v>
      </c>
      <c r="B108" s="1">
        <f ca="1">IFERROR(__xludf.DUMMYFUNCTION("""COMPUTED_VALUE"""),244.35)</f>
        <v>244.35</v>
      </c>
      <c r="C108" s="1">
        <f ca="1">IFERROR(__xludf.DUMMYFUNCTION("""COMPUTED_VALUE"""),244.87)</f>
        <v>244.87</v>
      </c>
      <c r="D108" s="1">
        <f ca="1">IFERROR(__xludf.DUMMYFUNCTION("""COMPUTED_VALUE"""),234.35)</f>
        <v>234.35</v>
      </c>
      <c r="E108" s="1">
        <f ca="1">IFERROR(__xludf.DUMMYFUNCTION("""COMPUTED_VALUE"""),238.28)</f>
        <v>238.28</v>
      </c>
      <c r="F108" s="1">
        <f ca="1">IFERROR(__xludf.DUMMYFUNCTION("""COMPUTED_VALUE"""),28068174)</f>
        <v>28068174</v>
      </c>
    </row>
    <row r="109" spans="1:6" ht="12.6">
      <c r="A109" s="2">
        <f ca="1">IFERROR(__xludf.DUMMYFUNCTION("""COMPUTED_VALUE"""),44719.6666666666)</f>
        <v>44719.666666666599</v>
      </c>
      <c r="B109" s="1">
        <f ca="1">IFERROR(__xludf.DUMMYFUNCTION("""COMPUTED_VALUE"""),234)</f>
        <v>234</v>
      </c>
      <c r="C109" s="1">
        <f ca="1">IFERROR(__xludf.DUMMYFUNCTION("""COMPUTED_VALUE"""),240)</f>
        <v>240</v>
      </c>
      <c r="D109" s="1">
        <f ca="1">IFERROR(__xludf.DUMMYFUNCTION("""COMPUTED_VALUE"""),230.09)</f>
        <v>230.09</v>
      </c>
      <c r="E109" s="1">
        <f ca="1">IFERROR(__xludf.DUMMYFUNCTION("""COMPUTED_VALUE"""),238.89)</f>
        <v>238.89</v>
      </c>
      <c r="F109" s="1">
        <f ca="1">IFERROR(__xludf.DUMMYFUNCTION("""COMPUTED_VALUE"""),24269534)</f>
        <v>24269534</v>
      </c>
    </row>
    <row r="110" spans="1:6" ht="12.6">
      <c r="A110" s="2">
        <f ca="1">IFERROR(__xludf.DUMMYFUNCTION("""COMPUTED_VALUE"""),44720.6666666666)</f>
        <v>44720.666666666599</v>
      </c>
      <c r="B110" s="1">
        <f ca="1">IFERROR(__xludf.DUMMYFUNCTION("""COMPUTED_VALUE"""),240.09)</f>
        <v>240.09</v>
      </c>
      <c r="C110" s="1">
        <f ca="1">IFERROR(__xludf.DUMMYFUNCTION("""COMPUTED_VALUE"""),249.96)</f>
        <v>249.96</v>
      </c>
      <c r="D110" s="1">
        <f ca="1">IFERROR(__xludf.DUMMYFUNCTION("""COMPUTED_VALUE"""),239.18)</f>
        <v>239.18</v>
      </c>
      <c r="E110" s="1">
        <f ca="1">IFERROR(__xludf.DUMMYFUNCTION("""COMPUTED_VALUE"""),241.87)</f>
        <v>241.87</v>
      </c>
      <c r="F110" s="1">
        <f ca="1">IFERROR(__xludf.DUMMYFUNCTION("""COMPUTED_VALUE"""),25403540)</f>
        <v>25403540</v>
      </c>
    </row>
    <row r="111" spans="1:6" ht="12.6">
      <c r="A111" s="2">
        <f ca="1">IFERROR(__xludf.DUMMYFUNCTION("""COMPUTED_VALUE"""),44721.6666666666)</f>
        <v>44721.666666666599</v>
      </c>
      <c r="B111" s="1">
        <f ca="1">IFERROR(__xludf.DUMMYFUNCTION("""COMPUTED_VALUE"""),249.34)</f>
        <v>249.34</v>
      </c>
      <c r="C111" s="1">
        <f ca="1">IFERROR(__xludf.DUMMYFUNCTION("""COMPUTED_VALUE"""),255.55)</f>
        <v>255.55</v>
      </c>
      <c r="D111" s="1">
        <f ca="1">IFERROR(__xludf.DUMMYFUNCTION("""COMPUTED_VALUE"""),239.33)</f>
        <v>239.33</v>
      </c>
      <c r="E111" s="1">
        <f ca="1">IFERROR(__xludf.DUMMYFUNCTION("""COMPUTED_VALUE"""),239.71)</f>
        <v>239.71</v>
      </c>
      <c r="F111" s="1">
        <f ca="1">IFERROR(__xludf.DUMMYFUNCTION("""COMPUTED_VALUE"""),32163769)</f>
        <v>32163769</v>
      </c>
    </row>
    <row r="112" spans="1:6" ht="12.6">
      <c r="A112" s="2">
        <f ca="1">IFERROR(__xludf.DUMMYFUNCTION("""COMPUTED_VALUE"""),44722.6666666666)</f>
        <v>44722.666666666599</v>
      </c>
      <c r="B112" s="1">
        <f ca="1">IFERROR(__xludf.DUMMYFUNCTION("""COMPUTED_VALUE"""),235.16)</f>
        <v>235.16</v>
      </c>
      <c r="C112" s="1">
        <f ca="1">IFERROR(__xludf.DUMMYFUNCTION("""COMPUTED_VALUE"""),239.5)</f>
        <v>239.5</v>
      </c>
      <c r="D112" s="1">
        <f ca="1">IFERROR(__xludf.DUMMYFUNCTION("""COMPUTED_VALUE"""),227.91)</f>
        <v>227.91</v>
      </c>
      <c r="E112" s="1">
        <f ca="1">IFERROR(__xludf.DUMMYFUNCTION("""COMPUTED_VALUE"""),232.23)</f>
        <v>232.23</v>
      </c>
      <c r="F112" s="1">
        <f ca="1">IFERROR(__xludf.DUMMYFUNCTION("""COMPUTED_VALUE"""),32696966)</f>
        <v>32696966</v>
      </c>
    </row>
    <row r="113" spans="1:6" ht="12.6">
      <c r="A113" s="2">
        <f ca="1">IFERROR(__xludf.DUMMYFUNCTION("""COMPUTED_VALUE"""),44725.6666666666)</f>
        <v>44725.666666666599</v>
      </c>
      <c r="B113" s="1">
        <f ca="1">IFERROR(__xludf.DUMMYFUNCTION("""COMPUTED_VALUE"""),223.17)</f>
        <v>223.17</v>
      </c>
      <c r="C113" s="1">
        <f ca="1">IFERROR(__xludf.DUMMYFUNCTION("""COMPUTED_VALUE"""),226.63)</f>
        <v>226.63</v>
      </c>
      <c r="D113" s="1">
        <f ca="1">IFERROR(__xludf.DUMMYFUNCTION("""COMPUTED_VALUE"""),214.68)</f>
        <v>214.68</v>
      </c>
      <c r="E113" s="1">
        <f ca="1">IFERROR(__xludf.DUMMYFUNCTION("""COMPUTED_VALUE"""),215.74)</f>
        <v>215.74</v>
      </c>
      <c r="F113" s="1">
        <f ca="1">IFERROR(__xludf.DUMMYFUNCTION("""COMPUTED_VALUE"""),34255754)</f>
        <v>34255754</v>
      </c>
    </row>
    <row r="114" spans="1:6" ht="12.6">
      <c r="A114" s="2">
        <f ca="1">IFERROR(__xludf.DUMMYFUNCTION("""COMPUTED_VALUE"""),44726.6666666666)</f>
        <v>44726.666666666599</v>
      </c>
      <c r="B114" s="1">
        <f ca="1">IFERROR(__xludf.DUMMYFUNCTION("""COMPUTED_VALUE"""),218.29)</f>
        <v>218.29</v>
      </c>
      <c r="C114" s="1">
        <f ca="1">IFERROR(__xludf.DUMMYFUNCTION("""COMPUTED_VALUE"""),226.33)</f>
        <v>226.33</v>
      </c>
      <c r="D114" s="1">
        <f ca="1">IFERROR(__xludf.DUMMYFUNCTION("""COMPUTED_VALUE"""),211.74)</f>
        <v>211.74</v>
      </c>
      <c r="E114" s="1">
        <f ca="1">IFERROR(__xludf.DUMMYFUNCTION("""COMPUTED_VALUE"""),220.89)</f>
        <v>220.89</v>
      </c>
      <c r="F114" s="1">
        <f ca="1">IFERROR(__xludf.DUMMYFUNCTION("""COMPUTED_VALUE"""),32662932)</f>
        <v>32662932</v>
      </c>
    </row>
    <row r="115" spans="1:6" ht="12.6">
      <c r="A115" s="2">
        <f ca="1">IFERROR(__xludf.DUMMYFUNCTION("""COMPUTED_VALUE"""),44727.6666666666)</f>
        <v>44727.666666666599</v>
      </c>
      <c r="B115" s="1">
        <f ca="1">IFERROR(__xludf.DUMMYFUNCTION("""COMPUTED_VALUE"""),220.92)</f>
        <v>220.92</v>
      </c>
      <c r="C115" s="1">
        <f ca="1">IFERROR(__xludf.DUMMYFUNCTION("""COMPUTED_VALUE"""),235.66)</f>
        <v>235.66</v>
      </c>
      <c r="D115" s="1">
        <f ca="1">IFERROR(__xludf.DUMMYFUNCTION("""COMPUTED_VALUE"""),218.15)</f>
        <v>218.15</v>
      </c>
      <c r="E115" s="1">
        <f ca="1">IFERROR(__xludf.DUMMYFUNCTION("""COMPUTED_VALUE"""),233)</f>
        <v>233</v>
      </c>
      <c r="F115" s="1">
        <f ca="1">IFERROR(__xludf.DUMMYFUNCTION("""COMPUTED_VALUE"""),39710645)</f>
        <v>39710645</v>
      </c>
    </row>
    <row r="116" spans="1:6" ht="12.6">
      <c r="A116" s="2">
        <f ca="1">IFERROR(__xludf.DUMMYFUNCTION("""COMPUTED_VALUE"""),44728.6666666666)</f>
        <v>44728.666666666599</v>
      </c>
      <c r="B116" s="1">
        <f ca="1">IFERROR(__xludf.DUMMYFUNCTION("""COMPUTED_VALUE"""),222.74)</f>
        <v>222.74</v>
      </c>
      <c r="C116" s="1">
        <f ca="1">IFERROR(__xludf.DUMMYFUNCTION("""COMPUTED_VALUE"""),225.17)</f>
        <v>225.17</v>
      </c>
      <c r="D116" s="1">
        <f ca="1">IFERROR(__xludf.DUMMYFUNCTION("""COMPUTED_VALUE"""),208.69)</f>
        <v>208.69</v>
      </c>
      <c r="E116" s="1">
        <f ca="1">IFERROR(__xludf.DUMMYFUNCTION("""COMPUTED_VALUE"""),213.1)</f>
        <v>213.1</v>
      </c>
      <c r="F116" s="1">
        <f ca="1">IFERROR(__xludf.DUMMYFUNCTION("""COMPUTED_VALUE"""),35796900)</f>
        <v>35796900</v>
      </c>
    </row>
    <row r="117" spans="1:6" ht="12.6">
      <c r="A117" s="2">
        <f ca="1">IFERROR(__xludf.DUMMYFUNCTION("""COMPUTED_VALUE"""),44729.6666666666)</f>
        <v>44729.666666666599</v>
      </c>
      <c r="B117" s="1">
        <f ca="1">IFERROR(__xludf.DUMMYFUNCTION("""COMPUTED_VALUE"""),213.43)</f>
        <v>213.43</v>
      </c>
      <c r="C117" s="1">
        <f ca="1">IFERROR(__xludf.DUMMYFUNCTION("""COMPUTED_VALUE"""),220.97)</f>
        <v>220.97</v>
      </c>
      <c r="D117" s="1">
        <f ca="1">IFERROR(__xludf.DUMMYFUNCTION("""COMPUTED_VALUE"""),213.2)</f>
        <v>213.2</v>
      </c>
      <c r="E117" s="1">
        <f ca="1">IFERROR(__xludf.DUMMYFUNCTION("""COMPUTED_VALUE"""),216.76)</f>
        <v>216.76</v>
      </c>
      <c r="F117" s="1">
        <f ca="1">IFERROR(__xludf.DUMMYFUNCTION("""COMPUTED_VALUE"""),30880590)</f>
        <v>30880590</v>
      </c>
    </row>
    <row r="118" spans="1:6" ht="12.6">
      <c r="A118" s="2">
        <f ca="1">IFERROR(__xludf.DUMMYFUNCTION("""COMPUTED_VALUE"""),44733.6666666666)</f>
        <v>44733.666666666599</v>
      </c>
      <c r="B118" s="1">
        <f ca="1">IFERROR(__xludf.DUMMYFUNCTION("""COMPUTED_VALUE"""),224.6)</f>
        <v>224.6</v>
      </c>
      <c r="C118" s="1">
        <f ca="1">IFERROR(__xludf.DUMMYFUNCTION("""COMPUTED_VALUE"""),243.58)</f>
        <v>243.58</v>
      </c>
      <c r="D118" s="1">
        <f ca="1">IFERROR(__xludf.DUMMYFUNCTION("""COMPUTED_VALUE"""),224.33)</f>
        <v>224.33</v>
      </c>
      <c r="E118" s="1">
        <f ca="1">IFERROR(__xludf.DUMMYFUNCTION("""COMPUTED_VALUE"""),237.04)</f>
        <v>237.04</v>
      </c>
      <c r="F118" s="1">
        <f ca="1">IFERROR(__xludf.DUMMYFUNCTION("""COMPUTED_VALUE"""),40930985)</f>
        <v>40930985</v>
      </c>
    </row>
    <row r="119" spans="1:6" ht="12.6">
      <c r="A119" s="2">
        <f ca="1">IFERROR(__xludf.DUMMYFUNCTION("""COMPUTED_VALUE"""),44734.6666666666)</f>
        <v>44734.666666666599</v>
      </c>
      <c r="B119" s="1">
        <f ca="1">IFERROR(__xludf.DUMMYFUNCTION("""COMPUTED_VALUE"""),234.5)</f>
        <v>234.5</v>
      </c>
      <c r="C119" s="1">
        <f ca="1">IFERROR(__xludf.DUMMYFUNCTION("""COMPUTED_VALUE"""),246.83)</f>
        <v>246.83</v>
      </c>
      <c r="D119" s="1">
        <f ca="1">IFERROR(__xludf.DUMMYFUNCTION("""COMPUTED_VALUE"""),233.83)</f>
        <v>233.83</v>
      </c>
      <c r="E119" s="1">
        <f ca="1">IFERROR(__xludf.DUMMYFUNCTION("""COMPUTED_VALUE"""),236.09)</f>
        <v>236.09</v>
      </c>
      <c r="F119" s="1">
        <f ca="1">IFERROR(__xludf.DUMMYFUNCTION("""COMPUTED_VALUE"""),33842420)</f>
        <v>33842420</v>
      </c>
    </row>
    <row r="120" spans="1:6" ht="12.6">
      <c r="A120" s="2">
        <f ca="1">IFERROR(__xludf.DUMMYFUNCTION("""COMPUTED_VALUE"""),44735.6666666666)</f>
        <v>44735.666666666599</v>
      </c>
      <c r="B120" s="1">
        <f ca="1">IFERROR(__xludf.DUMMYFUNCTION("""COMPUTED_VALUE"""),237.91)</f>
        <v>237.91</v>
      </c>
      <c r="C120" s="1">
        <f ca="1">IFERROR(__xludf.DUMMYFUNCTION("""COMPUTED_VALUE"""),239.32)</f>
        <v>239.32</v>
      </c>
      <c r="D120" s="1">
        <f ca="1">IFERROR(__xludf.DUMMYFUNCTION("""COMPUTED_VALUE"""),228.64)</f>
        <v>228.64</v>
      </c>
      <c r="E120" s="1">
        <f ca="1">IFERROR(__xludf.DUMMYFUNCTION("""COMPUTED_VALUE"""),235.07)</f>
        <v>235.07</v>
      </c>
      <c r="F120" s="1">
        <f ca="1">IFERROR(__xludf.DUMMYFUNCTION("""COMPUTED_VALUE"""),34734226)</f>
        <v>34734226</v>
      </c>
    </row>
    <row r="121" spans="1:6" ht="12.6">
      <c r="A121" s="2">
        <f ca="1">IFERROR(__xludf.DUMMYFUNCTION("""COMPUTED_VALUE"""),44736.6666666666)</f>
        <v>44736.666666666599</v>
      </c>
      <c r="B121" s="1">
        <f ca="1">IFERROR(__xludf.DUMMYFUNCTION("""COMPUTED_VALUE"""),237.47)</f>
        <v>237.47</v>
      </c>
      <c r="C121" s="1">
        <f ca="1">IFERROR(__xludf.DUMMYFUNCTION("""COMPUTED_VALUE"""),246.07)</f>
        <v>246.07</v>
      </c>
      <c r="D121" s="1">
        <f ca="1">IFERROR(__xludf.DUMMYFUNCTION("""COMPUTED_VALUE"""),236.09)</f>
        <v>236.09</v>
      </c>
      <c r="E121" s="1">
        <f ca="1">IFERROR(__xludf.DUMMYFUNCTION("""COMPUTED_VALUE"""),245.71)</f>
        <v>245.71</v>
      </c>
      <c r="F121" s="1">
        <f ca="1">IFERROR(__xludf.DUMMYFUNCTION("""COMPUTED_VALUE"""),31923565)</f>
        <v>31923565</v>
      </c>
    </row>
    <row r="122" spans="1:6" ht="12.6">
      <c r="A122" s="2">
        <f ca="1">IFERROR(__xludf.DUMMYFUNCTION("""COMPUTED_VALUE"""),44739.6666666666)</f>
        <v>44739.666666666599</v>
      </c>
      <c r="B122" s="1">
        <f ca="1">IFERROR(__xludf.DUMMYFUNCTION("""COMPUTED_VALUE"""),249.37)</f>
        <v>249.37</v>
      </c>
      <c r="C122" s="1">
        <f ca="1">IFERROR(__xludf.DUMMYFUNCTION("""COMPUTED_VALUE"""),252.07)</f>
        <v>252.07</v>
      </c>
      <c r="D122" s="1">
        <f ca="1">IFERROR(__xludf.DUMMYFUNCTION("""COMPUTED_VALUE"""),242.57)</f>
        <v>242.57</v>
      </c>
      <c r="E122" s="1">
        <f ca="1">IFERROR(__xludf.DUMMYFUNCTION("""COMPUTED_VALUE"""),244.92)</f>
        <v>244.92</v>
      </c>
      <c r="F122" s="1">
        <f ca="1">IFERROR(__xludf.DUMMYFUNCTION("""COMPUTED_VALUE"""),29726104)</f>
        <v>29726104</v>
      </c>
    </row>
    <row r="123" spans="1:6" ht="12.6">
      <c r="A123" s="2">
        <f ca="1">IFERROR(__xludf.DUMMYFUNCTION("""COMPUTED_VALUE"""),44740.6666666666)</f>
        <v>44740.666666666599</v>
      </c>
      <c r="B123" s="1">
        <f ca="1">IFERROR(__xludf.DUMMYFUNCTION("""COMPUTED_VALUE"""),244.48)</f>
        <v>244.48</v>
      </c>
      <c r="C123" s="1">
        <f ca="1">IFERROR(__xludf.DUMMYFUNCTION("""COMPUTED_VALUE"""),249.97)</f>
        <v>249.97</v>
      </c>
      <c r="D123" s="1">
        <f ca="1">IFERROR(__xludf.DUMMYFUNCTION("""COMPUTED_VALUE"""),232.34)</f>
        <v>232.34</v>
      </c>
      <c r="E123" s="1">
        <f ca="1">IFERROR(__xludf.DUMMYFUNCTION("""COMPUTED_VALUE"""),232.66)</f>
        <v>232.66</v>
      </c>
      <c r="F123" s="1">
        <f ca="1">IFERROR(__xludf.DUMMYFUNCTION("""COMPUTED_VALUE"""),30222167)</f>
        <v>30222167</v>
      </c>
    </row>
    <row r="124" spans="1:6" ht="12.6">
      <c r="A124" s="2">
        <f ca="1">IFERROR(__xludf.DUMMYFUNCTION("""COMPUTED_VALUE"""),44741.6666666666)</f>
        <v>44741.666666666599</v>
      </c>
      <c r="B124" s="1">
        <f ca="1">IFERROR(__xludf.DUMMYFUNCTION("""COMPUTED_VALUE"""),230.5)</f>
        <v>230.5</v>
      </c>
      <c r="C124" s="1">
        <f ca="1">IFERROR(__xludf.DUMMYFUNCTION("""COMPUTED_VALUE"""),231.17)</f>
        <v>231.17</v>
      </c>
      <c r="D124" s="1">
        <f ca="1">IFERROR(__xludf.DUMMYFUNCTION("""COMPUTED_VALUE"""),222.27)</f>
        <v>222.27</v>
      </c>
      <c r="E124" s="1">
        <f ca="1">IFERROR(__xludf.DUMMYFUNCTION("""COMPUTED_VALUE"""),228.49)</f>
        <v>228.49</v>
      </c>
      <c r="F124" s="1">
        <f ca="1">IFERROR(__xludf.DUMMYFUNCTION("""COMPUTED_VALUE"""),27632418)</f>
        <v>27632418</v>
      </c>
    </row>
    <row r="125" spans="1:6" ht="12.6">
      <c r="A125" s="2">
        <f ca="1">IFERROR(__xludf.DUMMYFUNCTION("""COMPUTED_VALUE"""),44742.6666666666)</f>
        <v>44742.666666666599</v>
      </c>
      <c r="B125" s="1">
        <f ca="1">IFERROR(__xludf.DUMMYFUNCTION("""COMPUTED_VALUE"""),224.51)</f>
        <v>224.51</v>
      </c>
      <c r="C125" s="1">
        <f ca="1">IFERROR(__xludf.DUMMYFUNCTION("""COMPUTED_VALUE"""),229.46)</f>
        <v>229.46</v>
      </c>
      <c r="D125" s="1">
        <f ca="1">IFERROR(__xludf.DUMMYFUNCTION("""COMPUTED_VALUE"""),218.86)</f>
        <v>218.86</v>
      </c>
      <c r="E125" s="1">
        <f ca="1">IFERROR(__xludf.DUMMYFUNCTION("""COMPUTED_VALUE"""),224.47)</f>
        <v>224.47</v>
      </c>
      <c r="F125" s="1">
        <f ca="1">IFERROR(__xludf.DUMMYFUNCTION("""COMPUTED_VALUE"""),31533484)</f>
        <v>31533484</v>
      </c>
    </row>
    <row r="126" spans="1:6" ht="12.6">
      <c r="A126" s="2">
        <f ca="1">IFERROR(__xludf.DUMMYFUNCTION("""COMPUTED_VALUE"""),44743.6666666666)</f>
        <v>44743.666666666599</v>
      </c>
      <c r="B126" s="1">
        <f ca="1">IFERROR(__xludf.DUMMYFUNCTION("""COMPUTED_VALUE"""),227)</f>
        <v>227</v>
      </c>
      <c r="C126" s="1">
        <f ca="1">IFERROR(__xludf.DUMMYFUNCTION("""COMPUTED_VALUE"""),230.23)</f>
        <v>230.23</v>
      </c>
      <c r="D126" s="1">
        <f ca="1">IFERROR(__xludf.DUMMYFUNCTION("""COMPUTED_VALUE"""),222.12)</f>
        <v>222.12</v>
      </c>
      <c r="E126" s="1">
        <f ca="1">IFERROR(__xludf.DUMMYFUNCTION("""COMPUTED_VALUE"""),227.26)</f>
        <v>227.26</v>
      </c>
      <c r="F126" s="1">
        <f ca="1">IFERROR(__xludf.DUMMYFUNCTION("""COMPUTED_VALUE"""),24820148)</f>
        <v>24820148</v>
      </c>
    </row>
    <row r="127" spans="1:6" ht="12.6">
      <c r="A127" s="2">
        <f ca="1">IFERROR(__xludf.DUMMYFUNCTION("""COMPUTED_VALUE"""),44747.6666666666)</f>
        <v>44747.666666666599</v>
      </c>
      <c r="B127" s="1">
        <f ca="1">IFERROR(__xludf.DUMMYFUNCTION("""COMPUTED_VALUE"""),223)</f>
        <v>223</v>
      </c>
      <c r="C127" s="1">
        <f ca="1">IFERROR(__xludf.DUMMYFUNCTION("""COMPUTED_VALUE"""),233.15)</f>
        <v>233.15</v>
      </c>
      <c r="D127" s="1">
        <f ca="1">IFERROR(__xludf.DUMMYFUNCTION("""COMPUTED_VALUE"""),216.17)</f>
        <v>216.17</v>
      </c>
      <c r="E127" s="1">
        <f ca="1">IFERROR(__xludf.DUMMYFUNCTION("""COMPUTED_VALUE"""),233.07)</f>
        <v>233.07</v>
      </c>
      <c r="F127" s="1">
        <f ca="1">IFERROR(__xludf.DUMMYFUNCTION("""COMPUTED_VALUE"""),28259704)</f>
        <v>28259704</v>
      </c>
    </row>
    <row r="128" spans="1:6" ht="12.6">
      <c r="A128" s="2">
        <f ca="1">IFERROR(__xludf.DUMMYFUNCTION("""COMPUTED_VALUE"""),44748.6666666666)</f>
        <v>44748.666666666599</v>
      </c>
      <c r="B128" s="1">
        <f ca="1">IFERROR(__xludf.DUMMYFUNCTION("""COMPUTED_VALUE"""),230.78)</f>
        <v>230.78</v>
      </c>
      <c r="C128" s="1">
        <f ca="1">IFERROR(__xludf.DUMMYFUNCTION("""COMPUTED_VALUE"""),234.56)</f>
        <v>234.56</v>
      </c>
      <c r="D128" s="1">
        <f ca="1">IFERROR(__xludf.DUMMYFUNCTION("""COMPUTED_VALUE"""),227.19)</f>
        <v>227.19</v>
      </c>
      <c r="E128" s="1">
        <f ca="1">IFERROR(__xludf.DUMMYFUNCTION("""COMPUTED_VALUE"""),231.73)</f>
        <v>231.73</v>
      </c>
      <c r="F128" s="1">
        <f ca="1">IFERROR(__xludf.DUMMYFUNCTION("""COMPUTED_VALUE"""),23951210)</f>
        <v>23951210</v>
      </c>
    </row>
    <row r="129" spans="1:6" ht="12.6">
      <c r="A129" s="2">
        <f ca="1">IFERROR(__xludf.DUMMYFUNCTION("""COMPUTED_VALUE"""),44749.6666666666)</f>
        <v>44749.666666666599</v>
      </c>
      <c r="B129" s="1">
        <f ca="1">IFERROR(__xludf.DUMMYFUNCTION("""COMPUTED_VALUE"""),233.92)</f>
        <v>233.92</v>
      </c>
      <c r="C129" s="1">
        <f ca="1">IFERROR(__xludf.DUMMYFUNCTION("""COMPUTED_VALUE"""),245.36)</f>
        <v>245.36</v>
      </c>
      <c r="D129" s="1">
        <f ca="1">IFERROR(__xludf.DUMMYFUNCTION("""COMPUTED_VALUE"""),232.21)</f>
        <v>232.21</v>
      </c>
      <c r="E129" s="1">
        <f ca="1">IFERROR(__xludf.DUMMYFUNCTION("""COMPUTED_VALUE"""),244.54)</f>
        <v>244.54</v>
      </c>
      <c r="F129" s="1">
        <f ca="1">IFERROR(__xludf.DUMMYFUNCTION("""COMPUTED_VALUE"""),27310230)</f>
        <v>27310230</v>
      </c>
    </row>
    <row r="130" spans="1:6" ht="12.6">
      <c r="A130" s="2">
        <f ca="1">IFERROR(__xludf.DUMMYFUNCTION("""COMPUTED_VALUE"""),44750.6666666666)</f>
        <v>44750.666666666599</v>
      </c>
      <c r="B130" s="1">
        <f ca="1">IFERROR(__xludf.DUMMYFUNCTION("""COMPUTED_VALUE"""),242.33)</f>
        <v>242.33</v>
      </c>
      <c r="C130" s="1">
        <f ca="1">IFERROR(__xludf.DUMMYFUNCTION("""COMPUTED_VALUE"""),254.98)</f>
        <v>254.98</v>
      </c>
      <c r="D130" s="1">
        <f ca="1">IFERROR(__xludf.DUMMYFUNCTION("""COMPUTED_VALUE"""),241.16)</f>
        <v>241.16</v>
      </c>
      <c r="E130" s="1">
        <f ca="1">IFERROR(__xludf.DUMMYFUNCTION("""COMPUTED_VALUE"""),250.76)</f>
        <v>250.76</v>
      </c>
      <c r="F130" s="1">
        <f ca="1">IFERROR(__xludf.DUMMYFUNCTION("""COMPUTED_VALUE"""),33951362)</f>
        <v>33951362</v>
      </c>
    </row>
    <row r="131" spans="1:6" ht="12.6">
      <c r="A131" s="2">
        <f ca="1">IFERROR(__xludf.DUMMYFUNCTION("""COMPUTED_VALUE"""),44753.6666666666)</f>
        <v>44753.666666666599</v>
      </c>
      <c r="B131" s="1">
        <f ca="1">IFERROR(__xludf.DUMMYFUNCTION("""COMPUTED_VALUE"""),252.1)</f>
        <v>252.1</v>
      </c>
      <c r="C131" s="1">
        <f ca="1">IFERROR(__xludf.DUMMYFUNCTION("""COMPUTED_VALUE"""),253.06)</f>
        <v>253.06</v>
      </c>
      <c r="D131" s="1">
        <f ca="1">IFERROR(__xludf.DUMMYFUNCTION("""COMPUTED_VALUE"""),233.63)</f>
        <v>233.63</v>
      </c>
      <c r="E131" s="1">
        <f ca="1">IFERROR(__xludf.DUMMYFUNCTION("""COMPUTED_VALUE"""),234.34)</f>
        <v>234.34</v>
      </c>
      <c r="F131" s="1">
        <f ca="1">IFERROR(__xludf.DUMMYFUNCTION("""COMPUTED_VALUE"""),33169740)</f>
        <v>33169740</v>
      </c>
    </row>
    <row r="132" spans="1:6" ht="12.6">
      <c r="A132" s="2">
        <f ca="1">IFERROR(__xludf.DUMMYFUNCTION("""COMPUTED_VALUE"""),44754.6666666666)</f>
        <v>44754.666666666599</v>
      </c>
      <c r="B132" s="1">
        <f ca="1">IFERROR(__xludf.DUMMYFUNCTION("""COMPUTED_VALUE"""),236.85)</f>
        <v>236.85</v>
      </c>
      <c r="C132" s="1">
        <f ca="1">IFERROR(__xludf.DUMMYFUNCTION("""COMPUTED_VALUE"""),239.77)</f>
        <v>239.77</v>
      </c>
      <c r="D132" s="1">
        <f ca="1">IFERROR(__xludf.DUMMYFUNCTION("""COMPUTED_VALUE"""),228.37)</f>
        <v>228.37</v>
      </c>
      <c r="E132" s="1">
        <f ca="1">IFERROR(__xludf.DUMMYFUNCTION("""COMPUTED_VALUE"""),233.07)</f>
        <v>233.07</v>
      </c>
      <c r="F132" s="1">
        <f ca="1">IFERROR(__xludf.DUMMYFUNCTION("""COMPUTED_VALUE"""),29310320)</f>
        <v>29310320</v>
      </c>
    </row>
    <row r="133" spans="1:6" ht="12.6">
      <c r="A133" s="2">
        <f ca="1">IFERROR(__xludf.DUMMYFUNCTION("""COMPUTED_VALUE"""),44755.6666666666)</f>
        <v>44755.666666666599</v>
      </c>
      <c r="B133" s="1">
        <f ca="1">IFERROR(__xludf.DUMMYFUNCTION("""COMPUTED_VALUE"""),225.5)</f>
        <v>225.5</v>
      </c>
      <c r="C133" s="1">
        <f ca="1">IFERROR(__xludf.DUMMYFUNCTION("""COMPUTED_VALUE"""),242.06)</f>
        <v>242.06</v>
      </c>
      <c r="D133" s="1">
        <f ca="1">IFERROR(__xludf.DUMMYFUNCTION("""COMPUTED_VALUE"""),225.03)</f>
        <v>225.03</v>
      </c>
      <c r="E133" s="1">
        <f ca="1">IFERROR(__xludf.DUMMYFUNCTION("""COMPUTED_VALUE"""),237.04)</f>
        <v>237.04</v>
      </c>
      <c r="F133" s="1">
        <f ca="1">IFERROR(__xludf.DUMMYFUNCTION("""COMPUTED_VALUE"""),32651499)</f>
        <v>32651499</v>
      </c>
    </row>
    <row r="134" spans="1:6" ht="12.6">
      <c r="A134" s="2">
        <f ca="1">IFERROR(__xludf.DUMMYFUNCTION("""COMPUTED_VALUE"""),44756.6666666666)</f>
        <v>44756.666666666599</v>
      </c>
      <c r="B134" s="1">
        <f ca="1">IFERROR(__xludf.DUMMYFUNCTION("""COMPUTED_VALUE"""),234.9)</f>
        <v>234.9</v>
      </c>
      <c r="C134" s="1">
        <f ca="1">IFERROR(__xludf.DUMMYFUNCTION("""COMPUTED_VALUE"""),238.65)</f>
        <v>238.65</v>
      </c>
      <c r="D134" s="1">
        <f ca="1">IFERROR(__xludf.DUMMYFUNCTION("""COMPUTED_VALUE"""),229.33)</f>
        <v>229.33</v>
      </c>
      <c r="E134" s="1">
        <f ca="1">IFERROR(__xludf.DUMMYFUNCTION("""COMPUTED_VALUE"""),238.31)</f>
        <v>238.31</v>
      </c>
      <c r="F134" s="1">
        <f ca="1">IFERROR(__xludf.DUMMYFUNCTION("""COMPUTED_VALUE"""),26185833)</f>
        <v>26185833</v>
      </c>
    </row>
    <row r="135" spans="1:6" ht="12.6">
      <c r="A135" s="2">
        <f ca="1">IFERROR(__xludf.DUMMYFUNCTION("""COMPUTED_VALUE"""),44757.6666666666)</f>
        <v>44757.666666666599</v>
      </c>
      <c r="B135" s="1">
        <f ca="1">IFERROR(__xludf.DUMMYFUNCTION("""COMPUTED_VALUE"""),240)</f>
        <v>240</v>
      </c>
      <c r="C135" s="1">
        <f ca="1">IFERROR(__xludf.DUMMYFUNCTION("""COMPUTED_VALUE"""),243.62)</f>
        <v>243.62</v>
      </c>
      <c r="D135" s="1">
        <f ca="1">IFERROR(__xludf.DUMMYFUNCTION("""COMPUTED_VALUE"""),236.89)</f>
        <v>236.89</v>
      </c>
      <c r="E135" s="1">
        <f ca="1">IFERROR(__xludf.DUMMYFUNCTION("""COMPUTED_VALUE"""),240.07)</f>
        <v>240.07</v>
      </c>
      <c r="F135" s="1">
        <f ca="1">IFERROR(__xludf.DUMMYFUNCTION("""COMPUTED_VALUE"""),23227673)</f>
        <v>23227673</v>
      </c>
    </row>
    <row r="136" spans="1:6" ht="12.6">
      <c r="A136" s="2">
        <f ca="1">IFERROR(__xludf.DUMMYFUNCTION("""COMPUTED_VALUE"""),44760.6666666666)</f>
        <v>44760.666666666599</v>
      </c>
      <c r="B136" s="1">
        <f ca="1">IFERROR(__xludf.DUMMYFUNCTION("""COMPUTED_VALUE"""),244.94)</f>
        <v>244.94</v>
      </c>
      <c r="C136" s="1">
        <f ca="1">IFERROR(__xludf.DUMMYFUNCTION("""COMPUTED_VALUE"""),250.52)</f>
        <v>250.52</v>
      </c>
      <c r="D136" s="1">
        <f ca="1">IFERROR(__xludf.DUMMYFUNCTION("""COMPUTED_VALUE"""),239.6)</f>
        <v>239.6</v>
      </c>
      <c r="E136" s="1">
        <f ca="1">IFERROR(__xludf.DUMMYFUNCTION("""COMPUTED_VALUE"""),240.55)</f>
        <v>240.55</v>
      </c>
      <c r="F136" s="1">
        <f ca="1">IFERROR(__xludf.DUMMYFUNCTION("""COMPUTED_VALUE"""),27512476)</f>
        <v>27512476</v>
      </c>
    </row>
    <row r="137" spans="1:6" ht="12.6">
      <c r="A137" s="2">
        <f ca="1">IFERROR(__xludf.DUMMYFUNCTION("""COMPUTED_VALUE"""),44761.6666666666)</f>
        <v>44761.666666666599</v>
      </c>
      <c r="B137" s="1">
        <f ca="1">IFERROR(__xludf.DUMMYFUNCTION("""COMPUTED_VALUE"""),245)</f>
        <v>245</v>
      </c>
      <c r="C137" s="1">
        <f ca="1">IFERROR(__xludf.DUMMYFUNCTION("""COMPUTED_VALUE"""),247.14)</f>
        <v>247.14</v>
      </c>
      <c r="D137" s="1">
        <f ca="1">IFERROR(__xludf.DUMMYFUNCTION("""COMPUTED_VALUE"""),236.98)</f>
        <v>236.98</v>
      </c>
      <c r="E137" s="1">
        <f ca="1">IFERROR(__xludf.DUMMYFUNCTION("""COMPUTED_VALUE"""),245.53)</f>
        <v>245.53</v>
      </c>
      <c r="F137" s="1">
        <f ca="1">IFERROR(__xludf.DUMMYFUNCTION("""COMPUTED_VALUE"""),26963370)</f>
        <v>26963370</v>
      </c>
    </row>
    <row r="138" spans="1:6" ht="12.6">
      <c r="A138" s="2">
        <f ca="1">IFERROR(__xludf.DUMMYFUNCTION("""COMPUTED_VALUE"""),44762.6666666666)</f>
        <v>44762.666666666599</v>
      </c>
      <c r="B138" s="1">
        <f ca="1">IFERROR(__xludf.DUMMYFUNCTION("""COMPUTED_VALUE"""),246.78)</f>
        <v>246.78</v>
      </c>
      <c r="C138" s="1">
        <f ca="1">IFERROR(__xludf.DUMMYFUNCTION("""COMPUTED_VALUE"""),250.66)</f>
        <v>250.66</v>
      </c>
      <c r="D138" s="1">
        <f ca="1">IFERROR(__xludf.DUMMYFUNCTION("""COMPUTED_VALUE"""),243.48)</f>
        <v>243.48</v>
      </c>
      <c r="E138" s="1">
        <f ca="1">IFERROR(__xludf.DUMMYFUNCTION("""COMPUTED_VALUE"""),247.5)</f>
        <v>247.5</v>
      </c>
      <c r="F138" s="1">
        <f ca="1">IFERROR(__xludf.DUMMYFUNCTION("""COMPUTED_VALUE"""),29621363)</f>
        <v>29621363</v>
      </c>
    </row>
    <row r="139" spans="1:6" ht="12.6">
      <c r="A139" s="2">
        <f ca="1">IFERROR(__xludf.DUMMYFUNCTION("""COMPUTED_VALUE"""),44763.6666666666)</f>
        <v>44763.666666666599</v>
      </c>
      <c r="B139" s="1">
        <f ca="1">IFERROR(__xludf.DUMMYFUNCTION("""COMPUTED_VALUE"""),255.11)</f>
        <v>255.11</v>
      </c>
      <c r="C139" s="1">
        <f ca="1">IFERROR(__xludf.DUMMYFUNCTION("""COMPUTED_VALUE"""),273.27)</f>
        <v>273.27</v>
      </c>
      <c r="D139" s="1">
        <f ca="1">IFERROR(__xludf.DUMMYFUNCTION("""COMPUTED_VALUE"""),254.87)</f>
        <v>254.87</v>
      </c>
      <c r="E139" s="1">
        <f ca="1">IFERROR(__xludf.DUMMYFUNCTION("""COMPUTED_VALUE"""),271.71)</f>
        <v>271.70999999999998</v>
      </c>
      <c r="F139" s="1">
        <f ca="1">IFERROR(__xludf.DUMMYFUNCTION("""COMPUTED_VALUE"""),47344059)</f>
        <v>47344059</v>
      </c>
    </row>
    <row r="140" spans="1:6" ht="12.6">
      <c r="A140" s="2">
        <f ca="1">IFERROR(__xludf.DUMMYFUNCTION("""COMPUTED_VALUE"""),44764.6666666666)</f>
        <v>44764.666666666599</v>
      </c>
      <c r="B140" s="1">
        <f ca="1">IFERROR(__xludf.DUMMYFUNCTION("""COMPUTED_VALUE"""),276.22)</f>
        <v>276.22000000000003</v>
      </c>
      <c r="C140" s="1">
        <f ca="1">IFERROR(__xludf.DUMMYFUNCTION("""COMPUTED_VALUE"""),280.79)</f>
        <v>280.79000000000002</v>
      </c>
      <c r="D140" s="1">
        <f ca="1">IFERROR(__xludf.DUMMYFUNCTION("""COMPUTED_VALUE"""),270.71)</f>
        <v>270.70999999999998</v>
      </c>
      <c r="E140" s="1">
        <f ca="1">IFERROR(__xludf.DUMMYFUNCTION("""COMPUTED_VALUE"""),272.24)</f>
        <v>272.24</v>
      </c>
      <c r="F140" s="1">
        <f ca="1">IFERROR(__xludf.DUMMYFUNCTION("""COMPUTED_VALUE"""),34490949)</f>
        <v>34490949</v>
      </c>
    </row>
    <row r="141" spans="1:6" ht="12.6">
      <c r="A141" s="2">
        <f ca="1">IFERROR(__xludf.DUMMYFUNCTION("""COMPUTED_VALUE"""),44767.6666666666)</f>
        <v>44767.666666666599</v>
      </c>
      <c r="B141" s="1">
        <f ca="1">IFERROR(__xludf.DUMMYFUNCTION("""COMPUTED_VALUE"""),272.22)</f>
        <v>272.22000000000003</v>
      </c>
      <c r="C141" s="1">
        <f ca="1">IFERROR(__xludf.DUMMYFUNCTION("""COMPUTED_VALUE"""),274.15)</f>
        <v>274.14999999999998</v>
      </c>
      <c r="D141" s="1">
        <f ca="1">IFERROR(__xludf.DUMMYFUNCTION("""COMPUTED_VALUE"""),267.4)</f>
        <v>267.39999999999998</v>
      </c>
      <c r="E141" s="1">
        <f ca="1">IFERROR(__xludf.DUMMYFUNCTION("""COMPUTED_VALUE"""),268.43)</f>
        <v>268.43</v>
      </c>
      <c r="F141" s="1">
        <f ca="1">IFERROR(__xludf.DUMMYFUNCTION("""COMPUTED_VALUE"""),21357835)</f>
        <v>21357835</v>
      </c>
    </row>
    <row r="142" spans="1:6" ht="12.6">
      <c r="A142" s="2">
        <f ca="1">IFERROR(__xludf.DUMMYFUNCTION("""COMPUTED_VALUE"""),44768.6666666666)</f>
        <v>44768.666666666599</v>
      </c>
      <c r="B142" s="1">
        <f ca="1">IFERROR(__xludf.DUMMYFUNCTION("""COMPUTED_VALUE"""),266.51)</f>
        <v>266.51</v>
      </c>
      <c r="C142" s="1">
        <f ca="1">IFERROR(__xludf.DUMMYFUNCTION("""COMPUTED_VALUE"""),267.31)</f>
        <v>267.31</v>
      </c>
      <c r="D142" s="1">
        <f ca="1">IFERROR(__xludf.DUMMYFUNCTION("""COMPUTED_VALUE"""),256.26)</f>
        <v>256.26</v>
      </c>
      <c r="E142" s="1">
        <f ca="1">IFERROR(__xludf.DUMMYFUNCTION("""COMPUTED_VALUE"""),258.86)</f>
        <v>258.86</v>
      </c>
      <c r="F142" s="1">
        <f ca="1">IFERROR(__xludf.DUMMYFUNCTION("""COMPUTED_VALUE"""),22273586)</f>
        <v>22273586</v>
      </c>
    </row>
    <row r="143" spans="1:6" ht="12.6">
      <c r="A143" s="2">
        <f ca="1">IFERROR(__xludf.DUMMYFUNCTION("""COMPUTED_VALUE"""),44769.6666666666)</f>
        <v>44769.666666666599</v>
      </c>
      <c r="B143" s="1">
        <f ca="1">IFERROR(__xludf.DUMMYFUNCTION("""COMPUTED_VALUE"""),263.81)</f>
        <v>263.81</v>
      </c>
      <c r="C143" s="1">
        <f ca="1">IFERROR(__xludf.DUMMYFUNCTION("""COMPUTED_VALUE"""),275.93)</f>
        <v>275.93</v>
      </c>
      <c r="D143" s="1">
        <f ca="1">IFERROR(__xludf.DUMMYFUNCTION("""COMPUTED_VALUE"""),261.79)</f>
        <v>261.79000000000002</v>
      </c>
      <c r="E143" s="1">
        <f ca="1">IFERROR(__xludf.DUMMYFUNCTION("""COMPUTED_VALUE"""),274.82)</f>
        <v>274.82</v>
      </c>
      <c r="F143" s="1">
        <f ca="1">IFERROR(__xludf.DUMMYFUNCTION("""COMPUTED_VALUE"""),29369996)</f>
        <v>29369996</v>
      </c>
    </row>
    <row r="144" spans="1:6" ht="12.6">
      <c r="A144" s="2">
        <f ca="1">IFERROR(__xludf.DUMMYFUNCTION("""COMPUTED_VALUE"""),44770.6666666666)</f>
        <v>44770.666666666599</v>
      </c>
      <c r="B144" s="1">
        <f ca="1">IFERROR(__xludf.DUMMYFUNCTION("""COMPUTED_VALUE"""),280.07)</f>
        <v>280.07</v>
      </c>
      <c r="C144" s="1">
        <f ca="1">IFERROR(__xludf.DUMMYFUNCTION("""COMPUTED_VALUE"""),283.3)</f>
        <v>283.3</v>
      </c>
      <c r="D144" s="1">
        <f ca="1">IFERROR(__xludf.DUMMYFUNCTION("""COMPUTED_VALUE"""),272.8)</f>
        <v>272.8</v>
      </c>
      <c r="E144" s="1">
        <f ca="1">IFERROR(__xludf.DUMMYFUNCTION("""COMPUTED_VALUE"""),280.9)</f>
        <v>280.89999999999998</v>
      </c>
      <c r="F144" s="1">
        <f ca="1">IFERROR(__xludf.DUMMYFUNCTION("""COMPUTED_VALUE"""),28240997)</f>
        <v>28240997</v>
      </c>
    </row>
    <row r="145" spans="1:6" ht="12.6">
      <c r="A145" s="2">
        <f ca="1">IFERROR(__xludf.DUMMYFUNCTION("""COMPUTED_VALUE"""),44771.6666666666)</f>
        <v>44771.666666666599</v>
      </c>
      <c r="B145" s="1">
        <f ca="1">IFERROR(__xludf.DUMMYFUNCTION("""COMPUTED_VALUE"""),280.7)</f>
        <v>280.7</v>
      </c>
      <c r="C145" s="1">
        <f ca="1">IFERROR(__xludf.DUMMYFUNCTION("""COMPUTED_VALUE"""),298.32)</f>
        <v>298.32</v>
      </c>
      <c r="D145" s="1">
        <f ca="1">IFERROR(__xludf.DUMMYFUNCTION("""COMPUTED_VALUE"""),279.1)</f>
        <v>279.10000000000002</v>
      </c>
      <c r="E145" s="1">
        <f ca="1">IFERROR(__xludf.DUMMYFUNCTION("""COMPUTED_VALUE"""),297.15)</f>
        <v>297.14999999999998</v>
      </c>
      <c r="F145" s="1">
        <f ca="1">IFERROR(__xludf.DUMMYFUNCTION("""COMPUTED_VALUE"""),31770961)</f>
        <v>31770961</v>
      </c>
    </row>
    <row r="146" spans="1:6" ht="12.6">
      <c r="A146" s="2">
        <f ca="1">IFERROR(__xludf.DUMMYFUNCTION("""COMPUTED_VALUE"""),44774.6666666666)</f>
        <v>44774.666666666599</v>
      </c>
      <c r="B146" s="1">
        <f ca="1">IFERROR(__xludf.DUMMYFUNCTION("""COMPUTED_VALUE"""),301.27)</f>
        <v>301.27</v>
      </c>
      <c r="C146" s="1">
        <f ca="1">IFERROR(__xludf.DUMMYFUNCTION("""COMPUTED_VALUE"""),311.88)</f>
        <v>311.88</v>
      </c>
      <c r="D146" s="1">
        <f ca="1">IFERROR(__xludf.DUMMYFUNCTION("""COMPUTED_VALUE"""),295)</f>
        <v>295</v>
      </c>
      <c r="E146" s="1">
        <f ca="1">IFERROR(__xludf.DUMMYFUNCTION("""COMPUTED_VALUE"""),297.28)</f>
        <v>297.27999999999997</v>
      </c>
      <c r="F146" s="1">
        <f ca="1">IFERROR(__xludf.DUMMYFUNCTION("""COMPUTED_VALUE"""),39014296)</f>
        <v>39014296</v>
      </c>
    </row>
    <row r="147" spans="1:6" ht="12.6">
      <c r="A147" s="2">
        <f ca="1">IFERROR(__xludf.DUMMYFUNCTION("""COMPUTED_VALUE"""),44775.6666666666)</f>
        <v>44775.666666666599</v>
      </c>
      <c r="B147" s="1">
        <f ca="1">IFERROR(__xludf.DUMMYFUNCTION("""COMPUTED_VALUE"""),294)</f>
        <v>294</v>
      </c>
      <c r="C147" s="1">
        <f ca="1">IFERROR(__xludf.DUMMYFUNCTION("""COMPUTED_VALUE"""),307.83)</f>
        <v>307.83</v>
      </c>
      <c r="D147" s="1">
        <f ca="1">IFERROR(__xludf.DUMMYFUNCTION("""COMPUTED_VALUE"""),292.67)</f>
        <v>292.67</v>
      </c>
      <c r="E147" s="1">
        <f ca="1">IFERROR(__xludf.DUMMYFUNCTION("""COMPUTED_VALUE"""),300.59)</f>
        <v>300.58999999999997</v>
      </c>
      <c r="F147" s="1">
        <f ca="1">IFERROR(__xludf.DUMMYFUNCTION("""COMPUTED_VALUE"""),31859156)</f>
        <v>31859156</v>
      </c>
    </row>
    <row r="148" spans="1:6" ht="12.6">
      <c r="A148" s="2">
        <f ca="1">IFERROR(__xludf.DUMMYFUNCTION("""COMPUTED_VALUE"""),44776.6666666666)</f>
        <v>44776.666666666599</v>
      </c>
      <c r="B148" s="1">
        <f ca="1">IFERROR(__xludf.DUMMYFUNCTION("""COMPUTED_VALUE"""),305)</f>
        <v>305</v>
      </c>
      <c r="C148" s="1">
        <f ca="1">IFERROR(__xludf.DUMMYFUNCTION("""COMPUTED_VALUE"""),309.55)</f>
        <v>309.55</v>
      </c>
      <c r="D148" s="1">
        <f ca="1">IFERROR(__xludf.DUMMYFUNCTION("""COMPUTED_VALUE"""),301.15)</f>
        <v>301.14999999999998</v>
      </c>
      <c r="E148" s="1">
        <f ca="1">IFERROR(__xludf.DUMMYFUNCTION("""COMPUTED_VALUE"""),307.4)</f>
        <v>307.39999999999998</v>
      </c>
      <c r="F148" s="1">
        <f ca="1">IFERROR(__xludf.DUMMYFUNCTION("""COMPUTED_VALUE"""),26697035)</f>
        <v>26697035</v>
      </c>
    </row>
    <row r="149" spans="1:6" ht="12.6">
      <c r="A149" s="2">
        <f ca="1">IFERROR(__xludf.DUMMYFUNCTION("""COMPUTED_VALUE"""),44777.6666666666)</f>
        <v>44777.666666666599</v>
      </c>
      <c r="B149" s="1">
        <f ca="1">IFERROR(__xludf.DUMMYFUNCTION("""COMPUTED_VALUE"""),311)</f>
        <v>311</v>
      </c>
      <c r="C149" s="1">
        <f ca="1">IFERROR(__xludf.DUMMYFUNCTION("""COMPUTED_VALUE"""),313.61)</f>
        <v>313.61</v>
      </c>
      <c r="D149" s="1">
        <f ca="1">IFERROR(__xludf.DUMMYFUNCTION("""COMPUTED_VALUE"""),305)</f>
        <v>305</v>
      </c>
      <c r="E149" s="1">
        <f ca="1">IFERROR(__xludf.DUMMYFUNCTION("""COMPUTED_VALUE"""),308.63)</f>
        <v>308.63</v>
      </c>
      <c r="F149" s="1">
        <f ca="1">IFERROR(__xludf.DUMMYFUNCTION("""COMPUTED_VALUE"""),24085439)</f>
        <v>24085439</v>
      </c>
    </row>
    <row r="150" spans="1:6" ht="12.6">
      <c r="A150" s="2">
        <f ca="1">IFERROR(__xludf.DUMMYFUNCTION("""COMPUTED_VALUE"""),44778.6666666666)</f>
        <v>44778.666666666599</v>
      </c>
      <c r="B150" s="1">
        <f ca="1">IFERROR(__xludf.DUMMYFUNCTION("""COMPUTED_VALUE"""),302.67)</f>
        <v>302.67</v>
      </c>
      <c r="C150" s="1">
        <f ca="1">IFERROR(__xludf.DUMMYFUNCTION("""COMPUTED_VALUE"""),304.61)</f>
        <v>304.61</v>
      </c>
      <c r="D150" s="1">
        <f ca="1">IFERROR(__xludf.DUMMYFUNCTION("""COMPUTED_VALUE"""),285.54)</f>
        <v>285.54000000000002</v>
      </c>
      <c r="E150" s="1">
        <f ca="1">IFERROR(__xludf.DUMMYFUNCTION("""COMPUTED_VALUE"""),288.17)</f>
        <v>288.17</v>
      </c>
      <c r="F150" s="1">
        <f ca="1">IFERROR(__xludf.DUMMYFUNCTION("""COMPUTED_VALUE"""),37724299)</f>
        <v>37724299</v>
      </c>
    </row>
    <row r="151" spans="1:6" ht="12.6">
      <c r="A151" s="2">
        <f ca="1">IFERROR(__xludf.DUMMYFUNCTION("""COMPUTED_VALUE"""),44781.6666666666)</f>
        <v>44781.666666666599</v>
      </c>
      <c r="B151" s="1">
        <f ca="1">IFERROR(__xludf.DUMMYFUNCTION("""COMPUTED_VALUE"""),295)</f>
        <v>295</v>
      </c>
      <c r="C151" s="1">
        <f ca="1">IFERROR(__xludf.DUMMYFUNCTION("""COMPUTED_VALUE"""),305.2)</f>
        <v>305.2</v>
      </c>
      <c r="D151" s="1">
        <f ca="1">IFERROR(__xludf.DUMMYFUNCTION("""COMPUTED_VALUE"""),289.09)</f>
        <v>289.08999999999997</v>
      </c>
      <c r="E151" s="1">
        <f ca="1">IFERROR(__xludf.DUMMYFUNCTION("""COMPUTED_VALUE"""),290.42)</f>
        <v>290.42</v>
      </c>
      <c r="F151" s="1">
        <f ca="1">IFERROR(__xludf.DUMMYFUNCTION("""COMPUTED_VALUE"""),33121758)</f>
        <v>33121758</v>
      </c>
    </row>
    <row r="152" spans="1:6" ht="12.6">
      <c r="A152" s="2">
        <f ca="1">IFERROR(__xludf.DUMMYFUNCTION("""COMPUTED_VALUE"""),44782.6666666666)</f>
        <v>44782.666666666599</v>
      </c>
      <c r="B152" s="1">
        <f ca="1">IFERROR(__xludf.DUMMYFUNCTION("""COMPUTED_VALUE"""),290.29)</f>
        <v>290.29000000000002</v>
      </c>
      <c r="C152" s="1">
        <f ca="1">IFERROR(__xludf.DUMMYFUNCTION("""COMPUTED_VALUE"""),292.4)</f>
        <v>292.39999999999998</v>
      </c>
      <c r="D152" s="1">
        <f ca="1">IFERROR(__xludf.DUMMYFUNCTION("""COMPUTED_VALUE"""),279.35)</f>
        <v>279.35000000000002</v>
      </c>
      <c r="E152" s="1">
        <f ca="1">IFERROR(__xludf.DUMMYFUNCTION("""COMPUTED_VALUE"""),283.33)</f>
        <v>283.33</v>
      </c>
      <c r="F152" s="1">
        <f ca="1">IFERROR(__xludf.DUMMYFUNCTION("""COMPUTED_VALUE"""),28748227)</f>
        <v>28748227</v>
      </c>
    </row>
    <row r="153" spans="1:6" ht="12.6">
      <c r="A153" s="2">
        <f ca="1">IFERROR(__xludf.DUMMYFUNCTION("""COMPUTED_VALUE"""),44783.6666666666)</f>
        <v>44783.666666666599</v>
      </c>
      <c r="B153" s="1">
        <f ca="1">IFERROR(__xludf.DUMMYFUNCTION("""COMPUTED_VALUE"""),297.07)</f>
        <v>297.07</v>
      </c>
      <c r="C153" s="1">
        <f ca="1">IFERROR(__xludf.DUMMYFUNCTION("""COMPUTED_VALUE"""),297.51)</f>
        <v>297.51</v>
      </c>
      <c r="D153" s="1">
        <f ca="1">IFERROR(__xludf.DUMMYFUNCTION("""COMPUTED_VALUE"""),283.37)</f>
        <v>283.37</v>
      </c>
      <c r="E153" s="1">
        <f ca="1">IFERROR(__xludf.DUMMYFUNCTION("""COMPUTED_VALUE"""),294.36)</f>
        <v>294.36</v>
      </c>
      <c r="F153" s="1">
        <f ca="1">IFERROR(__xludf.DUMMYFUNCTION("""COMPUTED_VALUE"""),31639624)</f>
        <v>31639624</v>
      </c>
    </row>
    <row r="154" spans="1:6" ht="12.6">
      <c r="A154" s="2">
        <f ca="1">IFERROR(__xludf.DUMMYFUNCTION("""COMPUTED_VALUE"""),44784.6666666666)</f>
        <v>44784.666666666599</v>
      </c>
      <c r="B154" s="1">
        <f ca="1">IFERROR(__xludf.DUMMYFUNCTION("""COMPUTED_VALUE"""),296.51)</f>
        <v>296.51</v>
      </c>
      <c r="C154" s="1">
        <f ca="1">IFERROR(__xludf.DUMMYFUNCTION("""COMPUTED_VALUE"""),298.24)</f>
        <v>298.24</v>
      </c>
      <c r="D154" s="1">
        <f ca="1">IFERROR(__xludf.DUMMYFUNCTION("""COMPUTED_VALUE"""),285.83)</f>
        <v>285.83</v>
      </c>
      <c r="E154" s="1">
        <f ca="1">IFERROR(__xludf.DUMMYFUNCTION("""COMPUTED_VALUE"""),286.63)</f>
        <v>286.63</v>
      </c>
      <c r="F154" s="1">
        <f ca="1">IFERROR(__xludf.DUMMYFUNCTION("""COMPUTED_VALUE"""),23385015)</f>
        <v>23385015</v>
      </c>
    </row>
    <row r="155" spans="1:6" ht="12.6">
      <c r="A155" s="2">
        <f ca="1">IFERROR(__xludf.DUMMYFUNCTION("""COMPUTED_VALUE"""),44785.6666666666)</f>
        <v>44785.666666666599</v>
      </c>
      <c r="B155" s="1">
        <f ca="1">IFERROR(__xludf.DUMMYFUNCTION("""COMPUTED_VALUE"""),289.42)</f>
        <v>289.42</v>
      </c>
      <c r="C155" s="1">
        <f ca="1">IFERROR(__xludf.DUMMYFUNCTION("""COMPUTED_VALUE"""),300.16)</f>
        <v>300.16000000000003</v>
      </c>
      <c r="D155" s="1">
        <f ca="1">IFERROR(__xludf.DUMMYFUNCTION("""COMPUTED_VALUE"""),285.03)</f>
        <v>285.02999999999997</v>
      </c>
      <c r="E155" s="1">
        <f ca="1">IFERROR(__xludf.DUMMYFUNCTION("""COMPUTED_VALUE"""),300.03)</f>
        <v>300.02999999999997</v>
      </c>
      <c r="F155" s="1">
        <f ca="1">IFERROR(__xludf.DUMMYFUNCTION("""COMPUTED_VALUE"""),26552429)</f>
        <v>26552429</v>
      </c>
    </row>
    <row r="156" spans="1:6" ht="12.6">
      <c r="A156" s="2">
        <f ca="1">IFERROR(__xludf.DUMMYFUNCTION("""COMPUTED_VALUE"""),44788.6666666666)</f>
        <v>44788.666666666599</v>
      </c>
      <c r="B156" s="1">
        <f ca="1">IFERROR(__xludf.DUMMYFUNCTION("""COMPUTED_VALUE"""),301.79)</f>
        <v>301.79000000000002</v>
      </c>
      <c r="C156" s="1">
        <f ca="1">IFERROR(__xludf.DUMMYFUNCTION("""COMPUTED_VALUE"""),313.13)</f>
        <v>313.13</v>
      </c>
      <c r="D156" s="1">
        <f ca="1">IFERROR(__xludf.DUMMYFUNCTION("""COMPUTED_VALUE"""),301.23)</f>
        <v>301.23</v>
      </c>
      <c r="E156" s="1">
        <f ca="1">IFERROR(__xludf.DUMMYFUNCTION("""COMPUTED_VALUE"""),309.32)</f>
        <v>309.32</v>
      </c>
      <c r="F156" s="1">
        <f ca="1">IFERROR(__xludf.DUMMYFUNCTION("""COMPUTED_VALUE"""),29786389)</f>
        <v>29786389</v>
      </c>
    </row>
    <row r="157" spans="1:6" ht="12.6">
      <c r="A157" s="2">
        <f ca="1">IFERROR(__xludf.DUMMYFUNCTION("""COMPUTED_VALUE"""),44789.6666666666)</f>
        <v>44789.666666666599</v>
      </c>
      <c r="B157" s="1">
        <f ca="1">IFERROR(__xludf.DUMMYFUNCTION("""COMPUTED_VALUE"""),311.67)</f>
        <v>311.67</v>
      </c>
      <c r="C157" s="1">
        <f ca="1">IFERROR(__xludf.DUMMYFUNCTION("""COMPUTED_VALUE"""),314.67)</f>
        <v>314.67</v>
      </c>
      <c r="D157" s="1">
        <f ca="1">IFERROR(__xludf.DUMMYFUNCTION("""COMPUTED_VALUE"""),302.88)</f>
        <v>302.88</v>
      </c>
      <c r="E157" s="1">
        <f ca="1">IFERROR(__xludf.DUMMYFUNCTION("""COMPUTED_VALUE"""),306.56)</f>
        <v>306.56</v>
      </c>
      <c r="F157" s="1">
        <f ca="1">IFERROR(__xludf.DUMMYFUNCTION("""COMPUTED_VALUE"""),29378774)</f>
        <v>29378774</v>
      </c>
    </row>
    <row r="158" spans="1:6" ht="12.6">
      <c r="A158" s="2">
        <f ca="1">IFERROR(__xludf.DUMMYFUNCTION("""COMPUTED_VALUE"""),44790.6666666666)</f>
        <v>44790.666666666599</v>
      </c>
      <c r="B158" s="1">
        <f ca="1">IFERROR(__xludf.DUMMYFUNCTION("""COMPUTED_VALUE"""),303.4)</f>
        <v>303.39999999999998</v>
      </c>
      <c r="C158" s="1">
        <f ca="1">IFERROR(__xludf.DUMMYFUNCTION("""COMPUTED_VALUE"""),309.66)</f>
        <v>309.66000000000003</v>
      </c>
      <c r="D158" s="1">
        <f ca="1">IFERROR(__xludf.DUMMYFUNCTION("""COMPUTED_VALUE"""),300.03)</f>
        <v>300.02999999999997</v>
      </c>
      <c r="E158" s="1">
        <f ca="1">IFERROR(__xludf.DUMMYFUNCTION("""COMPUTED_VALUE"""),304)</f>
        <v>304</v>
      </c>
      <c r="F158" s="1">
        <f ca="1">IFERROR(__xludf.DUMMYFUNCTION("""COMPUTED_VALUE"""),22921990)</f>
        <v>22921990</v>
      </c>
    </row>
    <row r="159" spans="1:6" ht="12.6">
      <c r="A159" s="2">
        <f ca="1">IFERROR(__xludf.DUMMYFUNCTION("""COMPUTED_VALUE"""),44791.6666666666)</f>
        <v>44791.666666666599</v>
      </c>
      <c r="B159" s="1">
        <f ca="1">IFERROR(__xludf.DUMMYFUNCTION("""COMPUTED_VALUE"""),306)</f>
        <v>306</v>
      </c>
      <c r="C159" s="1">
        <f ca="1">IFERROR(__xludf.DUMMYFUNCTION("""COMPUTED_VALUE"""),306.5)</f>
        <v>306.5</v>
      </c>
      <c r="D159" s="1">
        <f ca="1">IFERROR(__xludf.DUMMYFUNCTION("""COMPUTED_VALUE"""),301.85)</f>
        <v>301.85000000000002</v>
      </c>
      <c r="E159" s="1">
        <f ca="1">IFERROR(__xludf.DUMMYFUNCTION("""COMPUTED_VALUE"""),302.87)</f>
        <v>302.87</v>
      </c>
      <c r="F159" s="1">
        <f ca="1">IFERROR(__xludf.DUMMYFUNCTION("""COMPUTED_VALUE"""),15833512)</f>
        <v>15833512</v>
      </c>
    </row>
    <row r="160" spans="1:6" ht="12.6">
      <c r="A160" s="2">
        <f ca="1">IFERROR(__xludf.DUMMYFUNCTION("""COMPUTED_VALUE"""),44792.6666666666)</f>
        <v>44792.666666666599</v>
      </c>
      <c r="B160" s="1">
        <f ca="1">IFERROR(__xludf.DUMMYFUNCTION("""COMPUTED_VALUE"""),299)</f>
        <v>299</v>
      </c>
      <c r="C160" s="1">
        <f ca="1">IFERROR(__xludf.DUMMYFUNCTION("""COMPUTED_VALUE"""),300.36)</f>
        <v>300.36</v>
      </c>
      <c r="D160" s="1">
        <f ca="1">IFERROR(__xludf.DUMMYFUNCTION("""COMPUTED_VALUE"""),292.5)</f>
        <v>292.5</v>
      </c>
      <c r="E160" s="1">
        <f ca="1">IFERROR(__xludf.DUMMYFUNCTION("""COMPUTED_VALUE"""),296.67)</f>
        <v>296.67</v>
      </c>
      <c r="F160" s="1">
        <f ca="1">IFERROR(__xludf.DUMMYFUNCTION("""COMPUTED_VALUE"""),20465129)</f>
        <v>20465129</v>
      </c>
    </row>
    <row r="161" spans="1:6" ht="12.6">
      <c r="A161" s="2">
        <f ca="1">IFERROR(__xludf.DUMMYFUNCTION("""COMPUTED_VALUE"""),44795.6666666666)</f>
        <v>44795.666666666599</v>
      </c>
      <c r="B161" s="1">
        <f ca="1">IFERROR(__xludf.DUMMYFUNCTION("""COMPUTED_VALUE"""),291.91)</f>
        <v>291.91000000000003</v>
      </c>
      <c r="C161" s="1">
        <f ca="1">IFERROR(__xludf.DUMMYFUNCTION("""COMPUTED_VALUE"""),292.4)</f>
        <v>292.39999999999998</v>
      </c>
      <c r="D161" s="1">
        <f ca="1">IFERROR(__xludf.DUMMYFUNCTION("""COMPUTED_VALUE"""),286.3)</f>
        <v>286.3</v>
      </c>
      <c r="E161" s="1">
        <f ca="1">IFERROR(__xludf.DUMMYFUNCTION("""COMPUTED_VALUE"""),289.91)</f>
        <v>289.91000000000003</v>
      </c>
      <c r="F161" s="1">
        <f ca="1">IFERROR(__xludf.DUMMYFUNCTION("""COMPUTED_VALUE"""),18614449)</f>
        <v>18614449</v>
      </c>
    </row>
    <row r="162" spans="1:6" ht="12.6">
      <c r="A162" s="2">
        <f ca="1">IFERROR(__xludf.DUMMYFUNCTION("""COMPUTED_VALUE"""),44796.6666666666)</f>
        <v>44796.666666666599</v>
      </c>
      <c r="B162" s="1">
        <f ca="1">IFERROR(__xludf.DUMMYFUNCTION("""COMPUTED_VALUE"""),291.45)</f>
        <v>291.45</v>
      </c>
      <c r="C162" s="1">
        <f ca="1">IFERROR(__xludf.DUMMYFUNCTION("""COMPUTED_VALUE"""),298.83)</f>
        <v>298.83</v>
      </c>
      <c r="D162" s="1">
        <f ca="1">IFERROR(__xludf.DUMMYFUNCTION("""COMPUTED_VALUE"""),287.92)</f>
        <v>287.92</v>
      </c>
      <c r="E162" s="1">
        <f ca="1">IFERROR(__xludf.DUMMYFUNCTION("""COMPUTED_VALUE"""),296.45)</f>
        <v>296.45</v>
      </c>
      <c r="F162" s="1">
        <f ca="1">IFERROR(__xludf.DUMMYFUNCTION("""COMPUTED_VALUE"""),21328348)</f>
        <v>21328348</v>
      </c>
    </row>
    <row r="163" spans="1:6" ht="12.6">
      <c r="A163" s="2">
        <f ca="1">IFERROR(__xludf.DUMMYFUNCTION("""COMPUTED_VALUE"""),44797.6666666666)</f>
        <v>44797.666666666599</v>
      </c>
      <c r="B163" s="1">
        <f ca="1">IFERROR(__xludf.DUMMYFUNCTION("""COMPUTED_VALUE"""),297.56)</f>
        <v>297.56</v>
      </c>
      <c r="C163" s="1">
        <f ca="1">IFERROR(__xludf.DUMMYFUNCTION("""COMPUTED_VALUE"""),303.65)</f>
        <v>303.64999999999998</v>
      </c>
      <c r="D163" s="1">
        <f ca="1">IFERROR(__xludf.DUMMYFUNCTION("""COMPUTED_VALUE"""),296.5)</f>
        <v>296.5</v>
      </c>
      <c r="E163" s="1">
        <f ca="1">IFERROR(__xludf.DUMMYFUNCTION("""COMPUTED_VALUE"""),297.1)</f>
        <v>297.10000000000002</v>
      </c>
      <c r="F163" s="1">
        <f ca="1">IFERROR(__xludf.DUMMYFUNCTION("""COMPUTED_VALUE"""),19086572)</f>
        <v>19086572</v>
      </c>
    </row>
    <row r="164" spans="1:6" ht="12.6">
      <c r="A164" s="2">
        <f ca="1">IFERROR(__xludf.DUMMYFUNCTION("""COMPUTED_VALUE"""),44798.6666666666)</f>
        <v>44798.666666666599</v>
      </c>
      <c r="B164" s="1">
        <f ca="1">IFERROR(__xludf.DUMMYFUNCTION("""COMPUTED_VALUE"""),302.36)</f>
        <v>302.36</v>
      </c>
      <c r="C164" s="1">
        <f ca="1">IFERROR(__xludf.DUMMYFUNCTION("""COMPUTED_VALUE"""),302.96)</f>
        <v>302.95999999999998</v>
      </c>
      <c r="D164" s="1">
        <f ca="1">IFERROR(__xludf.DUMMYFUNCTION("""COMPUTED_VALUE"""),291.6)</f>
        <v>291.60000000000002</v>
      </c>
      <c r="E164" s="1">
        <f ca="1">IFERROR(__xludf.DUMMYFUNCTION("""COMPUTED_VALUE"""),296.07)</f>
        <v>296.07</v>
      </c>
      <c r="F164" s="1">
        <f ca="1">IFERROR(__xludf.DUMMYFUNCTION("""COMPUTED_VALUE"""),53230013)</f>
        <v>53230013</v>
      </c>
    </row>
    <row r="165" spans="1:6" ht="12.6">
      <c r="A165" s="2">
        <f ca="1">IFERROR(__xludf.DUMMYFUNCTION("""COMPUTED_VALUE"""),44799.6666666666)</f>
        <v>44799.666666666599</v>
      </c>
      <c r="B165" s="1">
        <f ca="1">IFERROR(__xludf.DUMMYFUNCTION("""COMPUTED_VALUE"""),297.43)</f>
        <v>297.43</v>
      </c>
      <c r="C165" s="1">
        <f ca="1">IFERROR(__xludf.DUMMYFUNCTION("""COMPUTED_VALUE"""),302)</f>
        <v>302</v>
      </c>
      <c r="D165" s="1">
        <f ca="1">IFERROR(__xludf.DUMMYFUNCTION("""COMPUTED_VALUE"""),287.47)</f>
        <v>287.47000000000003</v>
      </c>
      <c r="E165" s="1">
        <f ca="1">IFERROR(__xludf.DUMMYFUNCTION("""COMPUTED_VALUE"""),288.09)</f>
        <v>288.08999999999997</v>
      </c>
      <c r="F165" s="1">
        <f ca="1">IFERROR(__xludf.DUMMYFUNCTION("""COMPUTED_VALUE"""),57163947)</f>
        <v>57163947</v>
      </c>
    </row>
    <row r="166" spans="1:6" ht="12.6">
      <c r="A166" s="2">
        <f ca="1">IFERROR(__xludf.DUMMYFUNCTION("""COMPUTED_VALUE"""),44802.6666666666)</f>
        <v>44802.666666666599</v>
      </c>
      <c r="B166" s="1">
        <f ca="1">IFERROR(__xludf.DUMMYFUNCTION("""COMPUTED_VALUE"""),282.83)</f>
        <v>282.83</v>
      </c>
      <c r="C166" s="1">
        <f ca="1">IFERROR(__xludf.DUMMYFUNCTION("""COMPUTED_VALUE"""),287.74)</f>
        <v>287.74</v>
      </c>
      <c r="D166" s="1">
        <f ca="1">IFERROR(__xludf.DUMMYFUNCTION("""COMPUTED_VALUE"""),280.7)</f>
        <v>280.7</v>
      </c>
      <c r="E166" s="1">
        <f ca="1">IFERROR(__xludf.DUMMYFUNCTION("""COMPUTED_VALUE"""),284.82)</f>
        <v>284.82</v>
      </c>
      <c r="F166" s="1">
        <f ca="1">IFERROR(__xludf.DUMMYFUNCTION("""COMPUTED_VALUE"""),41864742)</f>
        <v>41864742</v>
      </c>
    </row>
    <row r="167" spans="1:6" ht="12.6">
      <c r="A167" s="2">
        <f ca="1">IFERROR(__xludf.DUMMYFUNCTION("""COMPUTED_VALUE"""),44803.6666666666)</f>
        <v>44803.666666666599</v>
      </c>
      <c r="B167" s="1">
        <f ca="1">IFERROR(__xludf.DUMMYFUNCTION("""COMPUTED_VALUE"""),287.87)</f>
        <v>287.87</v>
      </c>
      <c r="C167" s="1">
        <f ca="1">IFERROR(__xludf.DUMMYFUNCTION("""COMPUTED_VALUE"""),288.48)</f>
        <v>288.48</v>
      </c>
      <c r="D167" s="1">
        <f ca="1">IFERROR(__xludf.DUMMYFUNCTION("""COMPUTED_VALUE"""),272.65)</f>
        <v>272.64999999999998</v>
      </c>
      <c r="E167" s="1">
        <f ca="1">IFERROR(__xludf.DUMMYFUNCTION("""COMPUTED_VALUE"""),277.7)</f>
        <v>277.7</v>
      </c>
      <c r="F167" s="1">
        <f ca="1">IFERROR(__xludf.DUMMYFUNCTION("""COMPUTED_VALUE"""),50541759)</f>
        <v>50541759</v>
      </c>
    </row>
    <row r="168" spans="1:6" ht="12.6">
      <c r="A168" s="2">
        <f ca="1">IFERROR(__xludf.DUMMYFUNCTION("""COMPUTED_VALUE"""),44804.6666666666)</f>
        <v>44804.666666666599</v>
      </c>
      <c r="B168" s="1">
        <f ca="1">IFERROR(__xludf.DUMMYFUNCTION("""COMPUTED_VALUE"""),280.62)</f>
        <v>280.62</v>
      </c>
      <c r="C168" s="1">
        <f ca="1">IFERROR(__xludf.DUMMYFUNCTION("""COMPUTED_VALUE"""),281.25)</f>
        <v>281.25</v>
      </c>
      <c r="D168" s="1">
        <f ca="1">IFERROR(__xludf.DUMMYFUNCTION("""COMPUTED_VALUE"""),271.81)</f>
        <v>271.81</v>
      </c>
      <c r="E168" s="1">
        <f ca="1">IFERROR(__xludf.DUMMYFUNCTION("""COMPUTED_VALUE"""),275.61)</f>
        <v>275.61</v>
      </c>
      <c r="F168" s="1">
        <f ca="1">IFERROR(__xludf.DUMMYFUNCTION("""COMPUTED_VALUE"""),52107337)</f>
        <v>52107337</v>
      </c>
    </row>
    <row r="169" spans="1:6" ht="12.6">
      <c r="A169" s="2">
        <f ca="1">IFERROR(__xludf.DUMMYFUNCTION("""COMPUTED_VALUE"""),44805.6666666666)</f>
        <v>44805.666666666599</v>
      </c>
      <c r="B169" s="1">
        <f ca="1">IFERROR(__xludf.DUMMYFUNCTION("""COMPUTED_VALUE"""),272.58)</f>
        <v>272.58</v>
      </c>
      <c r="C169" s="1">
        <f ca="1">IFERROR(__xludf.DUMMYFUNCTION("""COMPUTED_VALUE"""),277.58)</f>
        <v>277.58</v>
      </c>
      <c r="D169" s="1">
        <f ca="1">IFERROR(__xludf.DUMMYFUNCTION("""COMPUTED_VALUE"""),266.15)</f>
        <v>266.14999999999998</v>
      </c>
      <c r="E169" s="1">
        <f ca="1">IFERROR(__xludf.DUMMYFUNCTION("""COMPUTED_VALUE"""),277.16)</f>
        <v>277.16000000000003</v>
      </c>
      <c r="F169" s="1">
        <f ca="1">IFERROR(__xludf.DUMMYFUNCTION("""COMPUTED_VALUE"""),54287024)</f>
        <v>54287024</v>
      </c>
    </row>
    <row r="170" spans="1:6" ht="12.6">
      <c r="A170" s="2">
        <f ca="1">IFERROR(__xludf.DUMMYFUNCTION("""COMPUTED_VALUE"""),44806.6666666666)</f>
        <v>44806.666666666599</v>
      </c>
      <c r="B170" s="1">
        <f ca="1">IFERROR(__xludf.DUMMYFUNCTION("""COMPUTED_VALUE"""),281.07)</f>
        <v>281.07</v>
      </c>
      <c r="C170" s="1">
        <f ca="1">IFERROR(__xludf.DUMMYFUNCTION("""COMPUTED_VALUE"""),282.35)</f>
        <v>282.35000000000002</v>
      </c>
      <c r="D170" s="1">
        <f ca="1">IFERROR(__xludf.DUMMYFUNCTION("""COMPUTED_VALUE"""),269.08)</f>
        <v>269.08</v>
      </c>
      <c r="E170" s="1">
        <f ca="1">IFERROR(__xludf.DUMMYFUNCTION("""COMPUTED_VALUE"""),270.21)</f>
        <v>270.20999999999998</v>
      </c>
      <c r="F170" s="1">
        <f ca="1">IFERROR(__xludf.DUMMYFUNCTION("""COMPUTED_VALUE"""),50890090)</f>
        <v>50890090</v>
      </c>
    </row>
    <row r="171" spans="1:6" ht="12.6">
      <c r="A171" s="2">
        <f ca="1">IFERROR(__xludf.DUMMYFUNCTION("""COMPUTED_VALUE"""),44810.6666666666)</f>
        <v>44810.666666666599</v>
      </c>
      <c r="B171" s="1">
        <f ca="1">IFERROR(__xludf.DUMMYFUNCTION("""COMPUTED_VALUE"""),272.68)</f>
        <v>272.68</v>
      </c>
      <c r="C171" s="1">
        <f ca="1">IFERROR(__xludf.DUMMYFUNCTION("""COMPUTED_VALUE"""),275.99)</f>
        <v>275.99</v>
      </c>
      <c r="D171" s="1">
        <f ca="1">IFERROR(__xludf.DUMMYFUNCTION("""COMPUTED_VALUE"""),265.74)</f>
        <v>265.74</v>
      </c>
      <c r="E171" s="1">
        <f ca="1">IFERROR(__xludf.DUMMYFUNCTION("""COMPUTED_VALUE"""),274.42)</f>
        <v>274.42</v>
      </c>
      <c r="F171" s="1">
        <f ca="1">IFERROR(__xludf.DUMMYFUNCTION("""COMPUTED_VALUE"""),55859984)</f>
        <v>55859984</v>
      </c>
    </row>
    <row r="172" spans="1:6" ht="12.6">
      <c r="A172" s="2">
        <f ca="1">IFERROR(__xludf.DUMMYFUNCTION("""COMPUTED_VALUE"""),44811.6666666666)</f>
        <v>44811.666666666599</v>
      </c>
      <c r="B172" s="1">
        <f ca="1">IFERROR(__xludf.DUMMYFUNCTION("""COMPUTED_VALUE"""),273.1)</f>
        <v>273.10000000000002</v>
      </c>
      <c r="C172" s="1">
        <f ca="1">IFERROR(__xludf.DUMMYFUNCTION("""COMPUTED_VALUE"""),283.84)</f>
        <v>283.83999999999997</v>
      </c>
      <c r="D172" s="1">
        <f ca="1">IFERROR(__xludf.DUMMYFUNCTION("""COMPUTED_VALUE"""),272.27)</f>
        <v>272.27</v>
      </c>
      <c r="E172" s="1">
        <f ca="1">IFERROR(__xludf.DUMMYFUNCTION("""COMPUTED_VALUE"""),283.7)</f>
        <v>283.7</v>
      </c>
      <c r="F172" s="1">
        <f ca="1">IFERROR(__xludf.DUMMYFUNCTION("""COMPUTED_VALUE"""),50028916)</f>
        <v>50028916</v>
      </c>
    </row>
    <row r="173" spans="1:6" ht="12.6">
      <c r="A173" s="2">
        <f ca="1">IFERROR(__xludf.DUMMYFUNCTION("""COMPUTED_VALUE"""),44812.6666666666)</f>
        <v>44812.666666666599</v>
      </c>
      <c r="B173" s="1">
        <f ca="1">IFERROR(__xludf.DUMMYFUNCTION("""COMPUTED_VALUE"""),281.3)</f>
        <v>281.3</v>
      </c>
      <c r="C173" s="1">
        <f ca="1">IFERROR(__xludf.DUMMYFUNCTION("""COMPUTED_VALUE"""),289.5)</f>
        <v>289.5</v>
      </c>
      <c r="D173" s="1">
        <f ca="1">IFERROR(__xludf.DUMMYFUNCTION("""COMPUTED_VALUE"""),279.76)</f>
        <v>279.76</v>
      </c>
      <c r="E173" s="1">
        <f ca="1">IFERROR(__xludf.DUMMYFUNCTION("""COMPUTED_VALUE"""),289.26)</f>
        <v>289.26</v>
      </c>
      <c r="F173" s="1">
        <f ca="1">IFERROR(__xludf.DUMMYFUNCTION("""COMPUTED_VALUE"""),53713124)</f>
        <v>53713124</v>
      </c>
    </row>
    <row r="174" spans="1:6" ht="12.6">
      <c r="A174" s="2">
        <f ca="1">IFERROR(__xludf.DUMMYFUNCTION("""COMPUTED_VALUE"""),44813.6666666666)</f>
        <v>44813.666666666599</v>
      </c>
      <c r="B174" s="1">
        <f ca="1">IFERROR(__xludf.DUMMYFUNCTION("""COMPUTED_VALUE"""),291.67)</f>
        <v>291.67</v>
      </c>
      <c r="C174" s="1">
        <f ca="1">IFERROR(__xludf.DUMMYFUNCTION("""COMPUTED_VALUE"""),299.85)</f>
        <v>299.85000000000002</v>
      </c>
      <c r="D174" s="1">
        <f ca="1">IFERROR(__xludf.DUMMYFUNCTION("""COMPUTED_VALUE"""),291.25)</f>
        <v>291.25</v>
      </c>
      <c r="E174" s="1">
        <f ca="1">IFERROR(__xludf.DUMMYFUNCTION("""COMPUTED_VALUE"""),299.68)</f>
        <v>299.68</v>
      </c>
      <c r="F174" s="1">
        <f ca="1">IFERROR(__xludf.DUMMYFUNCTION("""COMPUTED_VALUE"""),54470854)</f>
        <v>54470854</v>
      </c>
    </row>
    <row r="175" spans="1:6" ht="12.6">
      <c r="A175" s="2">
        <f ca="1">IFERROR(__xludf.DUMMYFUNCTION("""COMPUTED_VALUE"""),44816.6666666666)</f>
        <v>44816.666666666599</v>
      </c>
      <c r="B175" s="1">
        <f ca="1">IFERROR(__xludf.DUMMYFUNCTION("""COMPUTED_VALUE"""),300.72)</f>
        <v>300.72000000000003</v>
      </c>
      <c r="C175" s="1">
        <f ca="1">IFERROR(__xludf.DUMMYFUNCTION("""COMPUTED_VALUE"""),305.49)</f>
        <v>305.49</v>
      </c>
      <c r="D175" s="1">
        <f ca="1">IFERROR(__xludf.DUMMYFUNCTION("""COMPUTED_VALUE"""),300.4)</f>
        <v>300.39999999999998</v>
      </c>
      <c r="E175" s="1">
        <f ca="1">IFERROR(__xludf.DUMMYFUNCTION("""COMPUTED_VALUE"""),304.42)</f>
        <v>304.42</v>
      </c>
      <c r="F175" s="1">
        <f ca="1">IFERROR(__xludf.DUMMYFUNCTION("""COMPUTED_VALUE"""),48674604)</f>
        <v>48674604</v>
      </c>
    </row>
    <row r="176" spans="1:6" ht="12.6">
      <c r="A176" s="2">
        <f ca="1">IFERROR(__xludf.DUMMYFUNCTION("""COMPUTED_VALUE"""),44817.6666666666)</f>
        <v>44817.666666666599</v>
      </c>
      <c r="B176" s="1">
        <f ca="1">IFERROR(__xludf.DUMMYFUNCTION("""COMPUTED_VALUE"""),292.9)</f>
        <v>292.89999999999998</v>
      </c>
      <c r="C176" s="1">
        <f ca="1">IFERROR(__xludf.DUMMYFUNCTION("""COMPUTED_VALUE"""),297.4)</f>
        <v>297.39999999999998</v>
      </c>
      <c r="D176" s="1">
        <f ca="1">IFERROR(__xludf.DUMMYFUNCTION("""COMPUTED_VALUE"""),290.4)</f>
        <v>290.39999999999998</v>
      </c>
      <c r="E176" s="1">
        <f ca="1">IFERROR(__xludf.DUMMYFUNCTION("""COMPUTED_VALUE"""),292.13)</f>
        <v>292.13</v>
      </c>
      <c r="F176" s="1">
        <f ca="1">IFERROR(__xludf.DUMMYFUNCTION("""COMPUTED_VALUE"""),68229619)</f>
        <v>68229619</v>
      </c>
    </row>
    <row r="177" spans="1:6" ht="12.6">
      <c r="A177" s="2">
        <f ca="1">IFERROR(__xludf.DUMMYFUNCTION("""COMPUTED_VALUE"""),44818.6666666666)</f>
        <v>44818.666666666599</v>
      </c>
      <c r="B177" s="1">
        <f ca="1">IFERROR(__xludf.DUMMYFUNCTION("""COMPUTED_VALUE"""),292.24)</f>
        <v>292.24</v>
      </c>
      <c r="C177" s="1">
        <f ca="1">IFERROR(__xludf.DUMMYFUNCTION("""COMPUTED_VALUE"""),306)</f>
        <v>306</v>
      </c>
      <c r="D177" s="1">
        <f ca="1">IFERROR(__xludf.DUMMYFUNCTION("""COMPUTED_VALUE"""),291.64)</f>
        <v>291.64</v>
      </c>
      <c r="E177" s="1">
        <f ca="1">IFERROR(__xludf.DUMMYFUNCTION("""COMPUTED_VALUE"""),302.61)</f>
        <v>302.61</v>
      </c>
      <c r="F177" s="1">
        <f ca="1">IFERROR(__xludf.DUMMYFUNCTION("""COMPUTED_VALUE"""),72628653)</f>
        <v>72628653</v>
      </c>
    </row>
    <row r="178" spans="1:6" ht="12.6">
      <c r="A178" s="2">
        <f ca="1">IFERROR(__xludf.DUMMYFUNCTION("""COMPUTED_VALUE"""),44819.6666666666)</f>
        <v>44819.666666666599</v>
      </c>
      <c r="B178" s="1">
        <f ca="1">IFERROR(__xludf.DUMMYFUNCTION("""COMPUTED_VALUE"""),301.83)</f>
        <v>301.83</v>
      </c>
      <c r="C178" s="1">
        <f ca="1">IFERROR(__xludf.DUMMYFUNCTION("""COMPUTED_VALUE"""),309.12)</f>
        <v>309.12</v>
      </c>
      <c r="D178" s="1">
        <f ca="1">IFERROR(__xludf.DUMMYFUNCTION("""COMPUTED_VALUE"""),300.72)</f>
        <v>300.72000000000003</v>
      </c>
      <c r="E178" s="1">
        <f ca="1">IFERROR(__xludf.DUMMYFUNCTION("""COMPUTED_VALUE"""),303.75)</f>
        <v>303.75</v>
      </c>
      <c r="F178" s="1">
        <f ca="1">IFERROR(__xludf.DUMMYFUNCTION("""COMPUTED_VALUE"""),64795523)</f>
        <v>64795523</v>
      </c>
    </row>
    <row r="179" spans="1:6" ht="12.6">
      <c r="A179" s="2">
        <f ca="1">IFERROR(__xludf.DUMMYFUNCTION("""COMPUTED_VALUE"""),44820.6666666666)</f>
        <v>44820.666666666599</v>
      </c>
      <c r="B179" s="1">
        <f ca="1">IFERROR(__xludf.DUMMYFUNCTION("""COMPUTED_VALUE"""),299.61)</f>
        <v>299.61</v>
      </c>
      <c r="C179" s="1">
        <f ca="1">IFERROR(__xludf.DUMMYFUNCTION("""COMPUTED_VALUE"""),303.71)</f>
        <v>303.70999999999998</v>
      </c>
      <c r="D179" s="1">
        <f ca="1">IFERROR(__xludf.DUMMYFUNCTION("""COMPUTED_VALUE"""),295.6)</f>
        <v>295.60000000000002</v>
      </c>
      <c r="E179" s="1">
        <f ca="1">IFERROR(__xludf.DUMMYFUNCTION("""COMPUTED_VALUE"""),303.35)</f>
        <v>303.35000000000002</v>
      </c>
      <c r="F179" s="1">
        <f ca="1">IFERROR(__xludf.DUMMYFUNCTION("""COMPUTED_VALUE"""),87087786)</f>
        <v>87087786</v>
      </c>
    </row>
    <row r="180" spans="1:6" ht="12.6">
      <c r="A180" s="2">
        <f ca="1">IFERROR(__xludf.DUMMYFUNCTION("""COMPUTED_VALUE"""),44823.6666666666)</f>
        <v>44823.666666666599</v>
      </c>
      <c r="B180" s="1">
        <f ca="1">IFERROR(__xludf.DUMMYFUNCTION("""COMPUTED_VALUE"""),300.09)</f>
        <v>300.08999999999997</v>
      </c>
      <c r="C180" s="1">
        <f ca="1">IFERROR(__xludf.DUMMYFUNCTION("""COMPUTED_VALUE"""),309.84)</f>
        <v>309.83999999999997</v>
      </c>
      <c r="D180" s="1">
        <f ca="1">IFERROR(__xludf.DUMMYFUNCTION("""COMPUTED_VALUE"""),297.8)</f>
        <v>297.8</v>
      </c>
      <c r="E180" s="1">
        <f ca="1">IFERROR(__xludf.DUMMYFUNCTION("""COMPUTED_VALUE"""),309.07)</f>
        <v>309.07</v>
      </c>
      <c r="F180" s="1">
        <f ca="1">IFERROR(__xludf.DUMMYFUNCTION("""COMPUTED_VALUE"""),60231156)</f>
        <v>60231156</v>
      </c>
    </row>
    <row r="181" spans="1:6" ht="12.6">
      <c r="A181" s="2">
        <f ca="1">IFERROR(__xludf.DUMMYFUNCTION("""COMPUTED_VALUE"""),44824.6666666666)</f>
        <v>44824.666666666599</v>
      </c>
      <c r="B181" s="1">
        <f ca="1">IFERROR(__xludf.DUMMYFUNCTION("""COMPUTED_VALUE"""),306.91)</f>
        <v>306.91000000000003</v>
      </c>
      <c r="C181" s="1">
        <f ca="1">IFERROR(__xludf.DUMMYFUNCTION("""COMPUTED_VALUE"""),313.33)</f>
        <v>313.33</v>
      </c>
      <c r="D181" s="1">
        <f ca="1">IFERROR(__xludf.DUMMYFUNCTION("""COMPUTED_VALUE"""),305.58)</f>
        <v>305.58</v>
      </c>
      <c r="E181" s="1">
        <f ca="1">IFERROR(__xludf.DUMMYFUNCTION("""COMPUTED_VALUE"""),308.73)</f>
        <v>308.73</v>
      </c>
      <c r="F181" s="1">
        <f ca="1">IFERROR(__xludf.DUMMYFUNCTION("""COMPUTED_VALUE"""),61642783)</f>
        <v>61642783</v>
      </c>
    </row>
    <row r="182" spans="1:6" ht="12.6">
      <c r="A182" s="2">
        <f ca="1">IFERROR(__xludf.DUMMYFUNCTION("""COMPUTED_VALUE"""),44825.6666666666)</f>
        <v>44825.666666666599</v>
      </c>
      <c r="B182" s="1">
        <f ca="1">IFERROR(__xludf.DUMMYFUNCTION("""COMPUTED_VALUE"""),308.29)</f>
        <v>308.29000000000002</v>
      </c>
      <c r="C182" s="1">
        <f ca="1">IFERROR(__xludf.DUMMYFUNCTION("""COMPUTED_VALUE"""),313.8)</f>
        <v>313.8</v>
      </c>
      <c r="D182" s="1">
        <f ca="1">IFERROR(__xludf.DUMMYFUNCTION("""COMPUTED_VALUE"""),300.63)</f>
        <v>300.63</v>
      </c>
      <c r="E182" s="1">
        <f ca="1">IFERROR(__xludf.DUMMYFUNCTION("""COMPUTED_VALUE"""),300.8)</f>
        <v>300.8</v>
      </c>
      <c r="F182" s="1">
        <f ca="1">IFERROR(__xludf.DUMMYFUNCTION("""COMPUTED_VALUE"""),62555656)</f>
        <v>62555656</v>
      </c>
    </row>
    <row r="183" spans="1:6" ht="12.6">
      <c r="A183" s="2">
        <f ca="1">IFERROR(__xludf.DUMMYFUNCTION("""COMPUTED_VALUE"""),44826.6666666666)</f>
        <v>44826.666666666599</v>
      </c>
      <c r="B183" s="1">
        <f ca="1">IFERROR(__xludf.DUMMYFUNCTION("""COMPUTED_VALUE"""),299.86)</f>
        <v>299.86</v>
      </c>
      <c r="C183" s="1">
        <f ca="1">IFERROR(__xludf.DUMMYFUNCTION("""COMPUTED_VALUE"""),301.29)</f>
        <v>301.29000000000002</v>
      </c>
      <c r="D183" s="1">
        <f ca="1">IFERROR(__xludf.DUMMYFUNCTION("""COMPUTED_VALUE"""),285.82)</f>
        <v>285.82</v>
      </c>
      <c r="E183" s="1">
        <f ca="1">IFERROR(__xludf.DUMMYFUNCTION("""COMPUTED_VALUE"""),288.59)</f>
        <v>288.58999999999997</v>
      </c>
      <c r="F183" s="1">
        <f ca="1">IFERROR(__xludf.DUMMYFUNCTION("""COMPUTED_VALUE"""),70545413)</f>
        <v>70545413</v>
      </c>
    </row>
    <row r="184" spans="1:6" ht="12.6">
      <c r="A184" s="2">
        <f ca="1">IFERROR(__xludf.DUMMYFUNCTION("""COMPUTED_VALUE"""),44827.6666666666)</f>
        <v>44827.666666666599</v>
      </c>
      <c r="B184" s="1">
        <f ca="1">IFERROR(__xludf.DUMMYFUNCTION("""COMPUTED_VALUE"""),283.09)</f>
        <v>283.08999999999997</v>
      </c>
      <c r="C184" s="1">
        <f ca="1">IFERROR(__xludf.DUMMYFUNCTION("""COMPUTED_VALUE"""),284.5)</f>
        <v>284.5</v>
      </c>
      <c r="D184" s="1">
        <f ca="1">IFERROR(__xludf.DUMMYFUNCTION("""COMPUTED_VALUE"""),272.82)</f>
        <v>272.82</v>
      </c>
      <c r="E184" s="1">
        <f ca="1">IFERROR(__xludf.DUMMYFUNCTION("""COMPUTED_VALUE"""),275.33)</f>
        <v>275.33</v>
      </c>
      <c r="F184" s="1">
        <f ca="1">IFERROR(__xludf.DUMMYFUNCTION("""COMPUTED_VALUE"""),63748362)</f>
        <v>63748362</v>
      </c>
    </row>
    <row r="185" spans="1:6" ht="12.6">
      <c r="A185" s="2">
        <f ca="1">IFERROR(__xludf.DUMMYFUNCTION("""COMPUTED_VALUE"""),44830.6666666666)</f>
        <v>44830.666666666599</v>
      </c>
      <c r="B185" s="1">
        <f ca="1">IFERROR(__xludf.DUMMYFUNCTION("""COMPUTED_VALUE"""),271.83)</f>
        <v>271.83</v>
      </c>
      <c r="C185" s="1">
        <f ca="1">IFERROR(__xludf.DUMMYFUNCTION("""COMPUTED_VALUE"""),284.09)</f>
        <v>284.08999999999997</v>
      </c>
      <c r="D185" s="1">
        <f ca="1">IFERROR(__xludf.DUMMYFUNCTION("""COMPUTED_VALUE"""),270.31)</f>
        <v>270.31</v>
      </c>
      <c r="E185" s="1">
        <f ca="1">IFERROR(__xludf.DUMMYFUNCTION("""COMPUTED_VALUE"""),276.01)</f>
        <v>276.01</v>
      </c>
      <c r="F185" s="1">
        <f ca="1">IFERROR(__xludf.DUMMYFUNCTION("""COMPUTED_VALUE"""),58076913)</f>
        <v>58076913</v>
      </c>
    </row>
    <row r="186" spans="1:6" ht="12.6">
      <c r="A186" s="2">
        <f ca="1">IFERROR(__xludf.DUMMYFUNCTION("""COMPUTED_VALUE"""),44831.6666666666)</f>
        <v>44831.666666666599</v>
      </c>
      <c r="B186" s="1">
        <f ca="1">IFERROR(__xludf.DUMMYFUNCTION("""COMPUTED_VALUE"""),283.84)</f>
        <v>283.83999999999997</v>
      </c>
      <c r="C186" s="1">
        <f ca="1">IFERROR(__xludf.DUMMYFUNCTION("""COMPUTED_VALUE"""),288.67)</f>
        <v>288.67</v>
      </c>
      <c r="D186" s="1">
        <f ca="1">IFERROR(__xludf.DUMMYFUNCTION("""COMPUTED_VALUE"""),277.51)</f>
        <v>277.51</v>
      </c>
      <c r="E186" s="1">
        <f ca="1">IFERROR(__xludf.DUMMYFUNCTION("""COMPUTED_VALUE"""),282.94)</f>
        <v>282.94</v>
      </c>
      <c r="F186" s="1">
        <f ca="1">IFERROR(__xludf.DUMMYFUNCTION("""COMPUTED_VALUE"""),61925185)</f>
        <v>61925185</v>
      </c>
    </row>
    <row r="187" spans="1:6" ht="12.6">
      <c r="A187" s="2">
        <f ca="1">IFERROR(__xludf.DUMMYFUNCTION("""COMPUTED_VALUE"""),44832.6666666666)</f>
        <v>44832.666666666599</v>
      </c>
      <c r="B187" s="1">
        <f ca="1">IFERROR(__xludf.DUMMYFUNCTION("""COMPUTED_VALUE"""),283.08)</f>
        <v>283.08</v>
      </c>
      <c r="C187" s="1">
        <f ca="1">IFERROR(__xludf.DUMMYFUNCTION("""COMPUTED_VALUE"""),289)</f>
        <v>289</v>
      </c>
      <c r="D187" s="1">
        <f ca="1">IFERROR(__xludf.DUMMYFUNCTION("""COMPUTED_VALUE"""),277.57)</f>
        <v>277.57</v>
      </c>
      <c r="E187" s="1">
        <f ca="1">IFERROR(__xludf.DUMMYFUNCTION("""COMPUTED_VALUE"""),287.81)</f>
        <v>287.81</v>
      </c>
      <c r="F187" s="1">
        <f ca="1">IFERROR(__xludf.DUMMYFUNCTION("""COMPUTED_VALUE"""),54664809)</f>
        <v>54664809</v>
      </c>
    </row>
    <row r="188" spans="1:6" ht="12.6">
      <c r="A188" s="2">
        <f ca="1">IFERROR(__xludf.DUMMYFUNCTION("""COMPUTED_VALUE"""),44833.6666666666)</f>
        <v>44833.666666666599</v>
      </c>
      <c r="B188" s="1">
        <f ca="1">IFERROR(__xludf.DUMMYFUNCTION("""COMPUTED_VALUE"""),282.76)</f>
        <v>282.76</v>
      </c>
      <c r="C188" s="1">
        <f ca="1">IFERROR(__xludf.DUMMYFUNCTION("""COMPUTED_VALUE"""),283.65)</f>
        <v>283.64999999999998</v>
      </c>
      <c r="D188" s="1">
        <f ca="1">IFERROR(__xludf.DUMMYFUNCTION("""COMPUTED_VALUE"""),265.78)</f>
        <v>265.77999999999997</v>
      </c>
      <c r="E188" s="1">
        <f ca="1">IFERROR(__xludf.DUMMYFUNCTION("""COMPUTED_VALUE"""),268.21)</f>
        <v>268.20999999999998</v>
      </c>
      <c r="F188" s="1">
        <f ca="1">IFERROR(__xludf.DUMMYFUNCTION("""COMPUTED_VALUE"""),77620642)</f>
        <v>77620642</v>
      </c>
    </row>
    <row r="189" spans="1:6" ht="12.6">
      <c r="A189" s="2">
        <f ca="1">IFERROR(__xludf.DUMMYFUNCTION("""COMPUTED_VALUE"""),44834.6666666666)</f>
        <v>44834.666666666599</v>
      </c>
      <c r="B189" s="1">
        <f ca="1">IFERROR(__xludf.DUMMYFUNCTION("""COMPUTED_VALUE"""),266.15)</f>
        <v>266.14999999999998</v>
      </c>
      <c r="C189" s="1">
        <f ca="1">IFERROR(__xludf.DUMMYFUNCTION("""COMPUTED_VALUE"""),275.57)</f>
        <v>275.57</v>
      </c>
      <c r="D189" s="1">
        <f ca="1">IFERROR(__xludf.DUMMYFUNCTION("""COMPUTED_VALUE"""),262.47)</f>
        <v>262.47000000000003</v>
      </c>
      <c r="E189" s="1">
        <f ca="1">IFERROR(__xludf.DUMMYFUNCTION("""COMPUTED_VALUE"""),265.25)</f>
        <v>265.25</v>
      </c>
      <c r="F189" s="1">
        <f ca="1">IFERROR(__xludf.DUMMYFUNCTION("""COMPUTED_VALUE"""),67726598)</f>
        <v>67726598</v>
      </c>
    </row>
    <row r="190" spans="1:6" ht="12.6">
      <c r="A190" s="2">
        <f ca="1">IFERROR(__xludf.DUMMYFUNCTION("""COMPUTED_VALUE"""),44837.6666666666)</f>
        <v>44837.666666666599</v>
      </c>
      <c r="B190" s="1">
        <f ca="1">IFERROR(__xludf.DUMMYFUNCTION("""COMPUTED_VALUE"""),254.5)</f>
        <v>254.5</v>
      </c>
      <c r="C190" s="1">
        <f ca="1">IFERROR(__xludf.DUMMYFUNCTION("""COMPUTED_VALUE"""),255.16)</f>
        <v>255.16</v>
      </c>
      <c r="D190" s="1">
        <f ca="1">IFERROR(__xludf.DUMMYFUNCTION("""COMPUTED_VALUE"""),241.01)</f>
        <v>241.01</v>
      </c>
      <c r="E190" s="1">
        <f ca="1">IFERROR(__xludf.DUMMYFUNCTION("""COMPUTED_VALUE"""),242.4)</f>
        <v>242.4</v>
      </c>
      <c r="F190" s="1">
        <f ca="1">IFERROR(__xludf.DUMMYFUNCTION("""COMPUTED_VALUE"""),98363541)</f>
        <v>98363541</v>
      </c>
    </row>
    <row r="191" spans="1:6" ht="12.6">
      <c r="A191" s="2">
        <f ca="1">IFERROR(__xludf.DUMMYFUNCTION("""COMPUTED_VALUE"""),44838.6666666666)</f>
        <v>44838.666666666599</v>
      </c>
      <c r="B191" s="1">
        <f ca="1">IFERROR(__xludf.DUMMYFUNCTION("""COMPUTED_VALUE"""),250.52)</f>
        <v>250.52</v>
      </c>
      <c r="C191" s="1">
        <f ca="1">IFERROR(__xludf.DUMMYFUNCTION("""COMPUTED_VALUE"""),257.5)</f>
        <v>257.5</v>
      </c>
      <c r="D191" s="1">
        <f ca="1">IFERROR(__xludf.DUMMYFUNCTION("""COMPUTED_VALUE"""),242.01)</f>
        <v>242.01</v>
      </c>
      <c r="E191" s="1">
        <f ca="1">IFERROR(__xludf.DUMMYFUNCTION("""COMPUTED_VALUE"""),249.44)</f>
        <v>249.44</v>
      </c>
      <c r="F191" s="1">
        <f ca="1">IFERROR(__xludf.DUMMYFUNCTION("""COMPUTED_VALUE"""),109578535)</f>
        <v>109578535</v>
      </c>
    </row>
    <row r="192" spans="1:6" ht="12.6">
      <c r="A192" s="2">
        <f ca="1">IFERROR(__xludf.DUMMYFUNCTION("""COMPUTED_VALUE"""),44839.6666666666)</f>
        <v>44839.666666666599</v>
      </c>
      <c r="B192" s="1">
        <f ca="1">IFERROR(__xludf.DUMMYFUNCTION("""COMPUTED_VALUE"""),245.01)</f>
        <v>245.01</v>
      </c>
      <c r="C192" s="1">
        <f ca="1">IFERROR(__xludf.DUMMYFUNCTION("""COMPUTED_VALUE"""),246.67)</f>
        <v>246.67</v>
      </c>
      <c r="D192" s="1">
        <f ca="1">IFERROR(__xludf.DUMMYFUNCTION("""COMPUTED_VALUE"""),233.27)</f>
        <v>233.27</v>
      </c>
      <c r="E192" s="1">
        <f ca="1">IFERROR(__xludf.DUMMYFUNCTION("""COMPUTED_VALUE"""),240.81)</f>
        <v>240.81</v>
      </c>
      <c r="F192" s="1">
        <f ca="1">IFERROR(__xludf.DUMMYFUNCTION("""COMPUTED_VALUE"""),86982673)</f>
        <v>86982673</v>
      </c>
    </row>
    <row r="193" spans="1:6" ht="12.6">
      <c r="A193" s="2">
        <f ca="1">IFERROR(__xludf.DUMMYFUNCTION("""COMPUTED_VALUE"""),44840.6666666666)</f>
        <v>44840.666666666599</v>
      </c>
      <c r="B193" s="1">
        <f ca="1">IFERROR(__xludf.DUMMYFUNCTION("""COMPUTED_VALUE"""),239.44)</f>
        <v>239.44</v>
      </c>
      <c r="C193" s="1">
        <f ca="1">IFERROR(__xludf.DUMMYFUNCTION("""COMPUTED_VALUE"""),244.58)</f>
        <v>244.58</v>
      </c>
      <c r="D193" s="1">
        <f ca="1">IFERROR(__xludf.DUMMYFUNCTION("""COMPUTED_VALUE"""),235.35)</f>
        <v>235.35</v>
      </c>
      <c r="E193" s="1">
        <f ca="1">IFERROR(__xludf.DUMMYFUNCTION("""COMPUTED_VALUE"""),238.13)</f>
        <v>238.13</v>
      </c>
      <c r="F193" s="1">
        <f ca="1">IFERROR(__xludf.DUMMYFUNCTION("""COMPUTED_VALUE"""),69298437)</f>
        <v>69298437</v>
      </c>
    </row>
    <row r="194" spans="1:6" ht="12.6">
      <c r="A194" s="2">
        <f ca="1">IFERROR(__xludf.DUMMYFUNCTION("""COMPUTED_VALUE"""),44841.6666666666)</f>
        <v>44841.666666666599</v>
      </c>
      <c r="B194" s="1">
        <f ca="1">IFERROR(__xludf.DUMMYFUNCTION("""COMPUTED_VALUE"""),233.94)</f>
        <v>233.94</v>
      </c>
      <c r="C194" s="1">
        <f ca="1">IFERROR(__xludf.DUMMYFUNCTION("""COMPUTED_VALUE"""),234.57)</f>
        <v>234.57</v>
      </c>
      <c r="D194" s="1">
        <f ca="1">IFERROR(__xludf.DUMMYFUNCTION("""COMPUTED_VALUE"""),222.02)</f>
        <v>222.02</v>
      </c>
      <c r="E194" s="1">
        <f ca="1">IFERROR(__xludf.DUMMYFUNCTION("""COMPUTED_VALUE"""),223.07)</f>
        <v>223.07</v>
      </c>
      <c r="F194" s="1">
        <f ca="1">IFERROR(__xludf.DUMMYFUNCTION("""COMPUTED_VALUE"""),83916800)</f>
        <v>83916800</v>
      </c>
    </row>
    <row r="195" spans="1:6" ht="12.6">
      <c r="A195" s="2">
        <f ca="1">IFERROR(__xludf.DUMMYFUNCTION("""COMPUTED_VALUE"""),44844.6666666666)</f>
        <v>44844.666666666599</v>
      </c>
      <c r="B195" s="1">
        <f ca="1">IFERROR(__xludf.DUMMYFUNCTION("""COMPUTED_VALUE"""),223.93)</f>
        <v>223.93</v>
      </c>
      <c r="C195" s="1">
        <f ca="1">IFERROR(__xludf.DUMMYFUNCTION("""COMPUTED_VALUE"""),226.99)</f>
        <v>226.99</v>
      </c>
      <c r="D195" s="1">
        <f ca="1">IFERROR(__xludf.DUMMYFUNCTION("""COMPUTED_VALUE"""),218.36)</f>
        <v>218.36</v>
      </c>
      <c r="E195" s="1">
        <f ca="1">IFERROR(__xludf.DUMMYFUNCTION("""COMPUTED_VALUE"""),222.96)</f>
        <v>222.96</v>
      </c>
      <c r="F195" s="1">
        <f ca="1">IFERROR(__xludf.DUMMYFUNCTION("""COMPUTED_VALUE"""),67925018)</f>
        <v>67925018</v>
      </c>
    </row>
    <row r="196" spans="1:6" ht="12.6">
      <c r="A196" s="2">
        <f ca="1">IFERROR(__xludf.DUMMYFUNCTION("""COMPUTED_VALUE"""),44845.6666666666)</f>
        <v>44845.666666666599</v>
      </c>
      <c r="B196" s="1">
        <f ca="1">IFERROR(__xludf.DUMMYFUNCTION("""COMPUTED_VALUE"""),220.95)</f>
        <v>220.95</v>
      </c>
      <c r="C196" s="1">
        <f ca="1">IFERROR(__xludf.DUMMYFUNCTION("""COMPUTED_VALUE"""),225.75)</f>
        <v>225.75</v>
      </c>
      <c r="D196" s="1">
        <f ca="1">IFERROR(__xludf.DUMMYFUNCTION("""COMPUTED_VALUE"""),215)</f>
        <v>215</v>
      </c>
      <c r="E196" s="1">
        <f ca="1">IFERROR(__xludf.DUMMYFUNCTION("""COMPUTED_VALUE"""),216.5)</f>
        <v>216.5</v>
      </c>
      <c r="F196" s="1">
        <f ca="1">IFERROR(__xludf.DUMMYFUNCTION("""COMPUTED_VALUE"""),77013202)</f>
        <v>77013202</v>
      </c>
    </row>
    <row r="197" spans="1:6" ht="12.6">
      <c r="A197" s="2">
        <f ca="1">IFERROR(__xludf.DUMMYFUNCTION("""COMPUTED_VALUE"""),44846.6666666666)</f>
        <v>44846.666666666599</v>
      </c>
      <c r="B197" s="1">
        <f ca="1">IFERROR(__xludf.DUMMYFUNCTION("""COMPUTED_VALUE"""),215.33)</f>
        <v>215.33</v>
      </c>
      <c r="C197" s="1">
        <f ca="1">IFERROR(__xludf.DUMMYFUNCTION("""COMPUTED_VALUE"""),219.3)</f>
        <v>219.3</v>
      </c>
      <c r="D197" s="1">
        <f ca="1">IFERROR(__xludf.DUMMYFUNCTION("""COMPUTED_VALUE"""),211.51)</f>
        <v>211.51</v>
      </c>
      <c r="E197" s="1">
        <f ca="1">IFERROR(__xludf.DUMMYFUNCTION("""COMPUTED_VALUE"""),217.24)</f>
        <v>217.24</v>
      </c>
      <c r="F197" s="1">
        <f ca="1">IFERROR(__xludf.DUMMYFUNCTION("""COMPUTED_VALUE"""),66860699)</f>
        <v>66860699</v>
      </c>
    </row>
    <row r="198" spans="1:6" ht="12.6">
      <c r="A198" s="2">
        <f ca="1">IFERROR(__xludf.DUMMYFUNCTION("""COMPUTED_VALUE"""),44847.6666666666)</f>
        <v>44847.666666666599</v>
      </c>
      <c r="B198" s="1">
        <f ca="1">IFERROR(__xludf.DUMMYFUNCTION("""COMPUTED_VALUE"""),208.3)</f>
        <v>208.3</v>
      </c>
      <c r="C198" s="1">
        <f ca="1">IFERROR(__xludf.DUMMYFUNCTION("""COMPUTED_VALUE"""),222.99)</f>
        <v>222.99</v>
      </c>
      <c r="D198" s="1">
        <f ca="1">IFERROR(__xludf.DUMMYFUNCTION("""COMPUTED_VALUE"""),206.22)</f>
        <v>206.22</v>
      </c>
      <c r="E198" s="1">
        <f ca="1">IFERROR(__xludf.DUMMYFUNCTION("""COMPUTED_VALUE"""),221.72)</f>
        <v>221.72</v>
      </c>
      <c r="F198" s="1">
        <f ca="1">IFERROR(__xludf.DUMMYFUNCTION("""COMPUTED_VALUE"""),91483045)</f>
        <v>91483045</v>
      </c>
    </row>
    <row r="199" spans="1:6" ht="12.6">
      <c r="A199" s="2">
        <f ca="1">IFERROR(__xludf.DUMMYFUNCTION("""COMPUTED_VALUE"""),44848.6666666666)</f>
        <v>44848.666666666599</v>
      </c>
      <c r="B199" s="1">
        <f ca="1">IFERROR(__xludf.DUMMYFUNCTION("""COMPUTED_VALUE"""),224.01)</f>
        <v>224.01</v>
      </c>
      <c r="C199" s="1">
        <f ca="1">IFERROR(__xludf.DUMMYFUNCTION("""COMPUTED_VALUE"""),226.26)</f>
        <v>226.26</v>
      </c>
      <c r="D199" s="1">
        <f ca="1">IFERROR(__xludf.DUMMYFUNCTION("""COMPUTED_VALUE"""),204.16)</f>
        <v>204.16</v>
      </c>
      <c r="E199" s="1">
        <f ca="1">IFERROR(__xludf.DUMMYFUNCTION("""COMPUTED_VALUE"""),204.99)</f>
        <v>204.99</v>
      </c>
      <c r="F199" s="1">
        <f ca="1">IFERROR(__xludf.DUMMYFUNCTION("""COMPUTED_VALUE"""),94124511)</f>
        <v>94124511</v>
      </c>
    </row>
    <row r="200" spans="1:6" ht="12.6">
      <c r="A200" s="2">
        <f ca="1">IFERROR(__xludf.DUMMYFUNCTION("""COMPUTED_VALUE"""),44851.6666666666)</f>
        <v>44851.666666666599</v>
      </c>
      <c r="B200" s="1">
        <f ca="1">IFERROR(__xludf.DUMMYFUNCTION("""COMPUTED_VALUE"""),210.04)</f>
        <v>210.04</v>
      </c>
      <c r="C200" s="1">
        <f ca="1">IFERROR(__xludf.DUMMYFUNCTION("""COMPUTED_VALUE"""),221.86)</f>
        <v>221.86</v>
      </c>
      <c r="D200" s="1">
        <f ca="1">IFERROR(__xludf.DUMMYFUNCTION("""COMPUTED_VALUE"""),209.45)</f>
        <v>209.45</v>
      </c>
      <c r="E200" s="1">
        <f ca="1">IFERROR(__xludf.DUMMYFUNCTION("""COMPUTED_VALUE"""),219.35)</f>
        <v>219.35</v>
      </c>
      <c r="F200" s="1">
        <f ca="1">IFERROR(__xludf.DUMMYFUNCTION("""COMPUTED_VALUE"""),79428810)</f>
        <v>79428810</v>
      </c>
    </row>
    <row r="201" spans="1:6" ht="12.6">
      <c r="A201" s="2">
        <f ca="1">IFERROR(__xludf.DUMMYFUNCTION("""COMPUTED_VALUE"""),44852.6666666666)</f>
        <v>44852.666666666599</v>
      </c>
      <c r="B201" s="1">
        <f ca="1">IFERROR(__xludf.DUMMYFUNCTION("""COMPUTED_VALUE"""),229.5)</f>
        <v>229.5</v>
      </c>
      <c r="C201" s="1">
        <f ca="1">IFERROR(__xludf.DUMMYFUNCTION("""COMPUTED_VALUE"""),229.82)</f>
        <v>229.82</v>
      </c>
      <c r="D201" s="1">
        <f ca="1">IFERROR(__xludf.DUMMYFUNCTION("""COMPUTED_VALUE"""),217.25)</f>
        <v>217.25</v>
      </c>
      <c r="E201" s="1">
        <f ca="1">IFERROR(__xludf.DUMMYFUNCTION("""COMPUTED_VALUE"""),220.19)</f>
        <v>220.19</v>
      </c>
      <c r="F201" s="1">
        <f ca="1">IFERROR(__xludf.DUMMYFUNCTION("""COMPUTED_VALUE"""),75891905)</f>
        <v>75891905</v>
      </c>
    </row>
    <row r="202" spans="1:6" ht="12.6">
      <c r="A202" s="2">
        <f ca="1">IFERROR(__xludf.DUMMYFUNCTION("""COMPUTED_VALUE"""),44853.6666666666)</f>
        <v>44853.666666666599</v>
      </c>
      <c r="B202" s="1">
        <f ca="1">IFERROR(__xludf.DUMMYFUNCTION("""COMPUTED_VALUE"""),219.8)</f>
        <v>219.8</v>
      </c>
      <c r="C202" s="1">
        <f ca="1">IFERROR(__xludf.DUMMYFUNCTION("""COMPUTED_VALUE"""),222.93)</f>
        <v>222.93</v>
      </c>
      <c r="D202" s="1">
        <f ca="1">IFERROR(__xludf.DUMMYFUNCTION("""COMPUTED_VALUE"""),217.78)</f>
        <v>217.78</v>
      </c>
      <c r="E202" s="1">
        <f ca="1">IFERROR(__xludf.DUMMYFUNCTION("""COMPUTED_VALUE"""),222.04)</f>
        <v>222.04</v>
      </c>
      <c r="F202" s="1">
        <f ca="1">IFERROR(__xludf.DUMMYFUNCTION("""COMPUTED_VALUE"""),66571479)</f>
        <v>66571479</v>
      </c>
    </row>
    <row r="203" spans="1:6" ht="12.6">
      <c r="A203" s="2">
        <f ca="1">IFERROR(__xludf.DUMMYFUNCTION("""COMPUTED_VALUE"""),44854.6666666666)</f>
        <v>44854.666666666599</v>
      </c>
      <c r="B203" s="1">
        <f ca="1">IFERROR(__xludf.DUMMYFUNCTION("""COMPUTED_VALUE"""),208.28)</f>
        <v>208.28</v>
      </c>
      <c r="C203" s="1">
        <f ca="1">IFERROR(__xludf.DUMMYFUNCTION("""COMPUTED_VALUE"""),215.55)</f>
        <v>215.55</v>
      </c>
      <c r="D203" s="1">
        <f ca="1">IFERROR(__xludf.DUMMYFUNCTION("""COMPUTED_VALUE"""),202)</f>
        <v>202</v>
      </c>
      <c r="E203" s="1">
        <f ca="1">IFERROR(__xludf.DUMMYFUNCTION("""COMPUTED_VALUE"""),207.28)</f>
        <v>207.28</v>
      </c>
      <c r="F203" s="1">
        <f ca="1">IFERROR(__xludf.DUMMYFUNCTION("""COMPUTED_VALUE"""),117798062)</f>
        <v>117798062</v>
      </c>
    </row>
    <row r="204" spans="1:6" ht="12.6">
      <c r="A204" s="2">
        <f ca="1">IFERROR(__xludf.DUMMYFUNCTION("""COMPUTED_VALUE"""),44855.6666666666)</f>
        <v>44855.666666666599</v>
      </c>
      <c r="B204" s="1">
        <f ca="1">IFERROR(__xludf.DUMMYFUNCTION("""COMPUTED_VALUE"""),206.42)</f>
        <v>206.42</v>
      </c>
      <c r="C204" s="1">
        <f ca="1">IFERROR(__xludf.DUMMYFUNCTION("""COMPUTED_VALUE"""),214.66)</f>
        <v>214.66</v>
      </c>
      <c r="D204" s="1">
        <f ca="1">IFERROR(__xludf.DUMMYFUNCTION("""COMPUTED_VALUE"""),203.8)</f>
        <v>203.8</v>
      </c>
      <c r="E204" s="1">
        <f ca="1">IFERROR(__xludf.DUMMYFUNCTION("""COMPUTED_VALUE"""),214.44)</f>
        <v>214.44</v>
      </c>
      <c r="F204" s="1">
        <f ca="1">IFERROR(__xludf.DUMMYFUNCTION("""COMPUTED_VALUE"""),75713754)</f>
        <v>75713754</v>
      </c>
    </row>
    <row r="205" spans="1:6" ht="12.6">
      <c r="A205" s="2">
        <f ca="1">IFERROR(__xludf.DUMMYFUNCTION("""COMPUTED_VALUE"""),44858.6666666666)</f>
        <v>44858.666666666599</v>
      </c>
      <c r="B205" s="1">
        <f ca="1">IFERROR(__xludf.DUMMYFUNCTION("""COMPUTED_VALUE"""),205.82)</f>
        <v>205.82</v>
      </c>
      <c r="C205" s="1">
        <f ca="1">IFERROR(__xludf.DUMMYFUNCTION("""COMPUTED_VALUE"""),213.5)</f>
        <v>213.5</v>
      </c>
      <c r="D205" s="1">
        <f ca="1">IFERROR(__xludf.DUMMYFUNCTION("""COMPUTED_VALUE"""),198.59)</f>
        <v>198.59</v>
      </c>
      <c r="E205" s="1">
        <f ca="1">IFERROR(__xludf.DUMMYFUNCTION("""COMPUTED_VALUE"""),211.25)</f>
        <v>211.25</v>
      </c>
      <c r="F205" s="1">
        <f ca="1">IFERROR(__xludf.DUMMYFUNCTION("""COMPUTED_VALUE"""),100446765)</f>
        <v>100446765</v>
      </c>
    </row>
    <row r="206" spans="1:6" ht="12.6">
      <c r="A206" s="2">
        <f ca="1">IFERROR(__xludf.DUMMYFUNCTION("""COMPUTED_VALUE"""),44859.6666666666)</f>
        <v>44859.666666666599</v>
      </c>
      <c r="B206" s="1">
        <f ca="1">IFERROR(__xludf.DUMMYFUNCTION("""COMPUTED_VALUE"""),210.1)</f>
        <v>210.1</v>
      </c>
      <c r="C206" s="1">
        <f ca="1">IFERROR(__xludf.DUMMYFUNCTION("""COMPUTED_VALUE"""),224.35)</f>
        <v>224.35</v>
      </c>
      <c r="D206" s="1">
        <f ca="1">IFERROR(__xludf.DUMMYFUNCTION("""COMPUTED_VALUE"""),210)</f>
        <v>210</v>
      </c>
      <c r="E206" s="1">
        <f ca="1">IFERROR(__xludf.DUMMYFUNCTION("""COMPUTED_VALUE"""),222.42)</f>
        <v>222.42</v>
      </c>
      <c r="F206" s="1">
        <f ca="1">IFERROR(__xludf.DUMMYFUNCTION("""COMPUTED_VALUE"""),96507870)</f>
        <v>96507870</v>
      </c>
    </row>
    <row r="207" spans="1:6" ht="12.6">
      <c r="A207" s="2">
        <f ca="1">IFERROR(__xludf.DUMMYFUNCTION("""COMPUTED_VALUE"""),44860.6666666666)</f>
        <v>44860.666666666599</v>
      </c>
      <c r="B207" s="1">
        <f ca="1">IFERROR(__xludf.DUMMYFUNCTION("""COMPUTED_VALUE"""),219.4)</f>
        <v>219.4</v>
      </c>
      <c r="C207" s="1">
        <f ca="1">IFERROR(__xludf.DUMMYFUNCTION("""COMPUTED_VALUE"""),230.6)</f>
        <v>230.6</v>
      </c>
      <c r="D207" s="1">
        <f ca="1">IFERROR(__xludf.DUMMYFUNCTION("""COMPUTED_VALUE"""),218.2)</f>
        <v>218.2</v>
      </c>
      <c r="E207" s="1">
        <f ca="1">IFERROR(__xludf.DUMMYFUNCTION("""COMPUTED_VALUE"""),224.64)</f>
        <v>224.64</v>
      </c>
      <c r="F207" s="1">
        <f ca="1">IFERROR(__xludf.DUMMYFUNCTION("""COMPUTED_VALUE"""),85327078)</f>
        <v>85327078</v>
      </c>
    </row>
    <row r="208" spans="1:6" ht="12.6">
      <c r="A208" s="2">
        <f ca="1">IFERROR(__xludf.DUMMYFUNCTION("""COMPUTED_VALUE"""),44861.6666666666)</f>
        <v>44861.666666666599</v>
      </c>
      <c r="B208" s="1">
        <f ca="1">IFERROR(__xludf.DUMMYFUNCTION("""COMPUTED_VALUE"""),229.77)</f>
        <v>229.77</v>
      </c>
      <c r="C208" s="1">
        <f ca="1">IFERROR(__xludf.DUMMYFUNCTION("""COMPUTED_VALUE"""),233.81)</f>
        <v>233.81</v>
      </c>
      <c r="D208" s="1">
        <f ca="1">IFERROR(__xludf.DUMMYFUNCTION("""COMPUTED_VALUE"""),222.85)</f>
        <v>222.85</v>
      </c>
      <c r="E208" s="1">
        <f ca="1">IFERROR(__xludf.DUMMYFUNCTION("""COMPUTED_VALUE"""),225.09)</f>
        <v>225.09</v>
      </c>
      <c r="F208" s="1">
        <f ca="1">IFERROR(__xludf.DUMMYFUNCTION("""COMPUTED_VALUE"""),61638824)</f>
        <v>61638824</v>
      </c>
    </row>
    <row r="209" spans="1:6" ht="12.6">
      <c r="A209" s="2">
        <f ca="1">IFERROR(__xludf.DUMMYFUNCTION("""COMPUTED_VALUE"""),44862.6666666666)</f>
        <v>44862.666666666599</v>
      </c>
      <c r="B209" s="1">
        <f ca="1">IFERROR(__xludf.DUMMYFUNCTION("""COMPUTED_VALUE"""),225.4)</f>
        <v>225.4</v>
      </c>
      <c r="C209" s="1">
        <f ca="1">IFERROR(__xludf.DUMMYFUNCTION("""COMPUTED_VALUE"""),228.86)</f>
        <v>228.86</v>
      </c>
      <c r="D209" s="1">
        <f ca="1">IFERROR(__xludf.DUMMYFUNCTION("""COMPUTED_VALUE"""),216.35)</f>
        <v>216.35</v>
      </c>
      <c r="E209" s="1">
        <f ca="1">IFERROR(__xludf.DUMMYFUNCTION("""COMPUTED_VALUE"""),228.52)</f>
        <v>228.52</v>
      </c>
      <c r="F209" s="1">
        <f ca="1">IFERROR(__xludf.DUMMYFUNCTION("""COMPUTED_VALUE"""),69152386)</f>
        <v>69152386</v>
      </c>
    </row>
    <row r="210" spans="1:6" ht="12.6">
      <c r="A210" s="2">
        <f ca="1">IFERROR(__xludf.DUMMYFUNCTION("""COMPUTED_VALUE"""),44865.6666666666)</f>
        <v>44865.666666666599</v>
      </c>
      <c r="B210" s="1">
        <f ca="1">IFERROR(__xludf.DUMMYFUNCTION("""COMPUTED_VALUE"""),226.19)</f>
        <v>226.19</v>
      </c>
      <c r="C210" s="1">
        <f ca="1">IFERROR(__xludf.DUMMYFUNCTION("""COMPUTED_VALUE"""),229.85)</f>
        <v>229.85</v>
      </c>
      <c r="D210" s="1">
        <f ca="1">IFERROR(__xludf.DUMMYFUNCTION("""COMPUTED_VALUE"""),221.94)</f>
        <v>221.94</v>
      </c>
      <c r="E210" s="1">
        <f ca="1">IFERROR(__xludf.DUMMYFUNCTION("""COMPUTED_VALUE"""),227.54)</f>
        <v>227.54</v>
      </c>
      <c r="F210" s="1">
        <f ca="1">IFERROR(__xludf.DUMMYFUNCTION("""COMPUTED_VALUE"""),61554341)</f>
        <v>61554341</v>
      </c>
    </row>
    <row r="211" spans="1:6" ht="12.6">
      <c r="A211" s="2">
        <f ca="1">IFERROR(__xludf.DUMMYFUNCTION("""COMPUTED_VALUE"""),44866.6666666666)</f>
        <v>44866.666666666599</v>
      </c>
      <c r="B211" s="1">
        <f ca="1">IFERROR(__xludf.DUMMYFUNCTION("""COMPUTED_VALUE"""),234.05)</f>
        <v>234.05</v>
      </c>
      <c r="C211" s="1">
        <f ca="1">IFERROR(__xludf.DUMMYFUNCTION("""COMPUTED_VALUE"""),237.4)</f>
        <v>237.4</v>
      </c>
      <c r="D211" s="1">
        <f ca="1">IFERROR(__xludf.DUMMYFUNCTION("""COMPUTED_VALUE"""),227.28)</f>
        <v>227.28</v>
      </c>
      <c r="E211" s="1">
        <f ca="1">IFERROR(__xludf.DUMMYFUNCTION("""COMPUTED_VALUE"""),227.82)</f>
        <v>227.82</v>
      </c>
      <c r="F211" s="1">
        <f ca="1">IFERROR(__xludf.DUMMYFUNCTION("""COMPUTED_VALUE"""),62688822)</f>
        <v>62688822</v>
      </c>
    </row>
    <row r="212" spans="1:6" ht="12.6">
      <c r="A212" s="2">
        <f ca="1">IFERROR(__xludf.DUMMYFUNCTION("""COMPUTED_VALUE"""),44867.6666666666)</f>
        <v>44867.666666666599</v>
      </c>
      <c r="B212" s="1">
        <f ca="1">IFERROR(__xludf.DUMMYFUNCTION("""COMPUTED_VALUE"""),226.04)</f>
        <v>226.04</v>
      </c>
      <c r="C212" s="1">
        <f ca="1">IFERROR(__xludf.DUMMYFUNCTION("""COMPUTED_VALUE"""),227.87)</f>
        <v>227.87</v>
      </c>
      <c r="D212" s="1">
        <f ca="1">IFERROR(__xludf.DUMMYFUNCTION("""COMPUTED_VALUE"""),214.82)</f>
        <v>214.82</v>
      </c>
      <c r="E212" s="1">
        <f ca="1">IFERROR(__xludf.DUMMYFUNCTION("""COMPUTED_VALUE"""),214.98)</f>
        <v>214.98</v>
      </c>
      <c r="F212" s="1">
        <f ca="1">IFERROR(__xludf.DUMMYFUNCTION("""COMPUTED_VALUE"""),63070293)</f>
        <v>63070293</v>
      </c>
    </row>
    <row r="213" spans="1:6" ht="12.6">
      <c r="A213" s="2">
        <f ca="1">IFERROR(__xludf.DUMMYFUNCTION("""COMPUTED_VALUE"""),44868.6666666666)</f>
        <v>44868.666666666599</v>
      </c>
      <c r="B213" s="1">
        <f ca="1">IFERROR(__xludf.DUMMYFUNCTION("""COMPUTED_VALUE"""),211.36)</f>
        <v>211.36</v>
      </c>
      <c r="C213" s="1">
        <f ca="1">IFERROR(__xludf.DUMMYFUNCTION("""COMPUTED_VALUE"""),221.2)</f>
        <v>221.2</v>
      </c>
      <c r="D213" s="1">
        <f ca="1">IFERROR(__xludf.DUMMYFUNCTION("""COMPUTED_VALUE"""),210.14)</f>
        <v>210.14</v>
      </c>
      <c r="E213" s="1">
        <f ca="1">IFERROR(__xludf.DUMMYFUNCTION("""COMPUTED_VALUE"""),215.31)</f>
        <v>215.31</v>
      </c>
      <c r="F213" s="1">
        <f ca="1">IFERROR(__xludf.DUMMYFUNCTION("""COMPUTED_VALUE"""),56538848)</f>
        <v>56538848</v>
      </c>
    </row>
    <row r="214" spans="1:6" ht="12.6">
      <c r="A214" s="2">
        <f ca="1">IFERROR(__xludf.DUMMYFUNCTION("""COMPUTED_VALUE"""),44869.6666666666)</f>
        <v>44869.666666666599</v>
      </c>
      <c r="B214" s="1">
        <f ca="1">IFERROR(__xludf.DUMMYFUNCTION("""COMPUTED_VALUE"""),222.6)</f>
        <v>222.6</v>
      </c>
      <c r="C214" s="1">
        <f ca="1">IFERROR(__xludf.DUMMYFUNCTION("""COMPUTED_VALUE"""),223.8)</f>
        <v>223.8</v>
      </c>
      <c r="D214" s="1">
        <f ca="1">IFERROR(__xludf.DUMMYFUNCTION("""COMPUTED_VALUE"""),203.08)</f>
        <v>203.08</v>
      </c>
      <c r="E214" s="1">
        <f ca="1">IFERROR(__xludf.DUMMYFUNCTION("""COMPUTED_VALUE"""),207.47)</f>
        <v>207.47</v>
      </c>
      <c r="F214" s="1">
        <f ca="1">IFERROR(__xludf.DUMMYFUNCTION("""COMPUTED_VALUE"""),98622212)</f>
        <v>98622212</v>
      </c>
    </row>
    <row r="215" spans="1:6" ht="12.6">
      <c r="A215" s="2">
        <f ca="1">IFERROR(__xludf.DUMMYFUNCTION("""COMPUTED_VALUE"""),44872.6666666666)</f>
        <v>44872.666666666599</v>
      </c>
      <c r="B215" s="1">
        <f ca="1">IFERROR(__xludf.DUMMYFUNCTION("""COMPUTED_VALUE"""),208.65)</f>
        <v>208.65</v>
      </c>
      <c r="C215" s="1">
        <f ca="1">IFERROR(__xludf.DUMMYFUNCTION("""COMPUTED_VALUE"""),208.9)</f>
        <v>208.9</v>
      </c>
      <c r="D215" s="1">
        <f ca="1">IFERROR(__xludf.DUMMYFUNCTION("""COMPUTED_VALUE"""),196.66)</f>
        <v>196.66</v>
      </c>
      <c r="E215" s="1">
        <f ca="1">IFERROR(__xludf.DUMMYFUNCTION("""COMPUTED_VALUE"""),197.08)</f>
        <v>197.08</v>
      </c>
      <c r="F215" s="1">
        <f ca="1">IFERROR(__xludf.DUMMYFUNCTION("""COMPUTED_VALUE"""),93916520)</f>
        <v>93916520</v>
      </c>
    </row>
    <row r="216" spans="1:6" ht="12.6">
      <c r="A216" s="2">
        <f ca="1">IFERROR(__xludf.DUMMYFUNCTION("""COMPUTED_VALUE"""),44873.6666666666)</f>
        <v>44873.666666666599</v>
      </c>
      <c r="B216" s="1">
        <f ca="1">IFERROR(__xludf.DUMMYFUNCTION("""COMPUTED_VALUE"""),194.02)</f>
        <v>194.02</v>
      </c>
      <c r="C216" s="1">
        <f ca="1">IFERROR(__xludf.DUMMYFUNCTION("""COMPUTED_VALUE"""),195.2)</f>
        <v>195.2</v>
      </c>
      <c r="D216" s="1">
        <f ca="1">IFERROR(__xludf.DUMMYFUNCTION("""COMPUTED_VALUE"""),186.75)</f>
        <v>186.75</v>
      </c>
      <c r="E216" s="1">
        <f ca="1">IFERROR(__xludf.DUMMYFUNCTION("""COMPUTED_VALUE"""),191.3)</f>
        <v>191.3</v>
      </c>
      <c r="F216" s="1">
        <f ca="1">IFERROR(__xludf.DUMMYFUNCTION("""COMPUTED_VALUE"""),128803404)</f>
        <v>128803404</v>
      </c>
    </row>
    <row r="217" spans="1:6" ht="12.6">
      <c r="A217" s="2">
        <f ca="1">IFERROR(__xludf.DUMMYFUNCTION("""COMPUTED_VALUE"""),44874.6666666666)</f>
        <v>44874.666666666599</v>
      </c>
      <c r="B217" s="1">
        <f ca="1">IFERROR(__xludf.DUMMYFUNCTION("""COMPUTED_VALUE"""),190.78)</f>
        <v>190.78</v>
      </c>
      <c r="C217" s="1">
        <f ca="1">IFERROR(__xludf.DUMMYFUNCTION("""COMPUTED_VALUE"""),195.89)</f>
        <v>195.89</v>
      </c>
      <c r="D217" s="1">
        <f ca="1">IFERROR(__xludf.DUMMYFUNCTION("""COMPUTED_VALUE"""),177.12)</f>
        <v>177.12</v>
      </c>
      <c r="E217" s="1">
        <f ca="1">IFERROR(__xludf.DUMMYFUNCTION("""COMPUTED_VALUE"""),177.59)</f>
        <v>177.59</v>
      </c>
      <c r="F217" s="1">
        <f ca="1">IFERROR(__xludf.DUMMYFUNCTION("""COMPUTED_VALUE"""),127062659)</f>
        <v>127062659</v>
      </c>
    </row>
    <row r="218" spans="1:6" ht="12.6">
      <c r="A218" s="2">
        <f ca="1">IFERROR(__xludf.DUMMYFUNCTION("""COMPUTED_VALUE"""),44875.6666666666)</f>
        <v>44875.666666666599</v>
      </c>
      <c r="B218" s="1">
        <f ca="1">IFERROR(__xludf.DUMMYFUNCTION("""COMPUTED_VALUE"""),189.9)</f>
        <v>189.9</v>
      </c>
      <c r="C218" s="1">
        <f ca="1">IFERROR(__xludf.DUMMYFUNCTION("""COMPUTED_VALUE"""),191)</f>
        <v>191</v>
      </c>
      <c r="D218" s="1">
        <f ca="1">IFERROR(__xludf.DUMMYFUNCTION("""COMPUTED_VALUE"""),180.03)</f>
        <v>180.03</v>
      </c>
      <c r="E218" s="1">
        <f ca="1">IFERROR(__xludf.DUMMYFUNCTION("""COMPUTED_VALUE"""),190.72)</f>
        <v>190.72</v>
      </c>
      <c r="F218" s="1">
        <f ca="1">IFERROR(__xludf.DUMMYFUNCTION("""COMPUTED_VALUE"""),132703015)</f>
        <v>132703015</v>
      </c>
    </row>
    <row r="219" spans="1:6" ht="12.6">
      <c r="A219" s="2">
        <f ca="1">IFERROR(__xludf.DUMMYFUNCTION("""COMPUTED_VALUE"""),44876.6666666666)</f>
        <v>44876.666666666599</v>
      </c>
      <c r="B219" s="1">
        <f ca="1">IFERROR(__xludf.DUMMYFUNCTION("""COMPUTED_VALUE"""),186)</f>
        <v>186</v>
      </c>
      <c r="C219" s="1">
        <f ca="1">IFERROR(__xludf.DUMMYFUNCTION("""COMPUTED_VALUE"""),196.52)</f>
        <v>196.52</v>
      </c>
      <c r="D219" s="1">
        <f ca="1">IFERROR(__xludf.DUMMYFUNCTION("""COMPUTED_VALUE"""),182.59)</f>
        <v>182.59</v>
      </c>
      <c r="E219" s="1">
        <f ca="1">IFERROR(__xludf.DUMMYFUNCTION("""COMPUTED_VALUE"""),195.97)</f>
        <v>195.97</v>
      </c>
      <c r="F219" s="1">
        <f ca="1">IFERROR(__xludf.DUMMYFUNCTION("""COMPUTED_VALUE"""),114403575)</f>
        <v>114403575</v>
      </c>
    </row>
    <row r="220" spans="1:6" ht="12.6">
      <c r="A220" s="2">
        <f ca="1">IFERROR(__xludf.DUMMYFUNCTION("""COMPUTED_VALUE"""),44879.6666666666)</f>
        <v>44879.666666666599</v>
      </c>
      <c r="B220" s="1">
        <f ca="1">IFERROR(__xludf.DUMMYFUNCTION("""COMPUTED_VALUE"""),192.77)</f>
        <v>192.77</v>
      </c>
      <c r="C220" s="1">
        <f ca="1">IFERROR(__xludf.DUMMYFUNCTION("""COMPUTED_VALUE"""),195.73)</f>
        <v>195.73</v>
      </c>
      <c r="D220" s="1">
        <f ca="1">IFERROR(__xludf.DUMMYFUNCTION("""COMPUTED_VALUE"""),186.34)</f>
        <v>186.34</v>
      </c>
      <c r="E220" s="1">
        <f ca="1">IFERROR(__xludf.DUMMYFUNCTION("""COMPUTED_VALUE"""),190.95)</f>
        <v>190.95</v>
      </c>
      <c r="F220" s="1">
        <f ca="1">IFERROR(__xludf.DUMMYFUNCTION("""COMPUTED_VALUE"""),92226649)</f>
        <v>92226649</v>
      </c>
    </row>
    <row r="221" spans="1:6" ht="12.6">
      <c r="A221" s="2">
        <f ca="1">IFERROR(__xludf.DUMMYFUNCTION("""COMPUTED_VALUE"""),44880.6666666666)</f>
        <v>44880.666666666599</v>
      </c>
      <c r="B221" s="1">
        <f ca="1">IFERROR(__xludf.DUMMYFUNCTION("""COMPUTED_VALUE"""),195.88)</f>
        <v>195.88</v>
      </c>
      <c r="C221" s="1">
        <f ca="1">IFERROR(__xludf.DUMMYFUNCTION("""COMPUTED_VALUE"""),200.82)</f>
        <v>200.82</v>
      </c>
      <c r="D221" s="1">
        <f ca="1">IFERROR(__xludf.DUMMYFUNCTION("""COMPUTED_VALUE"""),192.06)</f>
        <v>192.06</v>
      </c>
      <c r="E221" s="1">
        <f ca="1">IFERROR(__xludf.DUMMYFUNCTION("""COMPUTED_VALUE"""),194.42)</f>
        <v>194.42</v>
      </c>
      <c r="F221" s="1">
        <f ca="1">IFERROR(__xludf.DUMMYFUNCTION("""COMPUTED_VALUE"""),91293785)</f>
        <v>91293785</v>
      </c>
    </row>
    <row r="222" spans="1:6" ht="12.6">
      <c r="A222" s="2">
        <f ca="1">IFERROR(__xludf.DUMMYFUNCTION("""COMPUTED_VALUE"""),44881.6666666666)</f>
        <v>44881.666666666599</v>
      </c>
      <c r="B222" s="1">
        <f ca="1">IFERROR(__xludf.DUMMYFUNCTION("""COMPUTED_VALUE"""),191.51)</f>
        <v>191.51</v>
      </c>
      <c r="C222" s="1">
        <f ca="1">IFERROR(__xludf.DUMMYFUNCTION("""COMPUTED_VALUE"""),192.57)</f>
        <v>192.57</v>
      </c>
      <c r="D222" s="1">
        <f ca="1">IFERROR(__xludf.DUMMYFUNCTION("""COMPUTED_VALUE"""),185.66)</f>
        <v>185.66</v>
      </c>
      <c r="E222" s="1">
        <f ca="1">IFERROR(__xludf.DUMMYFUNCTION("""COMPUTED_VALUE"""),186.92)</f>
        <v>186.92</v>
      </c>
      <c r="F222" s="1">
        <f ca="1">IFERROR(__xludf.DUMMYFUNCTION("""COMPUTED_VALUE"""),66567599)</f>
        <v>66567599</v>
      </c>
    </row>
    <row r="223" spans="1:6" ht="12.6">
      <c r="A223" s="2">
        <f ca="1">IFERROR(__xludf.DUMMYFUNCTION("""COMPUTED_VALUE"""),44882.6666666666)</f>
        <v>44882.666666666599</v>
      </c>
      <c r="B223" s="1">
        <f ca="1">IFERROR(__xludf.DUMMYFUNCTION("""COMPUTED_VALUE"""),183.96)</f>
        <v>183.96</v>
      </c>
      <c r="C223" s="1">
        <f ca="1">IFERROR(__xludf.DUMMYFUNCTION("""COMPUTED_VALUE"""),186.16)</f>
        <v>186.16</v>
      </c>
      <c r="D223" s="1">
        <f ca="1">IFERROR(__xludf.DUMMYFUNCTION("""COMPUTED_VALUE"""),180.9)</f>
        <v>180.9</v>
      </c>
      <c r="E223" s="1">
        <f ca="1">IFERROR(__xludf.DUMMYFUNCTION("""COMPUTED_VALUE"""),183.17)</f>
        <v>183.17</v>
      </c>
      <c r="F223" s="1">
        <f ca="1">IFERROR(__xludf.DUMMYFUNCTION("""COMPUTED_VALUE"""),64335970)</f>
        <v>64335970</v>
      </c>
    </row>
    <row r="224" spans="1:6" ht="12.6">
      <c r="A224" s="2">
        <f ca="1">IFERROR(__xludf.DUMMYFUNCTION("""COMPUTED_VALUE"""),44883.6666666666)</f>
        <v>44883.666666666599</v>
      </c>
      <c r="B224" s="1">
        <f ca="1">IFERROR(__xludf.DUMMYFUNCTION("""COMPUTED_VALUE"""),185.05)</f>
        <v>185.05</v>
      </c>
      <c r="C224" s="1">
        <f ca="1">IFERROR(__xludf.DUMMYFUNCTION("""COMPUTED_VALUE"""),185.19)</f>
        <v>185.19</v>
      </c>
      <c r="D224" s="1">
        <f ca="1">IFERROR(__xludf.DUMMYFUNCTION("""COMPUTED_VALUE"""),176.55)</f>
        <v>176.55</v>
      </c>
      <c r="E224" s="1">
        <f ca="1">IFERROR(__xludf.DUMMYFUNCTION("""COMPUTED_VALUE"""),180.19)</f>
        <v>180.19</v>
      </c>
      <c r="F224" s="1">
        <f ca="1">IFERROR(__xludf.DUMMYFUNCTION("""COMPUTED_VALUE"""),76048866)</f>
        <v>76048866</v>
      </c>
    </row>
    <row r="225" spans="1:6" ht="12.6">
      <c r="A225" s="2">
        <f ca="1">IFERROR(__xludf.DUMMYFUNCTION("""COMPUTED_VALUE"""),44886.6666666666)</f>
        <v>44886.666666666599</v>
      </c>
      <c r="B225" s="1">
        <f ca="1">IFERROR(__xludf.DUMMYFUNCTION("""COMPUTED_VALUE"""),175.85)</f>
        <v>175.85</v>
      </c>
      <c r="C225" s="1">
        <f ca="1">IFERROR(__xludf.DUMMYFUNCTION("""COMPUTED_VALUE"""),176.77)</f>
        <v>176.77</v>
      </c>
      <c r="D225" s="1">
        <f ca="1">IFERROR(__xludf.DUMMYFUNCTION("""COMPUTED_VALUE"""),167.54)</f>
        <v>167.54</v>
      </c>
      <c r="E225" s="1">
        <f ca="1">IFERROR(__xludf.DUMMYFUNCTION("""COMPUTED_VALUE"""),167.87)</f>
        <v>167.87</v>
      </c>
      <c r="F225" s="1">
        <f ca="1">IFERROR(__xludf.DUMMYFUNCTION("""COMPUTED_VALUE"""),92882712)</f>
        <v>92882712</v>
      </c>
    </row>
    <row r="226" spans="1:6" ht="12.6">
      <c r="A226" s="2">
        <f ca="1">IFERROR(__xludf.DUMMYFUNCTION("""COMPUTED_VALUE"""),44887.6666666666)</f>
        <v>44887.666666666599</v>
      </c>
      <c r="B226" s="1">
        <f ca="1">IFERROR(__xludf.DUMMYFUNCTION("""COMPUTED_VALUE"""),168.63)</f>
        <v>168.63</v>
      </c>
      <c r="C226" s="1">
        <f ca="1">IFERROR(__xludf.DUMMYFUNCTION("""COMPUTED_VALUE"""),170.92)</f>
        <v>170.92</v>
      </c>
      <c r="D226" s="1">
        <f ca="1">IFERROR(__xludf.DUMMYFUNCTION("""COMPUTED_VALUE"""),166.19)</f>
        <v>166.19</v>
      </c>
      <c r="E226" s="1">
        <f ca="1">IFERROR(__xludf.DUMMYFUNCTION("""COMPUTED_VALUE"""),169.91)</f>
        <v>169.91</v>
      </c>
      <c r="F226" s="1">
        <f ca="1">IFERROR(__xludf.DUMMYFUNCTION("""COMPUTED_VALUE"""),78452327)</f>
        <v>78452327</v>
      </c>
    </row>
    <row r="227" spans="1:6" ht="12.6">
      <c r="A227" s="2">
        <f ca="1">IFERROR(__xludf.DUMMYFUNCTION("""COMPUTED_VALUE"""),44888.6666666666)</f>
        <v>44888.666666666599</v>
      </c>
      <c r="B227" s="1">
        <f ca="1">IFERROR(__xludf.DUMMYFUNCTION("""COMPUTED_VALUE"""),173.57)</f>
        <v>173.57</v>
      </c>
      <c r="C227" s="1">
        <f ca="1">IFERROR(__xludf.DUMMYFUNCTION("""COMPUTED_VALUE"""),183.62)</f>
        <v>183.62</v>
      </c>
      <c r="D227" s="1">
        <f ca="1">IFERROR(__xludf.DUMMYFUNCTION("""COMPUTED_VALUE"""),172.5)</f>
        <v>172.5</v>
      </c>
      <c r="E227" s="1">
        <f ca="1">IFERROR(__xludf.DUMMYFUNCTION("""COMPUTED_VALUE"""),183.2)</f>
        <v>183.2</v>
      </c>
      <c r="F227" s="1">
        <f ca="1">IFERROR(__xludf.DUMMYFUNCTION("""COMPUTED_VALUE"""),109536709)</f>
        <v>109536709</v>
      </c>
    </row>
    <row r="228" spans="1:6" ht="12.6">
      <c r="A228" s="2">
        <f ca="1">IFERROR(__xludf.DUMMYFUNCTION("""COMPUTED_VALUE"""),44890.5451388888)</f>
        <v>44890.545138888803</v>
      </c>
      <c r="B228" s="1">
        <f ca="1">IFERROR(__xludf.DUMMYFUNCTION("""COMPUTED_VALUE"""),185.06)</f>
        <v>185.06</v>
      </c>
      <c r="C228" s="1">
        <f ca="1">IFERROR(__xludf.DUMMYFUNCTION("""COMPUTED_VALUE"""),185.2)</f>
        <v>185.2</v>
      </c>
      <c r="D228" s="1">
        <f ca="1">IFERROR(__xludf.DUMMYFUNCTION("""COMPUTED_VALUE"""),180.63)</f>
        <v>180.63</v>
      </c>
      <c r="E228" s="1">
        <f ca="1">IFERROR(__xludf.DUMMYFUNCTION("""COMPUTED_VALUE"""),182.86)</f>
        <v>182.86</v>
      </c>
      <c r="F228" s="1">
        <f ca="1">IFERROR(__xludf.DUMMYFUNCTION("""COMPUTED_VALUE"""),50672739)</f>
        <v>50672739</v>
      </c>
    </row>
    <row r="229" spans="1:6" ht="12.6">
      <c r="A229" s="2">
        <f ca="1">IFERROR(__xludf.DUMMYFUNCTION("""COMPUTED_VALUE"""),44893.6666666666)</f>
        <v>44893.666666666599</v>
      </c>
      <c r="B229" s="1">
        <f ca="1">IFERROR(__xludf.DUMMYFUNCTION("""COMPUTED_VALUE"""),179.96)</f>
        <v>179.96</v>
      </c>
      <c r="C229" s="1">
        <f ca="1">IFERROR(__xludf.DUMMYFUNCTION("""COMPUTED_VALUE"""),188.5)</f>
        <v>188.5</v>
      </c>
      <c r="D229" s="1">
        <f ca="1">IFERROR(__xludf.DUMMYFUNCTION("""COMPUTED_VALUE"""),179)</f>
        <v>179</v>
      </c>
      <c r="E229" s="1">
        <f ca="1">IFERROR(__xludf.DUMMYFUNCTION("""COMPUTED_VALUE"""),182.92)</f>
        <v>182.92</v>
      </c>
      <c r="F229" s="1">
        <f ca="1">IFERROR(__xludf.DUMMYFUNCTION("""COMPUTED_VALUE"""),93038148)</f>
        <v>93038148</v>
      </c>
    </row>
    <row r="230" spans="1:6" ht="12.6">
      <c r="A230" s="2">
        <f ca="1">IFERROR(__xludf.DUMMYFUNCTION("""COMPUTED_VALUE"""),44894.6666666666)</f>
        <v>44894.666666666599</v>
      </c>
      <c r="B230" s="1">
        <f ca="1">IFERROR(__xludf.DUMMYFUNCTION("""COMPUTED_VALUE"""),184.99)</f>
        <v>184.99</v>
      </c>
      <c r="C230" s="1">
        <f ca="1">IFERROR(__xludf.DUMMYFUNCTION("""COMPUTED_VALUE"""),186.38)</f>
        <v>186.38</v>
      </c>
      <c r="D230" s="1">
        <f ca="1">IFERROR(__xludf.DUMMYFUNCTION("""COMPUTED_VALUE"""),178.75)</f>
        <v>178.75</v>
      </c>
      <c r="E230" s="1">
        <f ca="1">IFERROR(__xludf.DUMMYFUNCTION("""COMPUTED_VALUE"""),180.83)</f>
        <v>180.83</v>
      </c>
      <c r="F230" s="1">
        <f ca="1">IFERROR(__xludf.DUMMYFUNCTION("""COMPUTED_VALUE"""),83357111)</f>
        <v>83357111</v>
      </c>
    </row>
    <row r="231" spans="1:6" ht="12.6">
      <c r="A231" s="2">
        <f ca="1">IFERROR(__xludf.DUMMYFUNCTION("""COMPUTED_VALUE"""),44895.6666666666)</f>
        <v>44895.666666666599</v>
      </c>
      <c r="B231" s="1">
        <f ca="1">IFERROR(__xludf.DUMMYFUNCTION("""COMPUTED_VALUE"""),182.43)</f>
        <v>182.43</v>
      </c>
      <c r="C231" s="1">
        <f ca="1">IFERROR(__xludf.DUMMYFUNCTION("""COMPUTED_VALUE"""),194.76)</f>
        <v>194.76</v>
      </c>
      <c r="D231" s="1">
        <f ca="1">IFERROR(__xludf.DUMMYFUNCTION("""COMPUTED_VALUE"""),180.63)</f>
        <v>180.63</v>
      </c>
      <c r="E231" s="1">
        <f ca="1">IFERROR(__xludf.DUMMYFUNCTION("""COMPUTED_VALUE"""),194.7)</f>
        <v>194.7</v>
      </c>
      <c r="F231" s="1">
        <f ca="1">IFERROR(__xludf.DUMMYFUNCTION("""COMPUTED_VALUE"""),109186404)</f>
        <v>109186404</v>
      </c>
    </row>
    <row r="232" spans="1:6" ht="12.6">
      <c r="A232" s="2">
        <f ca="1">IFERROR(__xludf.DUMMYFUNCTION("""COMPUTED_VALUE"""),44896.6666666666)</f>
        <v>44896.666666666599</v>
      </c>
      <c r="B232" s="1">
        <f ca="1">IFERROR(__xludf.DUMMYFUNCTION("""COMPUTED_VALUE"""),197.08)</f>
        <v>197.08</v>
      </c>
      <c r="C232" s="1">
        <f ca="1">IFERROR(__xludf.DUMMYFUNCTION("""COMPUTED_VALUE"""),198.92)</f>
        <v>198.92</v>
      </c>
      <c r="D232" s="1">
        <f ca="1">IFERROR(__xludf.DUMMYFUNCTION("""COMPUTED_VALUE"""),191.8)</f>
        <v>191.8</v>
      </c>
      <c r="E232" s="1">
        <f ca="1">IFERROR(__xludf.DUMMYFUNCTION("""COMPUTED_VALUE"""),194.7)</f>
        <v>194.7</v>
      </c>
      <c r="F232" s="1">
        <f ca="1">IFERROR(__xludf.DUMMYFUNCTION("""COMPUTED_VALUE"""),80046213)</f>
        <v>80046213</v>
      </c>
    </row>
    <row r="233" spans="1:6" ht="12.6">
      <c r="A233" s="2">
        <f ca="1">IFERROR(__xludf.DUMMYFUNCTION("""COMPUTED_VALUE"""),44897.6666666666)</f>
        <v>44897.666666666599</v>
      </c>
      <c r="B233" s="1">
        <f ca="1">IFERROR(__xludf.DUMMYFUNCTION("""COMPUTED_VALUE"""),191.78)</f>
        <v>191.78</v>
      </c>
      <c r="C233" s="1">
        <f ca="1">IFERROR(__xludf.DUMMYFUNCTION("""COMPUTED_VALUE"""),196.25)</f>
        <v>196.25</v>
      </c>
      <c r="D233" s="1">
        <f ca="1">IFERROR(__xludf.DUMMYFUNCTION("""COMPUTED_VALUE"""),191.11)</f>
        <v>191.11</v>
      </c>
      <c r="E233" s="1">
        <f ca="1">IFERROR(__xludf.DUMMYFUNCTION("""COMPUTED_VALUE"""),194.86)</f>
        <v>194.86</v>
      </c>
      <c r="F233" s="1">
        <f ca="1">IFERROR(__xludf.DUMMYFUNCTION("""COMPUTED_VALUE"""),73645922)</f>
        <v>73645922</v>
      </c>
    </row>
    <row r="234" spans="1:6" ht="12.6">
      <c r="A234" s="2">
        <f ca="1">IFERROR(__xludf.DUMMYFUNCTION("""COMPUTED_VALUE"""),44900.6666666666)</f>
        <v>44900.666666666599</v>
      </c>
      <c r="B234" s="1">
        <f ca="1">IFERROR(__xludf.DUMMYFUNCTION("""COMPUTED_VALUE"""),189.44)</f>
        <v>189.44</v>
      </c>
      <c r="C234" s="1">
        <f ca="1">IFERROR(__xludf.DUMMYFUNCTION("""COMPUTED_VALUE"""),191.27)</f>
        <v>191.27</v>
      </c>
      <c r="D234" s="1">
        <f ca="1">IFERROR(__xludf.DUMMYFUNCTION("""COMPUTED_VALUE"""),180.55)</f>
        <v>180.55</v>
      </c>
      <c r="E234" s="1">
        <f ca="1">IFERROR(__xludf.DUMMYFUNCTION("""COMPUTED_VALUE"""),182.45)</f>
        <v>182.45</v>
      </c>
      <c r="F234" s="1">
        <f ca="1">IFERROR(__xludf.DUMMYFUNCTION("""COMPUTED_VALUE"""),93122667)</f>
        <v>93122667</v>
      </c>
    </row>
    <row r="235" spans="1:6" ht="12.6">
      <c r="A235" s="2">
        <f ca="1">IFERROR(__xludf.DUMMYFUNCTION("""COMPUTED_VALUE"""),44901.6666666666)</f>
        <v>44901.666666666599</v>
      </c>
      <c r="B235" s="1">
        <f ca="1">IFERROR(__xludf.DUMMYFUNCTION("""COMPUTED_VALUE"""),181.22)</f>
        <v>181.22</v>
      </c>
      <c r="C235" s="1">
        <f ca="1">IFERROR(__xludf.DUMMYFUNCTION("""COMPUTED_VALUE"""),183.65)</f>
        <v>183.65</v>
      </c>
      <c r="D235" s="1">
        <f ca="1">IFERROR(__xludf.DUMMYFUNCTION("""COMPUTED_VALUE"""),175.33)</f>
        <v>175.33</v>
      </c>
      <c r="E235" s="1">
        <f ca="1">IFERROR(__xludf.DUMMYFUNCTION("""COMPUTED_VALUE"""),179.82)</f>
        <v>179.82</v>
      </c>
      <c r="F235" s="1">
        <f ca="1">IFERROR(__xludf.DUMMYFUNCTION("""COMPUTED_VALUE"""),92150823)</f>
        <v>92150823</v>
      </c>
    </row>
    <row r="236" spans="1:6" ht="12.6">
      <c r="A236" s="2">
        <f ca="1">IFERROR(__xludf.DUMMYFUNCTION("""COMPUTED_VALUE"""),44902.6666666666)</f>
        <v>44902.666666666599</v>
      </c>
      <c r="B236" s="1">
        <f ca="1">IFERROR(__xludf.DUMMYFUNCTION("""COMPUTED_VALUE"""),175.03)</f>
        <v>175.03</v>
      </c>
      <c r="C236" s="1">
        <f ca="1">IFERROR(__xludf.DUMMYFUNCTION("""COMPUTED_VALUE"""),179.38)</f>
        <v>179.38</v>
      </c>
      <c r="D236" s="1">
        <f ca="1">IFERROR(__xludf.DUMMYFUNCTION("""COMPUTED_VALUE"""),172.22)</f>
        <v>172.22</v>
      </c>
      <c r="E236" s="1">
        <f ca="1">IFERROR(__xludf.DUMMYFUNCTION("""COMPUTED_VALUE"""),174.04)</f>
        <v>174.04</v>
      </c>
      <c r="F236" s="1">
        <f ca="1">IFERROR(__xludf.DUMMYFUNCTION("""COMPUTED_VALUE"""),84213284)</f>
        <v>84213284</v>
      </c>
    </row>
    <row r="237" spans="1:6" ht="12.6">
      <c r="A237" s="2">
        <f ca="1">IFERROR(__xludf.DUMMYFUNCTION("""COMPUTED_VALUE"""),44903.6666666666)</f>
        <v>44903.666666666599</v>
      </c>
      <c r="B237" s="1">
        <f ca="1">IFERROR(__xludf.DUMMYFUNCTION("""COMPUTED_VALUE"""),172.2)</f>
        <v>172.2</v>
      </c>
      <c r="C237" s="1">
        <f ca="1">IFERROR(__xludf.DUMMYFUNCTION("""COMPUTED_VALUE"""),175.2)</f>
        <v>175.2</v>
      </c>
      <c r="D237" s="1">
        <f ca="1">IFERROR(__xludf.DUMMYFUNCTION("""COMPUTED_VALUE"""),169.06)</f>
        <v>169.06</v>
      </c>
      <c r="E237" s="1">
        <f ca="1">IFERROR(__xludf.DUMMYFUNCTION("""COMPUTED_VALUE"""),173.44)</f>
        <v>173.44</v>
      </c>
      <c r="F237" s="1">
        <f ca="1">IFERROR(__xludf.DUMMYFUNCTION("""COMPUTED_VALUE"""),97624491)</f>
        <v>97624491</v>
      </c>
    </row>
    <row r="238" spans="1:6" ht="12.6">
      <c r="A238" s="2">
        <f ca="1">IFERROR(__xludf.DUMMYFUNCTION("""COMPUTED_VALUE"""),44904.6666666666)</f>
        <v>44904.666666666599</v>
      </c>
      <c r="B238" s="1">
        <f ca="1">IFERROR(__xludf.DUMMYFUNCTION("""COMPUTED_VALUE"""),173.84)</f>
        <v>173.84</v>
      </c>
      <c r="C238" s="1">
        <f ca="1">IFERROR(__xludf.DUMMYFUNCTION("""COMPUTED_VALUE"""),182.5)</f>
        <v>182.5</v>
      </c>
      <c r="D238" s="1">
        <f ca="1">IFERROR(__xludf.DUMMYFUNCTION("""COMPUTED_VALUE"""),173.36)</f>
        <v>173.36</v>
      </c>
      <c r="E238" s="1">
        <f ca="1">IFERROR(__xludf.DUMMYFUNCTION("""COMPUTED_VALUE"""),179.05)</f>
        <v>179.05</v>
      </c>
      <c r="F238" s="1">
        <f ca="1">IFERROR(__xludf.DUMMYFUNCTION("""COMPUTED_VALUE"""),104872336)</f>
        <v>104872336</v>
      </c>
    </row>
    <row r="239" spans="1:6" ht="12.6">
      <c r="A239" s="2">
        <f ca="1">IFERROR(__xludf.DUMMYFUNCTION("""COMPUTED_VALUE"""),44907.6666666666)</f>
        <v>44907.666666666599</v>
      </c>
      <c r="B239" s="1">
        <f ca="1">IFERROR(__xludf.DUMMYFUNCTION("""COMPUTED_VALUE"""),176.1)</f>
        <v>176.1</v>
      </c>
      <c r="C239" s="1">
        <f ca="1">IFERROR(__xludf.DUMMYFUNCTION("""COMPUTED_VALUE"""),177.37)</f>
        <v>177.37</v>
      </c>
      <c r="D239" s="1">
        <f ca="1">IFERROR(__xludf.DUMMYFUNCTION("""COMPUTED_VALUE"""),167.52)</f>
        <v>167.52</v>
      </c>
      <c r="E239" s="1">
        <f ca="1">IFERROR(__xludf.DUMMYFUNCTION("""COMPUTED_VALUE"""),167.82)</f>
        <v>167.82</v>
      </c>
      <c r="F239" s="1">
        <f ca="1">IFERROR(__xludf.DUMMYFUNCTION("""COMPUTED_VALUE"""),109794471)</f>
        <v>109794471</v>
      </c>
    </row>
    <row r="240" spans="1:6" ht="12.6">
      <c r="A240" s="2">
        <f ca="1">IFERROR(__xludf.DUMMYFUNCTION("""COMPUTED_VALUE"""),44908.6666666666)</f>
        <v>44908.666666666599</v>
      </c>
      <c r="B240" s="1">
        <f ca="1">IFERROR(__xludf.DUMMYFUNCTION("""COMPUTED_VALUE"""),174.87)</f>
        <v>174.87</v>
      </c>
      <c r="C240" s="1">
        <f ca="1">IFERROR(__xludf.DUMMYFUNCTION("""COMPUTED_VALUE"""),175.05)</f>
        <v>175.05</v>
      </c>
      <c r="D240" s="1">
        <f ca="1">IFERROR(__xludf.DUMMYFUNCTION("""COMPUTED_VALUE"""),156.91)</f>
        <v>156.91</v>
      </c>
      <c r="E240" s="1">
        <f ca="1">IFERROR(__xludf.DUMMYFUNCTION("""COMPUTED_VALUE"""),160.95)</f>
        <v>160.94999999999999</v>
      </c>
      <c r="F240" s="1">
        <f ca="1">IFERROR(__xludf.DUMMYFUNCTION("""COMPUTED_VALUE"""),175862722)</f>
        <v>175862722</v>
      </c>
    </row>
    <row r="241" spans="1:6" ht="12.6">
      <c r="A241" s="2">
        <f ca="1">IFERROR(__xludf.DUMMYFUNCTION("""COMPUTED_VALUE"""),44909.6666666666)</f>
        <v>44909.666666666599</v>
      </c>
      <c r="B241" s="1">
        <f ca="1">IFERROR(__xludf.DUMMYFUNCTION("""COMPUTED_VALUE"""),159.25)</f>
        <v>159.25</v>
      </c>
      <c r="C241" s="1">
        <f ca="1">IFERROR(__xludf.DUMMYFUNCTION("""COMPUTED_VALUE"""),161.62)</f>
        <v>161.62</v>
      </c>
      <c r="D241" s="1">
        <f ca="1">IFERROR(__xludf.DUMMYFUNCTION("""COMPUTED_VALUE"""),155.31)</f>
        <v>155.31</v>
      </c>
      <c r="E241" s="1">
        <f ca="1">IFERROR(__xludf.DUMMYFUNCTION("""COMPUTED_VALUE"""),156.8)</f>
        <v>156.80000000000001</v>
      </c>
      <c r="F241" s="1">
        <f ca="1">IFERROR(__xludf.DUMMYFUNCTION("""COMPUTED_VALUE"""),140682338)</f>
        <v>140682338</v>
      </c>
    </row>
    <row r="242" spans="1:6" ht="12.6">
      <c r="A242" s="2">
        <f ca="1">IFERROR(__xludf.DUMMYFUNCTION("""COMPUTED_VALUE"""),44910.6666666666)</f>
        <v>44910.666666666599</v>
      </c>
      <c r="B242" s="1">
        <f ca="1">IFERROR(__xludf.DUMMYFUNCTION("""COMPUTED_VALUE"""),153.44)</f>
        <v>153.44</v>
      </c>
      <c r="C242" s="1">
        <f ca="1">IFERROR(__xludf.DUMMYFUNCTION("""COMPUTED_VALUE"""),160.93)</f>
        <v>160.93</v>
      </c>
      <c r="D242" s="1">
        <f ca="1">IFERROR(__xludf.DUMMYFUNCTION("""COMPUTED_VALUE"""),153.28)</f>
        <v>153.28</v>
      </c>
      <c r="E242" s="1">
        <f ca="1">IFERROR(__xludf.DUMMYFUNCTION("""COMPUTED_VALUE"""),157.67)</f>
        <v>157.66999999999999</v>
      </c>
      <c r="F242" s="1">
        <f ca="1">IFERROR(__xludf.DUMMYFUNCTION("""COMPUTED_VALUE"""),122334459)</f>
        <v>122334459</v>
      </c>
    </row>
    <row r="243" spans="1:6" ht="12.6">
      <c r="A243" s="2">
        <f ca="1">IFERROR(__xludf.DUMMYFUNCTION("""COMPUTED_VALUE"""),44911.6666666666)</f>
        <v>44911.666666666599</v>
      </c>
      <c r="B243" s="1">
        <f ca="1">IFERROR(__xludf.DUMMYFUNCTION("""COMPUTED_VALUE"""),159.64)</f>
        <v>159.63999999999999</v>
      </c>
      <c r="C243" s="1">
        <f ca="1">IFERROR(__xludf.DUMMYFUNCTION("""COMPUTED_VALUE"""),160.99)</f>
        <v>160.99</v>
      </c>
      <c r="D243" s="1">
        <f ca="1">IFERROR(__xludf.DUMMYFUNCTION("""COMPUTED_VALUE"""),150.04)</f>
        <v>150.04</v>
      </c>
      <c r="E243" s="1">
        <f ca="1">IFERROR(__xludf.DUMMYFUNCTION("""COMPUTED_VALUE"""),150.23)</f>
        <v>150.22999999999999</v>
      </c>
      <c r="F243" s="1">
        <f ca="1">IFERROR(__xludf.DUMMYFUNCTION("""COMPUTED_VALUE"""),139032175)</f>
        <v>139032175</v>
      </c>
    </row>
    <row r="244" spans="1:6" ht="12.6">
      <c r="A244" s="2">
        <f ca="1">IFERROR(__xludf.DUMMYFUNCTION("""COMPUTED_VALUE"""),44914.6666666666)</f>
        <v>44914.666666666599</v>
      </c>
      <c r="B244" s="1">
        <f ca="1">IFERROR(__xludf.DUMMYFUNCTION("""COMPUTED_VALUE"""),154)</f>
        <v>154</v>
      </c>
      <c r="C244" s="1">
        <f ca="1">IFERROR(__xludf.DUMMYFUNCTION("""COMPUTED_VALUE"""),155.25)</f>
        <v>155.25</v>
      </c>
      <c r="D244" s="1">
        <f ca="1">IFERROR(__xludf.DUMMYFUNCTION("""COMPUTED_VALUE"""),145.82)</f>
        <v>145.82</v>
      </c>
      <c r="E244" s="1">
        <f ca="1">IFERROR(__xludf.DUMMYFUNCTION("""COMPUTED_VALUE"""),149.87)</f>
        <v>149.87</v>
      </c>
      <c r="F244" s="1">
        <f ca="1">IFERROR(__xludf.DUMMYFUNCTION("""COMPUTED_VALUE"""),139390634)</f>
        <v>139390634</v>
      </c>
    </row>
    <row r="245" spans="1:6" ht="12.6">
      <c r="A245" s="2">
        <f ca="1">IFERROR(__xludf.DUMMYFUNCTION("""COMPUTED_VALUE"""),44915.6666666666)</f>
        <v>44915.666666666599</v>
      </c>
      <c r="B245" s="1">
        <f ca="1">IFERROR(__xludf.DUMMYFUNCTION("""COMPUTED_VALUE"""),146.05)</f>
        <v>146.05000000000001</v>
      </c>
      <c r="C245" s="1">
        <f ca="1">IFERROR(__xludf.DUMMYFUNCTION("""COMPUTED_VALUE"""),148.47)</f>
        <v>148.47</v>
      </c>
      <c r="D245" s="1">
        <f ca="1">IFERROR(__xludf.DUMMYFUNCTION("""COMPUTED_VALUE"""),137.66)</f>
        <v>137.66</v>
      </c>
      <c r="E245" s="1">
        <f ca="1">IFERROR(__xludf.DUMMYFUNCTION("""COMPUTED_VALUE"""),137.8)</f>
        <v>137.80000000000001</v>
      </c>
      <c r="F245" s="1">
        <f ca="1">IFERROR(__xludf.DUMMYFUNCTION("""COMPUTED_VALUE"""),159563267)</f>
        <v>159563267</v>
      </c>
    </row>
    <row r="246" spans="1:6" ht="12.6">
      <c r="A246" s="2">
        <f ca="1">IFERROR(__xludf.DUMMYFUNCTION("""COMPUTED_VALUE"""),44916.6666666666)</f>
        <v>44916.666666666599</v>
      </c>
      <c r="B246" s="1">
        <f ca="1">IFERROR(__xludf.DUMMYFUNCTION("""COMPUTED_VALUE"""),139.34)</f>
        <v>139.34</v>
      </c>
      <c r="C246" s="1">
        <f ca="1">IFERROR(__xludf.DUMMYFUNCTION("""COMPUTED_VALUE"""),141.26)</f>
        <v>141.26</v>
      </c>
      <c r="D246" s="1">
        <f ca="1">IFERROR(__xludf.DUMMYFUNCTION("""COMPUTED_VALUE"""),135.89)</f>
        <v>135.88999999999999</v>
      </c>
      <c r="E246" s="1">
        <f ca="1">IFERROR(__xludf.DUMMYFUNCTION("""COMPUTED_VALUE"""),137.57)</f>
        <v>137.57</v>
      </c>
      <c r="F246" s="1">
        <f ca="1">IFERROR(__xludf.DUMMYFUNCTION("""COMPUTED_VALUE"""),145417412)</f>
        <v>145417412</v>
      </c>
    </row>
    <row r="247" spans="1:6" ht="12.6">
      <c r="A247" s="2">
        <f ca="1">IFERROR(__xludf.DUMMYFUNCTION("""COMPUTED_VALUE"""),44917.6666666666)</f>
        <v>44917.666666666599</v>
      </c>
      <c r="B247" s="1">
        <f ca="1">IFERROR(__xludf.DUMMYFUNCTION("""COMPUTED_VALUE"""),136)</f>
        <v>136</v>
      </c>
      <c r="C247" s="1">
        <f ca="1">IFERROR(__xludf.DUMMYFUNCTION("""COMPUTED_VALUE"""),136.63)</f>
        <v>136.63</v>
      </c>
      <c r="D247" s="1">
        <f ca="1">IFERROR(__xludf.DUMMYFUNCTION("""COMPUTED_VALUE"""),122.26)</f>
        <v>122.26</v>
      </c>
      <c r="E247" s="1">
        <f ca="1">IFERROR(__xludf.DUMMYFUNCTION("""COMPUTED_VALUE"""),125.35)</f>
        <v>125.35</v>
      </c>
      <c r="F247" s="1">
        <f ca="1">IFERROR(__xludf.DUMMYFUNCTION("""COMPUTED_VALUE"""),210090250)</f>
        <v>210090250</v>
      </c>
    </row>
    <row r="248" spans="1:6" ht="12.6">
      <c r="A248" s="2">
        <f ca="1">IFERROR(__xludf.DUMMYFUNCTION("""COMPUTED_VALUE"""),44918.6666666666)</f>
        <v>44918.666666666599</v>
      </c>
      <c r="B248" s="1">
        <f ca="1">IFERROR(__xludf.DUMMYFUNCTION("""COMPUTED_VALUE"""),126.37)</f>
        <v>126.37</v>
      </c>
      <c r="C248" s="1">
        <f ca="1">IFERROR(__xludf.DUMMYFUNCTION("""COMPUTED_VALUE"""),128.62)</f>
        <v>128.62</v>
      </c>
      <c r="D248" s="1">
        <f ca="1">IFERROR(__xludf.DUMMYFUNCTION("""COMPUTED_VALUE"""),121.02)</f>
        <v>121.02</v>
      </c>
      <c r="E248" s="1">
        <f ca="1">IFERROR(__xludf.DUMMYFUNCTION("""COMPUTED_VALUE"""),123.15)</f>
        <v>123.15</v>
      </c>
      <c r="F248" s="1">
        <f ca="1">IFERROR(__xludf.DUMMYFUNCTION("""COMPUTED_VALUE"""),166989688)</f>
        <v>166989688</v>
      </c>
    </row>
    <row r="249" spans="1:6" ht="12.6">
      <c r="A249" s="2">
        <f ca="1">IFERROR(__xludf.DUMMYFUNCTION("""COMPUTED_VALUE"""),44922.6666666666)</f>
        <v>44922.666666666599</v>
      </c>
      <c r="B249" s="1">
        <f ca="1">IFERROR(__xludf.DUMMYFUNCTION("""COMPUTED_VALUE"""),117.5)</f>
        <v>117.5</v>
      </c>
      <c r="C249" s="1">
        <f ca="1">IFERROR(__xludf.DUMMYFUNCTION("""COMPUTED_VALUE"""),119.67)</f>
        <v>119.67</v>
      </c>
      <c r="D249" s="1">
        <f ca="1">IFERROR(__xludf.DUMMYFUNCTION("""COMPUTED_VALUE"""),108.76)</f>
        <v>108.76</v>
      </c>
      <c r="E249" s="1">
        <f ca="1">IFERROR(__xludf.DUMMYFUNCTION("""COMPUTED_VALUE"""),109.1)</f>
        <v>109.1</v>
      </c>
      <c r="F249" s="1">
        <f ca="1">IFERROR(__xludf.DUMMYFUNCTION("""COMPUTED_VALUE"""),208643444)</f>
        <v>208643444</v>
      </c>
    </row>
    <row r="250" spans="1:6" ht="12.6">
      <c r="A250" s="2">
        <f ca="1">IFERROR(__xludf.DUMMYFUNCTION("""COMPUTED_VALUE"""),44923.6666666666)</f>
        <v>44923.666666666599</v>
      </c>
      <c r="B250" s="1">
        <f ca="1">IFERROR(__xludf.DUMMYFUNCTION("""COMPUTED_VALUE"""),110.35)</f>
        <v>110.35</v>
      </c>
      <c r="C250" s="1">
        <f ca="1">IFERROR(__xludf.DUMMYFUNCTION("""COMPUTED_VALUE"""),116.27)</f>
        <v>116.27</v>
      </c>
      <c r="D250" s="1">
        <f ca="1">IFERROR(__xludf.DUMMYFUNCTION("""COMPUTED_VALUE"""),108.24)</f>
        <v>108.24</v>
      </c>
      <c r="E250" s="1">
        <f ca="1">IFERROR(__xludf.DUMMYFUNCTION("""COMPUTED_VALUE"""),112.71)</f>
        <v>112.71</v>
      </c>
      <c r="F250" s="1">
        <f ca="1">IFERROR(__xludf.DUMMYFUNCTION("""COMPUTED_VALUE"""),221070537)</f>
        <v>221070537</v>
      </c>
    </row>
    <row r="251" spans="1:6" ht="12.6">
      <c r="A251" s="2">
        <f ca="1">IFERROR(__xludf.DUMMYFUNCTION("""COMPUTED_VALUE"""),44924.6666666666)</f>
        <v>44924.666666666599</v>
      </c>
      <c r="B251" s="1">
        <f ca="1">IFERROR(__xludf.DUMMYFUNCTION("""COMPUTED_VALUE"""),120.39)</f>
        <v>120.39</v>
      </c>
      <c r="C251" s="1">
        <f ca="1">IFERROR(__xludf.DUMMYFUNCTION("""COMPUTED_VALUE"""),123.57)</f>
        <v>123.57</v>
      </c>
      <c r="D251" s="1">
        <f ca="1">IFERROR(__xludf.DUMMYFUNCTION("""COMPUTED_VALUE"""),117.5)</f>
        <v>117.5</v>
      </c>
      <c r="E251" s="1">
        <f ca="1">IFERROR(__xludf.DUMMYFUNCTION("""COMPUTED_VALUE"""),121.82)</f>
        <v>121.82</v>
      </c>
      <c r="F251" s="1">
        <f ca="1">IFERROR(__xludf.DUMMYFUNCTION("""COMPUTED_VALUE"""),221923313)</f>
        <v>221923313</v>
      </c>
    </row>
    <row r="252" spans="1:6" ht="12.6">
      <c r="A252" s="2">
        <f ca="1">IFERROR(__xludf.DUMMYFUNCTION("""COMPUTED_VALUE"""),44925.6666666666)</f>
        <v>44925.666666666599</v>
      </c>
      <c r="B252" s="1">
        <f ca="1">IFERROR(__xludf.DUMMYFUNCTION("""COMPUTED_VALUE"""),119.95)</f>
        <v>119.95</v>
      </c>
      <c r="C252" s="1">
        <f ca="1">IFERROR(__xludf.DUMMYFUNCTION("""COMPUTED_VALUE"""),124.48)</f>
        <v>124.48</v>
      </c>
      <c r="D252" s="1">
        <f ca="1">IFERROR(__xludf.DUMMYFUNCTION("""COMPUTED_VALUE"""),119.75)</f>
        <v>119.75</v>
      </c>
      <c r="E252" s="1">
        <f ca="1">IFERROR(__xludf.DUMMYFUNCTION("""COMPUTED_VALUE"""),123.18)</f>
        <v>123.18</v>
      </c>
      <c r="F252" s="1">
        <f ca="1">IFERROR(__xludf.DUMMYFUNCTION("""COMPUTED_VALUE"""),157777339)</f>
        <v>157777339</v>
      </c>
    </row>
    <row r="253" spans="1:6" ht="12.6">
      <c r="A253" s="2">
        <f ca="1">IFERROR(__xludf.DUMMYFUNCTION("""COMPUTED_VALUE"""),44929.6666666666)</f>
        <v>44929.666666666599</v>
      </c>
      <c r="B253" s="1">
        <f ca="1">IFERROR(__xludf.DUMMYFUNCTION("""COMPUTED_VALUE"""),118.47)</f>
        <v>118.47</v>
      </c>
      <c r="C253" s="1">
        <f ca="1">IFERROR(__xludf.DUMMYFUNCTION("""COMPUTED_VALUE"""),118.8)</f>
        <v>118.8</v>
      </c>
      <c r="D253" s="1">
        <f ca="1">IFERROR(__xludf.DUMMYFUNCTION("""COMPUTED_VALUE"""),104.64)</f>
        <v>104.64</v>
      </c>
      <c r="E253" s="1">
        <f ca="1">IFERROR(__xludf.DUMMYFUNCTION("""COMPUTED_VALUE"""),108.1)</f>
        <v>108.1</v>
      </c>
      <c r="F253" s="1">
        <f ca="1">IFERROR(__xludf.DUMMYFUNCTION("""COMPUTED_VALUE"""),231402818)</f>
        <v>231402818</v>
      </c>
    </row>
    <row r="254" spans="1:6" ht="12.6">
      <c r="A254" s="2">
        <f ca="1">IFERROR(__xludf.DUMMYFUNCTION("""COMPUTED_VALUE"""),44930.6666666666)</f>
        <v>44930.666666666599</v>
      </c>
      <c r="B254" s="1">
        <f ca="1">IFERROR(__xludf.DUMMYFUNCTION("""COMPUTED_VALUE"""),109.11)</f>
        <v>109.11</v>
      </c>
      <c r="C254" s="1">
        <f ca="1">IFERROR(__xludf.DUMMYFUNCTION("""COMPUTED_VALUE"""),114.59)</f>
        <v>114.59</v>
      </c>
      <c r="D254" s="1">
        <f ca="1">IFERROR(__xludf.DUMMYFUNCTION("""COMPUTED_VALUE"""),107.52)</f>
        <v>107.52</v>
      </c>
      <c r="E254" s="1">
        <f ca="1">IFERROR(__xludf.DUMMYFUNCTION("""COMPUTED_VALUE"""),113.64)</f>
        <v>113.64</v>
      </c>
      <c r="F254" s="1">
        <f ca="1">IFERROR(__xludf.DUMMYFUNCTION("""COMPUTED_VALUE"""),180388976)</f>
        <v>180388976</v>
      </c>
    </row>
    <row r="255" spans="1:6" ht="12.6">
      <c r="A255" s="2">
        <f ca="1">IFERROR(__xludf.DUMMYFUNCTION("""COMPUTED_VALUE"""),44931.6666666666)</f>
        <v>44931.666666666599</v>
      </c>
      <c r="B255" s="1">
        <f ca="1">IFERROR(__xludf.DUMMYFUNCTION("""COMPUTED_VALUE"""),110.51)</f>
        <v>110.51</v>
      </c>
      <c r="C255" s="1">
        <f ca="1">IFERROR(__xludf.DUMMYFUNCTION("""COMPUTED_VALUE"""),111.75)</f>
        <v>111.75</v>
      </c>
      <c r="D255" s="1">
        <f ca="1">IFERROR(__xludf.DUMMYFUNCTION("""COMPUTED_VALUE"""),107.16)</f>
        <v>107.16</v>
      </c>
      <c r="E255" s="1">
        <f ca="1">IFERROR(__xludf.DUMMYFUNCTION("""COMPUTED_VALUE"""),110.34)</f>
        <v>110.34</v>
      </c>
      <c r="F255" s="1">
        <f ca="1">IFERROR(__xludf.DUMMYFUNCTION("""COMPUTED_VALUE"""),157986324)</f>
        <v>157986324</v>
      </c>
    </row>
    <row r="256" spans="1:6" ht="12.6">
      <c r="A256" s="2">
        <f ca="1">IFERROR(__xludf.DUMMYFUNCTION("""COMPUTED_VALUE"""),44932.6666666666)</f>
        <v>44932.666666666599</v>
      </c>
      <c r="B256" s="1">
        <f ca="1">IFERROR(__xludf.DUMMYFUNCTION("""COMPUTED_VALUE"""),103)</f>
        <v>103</v>
      </c>
      <c r="C256" s="1">
        <f ca="1">IFERROR(__xludf.DUMMYFUNCTION("""COMPUTED_VALUE"""),114.39)</f>
        <v>114.39</v>
      </c>
      <c r="D256" s="1">
        <f ca="1">IFERROR(__xludf.DUMMYFUNCTION("""COMPUTED_VALUE"""),101.81)</f>
        <v>101.81</v>
      </c>
      <c r="E256" s="1">
        <f ca="1">IFERROR(__xludf.DUMMYFUNCTION("""COMPUTED_VALUE"""),113.06)</f>
        <v>113.06</v>
      </c>
      <c r="F256" s="1">
        <f ca="1">IFERROR(__xludf.DUMMYFUNCTION("""COMPUTED_VALUE"""),220911051)</f>
        <v>220911051</v>
      </c>
    </row>
    <row r="257" spans="1:6" ht="12.6">
      <c r="A257" s="2">
        <f ca="1">IFERROR(__xludf.DUMMYFUNCTION("""COMPUTED_VALUE"""),44935.6666666666)</f>
        <v>44935.666666666599</v>
      </c>
      <c r="B257" s="1">
        <f ca="1">IFERROR(__xludf.DUMMYFUNCTION("""COMPUTED_VALUE"""),118.96)</f>
        <v>118.96</v>
      </c>
      <c r="C257" s="1">
        <f ca="1">IFERROR(__xludf.DUMMYFUNCTION("""COMPUTED_VALUE"""),123.52)</f>
        <v>123.52</v>
      </c>
      <c r="D257" s="1">
        <f ca="1">IFERROR(__xludf.DUMMYFUNCTION("""COMPUTED_VALUE"""),117.11)</f>
        <v>117.11</v>
      </c>
      <c r="E257" s="1">
        <f ca="1">IFERROR(__xludf.DUMMYFUNCTION("""COMPUTED_VALUE"""),119.77)</f>
        <v>119.77</v>
      </c>
      <c r="F257" s="1">
        <f ca="1">IFERROR(__xludf.DUMMYFUNCTION("""COMPUTED_VALUE"""),190283951)</f>
        <v>190283951</v>
      </c>
    </row>
    <row r="258" spans="1:6" ht="12.6">
      <c r="A258" s="2">
        <f ca="1">IFERROR(__xludf.DUMMYFUNCTION("""COMPUTED_VALUE"""),44936.6666666666)</f>
        <v>44936.666666666599</v>
      </c>
      <c r="B258" s="1">
        <f ca="1">IFERROR(__xludf.DUMMYFUNCTION("""COMPUTED_VALUE"""),121.07)</f>
        <v>121.07</v>
      </c>
      <c r="C258" s="1">
        <f ca="1">IFERROR(__xludf.DUMMYFUNCTION("""COMPUTED_VALUE"""),122.76)</f>
        <v>122.76</v>
      </c>
      <c r="D258" s="1">
        <f ca="1">IFERROR(__xludf.DUMMYFUNCTION("""COMPUTED_VALUE"""),114.92)</f>
        <v>114.92</v>
      </c>
      <c r="E258" s="1">
        <f ca="1">IFERROR(__xludf.DUMMYFUNCTION("""COMPUTED_VALUE"""),118.85)</f>
        <v>118.85</v>
      </c>
      <c r="F258" s="1">
        <f ca="1">IFERROR(__xludf.DUMMYFUNCTION("""COMPUTED_VALUE"""),167642485)</f>
        <v>167642485</v>
      </c>
    </row>
    <row r="259" spans="1:6" ht="12.6">
      <c r="A259" s="2">
        <f ca="1">IFERROR(__xludf.DUMMYFUNCTION("""COMPUTED_VALUE"""),44937.6666666666)</f>
        <v>44937.666666666599</v>
      </c>
      <c r="B259" s="1">
        <f ca="1">IFERROR(__xludf.DUMMYFUNCTION("""COMPUTED_VALUE"""),122.09)</f>
        <v>122.09</v>
      </c>
      <c r="C259" s="1">
        <f ca="1">IFERROR(__xludf.DUMMYFUNCTION("""COMPUTED_VALUE"""),125.95)</f>
        <v>125.95</v>
      </c>
      <c r="D259" s="1">
        <f ca="1">IFERROR(__xludf.DUMMYFUNCTION("""COMPUTED_VALUE"""),120.51)</f>
        <v>120.51</v>
      </c>
      <c r="E259" s="1">
        <f ca="1">IFERROR(__xludf.DUMMYFUNCTION("""COMPUTED_VALUE"""),123.22)</f>
        <v>123.22</v>
      </c>
      <c r="F259" s="1">
        <f ca="1">IFERROR(__xludf.DUMMYFUNCTION("""COMPUTED_VALUE"""),183810771)</f>
        <v>183810771</v>
      </c>
    </row>
    <row r="260" spans="1:6" ht="12.6">
      <c r="A260" s="2">
        <f ca="1">IFERROR(__xludf.DUMMYFUNCTION("""COMPUTED_VALUE"""),44938.6666666666)</f>
        <v>44938.666666666599</v>
      </c>
      <c r="B260" s="1">
        <f ca="1">IFERROR(__xludf.DUMMYFUNCTION("""COMPUTED_VALUE"""),122.56)</f>
        <v>122.56</v>
      </c>
      <c r="C260" s="1">
        <f ca="1">IFERROR(__xludf.DUMMYFUNCTION("""COMPUTED_VALUE"""),124.13)</f>
        <v>124.13</v>
      </c>
      <c r="D260" s="1">
        <f ca="1">IFERROR(__xludf.DUMMYFUNCTION("""COMPUTED_VALUE"""),117)</f>
        <v>117</v>
      </c>
      <c r="E260" s="1">
        <f ca="1">IFERROR(__xludf.DUMMYFUNCTION("""COMPUTED_VALUE"""),123.56)</f>
        <v>123.56</v>
      </c>
      <c r="F260" s="1">
        <f ca="1">IFERROR(__xludf.DUMMYFUNCTION("""COMPUTED_VALUE"""),169400913)</f>
        <v>169400913</v>
      </c>
    </row>
    <row r="261" spans="1:6" ht="12.6">
      <c r="A261" s="2">
        <f ca="1">IFERROR(__xludf.DUMMYFUNCTION("""COMPUTED_VALUE"""),44939.6666666666)</f>
        <v>44939.666666666599</v>
      </c>
      <c r="B261" s="1">
        <f ca="1">IFERROR(__xludf.DUMMYFUNCTION("""COMPUTED_VALUE"""),116.55)</f>
        <v>116.55</v>
      </c>
      <c r="C261" s="1">
        <f ca="1">IFERROR(__xludf.DUMMYFUNCTION("""COMPUTED_VALUE"""),122.63)</f>
        <v>122.63</v>
      </c>
      <c r="D261" s="1">
        <f ca="1">IFERROR(__xludf.DUMMYFUNCTION("""COMPUTED_VALUE"""),115.6)</f>
        <v>115.6</v>
      </c>
      <c r="E261" s="1">
        <f ca="1">IFERROR(__xludf.DUMMYFUNCTION("""COMPUTED_VALUE"""),122.4)</f>
        <v>122.4</v>
      </c>
      <c r="F261" s="1">
        <f ca="1">IFERROR(__xludf.DUMMYFUNCTION("""COMPUTED_VALUE"""),180714119)</f>
        <v>180714119</v>
      </c>
    </row>
    <row r="262" spans="1:6" ht="12.6">
      <c r="A262" s="2">
        <f ca="1">IFERROR(__xludf.DUMMYFUNCTION("""COMPUTED_VALUE"""),44943.6666666666)</f>
        <v>44943.666666666599</v>
      </c>
      <c r="B262" s="1">
        <f ca="1">IFERROR(__xludf.DUMMYFUNCTION("""COMPUTED_VALUE"""),125.7)</f>
        <v>125.7</v>
      </c>
      <c r="C262" s="1">
        <f ca="1">IFERROR(__xludf.DUMMYFUNCTION("""COMPUTED_VALUE"""),131.7)</f>
        <v>131.69999999999999</v>
      </c>
      <c r="D262" s="1">
        <f ca="1">IFERROR(__xludf.DUMMYFUNCTION("""COMPUTED_VALUE"""),125.02)</f>
        <v>125.02</v>
      </c>
      <c r="E262" s="1">
        <f ca="1">IFERROR(__xludf.DUMMYFUNCTION("""COMPUTED_VALUE"""),131.49)</f>
        <v>131.49</v>
      </c>
      <c r="F262" s="1">
        <f ca="1">IFERROR(__xludf.DUMMYFUNCTION("""COMPUTED_VALUE"""),186476985)</f>
        <v>186476985</v>
      </c>
    </row>
    <row r="263" spans="1:6" ht="12.6">
      <c r="A263" s="2">
        <f ca="1">IFERROR(__xludf.DUMMYFUNCTION("""COMPUTED_VALUE"""),44944.6666666666)</f>
        <v>44944.666666666599</v>
      </c>
      <c r="B263" s="1">
        <f ca="1">IFERROR(__xludf.DUMMYFUNCTION("""COMPUTED_VALUE"""),136.56)</f>
        <v>136.56</v>
      </c>
      <c r="C263" s="1">
        <f ca="1">IFERROR(__xludf.DUMMYFUNCTION("""COMPUTED_VALUE"""),136.68)</f>
        <v>136.68</v>
      </c>
      <c r="D263" s="1">
        <f ca="1">IFERROR(__xludf.DUMMYFUNCTION("""COMPUTED_VALUE"""),127.01)</f>
        <v>127.01</v>
      </c>
      <c r="E263" s="1">
        <f ca="1">IFERROR(__xludf.DUMMYFUNCTION("""COMPUTED_VALUE"""),128.78)</f>
        <v>128.78</v>
      </c>
      <c r="F263" s="1">
        <f ca="1">IFERROR(__xludf.DUMMYFUNCTION("""COMPUTED_VALUE"""),195680318)</f>
        <v>195680318</v>
      </c>
    </row>
    <row r="264" spans="1:6" ht="12.6">
      <c r="A264" s="2">
        <f ca="1">IFERROR(__xludf.DUMMYFUNCTION("""COMPUTED_VALUE"""),44945.6666666666)</f>
        <v>44945.666666666599</v>
      </c>
      <c r="B264" s="1">
        <f ca="1">IFERROR(__xludf.DUMMYFUNCTION("""COMPUTED_VALUE"""),127.26)</f>
        <v>127.26</v>
      </c>
      <c r="C264" s="1">
        <f ca="1">IFERROR(__xludf.DUMMYFUNCTION("""COMPUTED_VALUE"""),129.99)</f>
        <v>129.99</v>
      </c>
      <c r="D264" s="1">
        <f ca="1">IFERROR(__xludf.DUMMYFUNCTION("""COMPUTED_VALUE"""),124.31)</f>
        <v>124.31</v>
      </c>
      <c r="E264" s="1">
        <f ca="1">IFERROR(__xludf.DUMMYFUNCTION("""COMPUTED_VALUE"""),127.17)</f>
        <v>127.17</v>
      </c>
      <c r="F264" s="1">
        <f ca="1">IFERROR(__xludf.DUMMYFUNCTION("""COMPUTED_VALUE"""),170291880)</f>
        <v>170291880</v>
      </c>
    </row>
    <row r="265" spans="1:6" ht="12.6">
      <c r="A265" s="2">
        <f ca="1">IFERROR(__xludf.DUMMYFUNCTION("""COMPUTED_VALUE"""),44946.6666666666)</f>
        <v>44946.666666666599</v>
      </c>
      <c r="B265" s="1">
        <f ca="1">IFERROR(__xludf.DUMMYFUNCTION("""COMPUTED_VALUE"""),128.68)</f>
        <v>128.68</v>
      </c>
      <c r="C265" s="1">
        <f ca="1">IFERROR(__xludf.DUMMYFUNCTION("""COMPUTED_VALUE"""),133.51)</f>
        <v>133.51</v>
      </c>
      <c r="D265" s="1">
        <f ca="1">IFERROR(__xludf.DUMMYFUNCTION("""COMPUTED_VALUE"""),127.35)</f>
        <v>127.35</v>
      </c>
      <c r="E265" s="1">
        <f ca="1">IFERROR(__xludf.DUMMYFUNCTION("""COMPUTED_VALUE"""),133.42)</f>
        <v>133.41999999999999</v>
      </c>
      <c r="F265" s="1">
        <f ca="1">IFERROR(__xludf.DUMMYFUNCTION("""COMPUTED_VALUE"""),138858136)</f>
        <v>138858136</v>
      </c>
    </row>
    <row r="266" spans="1:6" ht="12.6">
      <c r="A266" s="2">
        <f ca="1">IFERROR(__xludf.DUMMYFUNCTION("""COMPUTED_VALUE"""),44949.6666666666)</f>
        <v>44949.666666666599</v>
      </c>
      <c r="B266" s="1">
        <f ca="1">IFERROR(__xludf.DUMMYFUNCTION("""COMPUTED_VALUE"""),135.87)</f>
        <v>135.87</v>
      </c>
      <c r="C266" s="1">
        <f ca="1">IFERROR(__xludf.DUMMYFUNCTION("""COMPUTED_VALUE"""),145.38)</f>
        <v>145.38</v>
      </c>
      <c r="D266" s="1">
        <f ca="1">IFERROR(__xludf.DUMMYFUNCTION("""COMPUTED_VALUE"""),134.27)</f>
        <v>134.27000000000001</v>
      </c>
      <c r="E266" s="1">
        <f ca="1">IFERROR(__xludf.DUMMYFUNCTION("""COMPUTED_VALUE"""),143.75)</f>
        <v>143.75</v>
      </c>
      <c r="F266" s="1">
        <f ca="1">IFERROR(__xludf.DUMMYFUNCTION("""COMPUTED_VALUE"""),203119211)</f>
        <v>203119211</v>
      </c>
    </row>
    <row r="267" spans="1:6" ht="12.6">
      <c r="A267" s="2">
        <f ca="1">IFERROR(__xludf.DUMMYFUNCTION("""COMPUTED_VALUE"""),44950.6666666666)</f>
        <v>44950.666666666599</v>
      </c>
      <c r="B267" s="1">
        <f ca="1">IFERROR(__xludf.DUMMYFUNCTION("""COMPUTED_VALUE"""),143)</f>
        <v>143</v>
      </c>
      <c r="C267" s="1">
        <f ca="1">IFERROR(__xludf.DUMMYFUNCTION("""COMPUTED_VALUE"""),146.5)</f>
        <v>146.5</v>
      </c>
      <c r="D267" s="1">
        <f ca="1">IFERROR(__xludf.DUMMYFUNCTION("""COMPUTED_VALUE"""),141.1)</f>
        <v>141.1</v>
      </c>
      <c r="E267" s="1">
        <f ca="1">IFERROR(__xludf.DUMMYFUNCTION("""COMPUTED_VALUE"""),143.89)</f>
        <v>143.88999999999999</v>
      </c>
      <c r="F267" s="1">
        <f ca="1">IFERROR(__xludf.DUMMYFUNCTION("""COMPUTED_VALUE"""),158699056)</f>
        <v>158699056</v>
      </c>
    </row>
    <row r="268" spans="1:6" ht="12.6">
      <c r="A268" s="2">
        <f ca="1">IFERROR(__xludf.DUMMYFUNCTION("""COMPUTED_VALUE"""),44951.6666666666)</f>
        <v>44951.666666666599</v>
      </c>
      <c r="B268" s="1">
        <f ca="1">IFERROR(__xludf.DUMMYFUNCTION("""COMPUTED_VALUE"""),141.91)</f>
        <v>141.91</v>
      </c>
      <c r="C268" s="1">
        <f ca="1">IFERROR(__xludf.DUMMYFUNCTION("""COMPUTED_VALUE"""),146.41)</f>
        <v>146.41</v>
      </c>
      <c r="D268" s="1">
        <f ca="1">IFERROR(__xludf.DUMMYFUNCTION("""COMPUTED_VALUE"""),138.07)</f>
        <v>138.07</v>
      </c>
      <c r="E268" s="1">
        <f ca="1">IFERROR(__xludf.DUMMYFUNCTION("""COMPUTED_VALUE"""),144.43)</f>
        <v>144.43</v>
      </c>
      <c r="F268" s="1">
        <f ca="1">IFERROR(__xludf.DUMMYFUNCTION("""COMPUTED_VALUE"""),192734347)</f>
        <v>192734347</v>
      </c>
    </row>
    <row r="269" spans="1:6" ht="12.6">
      <c r="A269" s="2">
        <f ca="1">IFERROR(__xludf.DUMMYFUNCTION("""COMPUTED_VALUE"""),44952.6666666666)</f>
        <v>44952.666666666599</v>
      </c>
      <c r="B269" s="1">
        <f ca="1">IFERROR(__xludf.DUMMYFUNCTION("""COMPUTED_VALUE"""),159.97)</f>
        <v>159.97</v>
      </c>
      <c r="C269" s="1">
        <f ca="1">IFERROR(__xludf.DUMMYFUNCTION("""COMPUTED_VALUE"""),161.42)</f>
        <v>161.41999999999999</v>
      </c>
      <c r="D269" s="1">
        <f ca="1">IFERROR(__xludf.DUMMYFUNCTION("""COMPUTED_VALUE"""),154.76)</f>
        <v>154.76</v>
      </c>
      <c r="E269" s="1">
        <f ca="1">IFERROR(__xludf.DUMMYFUNCTION("""COMPUTED_VALUE"""),160.27)</f>
        <v>160.27000000000001</v>
      </c>
      <c r="F269" s="1">
        <f ca="1">IFERROR(__xludf.DUMMYFUNCTION("""COMPUTED_VALUE"""),234815090)</f>
        <v>234815090</v>
      </c>
    </row>
    <row r="270" spans="1:6" ht="12.6">
      <c r="A270" s="2">
        <f ca="1">IFERROR(__xludf.DUMMYFUNCTION("""COMPUTED_VALUE"""),44953.6666666666)</f>
        <v>44953.666666666599</v>
      </c>
      <c r="B270" s="1">
        <f ca="1">IFERROR(__xludf.DUMMYFUNCTION("""COMPUTED_VALUE"""),162.43)</f>
        <v>162.43</v>
      </c>
      <c r="C270" s="1">
        <f ca="1">IFERROR(__xludf.DUMMYFUNCTION("""COMPUTED_VALUE"""),180.68)</f>
        <v>180.68</v>
      </c>
      <c r="D270" s="1">
        <f ca="1">IFERROR(__xludf.DUMMYFUNCTION("""COMPUTED_VALUE"""),161.17)</f>
        <v>161.16999999999999</v>
      </c>
      <c r="E270" s="1">
        <f ca="1">IFERROR(__xludf.DUMMYFUNCTION("""COMPUTED_VALUE"""),177.9)</f>
        <v>177.9</v>
      </c>
      <c r="F270" s="1">
        <f ca="1">IFERROR(__xludf.DUMMYFUNCTION("""COMPUTED_VALUE"""),306590613)</f>
        <v>306590613</v>
      </c>
    </row>
    <row r="271" spans="1:6" ht="12.6">
      <c r="A271" s="2">
        <f ca="1">IFERROR(__xludf.DUMMYFUNCTION("""COMPUTED_VALUE"""),44956.6666666666)</f>
        <v>44956.666666666599</v>
      </c>
      <c r="B271" s="1">
        <f ca="1">IFERROR(__xludf.DUMMYFUNCTION("""COMPUTED_VALUE"""),178.05)</f>
        <v>178.05</v>
      </c>
      <c r="C271" s="1">
        <f ca="1">IFERROR(__xludf.DUMMYFUNCTION("""COMPUTED_VALUE"""),179.77)</f>
        <v>179.77</v>
      </c>
      <c r="D271" s="1">
        <f ca="1">IFERROR(__xludf.DUMMYFUNCTION("""COMPUTED_VALUE"""),166.5)</f>
        <v>166.5</v>
      </c>
      <c r="E271" s="1">
        <f ca="1">IFERROR(__xludf.DUMMYFUNCTION("""COMPUTED_VALUE"""),166.66)</f>
        <v>166.66</v>
      </c>
      <c r="F271" s="1">
        <f ca="1">IFERROR(__xludf.DUMMYFUNCTION("""COMPUTED_VALUE"""),230878807)</f>
        <v>230878807</v>
      </c>
    </row>
    <row r="272" spans="1:6" ht="12.6">
      <c r="A272" s="2">
        <f ca="1">IFERROR(__xludf.DUMMYFUNCTION("""COMPUTED_VALUE"""),44957.6666666666)</f>
        <v>44957.666666666599</v>
      </c>
      <c r="B272" s="1">
        <f ca="1">IFERROR(__xludf.DUMMYFUNCTION("""COMPUTED_VALUE"""),164.57)</f>
        <v>164.57</v>
      </c>
      <c r="C272" s="1">
        <f ca="1">IFERROR(__xludf.DUMMYFUNCTION("""COMPUTED_VALUE"""),174.3)</f>
        <v>174.3</v>
      </c>
      <c r="D272" s="1">
        <f ca="1">IFERROR(__xludf.DUMMYFUNCTION("""COMPUTED_VALUE"""),162.78)</f>
        <v>162.78</v>
      </c>
      <c r="E272" s="1">
        <f ca="1">IFERROR(__xludf.DUMMYFUNCTION("""COMPUTED_VALUE"""),173.22)</f>
        <v>173.22</v>
      </c>
      <c r="F272" s="1">
        <f ca="1">IFERROR(__xludf.DUMMYFUNCTION("""COMPUTED_VALUE"""),196813541)</f>
        <v>196813541</v>
      </c>
    </row>
    <row r="273" spans="1:6" ht="12.6">
      <c r="A273" s="2">
        <f ca="1">IFERROR(__xludf.DUMMYFUNCTION("""COMPUTED_VALUE"""),44958.6666666666)</f>
        <v>44958.666666666599</v>
      </c>
      <c r="B273" s="1">
        <f ca="1">IFERROR(__xludf.DUMMYFUNCTION("""COMPUTED_VALUE"""),173.89)</f>
        <v>173.89</v>
      </c>
      <c r="C273" s="1">
        <f ca="1">IFERROR(__xludf.DUMMYFUNCTION("""COMPUTED_VALUE"""),183.81)</f>
        <v>183.81</v>
      </c>
      <c r="D273" s="1">
        <f ca="1">IFERROR(__xludf.DUMMYFUNCTION("""COMPUTED_VALUE"""),169.93)</f>
        <v>169.93</v>
      </c>
      <c r="E273" s="1">
        <f ca="1">IFERROR(__xludf.DUMMYFUNCTION("""COMPUTED_VALUE"""),181.41)</f>
        <v>181.41</v>
      </c>
      <c r="F273" s="1">
        <f ca="1">IFERROR(__xludf.DUMMYFUNCTION("""COMPUTED_VALUE"""),213806323)</f>
        <v>213806323</v>
      </c>
    </row>
    <row r="274" spans="1:6" ht="12.6">
      <c r="A274" s="2">
        <f ca="1">IFERROR(__xludf.DUMMYFUNCTION("""COMPUTED_VALUE"""),44959.6666666666)</f>
        <v>44959.666666666599</v>
      </c>
      <c r="B274" s="1">
        <f ca="1">IFERROR(__xludf.DUMMYFUNCTION("""COMPUTED_VALUE"""),187.33)</f>
        <v>187.33</v>
      </c>
      <c r="C274" s="1">
        <f ca="1">IFERROR(__xludf.DUMMYFUNCTION("""COMPUTED_VALUE"""),196.75)</f>
        <v>196.75</v>
      </c>
      <c r="D274" s="1">
        <f ca="1">IFERROR(__xludf.DUMMYFUNCTION("""COMPUTED_VALUE"""),182.61)</f>
        <v>182.61</v>
      </c>
      <c r="E274" s="1">
        <f ca="1">IFERROR(__xludf.DUMMYFUNCTION("""COMPUTED_VALUE"""),188.27)</f>
        <v>188.27</v>
      </c>
      <c r="F274" s="1">
        <f ca="1">IFERROR(__xludf.DUMMYFUNCTION("""COMPUTED_VALUE"""),217448287)</f>
        <v>217448287</v>
      </c>
    </row>
    <row r="275" spans="1:6" ht="12.6">
      <c r="A275" s="2">
        <f ca="1">IFERROR(__xludf.DUMMYFUNCTION("""COMPUTED_VALUE"""),44960.6666666666)</f>
        <v>44960.666666666599</v>
      </c>
      <c r="B275" s="1">
        <f ca="1">IFERROR(__xludf.DUMMYFUNCTION("""COMPUTED_VALUE"""),183.95)</f>
        <v>183.95</v>
      </c>
      <c r="C275" s="1">
        <f ca="1">IFERROR(__xludf.DUMMYFUNCTION("""COMPUTED_VALUE"""),199)</f>
        <v>199</v>
      </c>
      <c r="D275" s="1">
        <f ca="1">IFERROR(__xludf.DUMMYFUNCTION("""COMPUTED_VALUE"""),183.69)</f>
        <v>183.69</v>
      </c>
      <c r="E275" s="1">
        <f ca="1">IFERROR(__xludf.DUMMYFUNCTION("""COMPUTED_VALUE"""),189.98)</f>
        <v>189.98</v>
      </c>
      <c r="F275" s="1">
        <f ca="1">IFERROR(__xludf.DUMMYFUNCTION("""COMPUTED_VALUE"""),232662023)</f>
        <v>232662023</v>
      </c>
    </row>
    <row r="276" spans="1:6" ht="12.6">
      <c r="A276" s="2">
        <f ca="1">IFERROR(__xludf.DUMMYFUNCTION("""COMPUTED_VALUE"""),44963.6666666666)</f>
        <v>44963.666666666599</v>
      </c>
      <c r="B276" s="1">
        <f ca="1">IFERROR(__xludf.DUMMYFUNCTION("""COMPUTED_VALUE"""),193.01)</f>
        <v>193.01</v>
      </c>
      <c r="C276" s="1">
        <f ca="1">IFERROR(__xludf.DUMMYFUNCTION("""COMPUTED_VALUE"""),198.17)</f>
        <v>198.17</v>
      </c>
      <c r="D276" s="1">
        <f ca="1">IFERROR(__xludf.DUMMYFUNCTION("""COMPUTED_VALUE"""),189.92)</f>
        <v>189.92</v>
      </c>
      <c r="E276" s="1">
        <f ca="1">IFERROR(__xludf.DUMMYFUNCTION("""COMPUTED_VALUE"""),194.76)</f>
        <v>194.76</v>
      </c>
      <c r="F276" s="1">
        <f ca="1">IFERROR(__xludf.DUMMYFUNCTION("""COMPUTED_VALUE"""),186188131)</f>
        <v>186188131</v>
      </c>
    </row>
    <row r="277" spans="1:6" ht="12.6">
      <c r="A277" s="2">
        <f ca="1">IFERROR(__xludf.DUMMYFUNCTION("""COMPUTED_VALUE"""),44964.6666666666)</f>
        <v>44964.666666666599</v>
      </c>
      <c r="B277" s="1">
        <f ca="1">IFERROR(__xludf.DUMMYFUNCTION("""COMPUTED_VALUE"""),196.43)</f>
        <v>196.43</v>
      </c>
      <c r="C277" s="1">
        <f ca="1">IFERROR(__xludf.DUMMYFUNCTION("""COMPUTED_VALUE"""),197.5)</f>
        <v>197.5</v>
      </c>
      <c r="D277" s="1">
        <f ca="1">IFERROR(__xludf.DUMMYFUNCTION("""COMPUTED_VALUE"""),189.55)</f>
        <v>189.55</v>
      </c>
      <c r="E277" s="1">
        <f ca="1">IFERROR(__xludf.DUMMYFUNCTION("""COMPUTED_VALUE"""),196.81)</f>
        <v>196.81</v>
      </c>
      <c r="F277" s="1">
        <f ca="1">IFERROR(__xludf.DUMMYFUNCTION("""COMPUTED_VALUE"""),186010325)</f>
        <v>186010325</v>
      </c>
    </row>
    <row r="278" spans="1:6" ht="12.6">
      <c r="A278" s="2">
        <f ca="1">IFERROR(__xludf.DUMMYFUNCTION("""COMPUTED_VALUE"""),44965.6666666666)</f>
        <v>44965.666666666599</v>
      </c>
      <c r="B278" s="1">
        <f ca="1">IFERROR(__xludf.DUMMYFUNCTION("""COMPUTED_VALUE"""),196.1)</f>
        <v>196.1</v>
      </c>
      <c r="C278" s="1">
        <f ca="1">IFERROR(__xludf.DUMMYFUNCTION("""COMPUTED_VALUE"""),203)</f>
        <v>203</v>
      </c>
      <c r="D278" s="1">
        <f ca="1">IFERROR(__xludf.DUMMYFUNCTION("""COMPUTED_VALUE"""),194.31)</f>
        <v>194.31</v>
      </c>
      <c r="E278" s="1">
        <f ca="1">IFERROR(__xludf.DUMMYFUNCTION("""COMPUTED_VALUE"""),201.29)</f>
        <v>201.29</v>
      </c>
      <c r="F278" s="1">
        <f ca="1">IFERROR(__xludf.DUMMYFUNCTION("""COMPUTED_VALUE"""),180673644)</f>
        <v>180673644</v>
      </c>
    </row>
    <row r="279" spans="1:6" ht="12.6">
      <c r="A279" s="2">
        <f ca="1">IFERROR(__xludf.DUMMYFUNCTION("""COMPUTED_VALUE"""),44966.6666666666)</f>
        <v>44966.666666666599</v>
      </c>
      <c r="B279" s="1">
        <f ca="1">IFERROR(__xludf.DUMMYFUNCTION("""COMPUTED_VALUE"""),207.78)</f>
        <v>207.78</v>
      </c>
      <c r="C279" s="1">
        <f ca="1">IFERROR(__xludf.DUMMYFUNCTION("""COMPUTED_VALUE"""),214)</f>
        <v>214</v>
      </c>
      <c r="D279" s="1">
        <f ca="1">IFERROR(__xludf.DUMMYFUNCTION("""COMPUTED_VALUE"""),204.77)</f>
        <v>204.77</v>
      </c>
      <c r="E279" s="1">
        <f ca="1">IFERROR(__xludf.DUMMYFUNCTION("""COMPUTED_VALUE"""),207.32)</f>
        <v>207.32</v>
      </c>
      <c r="F279" s="1">
        <f ca="1">IFERROR(__xludf.DUMMYFUNCTION("""COMPUTED_VALUE"""),215431442)</f>
        <v>215431442</v>
      </c>
    </row>
    <row r="280" spans="1:6" ht="12.6">
      <c r="A280" s="2">
        <f ca="1">IFERROR(__xludf.DUMMYFUNCTION("""COMPUTED_VALUE"""),44967.6666666666)</f>
        <v>44967.666666666599</v>
      </c>
      <c r="B280" s="1">
        <f ca="1">IFERROR(__xludf.DUMMYFUNCTION("""COMPUTED_VALUE"""),202.23)</f>
        <v>202.23</v>
      </c>
      <c r="C280" s="1">
        <f ca="1">IFERROR(__xludf.DUMMYFUNCTION("""COMPUTED_VALUE"""),206.2)</f>
        <v>206.2</v>
      </c>
      <c r="D280" s="1">
        <f ca="1">IFERROR(__xludf.DUMMYFUNCTION("""COMPUTED_VALUE"""),192.89)</f>
        <v>192.89</v>
      </c>
      <c r="E280" s="1">
        <f ca="1">IFERROR(__xludf.DUMMYFUNCTION("""COMPUTED_VALUE"""),196.89)</f>
        <v>196.89</v>
      </c>
      <c r="F280" s="1">
        <f ca="1">IFERROR(__xludf.DUMMYFUNCTION("""COMPUTED_VALUE"""),204754129)</f>
        <v>204754129</v>
      </c>
    </row>
    <row r="281" spans="1:6" ht="12.6">
      <c r="A281" s="2">
        <f ca="1">IFERROR(__xludf.DUMMYFUNCTION("""COMPUTED_VALUE"""),44970.6666666666)</f>
        <v>44970.666666666599</v>
      </c>
      <c r="B281" s="1">
        <f ca="1">IFERROR(__xludf.DUMMYFUNCTION("""COMPUTED_VALUE"""),194.42)</f>
        <v>194.42</v>
      </c>
      <c r="C281" s="1">
        <f ca="1">IFERROR(__xludf.DUMMYFUNCTION("""COMPUTED_VALUE"""),196.3)</f>
        <v>196.3</v>
      </c>
      <c r="D281" s="1">
        <f ca="1">IFERROR(__xludf.DUMMYFUNCTION("""COMPUTED_VALUE"""),187.61)</f>
        <v>187.61</v>
      </c>
      <c r="E281" s="1">
        <f ca="1">IFERROR(__xludf.DUMMYFUNCTION("""COMPUTED_VALUE"""),194.64)</f>
        <v>194.64</v>
      </c>
      <c r="F281" s="1">
        <f ca="1">IFERROR(__xludf.DUMMYFUNCTION("""COMPUTED_VALUE"""),172475452)</f>
        <v>172475452</v>
      </c>
    </row>
    <row r="282" spans="1:6" ht="12.6">
      <c r="A282" s="2">
        <f ca="1">IFERROR(__xludf.DUMMYFUNCTION("""COMPUTED_VALUE"""),44971.6666666666)</f>
        <v>44971.666666666599</v>
      </c>
      <c r="B282" s="1">
        <f ca="1">IFERROR(__xludf.DUMMYFUNCTION("""COMPUTED_VALUE"""),191.94)</f>
        <v>191.94</v>
      </c>
      <c r="C282" s="1">
        <f ca="1">IFERROR(__xludf.DUMMYFUNCTION("""COMPUTED_VALUE"""),209.82)</f>
        <v>209.82</v>
      </c>
      <c r="D282" s="1">
        <f ca="1">IFERROR(__xludf.DUMMYFUNCTION("""COMPUTED_VALUE"""),189.44)</f>
        <v>189.44</v>
      </c>
      <c r="E282" s="1">
        <f ca="1">IFERROR(__xludf.DUMMYFUNCTION("""COMPUTED_VALUE"""),209.25)</f>
        <v>209.25</v>
      </c>
      <c r="F282" s="1">
        <f ca="1">IFERROR(__xludf.DUMMYFUNCTION("""COMPUTED_VALUE"""),216455708)</f>
        <v>216455708</v>
      </c>
    </row>
    <row r="283" spans="1:6" ht="12.6">
      <c r="A283" s="2">
        <f ca="1">IFERROR(__xludf.DUMMYFUNCTION("""COMPUTED_VALUE"""),44972.6666666666)</f>
        <v>44972.666666666599</v>
      </c>
      <c r="B283" s="1">
        <f ca="1">IFERROR(__xludf.DUMMYFUNCTION("""COMPUTED_VALUE"""),211.76)</f>
        <v>211.76</v>
      </c>
      <c r="C283" s="1">
        <f ca="1">IFERROR(__xludf.DUMMYFUNCTION("""COMPUTED_VALUE"""),214.66)</f>
        <v>214.66</v>
      </c>
      <c r="D283" s="1">
        <f ca="1">IFERROR(__xludf.DUMMYFUNCTION("""COMPUTED_VALUE"""),206.11)</f>
        <v>206.11</v>
      </c>
      <c r="E283" s="1">
        <f ca="1">IFERROR(__xludf.DUMMYFUNCTION("""COMPUTED_VALUE"""),214.24)</f>
        <v>214.24</v>
      </c>
      <c r="F283" s="1">
        <f ca="1">IFERROR(__xludf.DUMMYFUNCTION("""COMPUTED_VALUE"""),182108581)</f>
        <v>182108581</v>
      </c>
    </row>
    <row r="284" spans="1:6" ht="12.6">
      <c r="A284" s="2">
        <f ca="1">IFERROR(__xludf.DUMMYFUNCTION("""COMPUTED_VALUE"""),44973.6666666666)</f>
        <v>44973.666666666599</v>
      </c>
      <c r="B284" s="1">
        <f ca="1">IFERROR(__xludf.DUMMYFUNCTION("""COMPUTED_VALUE"""),210.78)</f>
        <v>210.78</v>
      </c>
      <c r="C284" s="1">
        <f ca="1">IFERROR(__xludf.DUMMYFUNCTION("""COMPUTED_VALUE"""),217.65)</f>
        <v>217.65</v>
      </c>
      <c r="D284" s="1">
        <f ca="1">IFERROR(__xludf.DUMMYFUNCTION("""COMPUTED_VALUE"""),201.84)</f>
        <v>201.84</v>
      </c>
      <c r="E284" s="1">
        <f ca="1">IFERROR(__xludf.DUMMYFUNCTION("""COMPUTED_VALUE"""),202.04)</f>
        <v>202.04</v>
      </c>
      <c r="F284" s="1">
        <f ca="1">IFERROR(__xludf.DUMMYFUNCTION("""COMPUTED_VALUE"""),229586538)</f>
        <v>229586538</v>
      </c>
    </row>
    <row r="285" spans="1:6" ht="12.6">
      <c r="A285" s="2">
        <f ca="1">IFERROR(__xludf.DUMMYFUNCTION("""COMPUTED_VALUE"""),44974.6666666666)</f>
        <v>44974.666666666599</v>
      </c>
      <c r="B285" s="1">
        <f ca="1">IFERROR(__xludf.DUMMYFUNCTION("""COMPUTED_VALUE"""),199.99)</f>
        <v>199.99</v>
      </c>
      <c r="C285" s="1">
        <f ca="1">IFERROR(__xludf.DUMMYFUNCTION("""COMPUTED_VALUE"""),208.44)</f>
        <v>208.44</v>
      </c>
      <c r="D285" s="1">
        <f ca="1">IFERROR(__xludf.DUMMYFUNCTION("""COMPUTED_VALUE"""),197.5)</f>
        <v>197.5</v>
      </c>
      <c r="E285" s="1">
        <f ca="1">IFERROR(__xludf.DUMMYFUNCTION("""COMPUTED_VALUE"""),208.31)</f>
        <v>208.31</v>
      </c>
      <c r="F285" s="1">
        <f ca="1">IFERROR(__xludf.DUMMYFUNCTION("""COMPUTED_VALUE"""),213738549)</f>
        <v>213738549</v>
      </c>
    </row>
    <row r="286" spans="1:6" ht="12.6">
      <c r="A286" s="2">
        <f ca="1">IFERROR(__xludf.DUMMYFUNCTION("""COMPUTED_VALUE"""),44978.6666666666)</f>
        <v>44978.666666666599</v>
      </c>
      <c r="B286" s="1">
        <f ca="1">IFERROR(__xludf.DUMMYFUNCTION("""COMPUTED_VALUE"""),204.99)</f>
        <v>204.99</v>
      </c>
      <c r="C286" s="1">
        <f ca="1">IFERROR(__xludf.DUMMYFUNCTION("""COMPUTED_VALUE"""),209.71)</f>
        <v>209.71</v>
      </c>
      <c r="D286" s="1">
        <f ca="1">IFERROR(__xludf.DUMMYFUNCTION("""COMPUTED_VALUE"""),197.22)</f>
        <v>197.22</v>
      </c>
      <c r="E286" s="1">
        <f ca="1">IFERROR(__xludf.DUMMYFUNCTION("""COMPUTED_VALUE"""),197.37)</f>
        <v>197.37</v>
      </c>
      <c r="F286" s="1">
        <f ca="1">IFERROR(__xludf.DUMMYFUNCTION("""COMPUTED_VALUE"""),180018588)</f>
        <v>180018588</v>
      </c>
    </row>
    <row r="287" spans="1:6" ht="12.6">
      <c r="A287" s="2">
        <f ca="1">IFERROR(__xludf.DUMMYFUNCTION("""COMPUTED_VALUE"""),44979.6666666666)</f>
        <v>44979.666666666599</v>
      </c>
      <c r="B287" s="1">
        <f ca="1">IFERROR(__xludf.DUMMYFUNCTION("""COMPUTED_VALUE"""),197.93)</f>
        <v>197.93</v>
      </c>
      <c r="C287" s="1">
        <f ca="1">IFERROR(__xludf.DUMMYFUNCTION("""COMPUTED_VALUE"""),201.99)</f>
        <v>201.99</v>
      </c>
      <c r="D287" s="1">
        <f ca="1">IFERROR(__xludf.DUMMYFUNCTION("""COMPUTED_VALUE"""),191.78)</f>
        <v>191.78</v>
      </c>
      <c r="E287" s="1">
        <f ca="1">IFERROR(__xludf.DUMMYFUNCTION("""COMPUTED_VALUE"""),200.86)</f>
        <v>200.86</v>
      </c>
      <c r="F287" s="1">
        <f ca="1">IFERROR(__xludf.DUMMYFUNCTION("""COMPUTED_VALUE"""),191828457)</f>
        <v>191828457</v>
      </c>
    </row>
    <row r="288" spans="1:6" ht="12.6">
      <c r="A288" s="2">
        <f ca="1">IFERROR(__xludf.DUMMYFUNCTION("""COMPUTED_VALUE"""),44980.6666666666)</f>
        <v>44980.666666666599</v>
      </c>
      <c r="B288" s="1">
        <f ca="1">IFERROR(__xludf.DUMMYFUNCTION("""COMPUTED_VALUE"""),203.91)</f>
        <v>203.91</v>
      </c>
      <c r="C288" s="1">
        <f ca="1">IFERROR(__xludf.DUMMYFUNCTION("""COMPUTED_VALUE"""),205.14)</f>
        <v>205.14</v>
      </c>
      <c r="D288" s="1">
        <f ca="1">IFERROR(__xludf.DUMMYFUNCTION("""COMPUTED_VALUE"""),196.33)</f>
        <v>196.33</v>
      </c>
      <c r="E288" s="1">
        <f ca="1">IFERROR(__xludf.DUMMYFUNCTION("""COMPUTED_VALUE"""),202.07)</f>
        <v>202.07</v>
      </c>
      <c r="F288" s="1">
        <f ca="1">IFERROR(__xludf.DUMMYFUNCTION("""COMPUTED_VALUE"""),146359950)</f>
        <v>146359950</v>
      </c>
    </row>
    <row r="289" spans="1:6" ht="12.6">
      <c r="A289" s="2">
        <f ca="1">IFERROR(__xludf.DUMMYFUNCTION("""COMPUTED_VALUE"""),44981.6666666666)</f>
        <v>44981.666666666599</v>
      </c>
      <c r="B289" s="1">
        <f ca="1">IFERROR(__xludf.DUMMYFUNCTION("""COMPUTED_VALUE"""),196.33)</f>
        <v>196.33</v>
      </c>
      <c r="C289" s="1">
        <f ca="1">IFERROR(__xludf.DUMMYFUNCTION("""COMPUTED_VALUE"""),197.67)</f>
        <v>197.67</v>
      </c>
      <c r="D289" s="1">
        <f ca="1">IFERROR(__xludf.DUMMYFUNCTION("""COMPUTED_VALUE"""),192.8)</f>
        <v>192.8</v>
      </c>
      <c r="E289" s="1">
        <f ca="1">IFERROR(__xludf.DUMMYFUNCTION("""COMPUTED_VALUE"""),196.88)</f>
        <v>196.88</v>
      </c>
      <c r="F289" s="1">
        <f ca="1">IFERROR(__xludf.DUMMYFUNCTION("""COMPUTED_VALUE"""),142228105)</f>
        <v>142228105</v>
      </c>
    </row>
    <row r="290" spans="1:6" ht="12.6">
      <c r="A290" s="2">
        <f ca="1">IFERROR(__xludf.DUMMYFUNCTION("""COMPUTED_VALUE"""),44984.6666666666)</f>
        <v>44984.666666666599</v>
      </c>
      <c r="B290" s="1">
        <f ca="1">IFERROR(__xludf.DUMMYFUNCTION("""COMPUTED_VALUE"""),202.03)</f>
        <v>202.03</v>
      </c>
      <c r="C290" s="1">
        <f ca="1">IFERROR(__xludf.DUMMYFUNCTION("""COMPUTED_VALUE"""),209.42)</f>
        <v>209.42</v>
      </c>
      <c r="D290" s="1">
        <f ca="1">IFERROR(__xludf.DUMMYFUNCTION("""COMPUTED_VALUE"""),201.26)</f>
        <v>201.26</v>
      </c>
      <c r="E290" s="1">
        <f ca="1">IFERROR(__xludf.DUMMYFUNCTION("""COMPUTED_VALUE"""),207.63)</f>
        <v>207.63</v>
      </c>
      <c r="F290" s="1">
        <f ca="1">IFERROR(__xludf.DUMMYFUNCTION("""COMPUTED_VALUE"""),161028315)</f>
        <v>161028315</v>
      </c>
    </row>
    <row r="291" spans="1:6" ht="12.6">
      <c r="A291" s="2">
        <f ca="1">IFERROR(__xludf.DUMMYFUNCTION("""COMPUTED_VALUE"""),44985.6666666666)</f>
        <v>44985.666666666599</v>
      </c>
      <c r="B291" s="1">
        <f ca="1">IFERROR(__xludf.DUMMYFUNCTION("""COMPUTED_VALUE"""),210.59)</f>
        <v>210.59</v>
      </c>
      <c r="C291" s="1">
        <f ca="1">IFERROR(__xludf.DUMMYFUNCTION("""COMPUTED_VALUE"""),211.23)</f>
        <v>211.23</v>
      </c>
      <c r="D291" s="1">
        <f ca="1">IFERROR(__xludf.DUMMYFUNCTION("""COMPUTED_VALUE"""),203.75)</f>
        <v>203.75</v>
      </c>
      <c r="E291" s="1">
        <f ca="1">IFERROR(__xludf.DUMMYFUNCTION("""COMPUTED_VALUE"""),205.71)</f>
        <v>205.71</v>
      </c>
      <c r="F291" s="1">
        <f ca="1">IFERROR(__xludf.DUMMYFUNCTION("""COMPUTED_VALUE"""),153144912)</f>
        <v>153144912</v>
      </c>
    </row>
    <row r="292" spans="1:6" ht="12.6">
      <c r="A292" s="2">
        <f ca="1">IFERROR(__xludf.DUMMYFUNCTION("""COMPUTED_VALUE"""),44986.6666666666)</f>
        <v>44986.666666666599</v>
      </c>
      <c r="B292" s="1">
        <f ca="1">IFERROR(__xludf.DUMMYFUNCTION("""COMPUTED_VALUE"""),206.21)</f>
        <v>206.21</v>
      </c>
      <c r="C292" s="1">
        <f ca="1">IFERROR(__xludf.DUMMYFUNCTION("""COMPUTED_VALUE"""),207.2)</f>
        <v>207.2</v>
      </c>
      <c r="D292" s="1">
        <f ca="1">IFERROR(__xludf.DUMMYFUNCTION("""COMPUTED_VALUE"""),198.52)</f>
        <v>198.52</v>
      </c>
      <c r="E292" s="1">
        <f ca="1">IFERROR(__xludf.DUMMYFUNCTION("""COMPUTED_VALUE"""),202.77)</f>
        <v>202.77</v>
      </c>
      <c r="F292" s="1">
        <f ca="1">IFERROR(__xludf.DUMMYFUNCTION("""COMPUTED_VALUE"""),156852790)</f>
        <v>156852790</v>
      </c>
    </row>
    <row r="293" spans="1:6" ht="12.6">
      <c r="A293" s="2">
        <f ca="1">IFERROR(__xludf.DUMMYFUNCTION("""COMPUTED_VALUE"""),44987.6666666666)</f>
        <v>44987.666666666599</v>
      </c>
      <c r="B293" s="1">
        <f ca="1">IFERROR(__xludf.DUMMYFUNCTION("""COMPUTED_VALUE"""),186.74)</f>
        <v>186.74</v>
      </c>
      <c r="C293" s="1">
        <f ca="1">IFERROR(__xludf.DUMMYFUNCTION("""COMPUTED_VALUE"""),193.75)</f>
        <v>193.75</v>
      </c>
      <c r="D293" s="1">
        <f ca="1">IFERROR(__xludf.DUMMYFUNCTION("""COMPUTED_VALUE"""),186.01)</f>
        <v>186.01</v>
      </c>
      <c r="E293" s="1">
        <f ca="1">IFERROR(__xludf.DUMMYFUNCTION("""COMPUTED_VALUE"""),190.9)</f>
        <v>190.9</v>
      </c>
      <c r="F293" s="1">
        <f ca="1">IFERROR(__xludf.DUMMYFUNCTION("""COMPUTED_VALUE"""),181979154)</f>
        <v>181979154</v>
      </c>
    </row>
    <row r="294" spans="1:6" ht="12.6">
      <c r="A294" s="2">
        <f ca="1">IFERROR(__xludf.DUMMYFUNCTION("""COMPUTED_VALUE"""),44988.6666666666)</f>
        <v>44988.666666666599</v>
      </c>
      <c r="B294" s="1">
        <f ca="1">IFERROR(__xludf.DUMMYFUNCTION("""COMPUTED_VALUE"""),194.8)</f>
        <v>194.8</v>
      </c>
      <c r="C294" s="1">
        <f ca="1">IFERROR(__xludf.DUMMYFUNCTION("""COMPUTED_VALUE"""),200.48)</f>
        <v>200.48</v>
      </c>
      <c r="D294" s="1">
        <f ca="1">IFERROR(__xludf.DUMMYFUNCTION("""COMPUTED_VALUE"""),192.88)</f>
        <v>192.88</v>
      </c>
      <c r="E294" s="1">
        <f ca="1">IFERROR(__xludf.DUMMYFUNCTION("""COMPUTED_VALUE"""),197.79)</f>
        <v>197.79</v>
      </c>
      <c r="F294" s="1">
        <f ca="1">IFERROR(__xludf.DUMMYFUNCTION("""COMPUTED_VALUE"""),154193277)</f>
        <v>154193277</v>
      </c>
    </row>
    <row r="295" spans="1:6" ht="12.6">
      <c r="A295" s="2">
        <f ca="1">IFERROR(__xludf.DUMMYFUNCTION("""COMPUTED_VALUE"""),44991.6666666666)</f>
        <v>44991.666666666599</v>
      </c>
      <c r="B295" s="1">
        <f ca="1">IFERROR(__xludf.DUMMYFUNCTION("""COMPUTED_VALUE"""),198.54)</f>
        <v>198.54</v>
      </c>
      <c r="C295" s="1">
        <f ca="1">IFERROR(__xludf.DUMMYFUNCTION("""COMPUTED_VALUE"""),198.6)</f>
        <v>198.6</v>
      </c>
      <c r="D295" s="1">
        <f ca="1">IFERROR(__xludf.DUMMYFUNCTION("""COMPUTED_VALUE"""),192.3)</f>
        <v>192.3</v>
      </c>
      <c r="E295" s="1">
        <f ca="1">IFERROR(__xludf.DUMMYFUNCTION("""COMPUTED_VALUE"""),193.81)</f>
        <v>193.81</v>
      </c>
      <c r="F295" s="1">
        <f ca="1">IFERROR(__xludf.DUMMYFUNCTION("""COMPUTED_VALUE"""),128100106)</f>
        <v>128100106</v>
      </c>
    </row>
    <row r="296" spans="1:6" ht="12.6">
      <c r="A296" s="2">
        <f ca="1">IFERROR(__xludf.DUMMYFUNCTION("""COMPUTED_VALUE"""),44992.6666666666)</f>
        <v>44992.666666666599</v>
      </c>
      <c r="B296" s="1">
        <f ca="1">IFERROR(__xludf.DUMMYFUNCTION("""COMPUTED_VALUE"""),191.38)</f>
        <v>191.38</v>
      </c>
      <c r="C296" s="1">
        <f ca="1">IFERROR(__xludf.DUMMYFUNCTION("""COMPUTED_VALUE"""),194.2)</f>
        <v>194.2</v>
      </c>
      <c r="D296" s="1">
        <f ca="1">IFERROR(__xludf.DUMMYFUNCTION("""COMPUTED_VALUE"""),186.1)</f>
        <v>186.1</v>
      </c>
      <c r="E296" s="1">
        <f ca="1">IFERROR(__xludf.DUMMYFUNCTION("""COMPUTED_VALUE"""),187.71)</f>
        <v>187.71</v>
      </c>
      <c r="F296" s="1">
        <f ca="1">IFERROR(__xludf.DUMMYFUNCTION("""COMPUTED_VALUE"""),148125790)</f>
        <v>148125790</v>
      </c>
    </row>
    <row r="297" spans="1:6" ht="12.6">
      <c r="A297" s="2">
        <f ca="1">IFERROR(__xludf.DUMMYFUNCTION("""COMPUTED_VALUE"""),44993.6666666666)</f>
        <v>44993.666666666599</v>
      </c>
      <c r="B297" s="1">
        <f ca="1">IFERROR(__xludf.DUMMYFUNCTION("""COMPUTED_VALUE"""),185.04)</f>
        <v>185.04</v>
      </c>
      <c r="C297" s="1">
        <f ca="1">IFERROR(__xludf.DUMMYFUNCTION("""COMPUTED_VALUE"""),186.5)</f>
        <v>186.5</v>
      </c>
      <c r="D297" s="1">
        <f ca="1">IFERROR(__xludf.DUMMYFUNCTION("""COMPUTED_VALUE"""),180)</f>
        <v>180</v>
      </c>
      <c r="E297" s="1">
        <f ca="1">IFERROR(__xludf.DUMMYFUNCTION("""COMPUTED_VALUE"""),182)</f>
        <v>182</v>
      </c>
      <c r="F297" s="1">
        <f ca="1">IFERROR(__xludf.DUMMYFUNCTION("""COMPUTED_VALUE"""),151897763)</f>
        <v>151897763</v>
      </c>
    </row>
    <row r="298" spans="1:6" ht="12.6">
      <c r="A298" s="2">
        <f ca="1">IFERROR(__xludf.DUMMYFUNCTION("""COMPUTED_VALUE"""),44994.6666666666)</f>
        <v>44994.666666666599</v>
      </c>
      <c r="B298" s="1">
        <f ca="1">IFERROR(__xludf.DUMMYFUNCTION("""COMPUTED_VALUE"""),180.25)</f>
        <v>180.25</v>
      </c>
      <c r="C298" s="1">
        <f ca="1">IFERROR(__xludf.DUMMYFUNCTION("""COMPUTED_VALUE"""),185.18)</f>
        <v>185.18</v>
      </c>
      <c r="D298" s="1">
        <f ca="1">IFERROR(__xludf.DUMMYFUNCTION("""COMPUTED_VALUE"""),172.51)</f>
        <v>172.51</v>
      </c>
      <c r="E298" s="1">
        <f ca="1">IFERROR(__xludf.DUMMYFUNCTION("""COMPUTED_VALUE"""),172.92)</f>
        <v>172.92</v>
      </c>
      <c r="F298" s="1">
        <f ca="1">IFERROR(__xludf.DUMMYFUNCTION("""COMPUTED_VALUE"""),170023794)</f>
        <v>170023794</v>
      </c>
    </row>
    <row r="299" spans="1:6" ht="12.6">
      <c r="A299" s="2">
        <f ca="1">IFERROR(__xludf.DUMMYFUNCTION("""COMPUTED_VALUE"""),44995.6666666666)</f>
        <v>44995.666666666599</v>
      </c>
      <c r="B299" s="1">
        <f ca="1">IFERROR(__xludf.DUMMYFUNCTION("""COMPUTED_VALUE"""),175.13)</f>
        <v>175.13</v>
      </c>
      <c r="C299" s="1">
        <f ca="1">IFERROR(__xludf.DUMMYFUNCTION("""COMPUTED_VALUE"""),178.29)</f>
        <v>178.29</v>
      </c>
      <c r="D299" s="1">
        <f ca="1">IFERROR(__xludf.DUMMYFUNCTION("""COMPUTED_VALUE"""),168.44)</f>
        <v>168.44</v>
      </c>
      <c r="E299" s="1">
        <f ca="1">IFERROR(__xludf.DUMMYFUNCTION("""COMPUTED_VALUE"""),173.44)</f>
        <v>173.44</v>
      </c>
      <c r="F299" s="1">
        <f ca="1">IFERROR(__xludf.DUMMYFUNCTION("""COMPUTED_VALUE"""),191488872)</f>
        <v>191488872</v>
      </c>
    </row>
    <row r="300" spans="1:6" ht="12.6">
      <c r="A300" s="2">
        <f ca="1">IFERROR(__xludf.DUMMYFUNCTION("""COMPUTED_VALUE"""),44998.6666666666)</f>
        <v>44998.666666666599</v>
      </c>
      <c r="B300" s="1">
        <f ca="1">IFERROR(__xludf.DUMMYFUNCTION("""COMPUTED_VALUE"""),167.46)</f>
        <v>167.46</v>
      </c>
      <c r="C300" s="1">
        <f ca="1">IFERROR(__xludf.DUMMYFUNCTION("""COMPUTED_VALUE"""),177.35)</f>
        <v>177.35</v>
      </c>
      <c r="D300" s="1">
        <f ca="1">IFERROR(__xludf.DUMMYFUNCTION("""COMPUTED_VALUE"""),163.91)</f>
        <v>163.91</v>
      </c>
      <c r="E300" s="1">
        <f ca="1">IFERROR(__xludf.DUMMYFUNCTION("""COMPUTED_VALUE"""),174.48)</f>
        <v>174.48</v>
      </c>
      <c r="F300" s="1">
        <f ca="1">IFERROR(__xludf.DUMMYFUNCTION("""COMPUTED_VALUE"""),167790256)</f>
        <v>167790256</v>
      </c>
    </row>
    <row r="301" spans="1:6" ht="12.6">
      <c r="A301" s="2">
        <f ca="1">IFERROR(__xludf.DUMMYFUNCTION("""COMPUTED_VALUE"""),44999.6666666666)</f>
        <v>44999.666666666599</v>
      </c>
      <c r="B301" s="1">
        <f ca="1">IFERROR(__xludf.DUMMYFUNCTION("""COMPUTED_VALUE"""),177.31)</f>
        <v>177.31</v>
      </c>
      <c r="C301" s="1">
        <f ca="1">IFERROR(__xludf.DUMMYFUNCTION("""COMPUTED_VALUE"""),183.8)</f>
        <v>183.8</v>
      </c>
      <c r="D301" s="1">
        <f ca="1">IFERROR(__xludf.DUMMYFUNCTION("""COMPUTED_VALUE"""),177.14)</f>
        <v>177.14</v>
      </c>
      <c r="E301" s="1">
        <f ca="1">IFERROR(__xludf.DUMMYFUNCTION("""COMPUTED_VALUE"""),183.26)</f>
        <v>183.26</v>
      </c>
      <c r="F301" s="1">
        <f ca="1">IFERROR(__xludf.DUMMYFUNCTION("""COMPUTED_VALUE"""),143717897)</f>
        <v>143717897</v>
      </c>
    </row>
    <row r="302" spans="1:6" ht="12.6">
      <c r="A302" s="2">
        <f ca="1">IFERROR(__xludf.DUMMYFUNCTION("""COMPUTED_VALUE"""),45000.6666666666)</f>
        <v>45000.666666666599</v>
      </c>
      <c r="B302" s="1">
        <f ca="1">IFERROR(__xludf.DUMMYFUNCTION("""COMPUTED_VALUE"""),180.8)</f>
        <v>180.8</v>
      </c>
      <c r="C302" s="1">
        <f ca="1">IFERROR(__xludf.DUMMYFUNCTION("""COMPUTED_VALUE"""),182.34)</f>
        <v>182.34</v>
      </c>
      <c r="D302" s="1">
        <f ca="1">IFERROR(__xludf.DUMMYFUNCTION("""COMPUTED_VALUE"""),176.03)</f>
        <v>176.03</v>
      </c>
      <c r="E302" s="1">
        <f ca="1">IFERROR(__xludf.DUMMYFUNCTION("""COMPUTED_VALUE"""),180.45)</f>
        <v>180.45</v>
      </c>
      <c r="F302" s="1">
        <f ca="1">IFERROR(__xludf.DUMMYFUNCTION("""COMPUTED_VALUE"""),145995583)</f>
        <v>145995583</v>
      </c>
    </row>
    <row r="303" spans="1:6" ht="12.6">
      <c r="A303" s="2">
        <f ca="1">IFERROR(__xludf.DUMMYFUNCTION("""COMPUTED_VALUE"""),45001.6666666666)</f>
        <v>45001.666666666599</v>
      </c>
      <c r="B303" s="1">
        <f ca="1">IFERROR(__xludf.DUMMYFUNCTION("""COMPUTED_VALUE"""),180.37)</f>
        <v>180.37</v>
      </c>
      <c r="C303" s="1">
        <f ca="1">IFERROR(__xludf.DUMMYFUNCTION("""COMPUTED_VALUE"""),185.81)</f>
        <v>185.81</v>
      </c>
      <c r="D303" s="1">
        <f ca="1">IFERROR(__xludf.DUMMYFUNCTION("""COMPUTED_VALUE"""),178.84)</f>
        <v>178.84</v>
      </c>
      <c r="E303" s="1">
        <f ca="1">IFERROR(__xludf.DUMMYFUNCTION("""COMPUTED_VALUE"""),184.13)</f>
        <v>184.13</v>
      </c>
      <c r="F303" s="1">
        <f ca="1">IFERROR(__xludf.DUMMYFUNCTION("""COMPUTED_VALUE"""),121374453)</f>
        <v>121374453</v>
      </c>
    </row>
    <row r="304" spans="1:6" ht="12.6">
      <c r="A304" s="2">
        <f ca="1">IFERROR(__xludf.DUMMYFUNCTION("""COMPUTED_VALUE"""),45002.6666666666)</f>
        <v>45002.666666666599</v>
      </c>
      <c r="B304" s="1">
        <f ca="1">IFERROR(__xludf.DUMMYFUNCTION("""COMPUTED_VALUE"""),184.52)</f>
        <v>184.52</v>
      </c>
      <c r="C304" s="1">
        <f ca="1">IFERROR(__xludf.DUMMYFUNCTION("""COMPUTED_VALUE"""),186.22)</f>
        <v>186.22</v>
      </c>
      <c r="D304" s="1">
        <f ca="1">IFERROR(__xludf.DUMMYFUNCTION("""COMPUTED_VALUE"""),177.33)</f>
        <v>177.33</v>
      </c>
      <c r="E304" s="1">
        <f ca="1">IFERROR(__xludf.DUMMYFUNCTION("""COMPUTED_VALUE"""),180.13)</f>
        <v>180.13</v>
      </c>
      <c r="F304" s="1">
        <f ca="1">IFERROR(__xludf.DUMMYFUNCTION("""COMPUTED_VALUE"""),133197140)</f>
        <v>133197140</v>
      </c>
    </row>
    <row r="305" spans="1:6" ht="12.6">
      <c r="A305" s="2">
        <f ca="1">IFERROR(__xludf.DUMMYFUNCTION("""COMPUTED_VALUE"""),45005.6666666666)</f>
        <v>45005.666666666599</v>
      </c>
      <c r="B305" s="1">
        <f ca="1">IFERROR(__xludf.DUMMYFUNCTION("""COMPUTED_VALUE"""),178.08)</f>
        <v>178.08</v>
      </c>
      <c r="C305" s="1">
        <f ca="1">IFERROR(__xludf.DUMMYFUNCTION("""COMPUTED_VALUE"""),186.44)</f>
        <v>186.44</v>
      </c>
      <c r="D305" s="1">
        <f ca="1">IFERROR(__xludf.DUMMYFUNCTION("""COMPUTED_VALUE"""),176.35)</f>
        <v>176.35</v>
      </c>
      <c r="E305" s="1">
        <f ca="1">IFERROR(__xludf.DUMMYFUNCTION("""COMPUTED_VALUE"""),183.25)</f>
        <v>183.25</v>
      </c>
      <c r="F305" s="1">
        <f ca="1">IFERROR(__xludf.DUMMYFUNCTION("""COMPUTED_VALUE"""),129684359)</f>
        <v>129684359</v>
      </c>
    </row>
    <row r="306" spans="1:6" ht="12.6">
      <c r="A306" s="2">
        <f ca="1">IFERROR(__xludf.DUMMYFUNCTION("""COMPUTED_VALUE"""),45006.6666666666)</f>
        <v>45006.666666666599</v>
      </c>
      <c r="B306" s="1">
        <f ca="1">IFERROR(__xludf.DUMMYFUNCTION("""COMPUTED_VALUE"""),188.28)</f>
        <v>188.28</v>
      </c>
      <c r="C306" s="1">
        <f ca="1">IFERROR(__xludf.DUMMYFUNCTION("""COMPUTED_VALUE"""),198)</f>
        <v>198</v>
      </c>
      <c r="D306" s="1">
        <f ca="1">IFERROR(__xludf.DUMMYFUNCTION("""COMPUTED_VALUE"""),188.04)</f>
        <v>188.04</v>
      </c>
      <c r="E306" s="1">
        <f ca="1">IFERROR(__xludf.DUMMYFUNCTION("""COMPUTED_VALUE"""),197.58)</f>
        <v>197.58</v>
      </c>
      <c r="F306" s="1">
        <f ca="1">IFERROR(__xludf.DUMMYFUNCTION("""COMPUTED_VALUE"""),153391444)</f>
        <v>153391444</v>
      </c>
    </row>
    <row r="307" spans="1:6" ht="12.6">
      <c r="A307" s="2">
        <f ca="1">IFERROR(__xludf.DUMMYFUNCTION("""COMPUTED_VALUE"""),45007.6666666666)</f>
        <v>45007.666666666599</v>
      </c>
      <c r="B307" s="1">
        <f ca="1">IFERROR(__xludf.DUMMYFUNCTION("""COMPUTED_VALUE"""),199.3)</f>
        <v>199.3</v>
      </c>
      <c r="C307" s="1">
        <f ca="1">IFERROR(__xludf.DUMMYFUNCTION("""COMPUTED_VALUE"""),200.66)</f>
        <v>200.66</v>
      </c>
      <c r="D307" s="1">
        <f ca="1">IFERROR(__xludf.DUMMYFUNCTION("""COMPUTED_VALUE"""),190.95)</f>
        <v>190.95</v>
      </c>
      <c r="E307" s="1">
        <f ca="1">IFERROR(__xludf.DUMMYFUNCTION("""COMPUTED_VALUE"""),191.15)</f>
        <v>191.15</v>
      </c>
      <c r="F307" s="1">
        <f ca="1">IFERROR(__xludf.DUMMYFUNCTION("""COMPUTED_VALUE"""),150376373)</f>
        <v>150376373</v>
      </c>
    </row>
    <row r="308" spans="1:6" ht="12.6">
      <c r="A308" s="2">
        <f ca="1">IFERROR(__xludf.DUMMYFUNCTION("""COMPUTED_VALUE"""),45008.6666666666)</f>
        <v>45008.666666666599</v>
      </c>
      <c r="B308" s="1">
        <f ca="1">IFERROR(__xludf.DUMMYFUNCTION("""COMPUTED_VALUE"""),195.26)</f>
        <v>195.26</v>
      </c>
      <c r="C308" s="1">
        <f ca="1">IFERROR(__xludf.DUMMYFUNCTION("""COMPUTED_VALUE"""),199.31)</f>
        <v>199.31</v>
      </c>
      <c r="D308" s="1">
        <f ca="1">IFERROR(__xludf.DUMMYFUNCTION("""COMPUTED_VALUE"""),188.65)</f>
        <v>188.65</v>
      </c>
      <c r="E308" s="1">
        <f ca="1">IFERROR(__xludf.DUMMYFUNCTION("""COMPUTED_VALUE"""),192.22)</f>
        <v>192.22</v>
      </c>
      <c r="F308" s="1">
        <f ca="1">IFERROR(__xludf.DUMMYFUNCTION("""COMPUTED_VALUE"""),144193876)</f>
        <v>144193876</v>
      </c>
    </row>
    <row r="309" spans="1:6" ht="12.6">
      <c r="A309" s="2">
        <f ca="1">IFERROR(__xludf.DUMMYFUNCTION("""COMPUTED_VALUE"""),45009.6666666666)</f>
        <v>45009.666666666599</v>
      </c>
      <c r="B309" s="1">
        <f ca="1">IFERROR(__xludf.DUMMYFUNCTION("""COMPUTED_VALUE"""),191.65)</f>
        <v>191.65</v>
      </c>
      <c r="C309" s="1">
        <f ca="1">IFERROR(__xludf.DUMMYFUNCTION("""COMPUTED_VALUE"""),192.36)</f>
        <v>192.36</v>
      </c>
      <c r="D309" s="1">
        <f ca="1">IFERROR(__xludf.DUMMYFUNCTION("""COMPUTED_VALUE"""),187.15)</f>
        <v>187.15</v>
      </c>
      <c r="E309" s="1">
        <f ca="1">IFERROR(__xludf.DUMMYFUNCTION("""COMPUTED_VALUE"""),190.41)</f>
        <v>190.41</v>
      </c>
      <c r="F309" s="1">
        <f ca="1">IFERROR(__xludf.DUMMYFUNCTION("""COMPUTED_VALUE"""),116531584)</f>
        <v>116531584</v>
      </c>
    </row>
    <row r="310" spans="1:6" ht="12.6">
      <c r="A310" s="2">
        <f ca="1">IFERROR(__xludf.DUMMYFUNCTION("""COMPUTED_VALUE"""),45012.6666666666)</f>
        <v>45012.666666666599</v>
      </c>
      <c r="B310" s="1">
        <f ca="1">IFERROR(__xludf.DUMMYFUNCTION("""COMPUTED_VALUE"""),194.42)</f>
        <v>194.42</v>
      </c>
      <c r="C310" s="1">
        <f ca="1">IFERROR(__xludf.DUMMYFUNCTION("""COMPUTED_VALUE"""),197.39)</f>
        <v>197.39</v>
      </c>
      <c r="D310" s="1">
        <f ca="1">IFERROR(__xludf.DUMMYFUNCTION("""COMPUTED_VALUE"""),189.94)</f>
        <v>189.94</v>
      </c>
      <c r="E310" s="1">
        <f ca="1">IFERROR(__xludf.DUMMYFUNCTION("""COMPUTED_VALUE"""),191.81)</f>
        <v>191.81</v>
      </c>
      <c r="F310" s="1">
        <f ca="1">IFERROR(__xludf.DUMMYFUNCTION("""COMPUTED_VALUE"""),120851587)</f>
        <v>120851587</v>
      </c>
    </row>
    <row r="311" spans="1:6" ht="12.6">
      <c r="A311" s="2">
        <f ca="1">IFERROR(__xludf.DUMMYFUNCTION("""COMPUTED_VALUE"""),45013.6666666666)</f>
        <v>45013.666666666599</v>
      </c>
      <c r="B311" s="1">
        <f ca="1">IFERROR(__xludf.DUMMYFUNCTION("""COMPUTED_VALUE"""),192)</f>
        <v>192</v>
      </c>
      <c r="C311" s="1">
        <f ca="1">IFERROR(__xludf.DUMMYFUNCTION("""COMPUTED_VALUE"""),192.35)</f>
        <v>192.35</v>
      </c>
      <c r="D311" s="1">
        <f ca="1">IFERROR(__xludf.DUMMYFUNCTION("""COMPUTED_VALUE"""),185.43)</f>
        <v>185.43</v>
      </c>
      <c r="E311" s="1">
        <f ca="1">IFERROR(__xludf.DUMMYFUNCTION("""COMPUTED_VALUE"""),189.19)</f>
        <v>189.19</v>
      </c>
      <c r="F311" s="1">
        <f ca="1">IFERROR(__xludf.DUMMYFUNCTION("""COMPUTED_VALUE"""),98654635)</f>
        <v>98654635</v>
      </c>
    </row>
    <row r="312" spans="1:6" ht="12.6">
      <c r="A312" s="2">
        <f ca="1">IFERROR(__xludf.DUMMYFUNCTION("""COMPUTED_VALUE"""),45014.6666666666)</f>
        <v>45014.666666666599</v>
      </c>
      <c r="B312" s="1">
        <f ca="1">IFERROR(__xludf.DUMMYFUNCTION("""COMPUTED_VALUE"""),193.13)</f>
        <v>193.13</v>
      </c>
      <c r="C312" s="1">
        <f ca="1">IFERROR(__xludf.DUMMYFUNCTION("""COMPUTED_VALUE"""),195.29)</f>
        <v>195.29</v>
      </c>
      <c r="D312" s="1">
        <f ca="1">IFERROR(__xludf.DUMMYFUNCTION("""COMPUTED_VALUE"""),189.44)</f>
        <v>189.44</v>
      </c>
      <c r="E312" s="1">
        <f ca="1">IFERROR(__xludf.DUMMYFUNCTION("""COMPUTED_VALUE"""),193.88)</f>
        <v>193.88</v>
      </c>
      <c r="F312" s="1">
        <f ca="1">IFERROR(__xludf.DUMMYFUNCTION("""COMPUTED_VALUE"""),123660026)</f>
        <v>123660026</v>
      </c>
    </row>
    <row r="313" spans="1:6" ht="12.6">
      <c r="A313" s="2">
        <f ca="1">IFERROR(__xludf.DUMMYFUNCTION("""COMPUTED_VALUE"""),45015.6666666666)</f>
        <v>45015.666666666599</v>
      </c>
      <c r="B313" s="1">
        <f ca="1">IFERROR(__xludf.DUMMYFUNCTION("""COMPUTED_VALUE"""),195.58)</f>
        <v>195.58</v>
      </c>
      <c r="C313" s="1">
        <f ca="1">IFERROR(__xludf.DUMMYFUNCTION("""COMPUTED_VALUE"""),197.33)</f>
        <v>197.33</v>
      </c>
      <c r="D313" s="1">
        <f ca="1">IFERROR(__xludf.DUMMYFUNCTION("""COMPUTED_VALUE"""),194.42)</f>
        <v>194.42</v>
      </c>
      <c r="E313" s="1">
        <f ca="1">IFERROR(__xludf.DUMMYFUNCTION("""COMPUTED_VALUE"""),195.28)</f>
        <v>195.28</v>
      </c>
      <c r="F313" s="1">
        <f ca="1">IFERROR(__xludf.DUMMYFUNCTION("""COMPUTED_VALUE"""),110252238)</f>
        <v>110252238</v>
      </c>
    </row>
    <row r="314" spans="1:6" ht="12.6">
      <c r="A314" s="2">
        <f ca="1">IFERROR(__xludf.DUMMYFUNCTION("""COMPUTED_VALUE"""),45016.6666666666)</f>
        <v>45016.666666666599</v>
      </c>
      <c r="B314" s="1">
        <f ca="1">IFERROR(__xludf.DUMMYFUNCTION("""COMPUTED_VALUE"""),197.53)</f>
        <v>197.53</v>
      </c>
      <c r="C314" s="1">
        <f ca="1">IFERROR(__xludf.DUMMYFUNCTION("""COMPUTED_VALUE"""),207.79)</f>
        <v>207.79</v>
      </c>
      <c r="D314" s="1">
        <f ca="1">IFERROR(__xludf.DUMMYFUNCTION("""COMPUTED_VALUE"""),197.2)</f>
        <v>197.2</v>
      </c>
      <c r="E314" s="1">
        <f ca="1">IFERROR(__xludf.DUMMYFUNCTION("""COMPUTED_VALUE"""),207.46)</f>
        <v>207.46</v>
      </c>
      <c r="F314" s="1">
        <f ca="1">IFERROR(__xludf.DUMMYFUNCTION("""COMPUTED_VALUE"""),170222118)</f>
        <v>170222118</v>
      </c>
    </row>
    <row r="315" spans="1:6" ht="12.6">
      <c r="A315" s="2">
        <f ca="1">IFERROR(__xludf.DUMMYFUNCTION("""COMPUTED_VALUE"""),45019.6666666666)</f>
        <v>45019.666666666599</v>
      </c>
      <c r="B315" s="1">
        <f ca="1">IFERROR(__xludf.DUMMYFUNCTION("""COMPUTED_VALUE"""),199.91)</f>
        <v>199.91</v>
      </c>
      <c r="C315" s="1">
        <f ca="1">IFERROR(__xludf.DUMMYFUNCTION("""COMPUTED_VALUE"""),202.69)</f>
        <v>202.69</v>
      </c>
      <c r="D315" s="1">
        <f ca="1">IFERROR(__xludf.DUMMYFUNCTION("""COMPUTED_VALUE"""),192.2)</f>
        <v>192.2</v>
      </c>
      <c r="E315" s="1">
        <f ca="1">IFERROR(__xludf.DUMMYFUNCTION("""COMPUTED_VALUE"""),194.77)</f>
        <v>194.77</v>
      </c>
      <c r="F315" s="1">
        <f ca="1">IFERROR(__xludf.DUMMYFUNCTION("""COMPUTED_VALUE"""),169545900)</f>
        <v>169545900</v>
      </c>
    </row>
    <row r="316" spans="1:6" ht="12.6">
      <c r="A316" s="2">
        <f ca="1">IFERROR(__xludf.DUMMYFUNCTION("""COMPUTED_VALUE"""),45020.6666666666)</f>
        <v>45020.666666666599</v>
      </c>
      <c r="B316" s="1">
        <f ca="1">IFERROR(__xludf.DUMMYFUNCTION("""COMPUTED_VALUE"""),197.32)</f>
        <v>197.32</v>
      </c>
      <c r="C316" s="1">
        <f ca="1">IFERROR(__xludf.DUMMYFUNCTION("""COMPUTED_VALUE"""),198.74)</f>
        <v>198.74</v>
      </c>
      <c r="D316" s="1">
        <f ca="1">IFERROR(__xludf.DUMMYFUNCTION("""COMPUTED_VALUE"""),190.32)</f>
        <v>190.32</v>
      </c>
      <c r="E316" s="1">
        <f ca="1">IFERROR(__xludf.DUMMYFUNCTION("""COMPUTED_VALUE"""),192.58)</f>
        <v>192.58</v>
      </c>
      <c r="F316" s="1">
        <f ca="1">IFERROR(__xludf.DUMMYFUNCTION("""COMPUTED_VALUE"""),126463845)</f>
        <v>126463845</v>
      </c>
    </row>
    <row r="317" spans="1:6" ht="12.6">
      <c r="A317" s="2">
        <f ca="1">IFERROR(__xludf.DUMMYFUNCTION("""COMPUTED_VALUE"""),45021.6666666666)</f>
        <v>45021.666666666599</v>
      </c>
      <c r="B317" s="1">
        <f ca="1">IFERROR(__xludf.DUMMYFUNCTION("""COMPUTED_VALUE"""),190.52)</f>
        <v>190.52</v>
      </c>
      <c r="C317" s="1">
        <f ca="1">IFERROR(__xludf.DUMMYFUNCTION("""COMPUTED_VALUE"""),190.68)</f>
        <v>190.68</v>
      </c>
      <c r="D317" s="1">
        <f ca="1">IFERROR(__xludf.DUMMYFUNCTION("""COMPUTED_VALUE"""),183.76)</f>
        <v>183.76</v>
      </c>
      <c r="E317" s="1">
        <f ca="1">IFERROR(__xludf.DUMMYFUNCTION("""COMPUTED_VALUE"""),185.52)</f>
        <v>185.52</v>
      </c>
      <c r="F317" s="1">
        <f ca="1">IFERROR(__xludf.DUMMYFUNCTION("""COMPUTED_VALUE"""),133882493)</f>
        <v>133882493</v>
      </c>
    </row>
    <row r="318" spans="1:6" ht="12.6">
      <c r="A318" s="2">
        <f ca="1">IFERROR(__xludf.DUMMYFUNCTION("""COMPUTED_VALUE"""),45022.6666666666)</f>
        <v>45022.666666666599</v>
      </c>
      <c r="B318" s="1">
        <f ca="1">IFERROR(__xludf.DUMMYFUNCTION("""COMPUTED_VALUE"""),183.08)</f>
        <v>183.08</v>
      </c>
      <c r="C318" s="1">
        <f ca="1">IFERROR(__xludf.DUMMYFUNCTION("""COMPUTED_VALUE"""),186.39)</f>
        <v>186.39</v>
      </c>
      <c r="D318" s="1">
        <f ca="1">IFERROR(__xludf.DUMMYFUNCTION("""COMPUTED_VALUE"""),179.74)</f>
        <v>179.74</v>
      </c>
      <c r="E318" s="1">
        <f ca="1">IFERROR(__xludf.DUMMYFUNCTION("""COMPUTED_VALUE"""),185.06)</f>
        <v>185.06</v>
      </c>
      <c r="F318" s="1">
        <f ca="1">IFERROR(__xludf.DUMMYFUNCTION("""COMPUTED_VALUE"""),123857932)</f>
        <v>123857932</v>
      </c>
    </row>
    <row r="319" spans="1:6" ht="12.6">
      <c r="A319" s="2">
        <f ca="1">IFERROR(__xludf.DUMMYFUNCTION("""COMPUTED_VALUE"""),45026.6666666666)</f>
        <v>45026.666666666599</v>
      </c>
      <c r="B319" s="1">
        <f ca="1">IFERROR(__xludf.DUMMYFUNCTION("""COMPUTED_VALUE"""),179.94)</f>
        <v>179.94</v>
      </c>
      <c r="C319" s="1">
        <f ca="1">IFERROR(__xludf.DUMMYFUNCTION("""COMPUTED_VALUE"""),185.1)</f>
        <v>185.1</v>
      </c>
      <c r="D319" s="1">
        <f ca="1">IFERROR(__xludf.DUMMYFUNCTION("""COMPUTED_VALUE"""),176.11)</f>
        <v>176.11</v>
      </c>
      <c r="E319" s="1">
        <f ca="1">IFERROR(__xludf.DUMMYFUNCTION("""COMPUTED_VALUE"""),184.51)</f>
        <v>184.51</v>
      </c>
      <c r="F319" s="1">
        <f ca="1">IFERROR(__xludf.DUMMYFUNCTION("""COMPUTED_VALUE"""),142154637)</f>
        <v>142154637</v>
      </c>
    </row>
    <row r="320" spans="1:6" ht="12.6">
      <c r="A320" s="2">
        <f ca="1">IFERROR(__xludf.DUMMYFUNCTION("""COMPUTED_VALUE"""),45027.6666666666)</f>
        <v>45027.666666666599</v>
      </c>
      <c r="B320" s="1">
        <f ca="1">IFERROR(__xludf.DUMMYFUNCTION("""COMPUTED_VALUE"""),186.69)</f>
        <v>186.69</v>
      </c>
      <c r="C320" s="1">
        <f ca="1">IFERROR(__xludf.DUMMYFUNCTION("""COMPUTED_VALUE"""),189.19)</f>
        <v>189.19</v>
      </c>
      <c r="D320" s="1">
        <f ca="1">IFERROR(__xludf.DUMMYFUNCTION("""COMPUTED_VALUE"""),185.65)</f>
        <v>185.65</v>
      </c>
      <c r="E320" s="1">
        <f ca="1">IFERROR(__xludf.DUMMYFUNCTION("""COMPUTED_VALUE"""),186.79)</f>
        <v>186.79</v>
      </c>
      <c r="F320" s="1">
        <f ca="1">IFERROR(__xludf.DUMMYFUNCTION("""COMPUTED_VALUE"""),115770892)</f>
        <v>115770892</v>
      </c>
    </row>
    <row r="321" spans="1:6" ht="12.6">
      <c r="A321" s="2">
        <f ca="1">IFERROR(__xludf.DUMMYFUNCTION("""COMPUTED_VALUE"""),45028.6666666666)</f>
        <v>45028.666666666599</v>
      </c>
      <c r="B321" s="1">
        <f ca="1">IFERROR(__xludf.DUMMYFUNCTION("""COMPUTED_VALUE"""),190.74)</f>
        <v>190.74</v>
      </c>
      <c r="C321" s="1">
        <f ca="1">IFERROR(__xludf.DUMMYFUNCTION("""COMPUTED_VALUE"""),191.58)</f>
        <v>191.58</v>
      </c>
      <c r="D321" s="1">
        <f ca="1">IFERROR(__xludf.DUMMYFUNCTION("""COMPUTED_VALUE"""),180.31)</f>
        <v>180.31</v>
      </c>
      <c r="E321" s="1">
        <f ca="1">IFERROR(__xludf.DUMMYFUNCTION("""COMPUTED_VALUE"""),180.54)</f>
        <v>180.54</v>
      </c>
      <c r="F321" s="1">
        <f ca="1">IFERROR(__xludf.DUMMYFUNCTION("""COMPUTED_VALUE"""),150256278)</f>
        <v>150256278</v>
      </c>
    </row>
    <row r="322" spans="1:6" ht="12.6">
      <c r="A322" s="2">
        <f ca="1">IFERROR(__xludf.DUMMYFUNCTION("""COMPUTED_VALUE"""),45029.6666666666)</f>
        <v>45029.666666666599</v>
      </c>
      <c r="B322" s="1">
        <f ca="1">IFERROR(__xludf.DUMMYFUNCTION("""COMPUTED_VALUE"""),182.96)</f>
        <v>182.96</v>
      </c>
      <c r="C322" s="1">
        <f ca="1">IFERROR(__xludf.DUMMYFUNCTION("""COMPUTED_VALUE"""),186.5)</f>
        <v>186.5</v>
      </c>
      <c r="D322" s="1">
        <f ca="1">IFERROR(__xludf.DUMMYFUNCTION("""COMPUTED_VALUE"""),180.94)</f>
        <v>180.94</v>
      </c>
      <c r="E322" s="1">
        <f ca="1">IFERROR(__xludf.DUMMYFUNCTION("""COMPUTED_VALUE"""),185.9)</f>
        <v>185.9</v>
      </c>
      <c r="F322" s="1">
        <f ca="1">IFERROR(__xludf.DUMMYFUNCTION("""COMPUTED_VALUE"""),112932985)</f>
        <v>112932985</v>
      </c>
    </row>
    <row r="323" spans="1:6" ht="12.6">
      <c r="A323" s="2">
        <f ca="1">IFERROR(__xludf.DUMMYFUNCTION("""COMPUTED_VALUE"""),45030.6666666666)</f>
        <v>45030.666666666599</v>
      </c>
      <c r="B323" s="1">
        <f ca="1">IFERROR(__xludf.DUMMYFUNCTION("""COMPUTED_VALUE"""),183.95)</f>
        <v>183.95</v>
      </c>
      <c r="C323" s="1">
        <f ca="1">IFERROR(__xludf.DUMMYFUNCTION("""COMPUTED_VALUE"""),186.28)</f>
        <v>186.28</v>
      </c>
      <c r="D323" s="1">
        <f ca="1">IFERROR(__xludf.DUMMYFUNCTION("""COMPUTED_VALUE"""),182.01)</f>
        <v>182.01</v>
      </c>
      <c r="E323" s="1">
        <f ca="1">IFERROR(__xludf.DUMMYFUNCTION("""COMPUTED_VALUE"""),185)</f>
        <v>185</v>
      </c>
      <c r="F323" s="1">
        <f ca="1">IFERROR(__xludf.DUMMYFUNCTION("""COMPUTED_VALUE"""),96438664)</f>
        <v>96438664</v>
      </c>
    </row>
    <row r="324" spans="1:6" ht="12.6">
      <c r="A324" s="2">
        <f ca="1">IFERROR(__xludf.DUMMYFUNCTION("""COMPUTED_VALUE"""),45033.6666666666)</f>
        <v>45033.666666666599</v>
      </c>
      <c r="B324" s="1">
        <f ca="1">IFERROR(__xludf.DUMMYFUNCTION("""COMPUTED_VALUE"""),186.32)</f>
        <v>186.32</v>
      </c>
      <c r="C324" s="1">
        <f ca="1">IFERROR(__xludf.DUMMYFUNCTION("""COMPUTED_VALUE"""),189.69)</f>
        <v>189.69</v>
      </c>
      <c r="D324" s="1">
        <f ca="1">IFERROR(__xludf.DUMMYFUNCTION("""COMPUTED_VALUE"""),182.69)</f>
        <v>182.69</v>
      </c>
      <c r="E324" s="1">
        <f ca="1">IFERROR(__xludf.DUMMYFUNCTION("""COMPUTED_VALUE"""),187.04)</f>
        <v>187.04</v>
      </c>
      <c r="F324" s="1">
        <f ca="1">IFERROR(__xludf.DUMMYFUNCTION("""COMPUTED_VALUE"""),116662189)</f>
        <v>116662189</v>
      </c>
    </row>
    <row r="325" spans="1:6" ht="12.6">
      <c r="A325" s="2">
        <f ca="1">IFERROR(__xludf.DUMMYFUNCTION("""COMPUTED_VALUE"""),45034.6666666666)</f>
        <v>45034.666666666599</v>
      </c>
      <c r="B325" s="1">
        <f ca="1">IFERROR(__xludf.DUMMYFUNCTION("""COMPUTED_VALUE"""),187.15)</f>
        <v>187.15</v>
      </c>
      <c r="C325" s="1">
        <f ca="1">IFERROR(__xludf.DUMMYFUNCTION("""COMPUTED_VALUE"""),187.69)</f>
        <v>187.69</v>
      </c>
      <c r="D325" s="1">
        <f ca="1">IFERROR(__xludf.DUMMYFUNCTION("""COMPUTED_VALUE"""),183.58)</f>
        <v>183.58</v>
      </c>
      <c r="E325" s="1">
        <f ca="1">IFERROR(__xludf.DUMMYFUNCTION("""COMPUTED_VALUE"""),184.31)</f>
        <v>184.31</v>
      </c>
      <c r="F325" s="1">
        <f ca="1">IFERROR(__xludf.DUMMYFUNCTION("""COMPUTED_VALUE"""),92067016)</f>
        <v>92067016</v>
      </c>
    </row>
    <row r="326" spans="1:6" ht="12.6">
      <c r="A326" s="2">
        <f ca="1">IFERROR(__xludf.DUMMYFUNCTION("""COMPUTED_VALUE"""),45035.6666666666)</f>
        <v>45035.666666666599</v>
      </c>
      <c r="B326" s="1">
        <f ca="1">IFERROR(__xludf.DUMMYFUNCTION("""COMPUTED_VALUE"""),179.1)</f>
        <v>179.1</v>
      </c>
      <c r="C326" s="1">
        <f ca="1">IFERROR(__xludf.DUMMYFUNCTION("""COMPUTED_VALUE"""),183.5)</f>
        <v>183.5</v>
      </c>
      <c r="D326" s="1">
        <f ca="1">IFERROR(__xludf.DUMMYFUNCTION("""COMPUTED_VALUE"""),177.65)</f>
        <v>177.65</v>
      </c>
      <c r="E326" s="1">
        <f ca="1">IFERROR(__xludf.DUMMYFUNCTION("""COMPUTED_VALUE"""),180.59)</f>
        <v>180.59</v>
      </c>
      <c r="F326" s="1">
        <f ca="1">IFERROR(__xludf.DUMMYFUNCTION("""COMPUTED_VALUE"""),125732687)</f>
        <v>125732687</v>
      </c>
    </row>
    <row r="327" spans="1:6" ht="12.6">
      <c r="A327" s="2">
        <f ca="1">IFERROR(__xludf.DUMMYFUNCTION("""COMPUTED_VALUE"""),45036.6666666666)</f>
        <v>45036.666666666599</v>
      </c>
      <c r="B327" s="1">
        <f ca="1">IFERROR(__xludf.DUMMYFUNCTION("""COMPUTED_VALUE"""),166.17)</f>
        <v>166.17</v>
      </c>
      <c r="C327" s="1">
        <f ca="1">IFERROR(__xludf.DUMMYFUNCTION("""COMPUTED_VALUE"""),169.7)</f>
        <v>169.7</v>
      </c>
      <c r="D327" s="1">
        <f ca="1">IFERROR(__xludf.DUMMYFUNCTION("""COMPUTED_VALUE"""),160.56)</f>
        <v>160.56</v>
      </c>
      <c r="E327" s="1">
        <f ca="1">IFERROR(__xludf.DUMMYFUNCTION("""COMPUTED_VALUE"""),162.99)</f>
        <v>162.99</v>
      </c>
      <c r="F327" s="1">
        <f ca="1">IFERROR(__xludf.DUMMYFUNCTION("""COMPUTED_VALUE"""),210970819)</f>
        <v>210970819</v>
      </c>
    </row>
    <row r="328" spans="1:6" ht="12.6">
      <c r="A328" s="2">
        <f ca="1">IFERROR(__xludf.DUMMYFUNCTION("""COMPUTED_VALUE"""),45037.6666666666)</f>
        <v>45037.666666666599</v>
      </c>
      <c r="B328" s="1">
        <f ca="1">IFERROR(__xludf.DUMMYFUNCTION("""COMPUTED_VALUE"""),164.8)</f>
        <v>164.8</v>
      </c>
      <c r="C328" s="1">
        <f ca="1">IFERROR(__xludf.DUMMYFUNCTION("""COMPUTED_VALUE"""),166)</f>
        <v>166</v>
      </c>
      <c r="D328" s="1">
        <f ca="1">IFERROR(__xludf.DUMMYFUNCTION("""COMPUTED_VALUE"""),161.32)</f>
        <v>161.32</v>
      </c>
      <c r="E328" s="1">
        <f ca="1">IFERROR(__xludf.DUMMYFUNCTION("""COMPUTED_VALUE"""),165.08)</f>
        <v>165.08</v>
      </c>
      <c r="F328" s="1">
        <f ca="1">IFERROR(__xludf.DUMMYFUNCTION("""COMPUTED_VALUE"""),123538954)</f>
        <v>123538954</v>
      </c>
    </row>
    <row r="329" spans="1:6" ht="12.6">
      <c r="A329" s="2">
        <f ca="1">IFERROR(__xludf.DUMMYFUNCTION("""COMPUTED_VALUE"""),45040.6666666666)</f>
        <v>45040.666666666599</v>
      </c>
      <c r="B329" s="1">
        <f ca="1">IFERROR(__xludf.DUMMYFUNCTION("""COMPUTED_VALUE"""),164.65)</f>
        <v>164.65</v>
      </c>
      <c r="C329" s="1">
        <f ca="1">IFERROR(__xludf.DUMMYFUNCTION("""COMPUTED_VALUE"""),165.65)</f>
        <v>165.65</v>
      </c>
      <c r="D329" s="1">
        <f ca="1">IFERROR(__xludf.DUMMYFUNCTION("""COMPUTED_VALUE"""),158.61)</f>
        <v>158.61000000000001</v>
      </c>
      <c r="E329" s="1">
        <f ca="1">IFERROR(__xludf.DUMMYFUNCTION("""COMPUTED_VALUE"""),162.55)</f>
        <v>162.55000000000001</v>
      </c>
      <c r="F329" s="1">
        <f ca="1">IFERROR(__xludf.DUMMYFUNCTION("""COMPUTED_VALUE"""),140006559)</f>
        <v>140006559</v>
      </c>
    </row>
    <row r="330" spans="1:6" ht="12.6">
      <c r="A330" s="2">
        <f ca="1">IFERROR(__xludf.DUMMYFUNCTION("""COMPUTED_VALUE"""),45041.6666666666)</f>
        <v>45041.666666666599</v>
      </c>
      <c r="B330" s="1">
        <f ca="1">IFERROR(__xludf.DUMMYFUNCTION("""COMPUTED_VALUE"""),159.82)</f>
        <v>159.82</v>
      </c>
      <c r="C330" s="1">
        <f ca="1">IFERROR(__xludf.DUMMYFUNCTION("""COMPUTED_VALUE"""),163.47)</f>
        <v>163.47</v>
      </c>
      <c r="D330" s="1">
        <f ca="1">IFERROR(__xludf.DUMMYFUNCTION("""COMPUTED_VALUE"""),158.75)</f>
        <v>158.75</v>
      </c>
      <c r="E330" s="1">
        <f ca="1">IFERROR(__xludf.DUMMYFUNCTION("""COMPUTED_VALUE"""),160.67)</f>
        <v>160.66999999999999</v>
      </c>
      <c r="F330" s="1">
        <f ca="1">IFERROR(__xludf.DUMMYFUNCTION("""COMPUTED_VALUE"""),121999312)</f>
        <v>121999312</v>
      </c>
    </row>
    <row r="331" spans="1:6" ht="12.6">
      <c r="A331" s="2">
        <f ca="1">IFERROR(__xludf.DUMMYFUNCTION("""COMPUTED_VALUE"""),45042.6666666666)</f>
        <v>45042.666666666599</v>
      </c>
      <c r="B331" s="1">
        <f ca="1">IFERROR(__xludf.DUMMYFUNCTION("""COMPUTED_VALUE"""),160.29)</f>
        <v>160.29</v>
      </c>
      <c r="C331" s="1">
        <f ca="1">IFERROR(__xludf.DUMMYFUNCTION("""COMPUTED_VALUE"""),160.67)</f>
        <v>160.66999999999999</v>
      </c>
      <c r="D331" s="1">
        <f ca="1">IFERROR(__xludf.DUMMYFUNCTION("""COMPUTED_VALUE"""),153.14)</f>
        <v>153.13999999999999</v>
      </c>
      <c r="E331" s="1">
        <f ca="1">IFERROR(__xludf.DUMMYFUNCTION("""COMPUTED_VALUE"""),153.75)</f>
        <v>153.75</v>
      </c>
      <c r="F331" s="1">
        <f ca="1">IFERROR(__xludf.DUMMYFUNCTION("""COMPUTED_VALUE"""),153364142)</f>
        <v>153364142</v>
      </c>
    </row>
    <row r="332" spans="1:6" ht="12.6">
      <c r="A332" s="2">
        <f ca="1">IFERROR(__xludf.DUMMYFUNCTION("""COMPUTED_VALUE"""),45043.6666666666)</f>
        <v>45043.666666666599</v>
      </c>
      <c r="B332" s="1">
        <f ca="1">IFERROR(__xludf.DUMMYFUNCTION("""COMPUTED_VALUE"""),152.64)</f>
        <v>152.63999999999999</v>
      </c>
      <c r="C332" s="1">
        <f ca="1">IFERROR(__xludf.DUMMYFUNCTION("""COMPUTED_VALUE"""),160.48)</f>
        <v>160.47999999999999</v>
      </c>
      <c r="D332" s="1">
        <f ca="1">IFERROR(__xludf.DUMMYFUNCTION("""COMPUTED_VALUE"""),152.37)</f>
        <v>152.37</v>
      </c>
      <c r="E332" s="1">
        <f ca="1">IFERROR(__xludf.DUMMYFUNCTION("""COMPUTED_VALUE"""),160.19)</f>
        <v>160.19</v>
      </c>
      <c r="F332" s="1">
        <f ca="1">IFERROR(__xludf.DUMMYFUNCTION("""COMPUTED_VALUE"""),127015177)</f>
        <v>127015177</v>
      </c>
    </row>
    <row r="333" spans="1:6" ht="12.6">
      <c r="A333" s="2">
        <f ca="1">IFERROR(__xludf.DUMMYFUNCTION("""COMPUTED_VALUE"""),45044.6666666666)</f>
        <v>45044.666666666599</v>
      </c>
      <c r="B333" s="1">
        <f ca="1">IFERROR(__xludf.DUMMYFUNCTION("""COMPUTED_VALUE"""),160.9)</f>
        <v>160.9</v>
      </c>
      <c r="C333" s="1">
        <f ca="1">IFERROR(__xludf.DUMMYFUNCTION("""COMPUTED_VALUE"""),165)</f>
        <v>165</v>
      </c>
      <c r="D333" s="1">
        <f ca="1">IFERROR(__xludf.DUMMYFUNCTION("""COMPUTED_VALUE"""),157.32)</f>
        <v>157.32</v>
      </c>
      <c r="E333" s="1">
        <f ca="1">IFERROR(__xludf.DUMMYFUNCTION("""COMPUTED_VALUE"""),164.31)</f>
        <v>164.31</v>
      </c>
      <c r="F333" s="1">
        <f ca="1">IFERROR(__xludf.DUMMYFUNCTION("""COMPUTED_VALUE"""),122515812)</f>
        <v>122515812</v>
      </c>
    </row>
    <row r="334" spans="1:6" ht="12.6">
      <c r="A334" s="2">
        <f ca="1">IFERROR(__xludf.DUMMYFUNCTION("""COMPUTED_VALUE"""),45047.6666666666)</f>
        <v>45047.666666666599</v>
      </c>
      <c r="B334" s="1">
        <f ca="1">IFERROR(__xludf.DUMMYFUNCTION("""COMPUTED_VALUE"""),163.17)</f>
        <v>163.16999999999999</v>
      </c>
      <c r="C334" s="1">
        <f ca="1">IFERROR(__xludf.DUMMYFUNCTION("""COMPUTED_VALUE"""),163.28)</f>
        <v>163.28</v>
      </c>
      <c r="D334" s="1">
        <f ca="1">IFERROR(__xludf.DUMMYFUNCTION("""COMPUTED_VALUE"""),158.83)</f>
        <v>158.83000000000001</v>
      </c>
      <c r="E334" s="1">
        <f ca="1">IFERROR(__xludf.DUMMYFUNCTION("""COMPUTED_VALUE"""),161.83)</f>
        <v>161.83000000000001</v>
      </c>
      <c r="F334" s="1">
        <f ca="1">IFERROR(__xludf.DUMMYFUNCTION("""COMPUTED_VALUE"""),109015048)</f>
        <v>109015048</v>
      </c>
    </row>
    <row r="335" spans="1:6" ht="12.6">
      <c r="A335" s="2">
        <f ca="1">IFERROR(__xludf.DUMMYFUNCTION("""COMPUTED_VALUE"""),45048.6666666666)</f>
        <v>45048.666666666599</v>
      </c>
      <c r="B335" s="1">
        <f ca="1">IFERROR(__xludf.DUMMYFUNCTION("""COMPUTED_VALUE"""),161.88)</f>
        <v>161.88</v>
      </c>
      <c r="C335" s="1">
        <f ca="1">IFERROR(__xludf.DUMMYFUNCTION("""COMPUTED_VALUE"""),165.49)</f>
        <v>165.49</v>
      </c>
      <c r="D335" s="1">
        <f ca="1">IFERROR(__xludf.DUMMYFUNCTION("""COMPUTED_VALUE"""),158.93)</f>
        <v>158.93</v>
      </c>
      <c r="E335" s="1">
        <f ca="1">IFERROR(__xludf.DUMMYFUNCTION("""COMPUTED_VALUE"""),160.31)</f>
        <v>160.31</v>
      </c>
      <c r="F335" s="1">
        <f ca="1">IFERROR(__xludf.DUMMYFUNCTION("""COMPUTED_VALUE"""),128259744)</f>
        <v>128259744</v>
      </c>
    </row>
    <row r="336" spans="1:6" ht="12.6">
      <c r="A336" s="2">
        <f ca="1">IFERROR(__xludf.DUMMYFUNCTION("""COMPUTED_VALUE"""),45049.6666666666)</f>
        <v>45049.666666666599</v>
      </c>
      <c r="B336" s="1">
        <f ca="1">IFERROR(__xludf.DUMMYFUNCTION("""COMPUTED_VALUE"""),160.01)</f>
        <v>160.01</v>
      </c>
      <c r="C336" s="1">
        <f ca="1">IFERROR(__xludf.DUMMYFUNCTION("""COMPUTED_VALUE"""),165)</f>
        <v>165</v>
      </c>
      <c r="D336" s="1">
        <f ca="1">IFERROR(__xludf.DUMMYFUNCTION("""COMPUTED_VALUE"""),159.91)</f>
        <v>159.91</v>
      </c>
      <c r="E336" s="1">
        <f ca="1">IFERROR(__xludf.DUMMYFUNCTION("""COMPUTED_VALUE"""),160.61)</f>
        <v>160.61000000000001</v>
      </c>
      <c r="F336" s="1">
        <f ca="1">IFERROR(__xludf.DUMMYFUNCTION("""COMPUTED_VALUE"""),119727972)</f>
        <v>119727972</v>
      </c>
    </row>
    <row r="337" spans="1:6" ht="12.6">
      <c r="A337" s="2">
        <f ca="1">IFERROR(__xludf.DUMMYFUNCTION("""COMPUTED_VALUE"""),45050.6666666666)</f>
        <v>45050.666666666599</v>
      </c>
      <c r="B337" s="1">
        <f ca="1">IFERROR(__xludf.DUMMYFUNCTION("""COMPUTED_VALUE"""),162.71)</f>
        <v>162.71</v>
      </c>
      <c r="C337" s="1">
        <f ca="1">IFERROR(__xludf.DUMMYFUNCTION("""COMPUTED_VALUE"""),162.95)</f>
        <v>162.94999999999999</v>
      </c>
      <c r="D337" s="1">
        <f ca="1">IFERROR(__xludf.DUMMYFUNCTION("""COMPUTED_VALUE"""),159.65)</f>
        <v>159.65</v>
      </c>
      <c r="E337" s="1">
        <f ca="1">IFERROR(__xludf.DUMMYFUNCTION("""COMPUTED_VALUE"""),161.2)</f>
        <v>161.19999999999999</v>
      </c>
      <c r="F337" s="1">
        <f ca="1">IFERROR(__xludf.DUMMYFUNCTION("""COMPUTED_VALUE"""),95108492)</f>
        <v>95108492</v>
      </c>
    </row>
    <row r="338" spans="1:6" ht="12.6">
      <c r="A338" s="2">
        <f ca="1">IFERROR(__xludf.DUMMYFUNCTION("""COMPUTED_VALUE"""),45051.6666666666)</f>
        <v>45051.666666666599</v>
      </c>
      <c r="B338" s="1">
        <f ca="1">IFERROR(__xludf.DUMMYFUNCTION("""COMPUTED_VALUE"""),163.97)</f>
        <v>163.97</v>
      </c>
      <c r="C338" s="1">
        <f ca="1">IFERROR(__xludf.DUMMYFUNCTION("""COMPUTED_VALUE"""),170.79)</f>
        <v>170.79</v>
      </c>
      <c r="D338" s="1">
        <f ca="1">IFERROR(__xludf.DUMMYFUNCTION("""COMPUTED_VALUE"""),163.51)</f>
        <v>163.51</v>
      </c>
      <c r="E338" s="1">
        <f ca="1">IFERROR(__xludf.DUMMYFUNCTION("""COMPUTED_VALUE"""),170.06)</f>
        <v>170.06</v>
      </c>
      <c r="F338" s="1">
        <f ca="1">IFERROR(__xludf.DUMMYFUNCTION("""COMPUTED_VALUE"""),107607259)</f>
        <v>107607259</v>
      </c>
    </row>
    <row r="339" spans="1:6" ht="12.6">
      <c r="A339" s="2">
        <f ca="1">IFERROR(__xludf.DUMMYFUNCTION("""COMPUTED_VALUE"""),45054.6666666666)</f>
        <v>45054.666666666599</v>
      </c>
      <c r="B339" s="1">
        <f ca="1">IFERROR(__xludf.DUMMYFUNCTION("""COMPUTED_VALUE"""),173.72)</f>
        <v>173.72</v>
      </c>
      <c r="C339" s="1">
        <f ca="1">IFERROR(__xludf.DUMMYFUNCTION("""COMPUTED_VALUE"""),173.8)</f>
        <v>173.8</v>
      </c>
      <c r="D339" s="1">
        <f ca="1">IFERROR(__xludf.DUMMYFUNCTION("""COMPUTED_VALUE"""),169.19)</f>
        <v>169.19</v>
      </c>
      <c r="E339" s="1">
        <f ca="1">IFERROR(__xludf.DUMMYFUNCTION("""COMPUTED_VALUE"""),171.79)</f>
        <v>171.79</v>
      </c>
      <c r="F339" s="1">
        <f ca="1">IFERROR(__xludf.DUMMYFUNCTION("""COMPUTED_VALUE"""),112249449)</f>
        <v>112249449</v>
      </c>
    </row>
    <row r="340" spans="1:6" ht="12.6">
      <c r="A340" s="2">
        <f ca="1">IFERROR(__xludf.DUMMYFUNCTION("""COMPUTED_VALUE"""),45055.6666666666)</f>
        <v>45055.666666666599</v>
      </c>
      <c r="B340" s="1">
        <f ca="1">IFERROR(__xludf.DUMMYFUNCTION("""COMPUTED_VALUE"""),168.95)</f>
        <v>168.95</v>
      </c>
      <c r="C340" s="1">
        <f ca="1">IFERROR(__xludf.DUMMYFUNCTION("""COMPUTED_VALUE"""),169.82)</f>
        <v>169.82</v>
      </c>
      <c r="D340" s="1">
        <f ca="1">IFERROR(__xludf.DUMMYFUNCTION("""COMPUTED_VALUE"""),166.56)</f>
        <v>166.56</v>
      </c>
      <c r="E340" s="1">
        <f ca="1">IFERROR(__xludf.DUMMYFUNCTION("""COMPUTED_VALUE"""),169.15)</f>
        <v>169.15</v>
      </c>
      <c r="F340" s="1">
        <f ca="1">IFERROR(__xludf.DUMMYFUNCTION("""COMPUTED_VALUE"""),88965043)</f>
        <v>88965043</v>
      </c>
    </row>
    <row r="341" spans="1:6" ht="12.6">
      <c r="A341" s="2">
        <f ca="1">IFERROR(__xludf.DUMMYFUNCTION("""COMPUTED_VALUE"""),45056.6666666666)</f>
        <v>45056.666666666599</v>
      </c>
      <c r="B341" s="1">
        <f ca="1">IFERROR(__xludf.DUMMYFUNCTION("""COMPUTED_VALUE"""),172.55)</f>
        <v>172.55</v>
      </c>
      <c r="C341" s="1">
        <f ca="1">IFERROR(__xludf.DUMMYFUNCTION("""COMPUTED_VALUE"""),174.43)</f>
        <v>174.43</v>
      </c>
      <c r="D341" s="1">
        <f ca="1">IFERROR(__xludf.DUMMYFUNCTION("""COMPUTED_VALUE"""),166.68)</f>
        <v>166.68</v>
      </c>
      <c r="E341" s="1">
        <f ca="1">IFERROR(__xludf.DUMMYFUNCTION("""COMPUTED_VALUE"""),168.54)</f>
        <v>168.54</v>
      </c>
      <c r="F341" s="1">
        <f ca="1">IFERROR(__xludf.DUMMYFUNCTION("""COMPUTED_VALUE"""),119840693)</f>
        <v>119840693</v>
      </c>
    </row>
    <row r="342" spans="1:6" ht="12.6">
      <c r="A342" s="2">
        <f ca="1">IFERROR(__xludf.DUMMYFUNCTION("""COMPUTED_VALUE"""),45057.6666666666)</f>
        <v>45057.666666666599</v>
      </c>
      <c r="B342" s="1">
        <f ca="1">IFERROR(__xludf.DUMMYFUNCTION("""COMPUTED_VALUE"""),168.7)</f>
        <v>168.7</v>
      </c>
      <c r="C342" s="1">
        <f ca="1">IFERROR(__xludf.DUMMYFUNCTION("""COMPUTED_VALUE"""),173.57)</f>
        <v>173.57</v>
      </c>
      <c r="D342" s="1">
        <f ca="1">IFERROR(__xludf.DUMMYFUNCTION("""COMPUTED_VALUE"""),166.79)</f>
        <v>166.79</v>
      </c>
      <c r="E342" s="1">
        <f ca="1">IFERROR(__xludf.DUMMYFUNCTION("""COMPUTED_VALUE"""),172.08)</f>
        <v>172.08</v>
      </c>
      <c r="F342" s="1">
        <f ca="1">IFERROR(__xludf.DUMMYFUNCTION("""COMPUTED_VALUE"""),103889930)</f>
        <v>103889930</v>
      </c>
    </row>
    <row r="343" spans="1:6" ht="12.6">
      <c r="A343" s="2">
        <f ca="1">IFERROR(__xludf.DUMMYFUNCTION("""COMPUTED_VALUE"""),45058.6666666666)</f>
        <v>45058.666666666599</v>
      </c>
      <c r="B343" s="1">
        <f ca="1">IFERROR(__xludf.DUMMYFUNCTION("""COMPUTED_VALUE"""),176.07)</f>
        <v>176.07</v>
      </c>
      <c r="C343" s="1">
        <f ca="1">IFERROR(__xludf.DUMMYFUNCTION("""COMPUTED_VALUE"""),177.38)</f>
        <v>177.38</v>
      </c>
      <c r="D343" s="1">
        <f ca="1">IFERROR(__xludf.DUMMYFUNCTION("""COMPUTED_VALUE"""),167.23)</f>
        <v>167.23</v>
      </c>
      <c r="E343" s="1">
        <f ca="1">IFERROR(__xludf.DUMMYFUNCTION("""COMPUTED_VALUE"""),167.98)</f>
        <v>167.98</v>
      </c>
      <c r="F343" s="1">
        <f ca="1">IFERROR(__xludf.DUMMYFUNCTION("""COMPUTED_VALUE"""),157849625)</f>
        <v>157849625</v>
      </c>
    </row>
    <row r="344" spans="1:6" ht="12.6">
      <c r="A344" s="2">
        <f ca="1">IFERROR(__xludf.DUMMYFUNCTION("""COMPUTED_VALUE"""),45061.6666666666)</f>
        <v>45061.666666666599</v>
      </c>
      <c r="B344" s="1">
        <f ca="1">IFERROR(__xludf.DUMMYFUNCTION("""COMPUTED_VALUE"""),167.66)</f>
        <v>167.66</v>
      </c>
      <c r="C344" s="1">
        <f ca="1">IFERROR(__xludf.DUMMYFUNCTION("""COMPUTED_VALUE"""),169.76)</f>
        <v>169.76</v>
      </c>
      <c r="D344" s="1">
        <f ca="1">IFERROR(__xludf.DUMMYFUNCTION("""COMPUTED_VALUE"""),164.55)</f>
        <v>164.55</v>
      </c>
      <c r="E344" s="1">
        <f ca="1">IFERROR(__xludf.DUMMYFUNCTION("""COMPUTED_VALUE"""),166.35)</f>
        <v>166.35</v>
      </c>
      <c r="F344" s="1">
        <f ca="1">IFERROR(__xludf.DUMMYFUNCTION("""COMPUTED_VALUE"""),105592510)</f>
        <v>105592510</v>
      </c>
    </row>
    <row r="345" spans="1:6" ht="12.6">
      <c r="A345" s="2">
        <f ca="1">IFERROR(__xludf.DUMMYFUNCTION("""COMPUTED_VALUE"""),45062.6666666666)</f>
        <v>45062.666666666599</v>
      </c>
      <c r="B345" s="1">
        <f ca="1">IFERROR(__xludf.DUMMYFUNCTION("""COMPUTED_VALUE"""),165.65)</f>
        <v>165.65</v>
      </c>
      <c r="C345" s="1">
        <f ca="1">IFERROR(__xludf.DUMMYFUNCTION("""COMPUTED_VALUE"""),169.52)</f>
        <v>169.52</v>
      </c>
      <c r="D345" s="1">
        <f ca="1">IFERROR(__xludf.DUMMYFUNCTION("""COMPUTED_VALUE"""),164.35)</f>
        <v>164.35</v>
      </c>
      <c r="E345" s="1">
        <f ca="1">IFERROR(__xludf.DUMMYFUNCTION("""COMPUTED_VALUE"""),166.52)</f>
        <v>166.52</v>
      </c>
      <c r="F345" s="1">
        <f ca="1">IFERROR(__xludf.DUMMYFUNCTION("""COMPUTED_VALUE"""),98288792)</f>
        <v>98288792</v>
      </c>
    </row>
    <row r="346" spans="1:6" ht="12.6">
      <c r="A346" s="2">
        <f ca="1">IFERROR(__xludf.DUMMYFUNCTION("""COMPUTED_VALUE"""),45063.6666666666)</f>
        <v>45063.666666666599</v>
      </c>
      <c r="B346" s="1">
        <f ca="1">IFERROR(__xludf.DUMMYFUNCTION("""COMPUTED_VALUE"""),168.41)</f>
        <v>168.41</v>
      </c>
      <c r="C346" s="1">
        <f ca="1">IFERROR(__xludf.DUMMYFUNCTION("""COMPUTED_VALUE"""),174.5)</f>
        <v>174.5</v>
      </c>
      <c r="D346" s="1">
        <f ca="1">IFERROR(__xludf.DUMMYFUNCTION("""COMPUTED_VALUE"""),167.19)</f>
        <v>167.19</v>
      </c>
      <c r="E346" s="1">
        <f ca="1">IFERROR(__xludf.DUMMYFUNCTION("""COMPUTED_VALUE"""),173.86)</f>
        <v>173.86</v>
      </c>
      <c r="F346" s="1">
        <f ca="1">IFERROR(__xludf.DUMMYFUNCTION("""COMPUTED_VALUE"""),125473558)</f>
        <v>125473558</v>
      </c>
    </row>
    <row r="347" spans="1:6" ht="12.6">
      <c r="A347" s="2">
        <f ca="1">IFERROR(__xludf.DUMMYFUNCTION("""COMPUTED_VALUE"""),45064.6666666666)</f>
        <v>45064.666666666599</v>
      </c>
      <c r="B347" s="1">
        <f ca="1">IFERROR(__xludf.DUMMYFUNCTION("""COMPUTED_VALUE"""),174.22)</f>
        <v>174.22</v>
      </c>
      <c r="C347" s="1">
        <f ca="1">IFERROR(__xludf.DUMMYFUNCTION("""COMPUTED_VALUE"""),177.06)</f>
        <v>177.06</v>
      </c>
      <c r="D347" s="1">
        <f ca="1">IFERROR(__xludf.DUMMYFUNCTION("""COMPUTED_VALUE"""),172.45)</f>
        <v>172.45</v>
      </c>
      <c r="E347" s="1">
        <f ca="1">IFERROR(__xludf.DUMMYFUNCTION("""COMPUTED_VALUE"""),176.89)</f>
        <v>176.89</v>
      </c>
      <c r="F347" s="1">
        <f ca="1">IFERROR(__xludf.DUMMYFUNCTION("""COMPUTED_VALUE"""),109520332)</f>
        <v>109520332</v>
      </c>
    </row>
    <row r="348" spans="1:6" ht="12.6">
      <c r="A348" s="2">
        <f ca="1">IFERROR(__xludf.DUMMYFUNCTION("""COMPUTED_VALUE"""),45065.6666666666)</f>
        <v>45065.666666666599</v>
      </c>
      <c r="B348" s="1">
        <f ca="1">IFERROR(__xludf.DUMMYFUNCTION("""COMPUTED_VALUE"""),177.17)</f>
        <v>177.17</v>
      </c>
      <c r="C348" s="1">
        <f ca="1">IFERROR(__xludf.DUMMYFUNCTION("""COMPUTED_VALUE"""),181.95)</f>
        <v>181.95</v>
      </c>
      <c r="D348" s="1">
        <f ca="1">IFERROR(__xludf.DUMMYFUNCTION("""COMPUTED_VALUE"""),176.31)</f>
        <v>176.31</v>
      </c>
      <c r="E348" s="1">
        <f ca="1">IFERROR(__xludf.DUMMYFUNCTION("""COMPUTED_VALUE"""),180.14)</f>
        <v>180.14</v>
      </c>
      <c r="F348" s="1">
        <f ca="1">IFERROR(__xludf.DUMMYFUNCTION("""COMPUTED_VALUE"""),136196668)</f>
        <v>136196668</v>
      </c>
    </row>
    <row r="349" spans="1:6" ht="12.6">
      <c r="A349" s="2">
        <f ca="1">IFERROR(__xludf.DUMMYFUNCTION("""COMPUTED_VALUE"""),45068.6666666666)</f>
        <v>45068.666666666599</v>
      </c>
      <c r="B349" s="1">
        <f ca="1">IFERROR(__xludf.DUMMYFUNCTION("""COMPUTED_VALUE"""),180.7)</f>
        <v>180.7</v>
      </c>
      <c r="C349" s="1">
        <f ca="1">IFERROR(__xludf.DUMMYFUNCTION("""COMPUTED_VALUE"""),189.32)</f>
        <v>189.32</v>
      </c>
      <c r="D349" s="1">
        <f ca="1">IFERROR(__xludf.DUMMYFUNCTION("""COMPUTED_VALUE"""),180.11)</f>
        <v>180.11</v>
      </c>
      <c r="E349" s="1">
        <f ca="1">IFERROR(__xludf.DUMMYFUNCTION("""COMPUTED_VALUE"""),188.87)</f>
        <v>188.87</v>
      </c>
      <c r="F349" s="1">
        <f ca="1">IFERROR(__xludf.DUMMYFUNCTION("""COMPUTED_VALUE"""),132001430)</f>
        <v>132001430</v>
      </c>
    </row>
    <row r="350" spans="1:6" ht="12.6">
      <c r="A350" s="2">
        <f ca="1">IFERROR(__xludf.DUMMYFUNCTION("""COMPUTED_VALUE"""),45069.6666666666)</f>
        <v>45069.666666666599</v>
      </c>
      <c r="B350" s="1">
        <f ca="1">IFERROR(__xludf.DUMMYFUNCTION("""COMPUTED_VALUE"""),186.2)</f>
        <v>186.2</v>
      </c>
      <c r="C350" s="1">
        <f ca="1">IFERROR(__xludf.DUMMYFUNCTION("""COMPUTED_VALUE"""),192.96)</f>
        <v>192.96</v>
      </c>
      <c r="D350" s="1">
        <f ca="1">IFERROR(__xludf.DUMMYFUNCTION("""COMPUTED_VALUE"""),185.26)</f>
        <v>185.26</v>
      </c>
      <c r="E350" s="1">
        <f ca="1">IFERROR(__xludf.DUMMYFUNCTION("""COMPUTED_VALUE"""),185.77)</f>
        <v>185.77</v>
      </c>
      <c r="F350" s="1">
        <f ca="1">IFERROR(__xludf.DUMMYFUNCTION("""COMPUTED_VALUE"""),156952130)</f>
        <v>156952130</v>
      </c>
    </row>
    <row r="351" spans="1:6" ht="12.6">
      <c r="A351" s="2">
        <f ca="1">IFERROR(__xludf.DUMMYFUNCTION("""COMPUTED_VALUE"""),45070.6666666666)</f>
        <v>45070.666666666599</v>
      </c>
      <c r="B351" s="1">
        <f ca="1">IFERROR(__xludf.DUMMYFUNCTION("""COMPUTED_VALUE"""),182.23)</f>
        <v>182.23</v>
      </c>
      <c r="C351" s="1">
        <f ca="1">IFERROR(__xludf.DUMMYFUNCTION("""COMPUTED_VALUE"""),184.22)</f>
        <v>184.22</v>
      </c>
      <c r="D351" s="1">
        <f ca="1">IFERROR(__xludf.DUMMYFUNCTION("""COMPUTED_VALUE"""),178.22)</f>
        <v>178.22</v>
      </c>
      <c r="E351" s="1">
        <f ca="1">IFERROR(__xludf.DUMMYFUNCTION("""COMPUTED_VALUE"""),182.9)</f>
        <v>182.9</v>
      </c>
      <c r="F351" s="1">
        <f ca="1">IFERROR(__xludf.DUMMYFUNCTION("""COMPUTED_VALUE"""),137605054)</f>
        <v>137605054</v>
      </c>
    </row>
    <row r="352" spans="1:6" ht="12.6">
      <c r="A352" s="2">
        <f ca="1">IFERROR(__xludf.DUMMYFUNCTION("""COMPUTED_VALUE"""),45071.6666666666)</f>
        <v>45071.666666666599</v>
      </c>
      <c r="B352" s="1">
        <f ca="1">IFERROR(__xludf.DUMMYFUNCTION("""COMPUTED_VALUE"""),186.54)</f>
        <v>186.54</v>
      </c>
      <c r="C352" s="1">
        <f ca="1">IFERROR(__xludf.DUMMYFUNCTION("""COMPUTED_VALUE"""),186.78)</f>
        <v>186.78</v>
      </c>
      <c r="D352" s="1">
        <f ca="1">IFERROR(__xludf.DUMMYFUNCTION("""COMPUTED_VALUE"""),180.58)</f>
        <v>180.58</v>
      </c>
      <c r="E352" s="1">
        <f ca="1">IFERROR(__xludf.DUMMYFUNCTION("""COMPUTED_VALUE"""),184.47)</f>
        <v>184.47</v>
      </c>
      <c r="F352" s="1">
        <f ca="1">IFERROR(__xludf.DUMMYFUNCTION("""COMPUTED_VALUE"""),96870719)</f>
        <v>96870719</v>
      </c>
    </row>
    <row r="353" spans="1:6" ht="12.6">
      <c r="A353" s="2">
        <f ca="1">IFERROR(__xludf.DUMMYFUNCTION("""COMPUTED_VALUE"""),45072.6666666666)</f>
        <v>45072.666666666599</v>
      </c>
      <c r="B353" s="1">
        <f ca="1">IFERROR(__xludf.DUMMYFUNCTION("""COMPUTED_VALUE"""),184.62)</f>
        <v>184.62</v>
      </c>
      <c r="C353" s="1">
        <f ca="1">IFERROR(__xludf.DUMMYFUNCTION("""COMPUTED_VALUE"""),198.6)</f>
        <v>198.6</v>
      </c>
      <c r="D353" s="1">
        <f ca="1">IFERROR(__xludf.DUMMYFUNCTION("""COMPUTED_VALUE"""),184.53)</f>
        <v>184.53</v>
      </c>
      <c r="E353" s="1">
        <f ca="1">IFERROR(__xludf.DUMMYFUNCTION("""COMPUTED_VALUE"""),193.17)</f>
        <v>193.17</v>
      </c>
      <c r="F353" s="1">
        <f ca="1">IFERROR(__xludf.DUMMYFUNCTION("""COMPUTED_VALUE"""),162061496)</f>
        <v>162061496</v>
      </c>
    </row>
    <row r="354" spans="1:6" ht="12.6">
      <c r="A354" s="2">
        <f ca="1">IFERROR(__xludf.DUMMYFUNCTION("""COMPUTED_VALUE"""),45076.6666666666)</f>
        <v>45076.666666666599</v>
      </c>
      <c r="B354" s="1">
        <f ca="1">IFERROR(__xludf.DUMMYFUNCTION("""COMPUTED_VALUE"""),200.1)</f>
        <v>200.1</v>
      </c>
      <c r="C354" s="1">
        <f ca="1">IFERROR(__xludf.DUMMYFUNCTION("""COMPUTED_VALUE"""),204.48)</f>
        <v>204.48</v>
      </c>
      <c r="D354" s="1">
        <f ca="1">IFERROR(__xludf.DUMMYFUNCTION("""COMPUTED_VALUE"""),197.53)</f>
        <v>197.53</v>
      </c>
      <c r="E354" s="1">
        <f ca="1">IFERROR(__xludf.DUMMYFUNCTION("""COMPUTED_VALUE"""),201.16)</f>
        <v>201.16</v>
      </c>
      <c r="F354" s="1">
        <f ca="1">IFERROR(__xludf.DUMMYFUNCTION("""COMPUTED_VALUE"""),128818746)</f>
        <v>128818746</v>
      </c>
    </row>
    <row r="355" spans="1:6" ht="12.6">
      <c r="A355" s="2">
        <f ca="1">IFERROR(__xludf.DUMMYFUNCTION("""COMPUTED_VALUE"""),45077.6666666666)</f>
        <v>45077.666666666599</v>
      </c>
      <c r="B355" s="1">
        <f ca="1">IFERROR(__xludf.DUMMYFUNCTION("""COMPUTED_VALUE"""),199.78)</f>
        <v>199.78</v>
      </c>
      <c r="C355" s="1">
        <f ca="1">IFERROR(__xludf.DUMMYFUNCTION("""COMPUTED_VALUE"""),203.95)</f>
        <v>203.95</v>
      </c>
      <c r="D355" s="1">
        <f ca="1">IFERROR(__xludf.DUMMYFUNCTION("""COMPUTED_VALUE"""),195.12)</f>
        <v>195.12</v>
      </c>
      <c r="E355" s="1">
        <f ca="1">IFERROR(__xludf.DUMMYFUNCTION("""COMPUTED_VALUE"""),203.93)</f>
        <v>203.93</v>
      </c>
      <c r="F355" s="1">
        <f ca="1">IFERROR(__xludf.DUMMYFUNCTION("""COMPUTED_VALUE"""),150711736)</f>
        <v>150711736</v>
      </c>
    </row>
    <row r="356" spans="1:6" ht="12.6">
      <c r="A356" s="2">
        <f ca="1">IFERROR(__xludf.DUMMYFUNCTION("""COMPUTED_VALUE"""),45078.6666666666)</f>
        <v>45078.666666666599</v>
      </c>
      <c r="B356" s="1">
        <f ca="1">IFERROR(__xludf.DUMMYFUNCTION("""COMPUTED_VALUE"""),202.59)</f>
        <v>202.59</v>
      </c>
      <c r="C356" s="1">
        <f ca="1">IFERROR(__xludf.DUMMYFUNCTION("""COMPUTED_VALUE"""),209.8)</f>
        <v>209.8</v>
      </c>
      <c r="D356" s="1">
        <f ca="1">IFERROR(__xludf.DUMMYFUNCTION("""COMPUTED_VALUE"""),199.37)</f>
        <v>199.37</v>
      </c>
      <c r="E356" s="1">
        <f ca="1">IFERROR(__xludf.DUMMYFUNCTION("""COMPUTED_VALUE"""),207.52)</f>
        <v>207.52</v>
      </c>
      <c r="F356" s="1">
        <f ca="1">IFERROR(__xludf.DUMMYFUNCTION("""COMPUTED_VALUE"""),148029931)</f>
        <v>148029931</v>
      </c>
    </row>
    <row r="357" spans="1:6" ht="12.6">
      <c r="A357" s="2">
        <f ca="1">IFERROR(__xludf.DUMMYFUNCTION("""COMPUTED_VALUE"""),45079.6666666666)</f>
        <v>45079.666666666599</v>
      </c>
      <c r="B357" s="1">
        <f ca="1">IFERROR(__xludf.DUMMYFUNCTION("""COMPUTED_VALUE"""),210.15)</f>
        <v>210.15</v>
      </c>
      <c r="C357" s="1">
        <f ca="1">IFERROR(__xludf.DUMMYFUNCTION("""COMPUTED_VALUE"""),217.25)</f>
        <v>217.25</v>
      </c>
      <c r="D357" s="1">
        <f ca="1">IFERROR(__xludf.DUMMYFUNCTION("""COMPUTED_VALUE"""),209.75)</f>
        <v>209.75</v>
      </c>
      <c r="E357" s="1">
        <f ca="1">IFERROR(__xludf.DUMMYFUNCTION("""COMPUTED_VALUE"""),213.97)</f>
        <v>213.97</v>
      </c>
      <c r="F357" s="1">
        <f ca="1">IFERROR(__xludf.DUMMYFUNCTION("""COMPUTED_VALUE"""),164398372)</f>
        <v>164398372</v>
      </c>
    </row>
    <row r="358" spans="1:6" ht="12.6">
      <c r="A358" s="2">
        <f ca="1">IFERROR(__xludf.DUMMYFUNCTION("""COMPUTED_VALUE"""),45082.6666666666)</f>
        <v>45082.666666666599</v>
      </c>
      <c r="B358" s="1">
        <f ca="1">IFERROR(__xludf.DUMMYFUNCTION("""COMPUTED_VALUE"""),217.8)</f>
        <v>217.8</v>
      </c>
      <c r="C358" s="1">
        <f ca="1">IFERROR(__xludf.DUMMYFUNCTION("""COMPUTED_VALUE"""),221.29)</f>
        <v>221.29</v>
      </c>
      <c r="D358" s="1">
        <f ca="1">IFERROR(__xludf.DUMMYFUNCTION("""COMPUTED_VALUE"""),214.52)</f>
        <v>214.52</v>
      </c>
      <c r="E358" s="1">
        <f ca="1">IFERROR(__xludf.DUMMYFUNCTION("""COMPUTED_VALUE"""),217.61)</f>
        <v>217.61</v>
      </c>
      <c r="F358" s="1">
        <f ca="1">IFERROR(__xludf.DUMMYFUNCTION("""COMPUTED_VALUE"""),151143052)</f>
        <v>151143052</v>
      </c>
    </row>
    <row r="359" spans="1:6" ht="12.6">
      <c r="A359" s="2">
        <f ca="1">IFERROR(__xludf.DUMMYFUNCTION("""COMPUTED_VALUE"""),45083.6666666666)</f>
        <v>45083.666666666599</v>
      </c>
      <c r="B359" s="1">
        <f ca="1">IFERROR(__xludf.DUMMYFUNCTION("""COMPUTED_VALUE"""),216.14)</f>
        <v>216.14</v>
      </c>
      <c r="C359" s="1">
        <f ca="1">IFERROR(__xludf.DUMMYFUNCTION("""COMPUTED_VALUE"""),221.91)</f>
        <v>221.91</v>
      </c>
      <c r="D359" s="1">
        <f ca="1">IFERROR(__xludf.DUMMYFUNCTION("""COMPUTED_VALUE"""),212.53)</f>
        <v>212.53</v>
      </c>
      <c r="E359" s="1">
        <f ca="1">IFERROR(__xludf.DUMMYFUNCTION("""COMPUTED_VALUE"""),221.31)</f>
        <v>221.31</v>
      </c>
      <c r="F359" s="1">
        <f ca="1">IFERROR(__xludf.DUMMYFUNCTION("""COMPUTED_VALUE"""),146911576)</f>
        <v>146911576</v>
      </c>
    </row>
    <row r="360" spans="1:6" ht="12.6">
      <c r="A360" s="2">
        <f ca="1">IFERROR(__xludf.DUMMYFUNCTION("""COMPUTED_VALUE"""),45084.6666666666)</f>
        <v>45084.666666666599</v>
      </c>
      <c r="B360" s="1">
        <f ca="1">IFERROR(__xludf.DUMMYFUNCTION("""COMPUTED_VALUE"""),228)</f>
        <v>228</v>
      </c>
      <c r="C360" s="1">
        <f ca="1">IFERROR(__xludf.DUMMYFUNCTION("""COMPUTED_VALUE"""),230.83)</f>
        <v>230.83</v>
      </c>
      <c r="D360" s="1">
        <f ca="1">IFERROR(__xludf.DUMMYFUNCTION("""COMPUTED_VALUE"""),223.2)</f>
        <v>223.2</v>
      </c>
      <c r="E360" s="1">
        <f ca="1">IFERROR(__xludf.DUMMYFUNCTION("""COMPUTED_VALUE"""),224.57)</f>
        <v>224.57</v>
      </c>
      <c r="F360" s="1">
        <f ca="1">IFERROR(__xludf.DUMMYFUNCTION("""COMPUTED_VALUE"""),185710777)</f>
        <v>185710777</v>
      </c>
    </row>
    <row r="361" spans="1:6" ht="12.6">
      <c r="A361" s="2">
        <f ca="1">IFERROR(__xludf.DUMMYFUNCTION("""COMPUTED_VALUE"""),45085.6666666666)</f>
        <v>45085.666666666599</v>
      </c>
      <c r="B361" s="1">
        <f ca="1">IFERROR(__xludf.DUMMYFUNCTION("""COMPUTED_VALUE"""),224.22)</f>
        <v>224.22</v>
      </c>
      <c r="C361" s="1">
        <f ca="1">IFERROR(__xludf.DUMMYFUNCTION("""COMPUTED_VALUE"""),235.23)</f>
        <v>235.23</v>
      </c>
      <c r="D361" s="1">
        <f ca="1">IFERROR(__xludf.DUMMYFUNCTION("""COMPUTED_VALUE"""),223.01)</f>
        <v>223.01</v>
      </c>
      <c r="E361" s="1">
        <f ca="1">IFERROR(__xludf.DUMMYFUNCTION("""COMPUTED_VALUE"""),234.86)</f>
        <v>234.86</v>
      </c>
      <c r="F361" s="1">
        <f ca="1">IFERROR(__xludf.DUMMYFUNCTION("""COMPUTED_VALUE"""),164489739)</f>
        <v>164489739</v>
      </c>
    </row>
    <row r="362" spans="1:6" ht="12.6">
      <c r="A362" s="2">
        <f ca="1">IFERROR(__xludf.DUMMYFUNCTION("""COMPUTED_VALUE"""),45086.6666666666)</f>
        <v>45086.666666666599</v>
      </c>
      <c r="B362" s="1">
        <f ca="1">IFERROR(__xludf.DUMMYFUNCTION("""COMPUTED_VALUE"""),249.07)</f>
        <v>249.07</v>
      </c>
      <c r="C362" s="1">
        <f ca="1">IFERROR(__xludf.DUMMYFUNCTION("""COMPUTED_VALUE"""),252.42)</f>
        <v>252.42</v>
      </c>
      <c r="D362" s="1">
        <f ca="1">IFERROR(__xludf.DUMMYFUNCTION("""COMPUTED_VALUE"""),242.02)</f>
        <v>242.02</v>
      </c>
      <c r="E362" s="1">
        <f ca="1">IFERROR(__xludf.DUMMYFUNCTION("""COMPUTED_VALUE"""),244.4)</f>
        <v>244.4</v>
      </c>
      <c r="F362" s="1">
        <f ca="1">IFERROR(__xludf.DUMMYFUNCTION("""COMPUTED_VALUE"""),200242371)</f>
        <v>200242371</v>
      </c>
    </row>
    <row r="363" spans="1:6" ht="12.6">
      <c r="A363" s="2">
        <f ca="1">IFERROR(__xludf.DUMMYFUNCTION("""COMPUTED_VALUE"""),45089.6666666666)</f>
        <v>45089.666666666599</v>
      </c>
      <c r="B363" s="1">
        <f ca="1">IFERROR(__xludf.DUMMYFUNCTION("""COMPUTED_VALUE"""),247.94)</f>
        <v>247.94</v>
      </c>
      <c r="C363" s="1">
        <f ca="1">IFERROR(__xludf.DUMMYFUNCTION("""COMPUTED_VALUE"""),250.97)</f>
        <v>250.97</v>
      </c>
      <c r="D363" s="1">
        <f ca="1">IFERROR(__xludf.DUMMYFUNCTION("""COMPUTED_VALUE"""),244.59)</f>
        <v>244.59</v>
      </c>
      <c r="E363" s="1">
        <f ca="1">IFERROR(__xludf.DUMMYFUNCTION("""COMPUTED_VALUE"""),249.83)</f>
        <v>249.83</v>
      </c>
      <c r="F363" s="1">
        <f ca="1">IFERROR(__xludf.DUMMYFUNCTION("""COMPUTED_VALUE"""),150740523)</f>
        <v>150740523</v>
      </c>
    </row>
    <row r="364" spans="1:6" ht="12.6">
      <c r="A364" s="2">
        <f ca="1">IFERROR(__xludf.DUMMYFUNCTION("""COMPUTED_VALUE"""),45090.6666666666)</f>
        <v>45090.666666666599</v>
      </c>
      <c r="B364" s="1">
        <f ca="1">IFERROR(__xludf.DUMMYFUNCTION("""COMPUTED_VALUE"""),253.51)</f>
        <v>253.51</v>
      </c>
      <c r="C364" s="1">
        <f ca="1">IFERROR(__xludf.DUMMYFUNCTION("""COMPUTED_VALUE"""),259.68)</f>
        <v>259.68</v>
      </c>
      <c r="D364" s="1">
        <f ca="1">IFERROR(__xludf.DUMMYFUNCTION("""COMPUTED_VALUE"""),251.34)</f>
        <v>251.34</v>
      </c>
      <c r="E364" s="1">
        <f ca="1">IFERROR(__xludf.DUMMYFUNCTION("""COMPUTED_VALUE"""),258.71)</f>
        <v>258.70999999999998</v>
      </c>
      <c r="F364" s="1">
        <f ca="1">IFERROR(__xludf.DUMMYFUNCTION("""COMPUTED_VALUE"""),162384343)</f>
        <v>162384343</v>
      </c>
    </row>
    <row r="365" spans="1:6" ht="12.6">
      <c r="A365" s="2">
        <f ca="1">IFERROR(__xludf.DUMMYFUNCTION("""COMPUTED_VALUE"""),45091.6666666666)</f>
        <v>45091.666666666599</v>
      </c>
      <c r="B365" s="1">
        <f ca="1">IFERROR(__xludf.DUMMYFUNCTION("""COMPUTED_VALUE"""),260.17)</f>
        <v>260.17</v>
      </c>
      <c r="C365" s="1">
        <f ca="1">IFERROR(__xludf.DUMMYFUNCTION("""COMPUTED_VALUE"""),261.57)</f>
        <v>261.57</v>
      </c>
      <c r="D365" s="1">
        <f ca="1">IFERROR(__xludf.DUMMYFUNCTION("""COMPUTED_VALUE"""),250.5)</f>
        <v>250.5</v>
      </c>
      <c r="E365" s="1">
        <f ca="1">IFERROR(__xludf.DUMMYFUNCTION("""COMPUTED_VALUE"""),256.79)</f>
        <v>256.79000000000002</v>
      </c>
      <c r="F365" s="1">
        <f ca="1">IFERROR(__xludf.DUMMYFUNCTION("""COMPUTED_VALUE"""),170575536)</f>
        <v>170575536</v>
      </c>
    </row>
    <row r="366" spans="1:6" ht="12.6">
      <c r="A366" s="2">
        <f ca="1">IFERROR(__xludf.DUMMYFUNCTION("""COMPUTED_VALUE"""),45092.6666666666)</f>
        <v>45092.666666666599</v>
      </c>
      <c r="B366" s="1">
        <f ca="1">IFERROR(__xludf.DUMMYFUNCTION("""COMPUTED_VALUE"""),248.4)</f>
        <v>248.4</v>
      </c>
      <c r="C366" s="1">
        <f ca="1">IFERROR(__xludf.DUMMYFUNCTION("""COMPUTED_VALUE"""),258.95)</f>
        <v>258.95</v>
      </c>
      <c r="D366" s="1">
        <f ca="1">IFERROR(__xludf.DUMMYFUNCTION("""COMPUTED_VALUE"""),247.29)</f>
        <v>247.29</v>
      </c>
      <c r="E366" s="1">
        <f ca="1">IFERROR(__xludf.DUMMYFUNCTION("""COMPUTED_VALUE"""),255.9)</f>
        <v>255.9</v>
      </c>
      <c r="F366" s="1">
        <f ca="1">IFERROR(__xludf.DUMMYFUNCTION("""COMPUTED_VALUE"""),160171238)</f>
        <v>160171238</v>
      </c>
    </row>
    <row r="367" spans="1:6" ht="12.6">
      <c r="A367" s="2">
        <f ca="1">IFERROR(__xludf.DUMMYFUNCTION("""COMPUTED_VALUE"""),45093.6666666666)</f>
        <v>45093.666666666599</v>
      </c>
      <c r="B367" s="1">
        <f ca="1">IFERROR(__xludf.DUMMYFUNCTION("""COMPUTED_VALUE"""),258.92)</f>
        <v>258.92</v>
      </c>
      <c r="C367" s="1">
        <f ca="1">IFERROR(__xludf.DUMMYFUNCTION("""COMPUTED_VALUE"""),263.6)</f>
        <v>263.60000000000002</v>
      </c>
      <c r="D367" s="1">
        <f ca="1">IFERROR(__xludf.DUMMYFUNCTION("""COMPUTED_VALUE"""),257.21)</f>
        <v>257.20999999999998</v>
      </c>
      <c r="E367" s="1">
        <f ca="1">IFERROR(__xludf.DUMMYFUNCTION("""COMPUTED_VALUE"""),260.54)</f>
        <v>260.54000000000002</v>
      </c>
      <c r="F367" s="1">
        <f ca="1">IFERROR(__xludf.DUMMYFUNCTION("""COMPUTED_VALUE"""),167915649)</f>
        <v>167915649</v>
      </c>
    </row>
    <row r="368" spans="1:6" ht="12.6">
      <c r="A368" s="2">
        <f ca="1">IFERROR(__xludf.DUMMYFUNCTION("""COMPUTED_VALUE"""),45097.6666666666)</f>
        <v>45097.666666666599</v>
      </c>
      <c r="B368" s="1">
        <f ca="1">IFERROR(__xludf.DUMMYFUNCTION("""COMPUTED_VALUE"""),261.5)</f>
        <v>261.5</v>
      </c>
      <c r="C368" s="1">
        <f ca="1">IFERROR(__xludf.DUMMYFUNCTION("""COMPUTED_VALUE"""),274.75)</f>
        <v>274.75</v>
      </c>
      <c r="D368" s="1">
        <f ca="1">IFERROR(__xludf.DUMMYFUNCTION("""COMPUTED_VALUE"""),261.12)</f>
        <v>261.12</v>
      </c>
      <c r="E368" s="1">
        <f ca="1">IFERROR(__xludf.DUMMYFUNCTION("""COMPUTED_VALUE"""),274.45)</f>
        <v>274.45</v>
      </c>
      <c r="F368" s="1">
        <f ca="1">IFERROR(__xludf.DUMMYFUNCTION("""COMPUTED_VALUE"""),165611217)</f>
        <v>165611217</v>
      </c>
    </row>
    <row r="369" spans="1:6" ht="12.6">
      <c r="A369" s="2">
        <f ca="1">IFERROR(__xludf.DUMMYFUNCTION("""COMPUTED_VALUE"""),45098.6666666666)</f>
        <v>45098.666666666599</v>
      </c>
      <c r="B369" s="1">
        <f ca="1">IFERROR(__xludf.DUMMYFUNCTION("""COMPUTED_VALUE"""),275.13)</f>
        <v>275.13</v>
      </c>
      <c r="C369" s="1">
        <f ca="1">IFERROR(__xludf.DUMMYFUNCTION("""COMPUTED_VALUE"""),276.99)</f>
        <v>276.99</v>
      </c>
      <c r="D369" s="1">
        <f ca="1">IFERROR(__xludf.DUMMYFUNCTION("""COMPUTED_VALUE"""),257.78)</f>
        <v>257.77999999999997</v>
      </c>
      <c r="E369" s="1">
        <f ca="1">IFERROR(__xludf.DUMMYFUNCTION("""COMPUTED_VALUE"""),259.46)</f>
        <v>259.45999999999998</v>
      </c>
      <c r="F369" s="1">
        <f ca="1">IFERROR(__xludf.DUMMYFUNCTION("""COMPUTED_VALUE"""),211797109)</f>
        <v>211797109</v>
      </c>
    </row>
    <row r="370" spans="1:6" ht="12.6">
      <c r="A370" s="2">
        <f ca="1">IFERROR(__xludf.DUMMYFUNCTION("""COMPUTED_VALUE"""),45099.6666666666)</f>
        <v>45099.666666666599</v>
      </c>
      <c r="B370" s="1">
        <f ca="1">IFERROR(__xludf.DUMMYFUNCTION("""COMPUTED_VALUE"""),250.77)</f>
        <v>250.77</v>
      </c>
      <c r="C370" s="1">
        <f ca="1">IFERROR(__xludf.DUMMYFUNCTION("""COMPUTED_VALUE"""),265)</f>
        <v>265</v>
      </c>
      <c r="D370" s="1">
        <f ca="1">IFERROR(__xludf.DUMMYFUNCTION("""COMPUTED_VALUE"""),248.25)</f>
        <v>248.25</v>
      </c>
      <c r="E370" s="1">
        <f ca="1">IFERROR(__xludf.DUMMYFUNCTION("""COMPUTED_VALUE"""),264.61)</f>
        <v>264.61</v>
      </c>
      <c r="F370" s="1">
        <f ca="1">IFERROR(__xludf.DUMMYFUNCTION("""COMPUTED_VALUE"""),166875944)</f>
        <v>166875944</v>
      </c>
    </row>
    <row r="371" spans="1:6" ht="12.6">
      <c r="A371" s="2">
        <f ca="1">IFERROR(__xludf.DUMMYFUNCTION("""COMPUTED_VALUE"""),45100.6666666666)</f>
        <v>45100.666666666599</v>
      </c>
      <c r="B371" s="1">
        <f ca="1">IFERROR(__xludf.DUMMYFUNCTION("""COMPUTED_VALUE"""),259.29)</f>
        <v>259.29000000000002</v>
      </c>
      <c r="C371" s="1">
        <f ca="1">IFERROR(__xludf.DUMMYFUNCTION("""COMPUTED_VALUE"""),262.45)</f>
        <v>262.45</v>
      </c>
      <c r="D371" s="1">
        <f ca="1">IFERROR(__xludf.DUMMYFUNCTION("""COMPUTED_VALUE"""),252.8)</f>
        <v>252.8</v>
      </c>
      <c r="E371" s="1">
        <f ca="1">IFERROR(__xludf.DUMMYFUNCTION("""COMPUTED_VALUE"""),256.6)</f>
        <v>256.60000000000002</v>
      </c>
      <c r="F371" s="1">
        <f ca="1">IFERROR(__xludf.DUMMYFUNCTION("""COMPUTED_VALUE"""),177460803)</f>
        <v>177460803</v>
      </c>
    </row>
    <row r="372" spans="1:6" ht="12.6">
      <c r="A372" s="2">
        <f ca="1">IFERROR(__xludf.DUMMYFUNCTION("""COMPUTED_VALUE"""),45103.6666666666)</f>
        <v>45103.666666666599</v>
      </c>
      <c r="B372" s="1">
        <f ca="1">IFERROR(__xludf.DUMMYFUNCTION("""COMPUTED_VALUE"""),250.07)</f>
        <v>250.07</v>
      </c>
      <c r="C372" s="1">
        <f ca="1">IFERROR(__xludf.DUMMYFUNCTION("""COMPUTED_VALUE"""),258.37)</f>
        <v>258.37</v>
      </c>
      <c r="D372" s="1">
        <f ca="1">IFERROR(__xludf.DUMMYFUNCTION("""COMPUTED_VALUE"""),240.7)</f>
        <v>240.7</v>
      </c>
      <c r="E372" s="1">
        <f ca="1">IFERROR(__xludf.DUMMYFUNCTION("""COMPUTED_VALUE"""),241.05)</f>
        <v>241.05</v>
      </c>
      <c r="F372" s="1">
        <f ca="1">IFERROR(__xludf.DUMMYFUNCTION("""COMPUTED_VALUE"""),179990552)</f>
        <v>179990552</v>
      </c>
    </row>
    <row r="373" spans="1:6" ht="12.6">
      <c r="A373" s="2">
        <f ca="1">IFERROR(__xludf.DUMMYFUNCTION("""COMPUTED_VALUE"""),45104.6666666666)</f>
        <v>45104.666666666599</v>
      </c>
      <c r="B373" s="1">
        <f ca="1">IFERROR(__xludf.DUMMYFUNCTION("""COMPUTED_VALUE"""),243.24)</f>
        <v>243.24</v>
      </c>
      <c r="C373" s="1">
        <f ca="1">IFERROR(__xludf.DUMMYFUNCTION("""COMPUTED_VALUE"""),250.39)</f>
        <v>250.39</v>
      </c>
      <c r="D373" s="1">
        <f ca="1">IFERROR(__xludf.DUMMYFUNCTION("""COMPUTED_VALUE"""),240.85)</f>
        <v>240.85</v>
      </c>
      <c r="E373" s="1">
        <f ca="1">IFERROR(__xludf.DUMMYFUNCTION("""COMPUTED_VALUE"""),250.21)</f>
        <v>250.21</v>
      </c>
      <c r="F373" s="1">
        <f ca="1">IFERROR(__xludf.DUMMYFUNCTION("""COMPUTED_VALUE"""),164968214)</f>
        <v>164968214</v>
      </c>
    </row>
    <row r="374" spans="1:6" ht="12.6">
      <c r="A374" s="2">
        <f ca="1">IFERROR(__xludf.DUMMYFUNCTION("""COMPUTED_VALUE"""),45105.6666666666)</f>
        <v>45105.666666666599</v>
      </c>
      <c r="B374" s="1">
        <f ca="1">IFERROR(__xludf.DUMMYFUNCTION("""COMPUTED_VALUE"""),249.7)</f>
        <v>249.7</v>
      </c>
      <c r="C374" s="1">
        <f ca="1">IFERROR(__xludf.DUMMYFUNCTION("""COMPUTED_VALUE"""),259.88)</f>
        <v>259.88</v>
      </c>
      <c r="D374" s="1">
        <f ca="1">IFERROR(__xludf.DUMMYFUNCTION("""COMPUTED_VALUE"""),248.89)</f>
        <v>248.89</v>
      </c>
      <c r="E374" s="1">
        <f ca="1">IFERROR(__xludf.DUMMYFUNCTION("""COMPUTED_VALUE"""),256.24)</f>
        <v>256.24</v>
      </c>
      <c r="F374" s="1">
        <f ca="1">IFERROR(__xludf.DUMMYFUNCTION("""COMPUTED_VALUE"""),159770797)</f>
        <v>159770797</v>
      </c>
    </row>
    <row r="375" spans="1:6" ht="12.6">
      <c r="A375" s="2">
        <f ca="1">IFERROR(__xludf.DUMMYFUNCTION("""COMPUTED_VALUE"""),45106.6666666666)</f>
        <v>45106.666666666599</v>
      </c>
      <c r="B375" s="1">
        <f ca="1">IFERROR(__xludf.DUMMYFUNCTION("""COMPUTED_VALUE"""),258.03)</f>
        <v>258.02999999999997</v>
      </c>
      <c r="C375" s="1">
        <f ca="1">IFERROR(__xludf.DUMMYFUNCTION("""COMPUTED_VALUE"""),260.74)</f>
        <v>260.74</v>
      </c>
      <c r="D375" s="1">
        <f ca="1">IFERROR(__xludf.DUMMYFUNCTION("""COMPUTED_VALUE"""),253.61)</f>
        <v>253.61</v>
      </c>
      <c r="E375" s="1">
        <f ca="1">IFERROR(__xludf.DUMMYFUNCTION("""COMPUTED_VALUE"""),257.5)</f>
        <v>257.5</v>
      </c>
      <c r="F375" s="1">
        <f ca="1">IFERROR(__xludf.DUMMYFUNCTION("""COMPUTED_VALUE"""),131283360)</f>
        <v>131283360</v>
      </c>
    </row>
    <row r="376" spans="1:6" ht="12.6">
      <c r="A376" s="2">
        <f ca="1">IFERROR(__xludf.DUMMYFUNCTION("""COMPUTED_VALUE"""),45107.6666666666)</f>
        <v>45107.666666666599</v>
      </c>
      <c r="B376" s="1">
        <f ca="1">IFERROR(__xludf.DUMMYFUNCTION("""COMPUTED_VALUE"""),260.6)</f>
        <v>260.60000000000002</v>
      </c>
      <c r="C376" s="1">
        <f ca="1">IFERROR(__xludf.DUMMYFUNCTION("""COMPUTED_VALUE"""),264.45)</f>
        <v>264.45</v>
      </c>
      <c r="D376" s="1">
        <f ca="1">IFERROR(__xludf.DUMMYFUNCTION("""COMPUTED_VALUE"""),259.89)</f>
        <v>259.89</v>
      </c>
      <c r="E376" s="1">
        <f ca="1">IFERROR(__xludf.DUMMYFUNCTION("""COMPUTED_VALUE"""),261.77)</f>
        <v>261.77</v>
      </c>
      <c r="F376" s="1">
        <f ca="1">IFERROR(__xludf.DUMMYFUNCTION("""COMPUTED_VALUE"""),112620784)</f>
        <v>112620784</v>
      </c>
    </row>
    <row r="377" spans="1:6" ht="12.6">
      <c r="A377" s="2">
        <f ca="1">IFERROR(__xludf.DUMMYFUNCTION("""COMPUTED_VALUE"""),45110.5451388888)</f>
        <v>45110.545138888803</v>
      </c>
      <c r="B377" s="1">
        <f ca="1">IFERROR(__xludf.DUMMYFUNCTION("""COMPUTED_VALUE"""),276.49)</f>
        <v>276.49</v>
      </c>
      <c r="C377" s="1">
        <f ca="1">IFERROR(__xludf.DUMMYFUNCTION("""COMPUTED_VALUE"""),284.25)</f>
        <v>284.25</v>
      </c>
      <c r="D377" s="1">
        <f ca="1">IFERROR(__xludf.DUMMYFUNCTION("""COMPUTED_VALUE"""),275.11)</f>
        <v>275.11</v>
      </c>
      <c r="E377" s="1">
        <f ca="1">IFERROR(__xludf.DUMMYFUNCTION("""COMPUTED_VALUE"""),279.82)</f>
        <v>279.82</v>
      </c>
      <c r="F377" s="1">
        <f ca="1">IFERROR(__xludf.DUMMYFUNCTION("""COMPUTED_VALUE"""),119685891)</f>
        <v>119685891</v>
      </c>
    </row>
    <row r="378" spans="1:6" ht="12.6">
      <c r="A378" s="2">
        <f ca="1">IFERROR(__xludf.DUMMYFUNCTION("""COMPUTED_VALUE"""),45112.6666666666)</f>
        <v>45112.666666666599</v>
      </c>
      <c r="B378" s="1">
        <f ca="1">IFERROR(__xludf.DUMMYFUNCTION("""COMPUTED_VALUE"""),278.82)</f>
        <v>278.82</v>
      </c>
      <c r="C378" s="1">
        <f ca="1">IFERROR(__xludf.DUMMYFUNCTION("""COMPUTED_VALUE"""),283.85)</f>
        <v>283.85000000000002</v>
      </c>
      <c r="D378" s="1">
        <f ca="1">IFERROR(__xludf.DUMMYFUNCTION("""COMPUTED_VALUE"""),277.6)</f>
        <v>277.60000000000002</v>
      </c>
      <c r="E378" s="1">
        <f ca="1">IFERROR(__xludf.DUMMYFUNCTION("""COMPUTED_VALUE"""),282.48)</f>
        <v>282.48</v>
      </c>
      <c r="F378" s="1">
        <f ca="1">IFERROR(__xludf.DUMMYFUNCTION("""COMPUTED_VALUE"""),131530862)</f>
        <v>131530862</v>
      </c>
    </row>
    <row r="379" spans="1:6" ht="12.6">
      <c r="A379" s="2">
        <f ca="1">IFERROR(__xludf.DUMMYFUNCTION("""COMPUTED_VALUE"""),45113.6666666666)</f>
        <v>45113.666666666599</v>
      </c>
      <c r="B379" s="1">
        <f ca="1">IFERROR(__xludf.DUMMYFUNCTION("""COMPUTED_VALUE"""),278.09)</f>
        <v>278.08999999999997</v>
      </c>
      <c r="C379" s="1">
        <f ca="1">IFERROR(__xludf.DUMMYFUNCTION("""COMPUTED_VALUE"""),279.97)</f>
        <v>279.97000000000003</v>
      </c>
      <c r="D379" s="1">
        <f ca="1">IFERROR(__xludf.DUMMYFUNCTION("""COMPUTED_VALUE"""),272.88)</f>
        <v>272.88</v>
      </c>
      <c r="E379" s="1">
        <f ca="1">IFERROR(__xludf.DUMMYFUNCTION("""COMPUTED_VALUE"""),276.54)</f>
        <v>276.54000000000002</v>
      </c>
      <c r="F379" s="1">
        <f ca="1">IFERROR(__xludf.DUMMYFUNCTION("""COMPUTED_VALUE"""),120707419)</f>
        <v>120707419</v>
      </c>
    </row>
    <row r="380" spans="1:6" ht="12.6">
      <c r="A380" s="2">
        <f ca="1">IFERROR(__xludf.DUMMYFUNCTION("""COMPUTED_VALUE"""),45114.6666666666)</f>
        <v>45114.666666666599</v>
      </c>
      <c r="B380" s="1">
        <f ca="1">IFERROR(__xludf.DUMMYFUNCTION("""COMPUTED_VALUE"""),278.43)</f>
        <v>278.43</v>
      </c>
      <c r="C380" s="1">
        <f ca="1">IFERROR(__xludf.DUMMYFUNCTION("""COMPUTED_VALUE"""),280.78)</f>
        <v>280.77999999999997</v>
      </c>
      <c r="D380" s="1">
        <f ca="1">IFERROR(__xludf.DUMMYFUNCTION("""COMPUTED_VALUE"""),273.77)</f>
        <v>273.77</v>
      </c>
      <c r="E380" s="1">
        <f ca="1">IFERROR(__xludf.DUMMYFUNCTION("""COMPUTED_VALUE"""),274.43)</f>
        <v>274.43</v>
      </c>
      <c r="F380" s="1">
        <f ca="1">IFERROR(__xludf.DUMMYFUNCTION("""COMPUTED_VALUE"""),113879174)</f>
        <v>113879174</v>
      </c>
    </row>
    <row r="381" spans="1:6" ht="12.6">
      <c r="A381" s="2">
        <f ca="1">IFERROR(__xludf.DUMMYFUNCTION("""COMPUTED_VALUE"""),45117.6666666666)</f>
        <v>45117.666666666599</v>
      </c>
      <c r="B381" s="1">
        <f ca="1">IFERROR(__xludf.DUMMYFUNCTION("""COMPUTED_VALUE"""),276.47)</f>
        <v>276.47000000000003</v>
      </c>
      <c r="C381" s="1">
        <f ca="1">IFERROR(__xludf.DUMMYFUNCTION("""COMPUTED_VALUE"""),277.52)</f>
        <v>277.52</v>
      </c>
      <c r="D381" s="1">
        <f ca="1">IFERROR(__xludf.DUMMYFUNCTION("""COMPUTED_VALUE"""),265.1)</f>
        <v>265.10000000000002</v>
      </c>
      <c r="E381" s="1">
        <f ca="1">IFERROR(__xludf.DUMMYFUNCTION("""COMPUTED_VALUE"""),269.61)</f>
        <v>269.61</v>
      </c>
      <c r="F381" s="1">
        <f ca="1">IFERROR(__xludf.DUMMYFUNCTION("""COMPUTED_VALUE"""),119425405)</f>
        <v>119425405</v>
      </c>
    </row>
    <row r="382" spans="1:6" ht="12.6">
      <c r="A382" s="2">
        <f ca="1">IFERROR(__xludf.DUMMYFUNCTION("""COMPUTED_VALUE"""),45118.6666666666)</f>
        <v>45118.666666666599</v>
      </c>
      <c r="B382" s="1">
        <f ca="1">IFERROR(__xludf.DUMMYFUNCTION("""COMPUTED_VALUE"""),268.65)</f>
        <v>268.64999999999998</v>
      </c>
      <c r="C382" s="1">
        <f ca="1">IFERROR(__xludf.DUMMYFUNCTION("""COMPUTED_VALUE"""),270.9)</f>
        <v>270.89999999999998</v>
      </c>
      <c r="D382" s="1">
        <f ca="1">IFERROR(__xludf.DUMMYFUNCTION("""COMPUTED_VALUE"""),266.37)</f>
        <v>266.37</v>
      </c>
      <c r="E382" s="1">
        <f ca="1">IFERROR(__xludf.DUMMYFUNCTION("""COMPUTED_VALUE"""),269.79)</f>
        <v>269.79000000000002</v>
      </c>
      <c r="F382" s="1">
        <f ca="1">IFERROR(__xludf.DUMMYFUNCTION("""COMPUTED_VALUE"""),91972358)</f>
        <v>91972358</v>
      </c>
    </row>
    <row r="383" spans="1:6" ht="12.6">
      <c r="A383" s="2">
        <f ca="1">IFERROR(__xludf.DUMMYFUNCTION("""COMPUTED_VALUE"""),45119.6666666666)</f>
        <v>45119.666666666599</v>
      </c>
      <c r="B383" s="1">
        <f ca="1">IFERROR(__xludf.DUMMYFUNCTION("""COMPUTED_VALUE"""),276.33)</f>
        <v>276.33</v>
      </c>
      <c r="C383" s="1">
        <f ca="1">IFERROR(__xludf.DUMMYFUNCTION("""COMPUTED_VALUE"""),276.52)</f>
        <v>276.52</v>
      </c>
      <c r="D383" s="1">
        <f ca="1">IFERROR(__xludf.DUMMYFUNCTION("""COMPUTED_VALUE"""),271.46)</f>
        <v>271.45999999999998</v>
      </c>
      <c r="E383" s="1">
        <f ca="1">IFERROR(__xludf.DUMMYFUNCTION("""COMPUTED_VALUE"""),271.99)</f>
        <v>271.99</v>
      </c>
      <c r="F383" s="1">
        <f ca="1">IFERROR(__xludf.DUMMYFUNCTION("""COMPUTED_VALUE"""),95672139)</f>
        <v>95672139</v>
      </c>
    </row>
    <row r="384" spans="1:6" ht="12.6">
      <c r="A384" s="2">
        <f ca="1">IFERROR(__xludf.DUMMYFUNCTION("""COMPUTED_VALUE"""),45120.6666666666)</f>
        <v>45120.666666666599</v>
      </c>
      <c r="B384" s="1">
        <f ca="1">IFERROR(__xludf.DUMMYFUNCTION("""COMPUTED_VALUE"""),274.59)</f>
        <v>274.58999999999997</v>
      </c>
      <c r="C384" s="1">
        <f ca="1">IFERROR(__xludf.DUMMYFUNCTION("""COMPUTED_VALUE"""),279.45)</f>
        <v>279.45</v>
      </c>
      <c r="D384" s="1">
        <f ca="1">IFERROR(__xludf.DUMMYFUNCTION("""COMPUTED_VALUE"""),270.6)</f>
        <v>270.60000000000002</v>
      </c>
      <c r="E384" s="1">
        <f ca="1">IFERROR(__xludf.DUMMYFUNCTION("""COMPUTED_VALUE"""),277.9)</f>
        <v>277.89999999999998</v>
      </c>
      <c r="F384" s="1">
        <f ca="1">IFERROR(__xludf.DUMMYFUNCTION("""COMPUTED_VALUE"""),112681458)</f>
        <v>112681458</v>
      </c>
    </row>
    <row r="385" spans="1:6" ht="12.6">
      <c r="A385" s="2">
        <f ca="1">IFERROR(__xludf.DUMMYFUNCTION("""COMPUTED_VALUE"""),45121.6666666666)</f>
        <v>45121.666666666599</v>
      </c>
      <c r="B385" s="1">
        <f ca="1">IFERROR(__xludf.DUMMYFUNCTION("""COMPUTED_VALUE"""),277.01)</f>
        <v>277.01</v>
      </c>
      <c r="C385" s="1">
        <f ca="1">IFERROR(__xludf.DUMMYFUNCTION("""COMPUTED_VALUE"""),285.3)</f>
        <v>285.3</v>
      </c>
      <c r="D385" s="1">
        <f ca="1">IFERROR(__xludf.DUMMYFUNCTION("""COMPUTED_VALUE"""),276.31)</f>
        <v>276.31</v>
      </c>
      <c r="E385" s="1">
        <f ca="1">IFERROR(__xludf.DUMMYFUNCTION("""COMPUTED_VALUE"""),281.38)</f>
        <v>281.38</v>
      </c>
      <c r="F385" s="1">
        <f ca="1">IFERROR(__xludf.DUMMYFUNCTION("""COMPUTED_VALUE"""),120062369)</f>
        <v>120062369</v>
      </c>
    </row>
    <row r="386" spans="1:6" ht="12.6">
      <c r="A386" s="2">
        <f ca="1">IFERROR(__xludf.DUMMYFUNCTION("""COMPUTED_VALUE"""),45124.6666666666)</f>
        <v>45124.666666666599</v>
      </c>
      <c r="B386" s="1">
        <f ca="1">IFERROR(__xludf.DUMMYFUNCTION("""COMPUTED_VALUE"""),286.63)</f>
        <v>286.63</v>
      </c>
      <c r="C386" s="1">
        <f ca="1">IFERROR(__xludf.DUMMYFUNCTION("""COMPUTED_VALUE"""),292.23)</f>
        <v>292.23</v>
      </c>
      <c r="D386" s="1">
        <f ca="1">IFERROR(__xludf.DUMMYFUNCTION("""COMPUTED_VALUE"""),283.57)</f>
        <v>283.57</v>
      </c>
      <c r="E386" s="1">
        <f ca="1">IFERROR(__xludf.DUMMYFUNCTION("""COMPUTED_VALUE"""),290.38)</f>
        <v>290.38</v>
      </c>
      <c r="F386" s="1">
        <f ca="1">IFERROR(__xludf.DUMMYFUNCTION("""COMPUTED_VALUE"""),131569593)</f>
        <v>131569593</v>
      </c>
    </row>
    <row r="387" spans="1:6" ht="12.6">
      <c r="A387" s="2">
        <f ca="1">IFERROR(__xludf.DUMMYFUNCTION("""COMPUTED_VALUE"""),45125.6666666666)</f>
        <v>45125.666666666599</v>
      </c>
      <c r="B387" s="1">
        <f ca="1">IFERROR(__xludf.DUMMYFUNCTION("""COMPUTED_VALUE"""),290.15)</f>
        <v>290.14999999999998</v>
      </c>
      <c r="C387" s="1">
        <f ca="1">IFERROR(__xludf.DUMMYFUNCTION("""COMPUTED_VALUE"""),295.26)</f>
        <v>295.26</v>
      </c>
      <c r="D387" s="1">
        <f ca="1">IFERROR(__xludf.DUMMYFUNCTION("""COMPUTED_VALUE"""),286.01)</f>
        <v>286.01</v>
      </c>
      <c r="E387" s="1">
        <f ca="1">IFERROR(__xludf.DUMMYFUNCTION("""COMPUTED_VALUE"""),293.34)</f>
        <v>293.33999999999997</v>
      </c>
      <c r="F387" s="1">
        <f ca="1">IFERROR(__xludf.DUMMYFUNCTION("""COMPUTED_VALUE"""),112434713)</f>
        <v>112434713</v>
      </c>
    </row>
    <row r="388" spans="1:6" ht="12.6">
      <c r="A388" s="2">
        <f ca="1">IFERROR(__xludf.DUMMYFUNCTION("""COMPUTED_VALUE"""),45126.6666666666)</f>
        <v>45126.666666666599</v>
      </c>
      <c r="B388" s="1">
        <f ca="1">IFERROR(__xludf.DUMMYFUNCTION("""COMPUTED_VALUE"""),296.04)</f>
        <v>296.04000000000002</v>
      </c>
      <c r="C388" s="1">
        <f ca="1">IFERROR(__xludf.DUMMYFUNCTION("""COMPUTED_VALUE"""),299.29)</f>
        <v>299.29000000000002</v>
      </c>
      <c r="D388" s="1">
        <f ca="1">IFERROR(__xludf.DUMMYFUNCTION("""COMPUTED_VALUE"""),289.52)</f>
        <v>289.52</v>
      </c>
      <c r="E388" s="1">
        <f ca="1">IFERROR(__xludf.DUMMYFUNCTION("""COMPUTED_VALUE"""),291.26)</f>
        <v>291.26</v>
      </c>
      <c r="F388" s="1">
        <f ca="1">IFERROR(__xludf.DUMMYFUNCTION("""COMPUTED_VALUE"""),142355353)</f>
        <v>142355353</v>
      </c>
    </row>
    <row r="389" spans="1:6" ht="12.6">
      <c r="A389" s="2">
        <f ca="1">IFERROR(__xludf.DUMMYFUNCTION("""COMPUTED_VALUE"""),45127.6666666666)</f>
        <v>45127.666666666599</v>
      </c>
      <c r="B389" s="1">
        <f ca="1">IFERROR(__xludf.DUMMYFUNCTION("""COMPUTED_VALUE"""),279.56)</f>
        <v>279.56</v>
      </c>
      <c r="C389" s="1">
        <f ca="1">IFERROR(__xludf.DUMMYFUNCTION("""COMPUTED_VALUE"""),280.93)</f>
        <v>280.93</v>
      </c>
      <c r="D389" s="1">
        <f ca="1">IFERROR(__xludf.DUMMYFUNCTION("""COMPUTED_VALUE"""),261.2)</f>
        <v>261.2</v>
      </c>
      <c r="E389" s="1">
        <f ca="1">IFERROR(__xludf.DUMMYFUNCTION("""COMPUTED_VALUE"""),262.9)</f>
        <v>262.89999999999998</v>
      </c>
      <c r="F389" s="1">
        <f ca="1">IFERROR(__xludf.DUMMYFUNCTION("""COMPUTED_VALUE"""),175158273)</f>
        <v>175158273</v>
      </c>
    </row>
    <row r="390" spans="1:6" ht="12.6">
      <c r="A390" s="2">
        <f ca="1">IFERROR(__xludf.DUMMYFUNCTION("""COMPUTED_VALUE"""),45128.6666666666)</f>
        <v>45128.666666666599</v>
      </c>
      <c r="B390" s="1">
        <f ca="1">IFERROR(__xludf.DUMMYFUNCTION("""COMPUTED_VALUE"""),268)</f>
        <v>268</v>
      </c>
      <c r="C390" s="1">
        <f ca="1">IFERROR(__xludf.DUMMYFUNCTION("""COMPUTED_VALUE"""),268)</f>
        <v>268</v>
      </c>
      <c r="D390" s="1">
        <f ca="1">IFERROR(__xludf.DUMMYFUNCTION("""COMPUTED_VALUE"""),255.8)</f>
        <v>255.8</v>
      </c>
      <c r="E390" s="1">
        <f ca="1">IFERROR(__xludf.DUMMYFUNCTION("""COMPUTED_VALUE"""),260.02)</f>
        <v>260.02</v>
      </c>
      <c r="F390" s="1">
        <f ca="1">IFERROR(__xludf.DUMMYFUNCTION("""COMPUTED_VALUE"""),161796073)</f>
        <v>161796073</v>
      </c>
    </row>
    <row r="391" spans="1:6" ht="12.6">
      <c r="A391" s="2">
        <f ca="1">IFERROR(__xludf.DUMMYFUNCTION("""COMPUTED_VALUE"""),45131.6666666666)</f>
        <v>45131.666666666599</v>
      </c>
      <c r="B391" s="1">
        <f ca="1">IFERROR(__xludf.DUMMYFUNCTION("""COMPUTED_VALUE"""),255.85)</f>
        <v>255.85</v>
      </c>
      <c r="C391" s="1">
        <f ca="1">IFERROR(__xludf.DUMMYFUNCTION("""COMPUTED_VALUE"""),269.85)</f>
        <v>269.85000000000002</v>
      </c>
      <c r="D391" s="1">
        <f ca="1">IFERROR(__xludf.DUMMYFUNCTION("""COMPUTED_VALUE"""),254.12)</f>
        <v>254.12</v>
      </c>
      <c r="E391" s="1">
        <f ca="1">IFERROR(__xludf.DUMMYFUNCTION("""COMPUTED_VALUE"""),269.06)</f>
        <v>269.06</v>
      </c>
      <c r="F391" s="1">
        <f ca="1">IFERROR(__xludf.DUMMYFUNCTION("""COMPUTED_VALUE"""),137005037)</f>
        <v>137005037</v>
      </c>
    </row>
    <row r="392" spans="1:6" ht="12.6">
      <c r="A392" s="2">
        <f ca="1">IFERROR(__xludf.DUMMYFUNCTION("""COMPUTED_VALUE"""),45132.6666666666)</f>
        <v>45132.666666666599</v>
      </c>
      <c r="B392" s="1">
        <f ca="1">IFERROR(__xludf.DUMMYFUNCTION("""COMPUTED_VALUE"""),272.38)</f>
        <v>272.38</v>
      </c>
      <c r="C392" s="1">
        <f ca="1">IFERROR(__xludf.DUMMYFUNCTION("""COMPUTED_VALUE"""),272.9)</f>
        <v>272.89999999999998</v>
      </c>
      <c r="D392" s="1">
        <f ca="1">IFERROR(__xludf.DUMMYFUNCTION("""COMPUTED_VALUE"""),265)</f>
        <v>265</v>
      </c>
      <c r="E392" s="1">
        <f ca="1">IFERROR(__xludf.DUMMYFUNCTION("""COMPUTED_VALUE"""),265.28)</f>
        <v>265.27999999999997</v>
      </c>
      <c r="F392" s="1">
        <f ca="1">IFERROR(__xludf.DUMMYFUNCTION("""COMPUTED_VALUE"""),112757327)</f>
        <v>112757327</v>
      </c>
    </row>
    <row r="393" spans="1:6" ht="12.6">
      <c r="A393" s="2">
        <f ca="1">IFERROR(__xludf.DUMMYFUNCTION("""COMPUTED_VALUE"""),45133.6666666666)</f>
        <v>45133.666666666599</v>
      </c>
      <c r="B393" s="1">
        <f ca="1">IFERROR(__xludf.DUMMYFUNCTION("""COMPUTED_VALUE"""),263.25)</f>
        <v>263.25</v>
      </c>
      <c r="C393" s="1">
        <f ca="1">IFERROR(__xludf.DUMMYFUNCTION("""COMPUTED_VALUE"""),268.04)</f>
        <v>268.04000000000002</v>
      </c>
      <c r="D393" s="1">
        <f ca="1">IFERROR(__xludf.DUMMYFUNCTION("""COMPUTED_VALUE"""),261.75)</f>
        <v>261.75</v>
      </c>
      <c r="E393" s="1">
        <f ca="1">IFERROR(__xludf.DUMMYFUNCTION("""COMPUTED_VALUE"""),264.35)</f>
        <v>264.35000000000002</v>
      </c>
      <c r="F393" s="1">
        <f ca="1">IFERROR(__xludf.DUMMYFUNCTION("""COMPUTED_VALUE"""),95856177)</f>
        <v>95856177</v>
      </c>
    </row>
    <row r="394" spans="1:6" ht="12.6">
      <c r="A394" s="2">
        <f ca="1">IFERROR(__xludf.DUMMYFUNCTION("""COMPUTED_VALUE"""),45134.6666666666)</f>
        <v>45134.666666666599</v>
      </c>
      <c r="B394" s="1">
        <f ca="1">IFERROR(__xludf.DUMMYFUNCTION("""COMPUTED_VALUE"""),268.31)</f>
        <v>268.31</v>
      </c>
      <c r="C394" s="1">
        <f ca="1">IFERROR(__xludf.DUMMYFUNCTION("""COMPUTED_VALUE"""),269.13)</f>
        <v>269.13</v>
      </c>
      <c r="D394" s="1">
        <f ca="1">IFERROR(__xludf.DUMMYFUNCTION("""COMPUTED_VALUE"""),255.3)</f>
        <v>255.3</v>
      </c>
      <c r="E394" s="1">
        <f ca="1">IFERROR(__xludf.DUMMYFUNCTION("""COMPUTED_VALUE"""),255.71)</f>
        <v>255.71</v>
      </c>
      <c r="F394" s="1">
        <f ca="1">IFERROR(__xludf.DUMMYFUNCTION("""COMPUTED_VALUE"""),103697263)</f>
        <v>103697263</v>
      </c>
    </row>
    <row r="395" spans="1:6" ht="12.6">
      <c r="A395" s="2">
        <f ca="1">IFERROR(__xludf.DUMMYFUNCTION("""COMPUTED_VALUE"""),45135.6666666666)</f>
        <v>45135.666666666599</v>
      </c>
      <c r="B395" s="1">
        <f ca="1">IFERROR(__xludf.DUMMYFUNCTION("""COMPUTED_VALUE"""),259.86)</f>
        <v>259.86</v>
      </c>
      <c r="C395" s="1">
        <f ca="1">IFERROR(__xludf.DUMMYFUNCTION("""COMPUTED_VALUE"""),267.25)</f>
        <v>267.25</v>
      </c>
      <c r="D395" s="1">
        <f ca="1">IFERROR(__xludf.DUMMYFUNCTION("""COMPUTED_VALUE"""),258.23)</f>
        <v>258.23</v>
      </c>
      <c r="E395" s="1">
        <f ca="1">IFERROR(__xludf.DUMMYFUNCTION("""COMPUTED_VALUE"""),266.44)</f>
        <v>266.44</v>
      </c>
      <c r="F395" s="1">
        <f ca="1">IFERROR(__xludf.DUMMYFUNCTION("""COMPUTED_VALUE"""),111446026)</f>
        <v>111446026</v>
      </c>
    </row>
    <row r="396" spans="1:6" ht="12.6">
      <c r="A396" s="2">
        <f ca="1">IFERROR(__xludf.DUMMYFUNCTION("""COMPUTED_VALUE"""),45138.6666666666)</f>
        <v>45138.666666666599</v>
      </c>
      <c r="B396" s="1">
        <f ca="1">IFERROR(__xludf.DUMMYFUNCTION("""COMPUTED_VALUE"""),267.48)</f>
        <v>267.48</v>
      </c>
      <c r="C396" s="1">
        <f ca="1">IFERROR(__xludf.DUMMYFUNCTION("""COMPUTED_VALUE"""),269.08)</f>
        <v>269.08</v>
      </c>
      <c r="D396" s="1">
        <f ca="1">IFERROR(__xludf.DUMMYFUNCTION("""COMPUTED_VALUE"""),263.78)</f>
        <v>263.77999999999997</v>
      </c>
      <c r="E396" s="1">
        <f ca="1">IFERROR(__xludf.DUMMYFUNCTION("""COMPUTED_VALUE"""),267.43)</f>
        <v>267.43</v>
      </c>
      <c r="F396" s="1">
        <f ca="1">IFERROR(__xludf.DUMMYFUNCTION("""COMPUTED_VALUE"""),84582172)</f>
        <v>84582172</v>
      </c>
    </row>
    <row r="397" spans="1:6" ht="12.6">
      <c r="A397" s="2">
        <f ca="1">IFERROR(__xludf.DUMMYFUNCTION("""COMPUTED_VALUE"""),45139.6666666666)</f>
        <v>45139.666666666599</v>
      </c>
      <c r="B397" s="1">
        <f ca="1">IFERROR(__xludf.DUMMYFUNCTION("""COMPUTED_VALUE"""),266.26)</f>
        <v>266.26</v>
      </c>
      <c r="C397" s="1">
        <f ca="1">IFERROR(__xludf.DUMMYFUNCTION("""COMPUTED_VALUE"""),266.47)</f>
        <v>266.47000000000003</v>
      </c>
      <c r="D397" s="1">
        <f ca="1">IFERROR(__xludf.DUMMYFUNCTION("""COMPUTED_VALUE"""),260.25)</f>
        <v>260.25</v>
      </c>
      <c r="E397" s="1">
        <f ca="1">IFERROR(__xludf.DUMMYFUNCTION("""COMPUTED_VALUE"""),261.07)</f>
        <v>261.07</v>
      </c>
      <c r="F397" s="1">
        <f ca="1">IFERROR(__xludf.DUMMYFUNCTION("""COMPUTED_VALUE"""),83645720)</f>
        <v>83645720</v>
      </c>
    </row>
    <row r="398" spans="1:6" ht="12.6">
      <c r="A398" s="2">
        <f ca="1">IFERROR(__xludf.DUMMYFUNCTION("""COMPUTED_VALUE"""),45140.6666666666)</f>
        <v>45140.666666666599</v>
      </c>
      <c r="B398" s="1">
        <f ca="1">IFERROR(__xludf.DUMMYFUNCTION("""COMPUTED_VALUE"""),255.57)</f>
        <v>255.57</v>
      </c>
      <c r="C398" s="1">
        <f ca="1">IFERROR(__xludf.DUMMYFUNCTION("""COMPUTED_VALUE"""),259.52)</f>
        <v>259.52</v>
      </c>
      <c r="D398" s="1">
        <f ca="1">IFERROR(__xludf.DUMMYFUNCTION("""COMPUTED_VALUE"""),250.49)</f>
        <v>250.49</v>
      </c>
      <c r="E398" s="1">
        <f ca="1">IFERROR(__xludf.DUMMYFUNCTION("""COMPUTED_VALUE"""),254.11)</f>
        <v>254.11</v>
      </c>
      <c r="F398" s="1">
        <f ca="1">IFERROR(__xludf.DUMMYFUNCTION("""COMPUTED_VALUE"""),101752865)</f>
        <v>101752865</v>
      </c>
    </row>
    <row r="399" spans="1:6" ht="12.6">
      <c r="A399" s="2">
        <f ca="1">IFERROR(__xludf.DUMMYFUNCTION("""COMPUTED_VALUE"""),45141.6666666666)</f>
        <v>45141.666666666599</v>
      </c>
      <c r="B399" s="1">
        <f ca="1">IFERROR(__xludf.DUMMYFUNCTION("""COMPUTED_VALUE"""),252.04)</f>
        <v>252.04</v>
      </c>
      <c r="C399" s="1">
        <f ca="1">IFERROR(__xludf.DUMMYFUNCTION("""COMPUTED_VALUE"""),260.49)</f>
        <v>260.49</v>
      </c>
      <c r="D399" s="1">
        <f ca="1">IFERROR(__xludf.DUMMYFUNCTION("""COMPUTED_VALUE"""),252)</f>
        <v>252</v>
      </c>
      <c r="E399" s="1">
        <f ca="1">IFERROR(__xludf.DUMMYFUNCTION("""COMPUTED_VALUE"""),259.32)</f>
        <v>259.32</v>
      </c>
      <c r="F399" s="1">
        <f ca="1">IFERROR(__xludf.DUMMYFUNCTION("""COMPUTED_VALUE"""),97829545)</f>
        <v>97829545</v>
      </c>
    </row>
    <row r="400" spans="1:6" ht="12.6">
      <c r="A400" s="2">
        <f ca="1">IFERROR(__xludf.DUMMYFUNCTION("""COMPUTED_VALUE"""),45142.6666666666)</f>
        <v>45142.666666666599</v>
      </c>
      <c r="B400" s="1">
        <f ca="1">IFERROR(__xludf.DUMMYFUNCTION("""COMPUTED_VALUE"""),260.97)</f>
        <v>260.97000000000003</v>
      </c>
      <c r="C400" s="1">
        <f ca="1">IFERROR(__xludf.DUMMYFUNCTION("""COMPUTED_VALUE"""),264.77)</f>
        <v>264.77</v>
      </c>
      <c r="D400" s="1">
        <f ca="1">IFERROR(__xludf.DUMMYFUNCTION("""COMPUTED_VALUE"""),253.11)</f>
        <v>253.11</v>
      </c>
      <c r="E400" s="1">
        <f ca="1">IFERROR(__xludf.DUMMYFUNCTION("""COMPUTED_VALUE"""),253.86)</f>
        <v>253.86</v>
      </c>
      <c r="F400" s="1">
        <f ca="1">IFERROR(__xludf.DUMMYFUNCTION("""COMPUTED_VALUE"""),99539907)</f>
        <v>99539907</v>
      </c>
    </row>
    <row r="401" spans="1:6" ht="12.6">
      <c r="A401" s="2">
        <f ca="1">IFERROR(__xludf.DUMMYFUNCTION("""COMPUTED_VALUE"""),45145.6666666666)</f>
        <v>45145.666666666599</v>
      </c>
      <c r="B401" s="1">
        <f ca="1">IFERROR(__xludf.DUMMYFUNCTION("""COMPUTED_VALUE"""),251.45)</f>
        <v>251.45</v>
      </c>
      <c r="C401" s="1">
        <f ca="1">IFERROR(__xludf.DUMMYFUNCTION("""COMPUTED_VALUE"""),253.65)</f>
        <v>253.65</v>
      </c>
      <c r="D401" s="1">
        <f ca="1">IFERROR(__xludf.DUMMYFUNCTION("""COMPUTED_VALUE"""),242.76)</f>
        <v>242.76</v>
      </c>
      <c r="E401" s="1">
        <f ca="1">IFERROR(__xludf.DUMMYFUNCTION("""COMPUTED_VALUE"""),251.45)</f>
        <v>251.45</v>
      </c>
      <c r="F401" s="1">
        <f ca="1">IFERROR(__xludf.DUMMYFUNCTION("""COMPUTED_VALUE"""),111097943)</f>
        <v>111097943</v>
      </c>
    </row>
    <row r="402" spans="1:6" ht="12.6">
      <c r="A402" s="2">
        <f ca="1">IFERROR(__xludf.DUMMYFUNCTION("""COMPUTED_VALUE"""),45146.6666666666)</f>
        <v>45146.666666666599</v>
      </c>
      <c r="B402" s="1">
        <f ca="1">IFERROR(__xludf.DUMMYFUNCTION("""COMPUTED_VALUE"""),247.45)</f>
        <v>247.45</v>
      </c>
      <c r="C402" s="1">
        <f ca="1">IFERROR(__xludf.DUMMYFUNCTION("""COMPUTED_VALUE"""),250.92)</f>
        <v>250.92</v>
      </c>
      <c r="D402" s="1">
        <f ca="1">IFERROR(__xludf.DUMMYFUNCTION("""COMPUTED_VALUE"""),245.01)</f>
        <v>245.01</v>
      </c>
      <c r="E402" s="1">
        <f ca="1">IFERROR(__xludf.DUMMYFUNCTION("""COMPUTED_VALUE"""),249.7)</f>
        <v>249.7</v>
      </c>
      <c r="F402" s="1">
        <f ca="1">IFERROR(__xludf.DUMMYFUNCTION("""COMPUTED_VALUE"""),96642183)</f>
        <v>96642183</v>
      </c>
    </row>
    <row r="403" spans="1:6" ht="12.6">
      <c r="A403" s="2">
        <f ca="1">IFERROR(__xludf.DUMMYFUNCTION("""COMPUTED_VALUE"""),45147.6666666666)</f>
        <v>45147.666666666599</v>
      </c>
      <c r="B403" s="1">
        <f ca="1">IFERROR(__xludf.DUMMYFUNCTION("""COMPUTED_VALUE"""),250.87)</f>
        <v>250.87</v>
      </c>
      <c r="C403" s="1">
        <f ca="1">IFERROR(__xludf.DUMMYFUNCTION("""COMPUTED_VALUE"""),251.1)</f>
        <v>251.1</v>
      </c>
      <c r="D403" s="1">
        <f ca="1">IFERROR(__xludf.DUMMYFUNCTION("""COMPUTED_VALUE"""),241.9)</f>
        <v>241.9</v>
      </c>
      <c r="E403" s="1">
        <f ca="1">IFERROR(__xludf.DUMMYFUNCTION("""COMPUTED_VALUE"""),242.19)</f>
        <v>242.19</v>
      </c>
      <c r="F403" s="1">
        <f ca="1">IFERROR(__xludf.DUMMYFUNCTION("""COMPUTED_VALUE"""),101596324)</f>
        <v>101596324</v>
      </c>
    </row>
    <row r="404" spans="1:6" ht="12.6">
      <c r="A404" s="2">
        <f ca="1">IFERROR(__xludf.DUMMYFUNCTION("""COMPUTED_VALUE"""),45148.6666666666)</f>
        <v>45148.666666666599</v>
      </c>
      <c r="B404" s="1">
        <f ca="1">IFERROR(__xludf.DUMMYFUNCTION("""COMPUTED_VALUE"""),245.4)</f>
        <v>245.4</v>
      </c>
      <c r="C404" s="1">
        <f ca="1">IFERROR(__xludf.DUMMYFUNCTION("""COMPUTED_VALUE"""),251.8)</f>
        <v>251.8</v>
      </c>
      <c r="D404" s="1">
        <f ca="1">IFERROR(__xludf.DUMMYFUNCTION("""COMPUTED_VALUE"""),243)</f>
        <v>243</v>
      </c>
      <c r="E404" s="1">
        <f ca="1">IFERROR(__xludf.DUMMYFUNCTION("""COMPUTED_VALUE"""),245.34)</f>
        <v>245.34</v>
      </c>
      <c r="F404" s="1">
        <f ca="1">IFERROR(__xludf.DUMMYFUNCTION("""COMPUTED_VALUE"""),109498608)</f>
        <v>109498608</v>
      </c>
    </row>
    <row r="405" spans="1:6" ht="12.6">
      <c r="A405" s="2">
        <f ca="1">IFERROR(__xludf.DUMMYFUNCTION("""COMPUTED_VALUE"""),45149.6666666666)</f>
        <v>45149.666666666599</v>
      </c>
      <c r="B405" s="1">
        <f ca="1">IFERROR(__xludf.DUMMYFUNCTION("""COMPUTED_VALUE"""),241.77)</f>
        <v>241.77</v>
      </c>
      <c r="C405" s="1">
        <f ca="1">IFERROR(__xludf.DUMMYFUNCTION("""COMPUTED_VALUE"""),243.79)</f>
        <v>243.79</v>
      </c>
      <c r="D405" s="1">
        <f ca="1">IFERROR(__xludf.DUMMYFUNCTION("""COMPUTED_VALUE"""),238.02)</f>
        <v>238.02</v>
      </c>
      <c r="E405" s="1">
        <f ca="1">IFERROR(__xludf.DUMMYFUNCTION("""COMPUTED_VALUE"""),242.65)</f>
        <v>242.65</v>
      </c>
      <c r="F405" s="1">
        <f ca="1">IFERROR(__xludf.DUMMYFUNCTION("""COMPUTED_VALUE"""),99038642)</f>
        <v>99038642</v>
      </c>
    </row>
    <row r="406" spans="1:6" ht="12.6">
      <c r="A406" s="2">
        <f ca="1">IFERROR(__xludf.DUMMYFUNCTION("""COMPUTED_VALUE"""),45152.6666666666)</f>
        <v>45152.666666666599</v>
      </c>
      <c r="B406" s="1">
        <f ca="1">IFERROR(__xludf.DUMMYFUNCTION("""COMPUTED_VALUE"""),235.7)</f>
        <v>235.7</v>
      </c>
      <c r="C406" s="1">
        <f ca="1">IFERROR(__xludf.DUMMYFUNCTION("""COMPUTED_VALUE"""),240.66)</f>
        <v>240.66</v>
      </c>
      <c r="D406" s="1">
        <f ca="1">IFERROR(__xludf.DUMMYFUNCTION("""COMPUTED_VALUE"""),233.75)</f>
        <v>233.75</v>
      </c>
      <c r="E406" s="1">
        <f ca="1">IFERROR(__xludf.DUMMYFUNCTION("""COMPUTED_VALUE"""),239.76)</f>
        <v>239.76</v>
      </c>
      <c r="F406" s="1">
        <f ca="1">IFERROR(__xludf.DUMMYFUNCTION("""COMPUTED_VALUE"""),98595331)</f>
        <v>98595331</v>
      </c>
    </row>
    <row r="407" spans="1:6" ht="12.6">
      <c r="A407" s="2">
        <f ca="1">IFERROR(__xludf.DUMMYFUNCTION("""COMPUTED_VALUE"""),45153.6666666666)</f>
        <v>45153.666666666599</v>
      </c>
      <c r="B407" s="1">
        <f ca="1">IFERROR(__xludf.DUMMYFUNCTION("""COMPUTED_VALUE"""),238.73)</f>
        <v>238.73</v>
      </c>
      <c r="C407" s="1">
        <f ca="1">IFERROR(__xludf.DUMMYFUNCTION("""COMPUTED_VALUE"""),240.5)</f>
        <v>240.5</v>
      </c>
      <c r="D407" s="1">
        <f ca="1">IFERROR(__xludf.DUMMYFUNCTION("""COMPUTED_VALUE"""),232.61)</f>
        <v>232.61</v>
      </c>
      <c r="E407" s="1">
        <f ca="1">IFERROR(__xludf.DUMMYFUNCTION("""COMPUTED_VALUE"""),232.96)</f>
        <v>232.96</v>
      </c>
      <c r="F407" s="1">
        <f ca="1">IFERROR(__xludf.DUMMYFUNCTION("""COMPUTED_VALUE"""),88197599)</f>
        <v>88197599</v>
      </c>
    </row>
    <row r="408" spans="1:6" ht="12.6">
      <c r="A408" s="2">
        <f ca="1">IFERROR(__xludf.DUMMYFUNCTION("""COMPUTED_VALUE"""),45154.6666666666)</f>
        <v>45154.666666666599</v>
      </c>
      <c r="B408" s="1">
        <f ca="1">IFERROR(__xludf.DUMMYFUNCTION("""COMPUTED_VALUE"""),228.02)</f>
        <v>228.02</v>
      </c>
      <c r="C408" s="1">
        <f ca="1">IFERROR(__xludf.DUMMYFUNCTION("""COMPUTED_VALUE"""),233.97)</f>
        <v>233.97</v>
      </c>
      <c r="D408" s="1">
        <f ca="1">IFERROR(__xludf.DUMMYFUNCTION("""COMPUTED_VALUE"""),225.38)</f>
        <v>225.38</v>
      </c>
      <c r="E408" s="1">
        <f ca="1">IFERROR(__xludf.DUMMYFUNCTION("""COMPUTED_VALUE"""),225.6)</f>
        <v>225.6</v>
      </c>
      <c r="F408" s="1">
        <f ca="1">IFERROR(__xludf.DUMMYFUNCTION("""COMPUTED_VALUE"""),112484520)</f>
        <v>112484520</v>
      </c>
    </row>
    <row r="409" spans="1:6" ht="12.6">
      <c r="A409" s="2">
        <f ca="1">IFERROR(__xludf.DUMMYFUNCTION("""COMPUTED_VALUE"""),45155.6666666666)</f>
        <v>45155.666666666599</v>
      </c>
      <c r="B409" s="1">
        <f ca="1">IFERROR(__xludf.DUMMYFUNCTION("""COMPUTED_VALUE"""),226.06)</f>
        <v>226.06</v>
      </c>
      <c r="C409" s="1">
        <f ca="1">IFERROR(__xludf.DUMMYFUNCTION("""COMPUTED_VALUE"""),226.74)</f>
        <v>226.74</v>
      </c>
      <c r="D409" s="1">
        <f ca="1">IFERROR(__xludf.DUMMYFUNCTION("""COMPUTED_VALUE"""),218.83)</f>
        <v>218.83</v>
      </c>
      <c r="E409" s="1">
        <f ca="1">IFERROR(__xludf.DUMMYFUNCTION("""COMPUTED_VALUE"""),219.22)</f>
        <v>219.22</v>
      </c>
      <c r="F409" s="1">
        <f ca="1">IFERROR(__xludf.DUMMYFUNCTION("""COMPUTED_VALUE"""),120718417)</f>
        <v>120718417</v>
      </c>
    </row>
    <row r="410" spans="1:6" ht="12.6">
      <c r="A410" s="2">
        <f ca="1">IFERROR(__xludf.DUMMYFUNCTION("""COMPUTED_VALUE"""),45156.6666666666)</f>
        <v>45156.666666666599</v>
      </c>
      <c r="B410" s="1">
        <f ca="1">IFERROR(__xludf.DUMMYFUNCTION("""COMPUTED_VALUE"""),214.12)</f>
        <v>214.12</v>
      </c>
      <c r="C410" s="1">
        <f ca="1">IFERROR(__xludf.DUMMYFUNCTION("""COMPUTED_VALUE"""),217.58)</f>
        <v>217.58</v>
      </c>
      <c r="D410" s="1">
        <f ca="1">IFERROR(__xludf.DUMMYFUNCTION("""COMPUTED_VALUE"""),212.36)</f>
        <v>212.36</v>
      </c>
      <c r="E410" s="1">
        <f ca="1">IFERROR(__xludf.DUMMYFUNCTION("""COMPUTED_VALUE"""),215.49)</f>
        <v>215.49</v>
      </c>
      <c r="F410" s="1">
        <f ca="1">IFERROR(__xludf.DUMMYFUNCTION("""COMPUTED_VALUE"""),136276584)</f>
        <v>136276584</v>
      </c>
    </row>
    <row r="411" spans="1:6" ht="12.6">
      <c r="A411" s="2">
        <f ca="1">IFERROR(__xludf.DUMMYFUNCTION("""COMPUTED_VALUE"""),45159.6666666666)</f>
        <v>45159.666666666599</v>
      </c>
      <c r="B411" s="1">
        <f ca="1">IFERROR(__xludf.DUMMYFUNCTION("""COMPUTED_VALUE"""),221.55)</f>
        <v>221.55</v>
      </c>
      <c r="C411" s="1">
        <f ca="1">IFERROR(__xludf.DUMMYFUNCTION("""COMPUTED_VALUE"""),232.13)</f>
        <v>232.13</v>
      </c>
      <c r="D411" s="1">
        <f ca="1">IFERROR(__xludf.DUMMYFUNCTION("""COMPUTED_VALUE"""),220.58)</f>
        <v>220.58</v>
      </c>
      <c r="E411" s="1">
        <f ca="1">IFERROR(__xludf.DUMMYFUNCTION("""COMPUTED_VALUE"""),231.28)</f>
        <v>231.28</v>
      </c>
      <c r="F411" s="1">
        <f ca="1">IFERROR(__xludf.DUMMYFUNCTION("""COMPUTED_VALUE"""),135702671)</f>
        <v>135702671</v>
      </c>
    </row>
    <row r="412" spans="1:6" ht="12.6">
      <c r="A412" s="2">
        <f ca="1">IFERROR(__xludf.DUMMYFUNCTION("""COMPUTED_VALUE"""),45160.6666666666)</f>
        <v>45160.666666666599</v>
      </c>
      <c r="B412" s="1">
        <f ca="1">IFERROR(__xludf.DUMMYFUNCTION("""COMPUTED_VALUE"""),240.25)</f>
        <v>240.25</v>
      </c>
      <c r="C412" s="1">
        <f ca="1">IFERROR(__xludf.DUMMYFUNCTION("""COMPUTED_VALUE"""),240.82)</f>
        <v>240.82</v>
      </c>
      <c r="D412" s="1">
        <f ca="1">IFERROR(__xludf.DUMMYFUNCTION("""COMPUTED_VALUE"""),229.55)</f>
        <v>229.55</v>
      </c>
      <c r="E412" s="1">
        <f ca="1">IFERROR(__xludf.DUMMYFUNCTION("""COMPUTED_VALUE"""),233.19)</f>
        <v>233.19</v>
      </c>
      <c r="F412" s="1">
        <f ca="1">IFERROR(__xludf.DUMMYFUNCTION("""COMPUTED_VALUE"""),130597886)</f>
        <v>130597886</v>
      </c>
    </row>
    <row r="413" spans="1:6" ht="12.6">
      <c r="A413" s="2">
        <f ca="1">IFERROR(__xludf.DUMMYFUNCTION("""COMPUTED_VALUE"""),45161.6666666666)</f>
        <v>45161.666666666599</v>
      </c>
      <c r="B413" s="1">
        <f ca="1">IFERROR(__xludf.DUMMYFUNCTION("""COMPUTED_VALUE"""),229.34)</f>
        <v>229.34</v>
      </c>
      <c r="C413" s="1">
        <f ca="1">IFERROR(__xludf.DUMMYFUNCTION("""COMPUTED_VALUE"""),238.98)</f>
        <v>238.98</v>
      </c>
      <c r="D413" s="1">
        <f ca="1">IFERROR(__xludf.DUMMYFUNCTION("""COMPUTED_VALUE"""),229.29)</f>
        <v>229.29</v>
      </c>
      <c r="E413" s="1">
        <f ca="1">IFERROR(__xludf.DUMMYFUNCTION("""COMPUTED_VALUE"""),236.86)</f>
        <v>236.86</v>
      </c>
      <c r="F413" s="1">
        <f ca="1">IFERROR(__xludf.DUMMYFUNCTION("""COMPUTED_VALUE"""),101077635)</f>
        <v>101077635</v>
      </c>
    </row>
    <row r="414" spans="1:6" ht="12.6">
      <c r="A414" s="2">
        <f ca="1">IFERROR(__xludf.DUMMYFUNCTION("""COMPUTED_VALUE"""),45162.6666666666)</f>
        <v>45162.666666666599</v>
      </c>
      <c r="B414" s="1">
        <f ca="1">IFERROR(__xludf.DUMMYFUNCTION("""COMPUTED_VALUE"""),238.66)</f>
        <v>238.66</v>
      </c>
      <c r="C414" s="1">
        <f ca="1">IFERROR(__xludf.DUMMYFUNCTION("""COMPUTED_VALUE"""),238.92)</f>
        <v>238.92</v>
      </c>
      <c r="D414" s="1">
        <f ca="1">IFERROR(__xludf.DUMMYFUNCTION("""COMPUTED_VALUE"""),228.18)</f>
        <v>228.18</v>
      </c>
      <c r="E414" s="1">
        <f ca="1">IFERROR(__xludf.DUMMYFUNCTION("""COMPUTED_VALUE"""),230.04)</f>
        <v>230.04</v>
      </c>
      <c r="F414" s="1">
        <f ca="1">IFERROR(__xludf.DUMMYFUNCTION("""COMPUTED_VALUE"""),99777432)</f>
        <v>99777432</v>
      </c>
    </row>
    <row r="415" spans="1:6" ht="12.6">
      <c r="A415" s="2">
        <f ca="1">IFERROR(__xludf.DUMMYFUNCTION("""COMPUTED_VALUE"""),45163.6666666666)</f>
        <v>45163.666666666599</v>
      </c>
      <c r="B415" s="1">
        <f ca="1">IFERROR(__xludf.DUMMYFUNCTION("""COMPUTED_VALUE"""),231.31)</f>
        <v>231.31</v>
      </c>
      <c r="C415" s="1">
        <f ca="1">IFERROR(__xludf.DUMMYFUNCTION("""COMPUTED_VALUE"""),239)</f>
        <v>239</v>
      </c>
      <c r="D415" s="1">
        <f ca="1">IFERROR(__xludf.DUMMYFUNCTION("""COMPUTED_VALUE"""),230.35)</f>
        <v>230.35</v>
      </c>
      <c r="E415" s="1">
        <f ca="1">IFERROR(__xludf.DUMMYFUNCTION("""COMPUTED_VALUE"""),238.59)</f>
        <v>238.59</v>
      </c>
      <c r="F415" s="1">
        <f ca="1">IFERROR(__xludf.DUMMYFUNCTION("""COMPUTED_VALUE"""),106612231)</f>
        <v>106612231</v>
      </c>
    </row>
    <row r="416" spans="1:6" ht="12.6">
      <c r="A416" s="2">
        <f ca="1">IFERROR(__xludf.DUMMYFUNCTION("""COMPUTED_VALUE"""),45166.6666666666)</f>
        <v>45166.666666666599</v>
      </c>
      <c r="B416" s="1">
        <f ca="1">IFERROR(__xludf.DUMMYFUNCTION("""COMPUTED_VALUE"""),242.58)</f>
        <v>242.58</v>
      </c>
      <c r="C416" s="1">
        <f ca="1">IFERROR(__xludf.DUMMYFUNCTION("""COMPUTED_VALUE"""),244.38)</f>
        <v>244.38</v>
      </c>
      <c r="D416" s="1">
        <f ca="1">IFERROR(__xludf.DUMMYFUNCTION("""COMPUTED_VALUE"""),235.35)</f>
        <v>235.35</v>
      </c>
      <c r="E416" s="1">
        <f ca="1">IFERROR(__xludf.DUMMYFUNCTION("""COMPUTED_VALUE"""),238.82)</f>
        <v>238.82</v>
      </c>
      <c r="F416" s="1">
        <f ca="1">IFERROR(__xludf.DUMMYFUNCTION("""COMPUTED_VALUE"""),107673727)</f>
        <v>107673727</v>
      </c>
    </row>
    <row r="417" spans="1:6" ht="12.6">
      <c r="A417" s="2">
        <f ca="1">IFERROR(__xludf.DUMMYFUNCTION("""COMPUTED_VALUE"""),45167.6666666666)</f>
        <v>45167.666666666599</v>
      </c>
      <c r="B417" s="1">
        <f ca="1">IFERROR(__xludf.DUMMYFUNCTION("""COMPUTED_VALUE"""),238.58)</f>
        <v>238.58</v>
      </c>
      <c r="C417" s="1">
        <f ca="1">IFERROR(__xludf.DUMMYFUNCTION("""COMPUTED_VALUE"""),257.48)</f>
        <v>257.48</v>
      </c>
      <c r="D417" s="1">
        <f ca="1">IFERROR(__xludf.DUMMYFUNCTION("""COMPUTED_VALUE"""),237.77)</f>
        <v>237.77</v>
      </c>
      <c r="E417" s="1">
        <f ca="1">IFERROR(__xludf.DUMMYFUNCTION("""COMPUTED_VALUE"""),257.18)</f>
        <v>257.18</v>
      </c>
      <c r="F417" s="1">
        <f ca="1">IFERROR(__xludf.DUMMYFUNCTION("""COMPUTED_VALUE"""),134047603)</f>
        <v>134047603</v>
      </c>
    </row>
    <row r="418" spans="1:6" ht="12.6">
      <c r="A418" s="2">
        <f ca="1">IFERROR(__xludf.DUMMYFUNCTION("""COMPUTED_VALUE"""),45168.6666666666)</f>
        <v>45168.666666666599</v>
      </c>
      <c r="B418" s="1">
        <f ca="1">IFERROR(__xludf.DUMMYFUNCTION("""COMPUTED_VALUE"""),254.2)</f>
        <v>254.2</v>
      </c>
      <c r="C418" s="1">
        <f ca="1">IFERROR(__xludf.DUMMYFUNCTION("""COMPUTED_VALUE"""),260.51)</f>
        <v>260.51</v>
      </c>
      <c r="D418" s="1">
        <f ca="1">IFERROR(__xludf.DUMMYFUNCTION("""COMPUTED_VALUE"""),250.59)</f>
        <v>250.59</v>
      </c>
      <c r="E418" s="1">
        <f ca="1">IFERROR(__xludf.DUMMYFUNCTION("""COMPUTED_VALUE"""),256.9)</f>
        <v>256.89999999999998</v>
      </c>
      <c r="F418" s="1">
        <f ca="1">IFERROR(__xludf.DUMMYFUNCTION("""COMPUTED_VALUE"""),121988437)</f>
        <v>121988437</v>
      </c>
    </row>
    <row r="419" spans="1:6" ht="12.6">
      <c r="A419" s="2">
        <f ca="1">IFERROR(__xludf.DUMMYFUNCTION("""COMPUTED_VALUE"""),45169.6666666666)</f>
        <v>45169.666666666599</v>
      </c>
      <c r="B419" s="1">
        <f ca="1">IFERROR(__xludf.DUMMYFUNCTION("""COMPUTED_VALUE"""),255.98)</f>
        <v>255.98</v>
      </c>
      <c r="C419" s="1">
        <f ca="1">IFERROR(__xludf.DUMMYFUNCTION("""COMPUTED_VALUE"""),261.18)</f>
        <v>261.18</v>
      </c>
      <c r="D419" s="1">
        <f ca="1">IFERROR(__xludf.DUMMYFUNCTION("""COMPUTED_VALUE"""),255.05)</f>
        <v>255.05</v>
      </c>
      <c r="E419" s="1">
        <f ca="1">IFERROR(__xludf.DUMMYFUNCTION("""COMPUTED_VALUE"""),258.08)</f>
        <v>258.08</v>
      </c>
      <c r="F419" s="1">
        <f ca="1">IFERROR(__xludf.DUMMYFUNCTION("""COMPUTED_VALUE"""),108861698)</f>
        <v>108861698</v>
      </c>
    </row>
    <row r="420" spans="1:6" ht="12.6">
      <c r="A420" s="2">
        <f ca="1">IFERROR(__xludf.DUMMYFUNCTION("""COMPUTED_VALUE"""),45170.6666666666)</f>
        <v>45170.666666666599</v>
      </c>
      <c r="B420" s="1">
        <f ca="1">IFERROR(__xludf.DUMMYFUNCTION("""COMPUTED_VALUE"""),257.26)</f>
        <v>257.26</v>
      </c>
      <c r="C420" s="1">
        <f ca="1">IFERROR(__xludf.DUMMYFUNCTION("""COMPUTED_VALUE"""),259.08)</f>
        <v>259.08</v>
      </c>
      <c r="D420" s="1">
        <f ca="1">IFERROR(__xludf.DUMMYFUNCTION("""COMPUTED_VALUE"""),242.01)</f>
        <v>242.01</v>
      </c>
      <c r="E420" s="1">
        <f ca="1">IFERROR(__xludf.DUMMYFUNCTION("""COMPUTED_VALUE"""),245.01)</f>
        <v>245.01</v>
      </c>
      <c r="F420" s="1">
        <f ca="1">IFERROR(__xludf.DUMMYFUNCTION("""COMPUTED_VALUE"""),132541640)</f>
        <v>132541640</v>
      </c>
    </row>
    <row r="421" spans="1:6" ht="12.6">
      <c r="A421" s="2">
        <f ca="1">IFERROR(__xludf.DUMMYFUNCTION("""COMPUTED_VALUE"""),45174.6666666666)</f>
        <v>45174.666666666599</v>
      </c>
      <c r="B421" s="1">
        <f ca="1">IFERROR(__xludf.DUMMYFUNCTION("""COMPUTED_VALUE"""),245)</f>
        <v>245</v>
      </c>
      <c r="C421" s="1">
        <f ca="1">IFERROR(__xludf.DUMMYFUNCTION("""COMPUTED_VALUE"""),258)</f>
        <v>258</v>
      </c>
      <c r="D421" s="1">
        <f ca="1">IFERROR(__xludf.DUMMYFUNCTION("""COMPUTED_VALUE"""),244.86)</f>
        <v>244.86</v>
      </c>
      <c r="E421" s="1">
        <f ca="1">IFERROR(__xludf.DUMMYFUNCTION("""COMPUTED_VALUE"""),256.49)</f>
        <v>256.49</v>
      </c>
      <c r="F421" s="1">
        <f ca="1">IFERROR(__xludf.DUMMYFUNCTION("""COMPUTED_VALUE"""),129469565)</f>
        <v>129469565</v>
      </c>
    </row>
    <row r="422" spans="1:6" ht="12.6">
      <c r="A422" s="2">
        <f ca="1">IFERROR(__xludf.DUMMYFUNCTION("""COMPUTED_VALUE"""),45175.6666666666)</f>
        <v>45175.666666666599</v>
      </c>
      <c r="B422" s="1">
        <f ca="1">IFERROR(__xludf.DUMMYFUNCTION("""COMPUTED_VALUE"""),255.14)</f>
        <v>255.14</v>
      </c>
      <c r="C422" s="1">
        <f ca="1">IFERROR(__xludf.DUMMYFUNCTION("""COMPUTED_VALUE"""),255.39)</f>
        <v>255.39</v>
      </c>
      <c r="D422" s="1">
        <f ca="1">IFERROR(__xludf.DUMMYFUNCTION("""COMPUTED_VALUE"""),245.06)</f>
        <v>245.06</v>
      </c>
      <c r="E422" s="1">
        <f ca="1">IFERROR(__xludf.DUMMYFUNCTION("""COMPUTED_VALUE"""),251.92)</f>
        <v>251.92</v>
      </c>
      <c r="F422" s="1">
        <f ca="1">IFERROR(__xludf.DUMMYFUNCTION("""COMPUTED_VALUE"""),116959759)</f>
        <v>116959759</v>
      </c>
    </row>
    <row r="423" spans="1:6" ht="12.6">
      <c r="A423" s="2">
        <f ca="1">IFERROR(__xludf.DUMMYFUNCTION("""COMPUTED_VALUE"""),45176.6666666666)</f>
        <v>45176.666666666599</v>
      </c>
      <c r="B423" s="1">
        <f ca="1">IFERROR(__xludf.DUMMYFUNCTION("""COMPUTED_VALUE"""),245.07)</f>
        <v>245.07</v>
      </c>
      <c r="C423" s="1">
        <f ca="1">IFERROR(__xludf.DUMMYFUNCTION("""COMPUTED_VALUE"""),252.81)</f>
        <v>252.81</v>
      </c>
      <c r="D423" s="1">
        <f ca="1">IFERROR(__xludf.DUMMYFUNCTION("""COMPUTED_VALUE"""),243.27)</f>
        <v>243.27</v>
      </c>
      <c r="E423" s="1">
        <f ca="1">IFERROR(__xludf.DUMMYFUNCTION("""COMPUTED_VALUE"""),251.49)</f>
        <v>251.49</v>
      </c>
      <c r="F423" s="1">
        <f ca="1">IFERROR(__xludf.DUMMYFUNCTION("""COMPUTED_VALUE"""),115312886)</f>
        <v>115312886</v>
      </c>
    </row>
    <row r="424" spans="1:6" ht="12.6">
      <c r="A424" s="2">
        <f ca="1">IFERROR(__xludf.DUMMYFUNCTION("""COMPUTED_VALUE"""),45177.6666666666)</f>
        <v>45177.666666666599</v>
      </c>
      <c r="B424" s="1">
        <f ca="1">IFERROR(__xludf.DUMMYFUNCTION("""COMPUTED_VALUE"""),251.22)</f>
        <v>251.22</v>
      </c>
      <c r="C424" s="1">
        <f ca="1">IFERROR(__xludf.DUMMYFUNCTION("""COMPUTED_VALUE"""),256.52)</f>
        <v>256.52</v>
      </c>
      <c r="D424" s="1">
        <f ca="1">IFERROR(__xludf.DUMMYFUNCTION("""COMPUTED_VALUE"""),246.67)</f>
        <v>246.67</v>
      </c>
      <c r="E424" s="1">
        <f ca="1">IFERROR(__xludf.DUMMYFUNCTION("""COMPUTED_VALUE"""),248.5)</f>
        <v>248.5</v>
      </c>
      <c r="F424" s="1">
        <f ca="1">IFERROR(__xludf.DUMMYFUNCTION("""COMPUTED_VALUE"""),118559635)</f>
        <v>118559635</v>
      </c>
    </row>
    <row r="425" spans="1:6" ht="12.6">
      <c r="A425" s="2">
        <f ca="1">IFERROR(__xludf.DUMMYFUNCTION("""COMPUTED_VALUE"""),45180.6666666666)</f>
        <v>45180.666666666599</v>
      </c>
      <c r="B425" s="1">
        <f ca="1">IFERROR(__xludf.DUMMYFUNCTION("""COMPUTED_VALUE"""),264.27)</f>
        <v>264.27</v>
      </c>
      <c r="C425" s="1">
        <f ca="1">IFERROR(__xludf.DUMMYFUNCTION("""COMPUTED_VALUE"""),274.85)</f>
        <v>274.85000000000002</v>
      </c>
      <c r="D425" s="1">
        <f ca="1">IFERROR(__xludf.DUMMYFUNCTION("""COMPUTED_VALUE"""),260.61)</f>
        <v>260.61</v>
      </c>
      <c r="E425" s="1">
        <f ca="1">IFERROR(__xludf.DUMMYFUNCTION("""COMPUTED_VALUE"""),273.58)</f>
        <v>273.58</v>
      </c>
      <c r="F425" s="1">
        <f ca="1">IFERROR(__xludf.DUMMYFUNCTION("""COMPUTED_VALUE"""),174667852)</f>
        <v>174667852</v>
      </c>
    </row>
    <row r="426" spans="1:6" ht="12.6">
      <c r="A426" s="2">
        <f ca="1">IFERROR(__xludf.DUMMYFUNCTION("""COMPUTED_VALUE"""),45181.6666666666)</f>
        <v>45181.666666666599</v>
      </c>
      <c r="B426" s="1">
        <f ca="1">IFERROR(__xludf.DUMMYFUNCTION("""COMPUTED_VALUE"""),270.76)</f>
        <v>270.76</v>
      </c>
      <c r="C426" s="1">
        <f ca="1">IFERROR(__xludf.DUMMYFUNCTION("""COMPUTED_VALUE"""),278.39)</f>
        <v>278.39</v>
      </c>
      <c r="D426" s="1">
        <f ca="1">IFERROR(__xludf.DUMMYFUNCTION("""COMPUTED_VALUE"""),266.6)</f>
        <v>266.60000000000002</v>
      </c>
      <c r="E426" s="1">
        <f ca="1">IFERROR(__xludf.DUMMYFUNCTION("""COMPUTED_VALUE"""),267.48)</f>
        <v>267.48</v>
      </c>
      <c r="F426" s="1">
        <f ca="1">IFERROR(__xludf.DUMMYFUNCTION("""COMPUTED_VALUE"""),135999866)</f>
        <v>135999866</v>
      </c>
    </row>
    <row r="427" spans="1:6" ht="12.6">
      <c r="A427" s="2">
        <f ca="1">IFERROR(__xludf.DUMMYFUNCTION("""COMPUTED_VALUE"""),45182.6666666666)</f>
        <v>45182.666666666599</v>
      </c>
      <c r="B427" s="1">
        <f ca="1">IFERROR(__xludf.DUMMYFUNCTION("""COMPUTED_VALUE"""),270.07)</f>
        <v>270.07</v>
      </c>
      <c r="C427" s="1">
        <f ca="1">IFERROR(__xludf.DUMMYFUNCTION("""COMPUTED_VALUE"""),274.98)</f>
        <v>274.98</v>
      </c>
      <c r="D427" s="1">
        <f ca="1">IFERROR(__xludf.DUMMYFUNCTION("""COMPUTED_VALUE"""),268.1)</f>
        <v>268.10000000000002</v>
      </c>
      <c r="E427" s="1">
        <f ca="1">IFERROR(__xludf.DUMMYFUNCTION("""COMPUTED_VALUE"""),271.3)</f>
        <v>271.3</v>
      </c>
      <c r="F427" s="1">
        <f ca="1">IFERROR(__xludf.DUMMYFUNCTION("""COMPUTED_VALUE"""),111673737)</f>
        <v>111673737</v>
      </c>
    </row>
    <row r="428" spans="1:6" ht="12.6">
      <c r="A428" s="2">
        <f ca="1">IFERROR(__xludf.DUMMYFUNCTION("""COMPUTED_VALUE"""),45183.6666666666)</f>
        <v>45183.666666666599</v>
      </c>
      <c r="B428" s="1">
        <f ca="1">IFERROR(__xludf.DUMMYFUNCTION("""COMPUTED_VALUE"""),271.32)</f>
        <v>271.32</v>
      </c>
      <c r="C428" s="1">
        <f ca="1">IFERROR(__xludf.DUMMYFUNCTION("""COMPUTED_VALUE"""),276.71)</f>
        <v>276.70999999999998</v>
      </c>
      <c r="D428" s="1">
        <f ca="1">IFERROR(__xludf.DUMMYFUNCTION("""COMPUTED_VALUE"""),270.42)</f>
        <v>270.42</v>
      </c>
      <c r="E428" s="1">
        <f ca="1">IFERROR(__xludf.DUMMYFUNCTION("""COMPUTED_VALUE"""),276.04)</f>
        <v>276.04000000000002</v>
      </c>
      <c r="F428" s="1">
        <f ca="1">IFERROR(__xludf.DUMMYFUNCTION("""COMPUTED_VALUE"""),107709842)</f>
        <v>107709842</v>
      </c>
    </row>
    <row r="429" spans="1:6" ht="12.6">
      <c r="A429" s="2">
        <f ca="1">IFERROR(__xludf.DUMMYFUNCTION("""COMPUTED_VALUE"""),45184.6666666666)</f>
        <v>45184.666666666599</v>
      </c>
      <c r="B429" s="1">
        <f ca="1">IFERROR(__xludf.DUMMYFUNCTION("""COMPUTED_VALUE"""),277.55)</f>
        <v>277.55</v>
      </c>
      <c r="C429" s="1">
        <f ca="1">IFERROR(__xludf.DUMMYFUNCTION("""COMPUTED_VALUE"""),278.98)</f>
        <v>278.98</v>
      </c>
      <c r="D429" s="1">
        <f ca="1">IFERROR(__xludf.DUMMYFUNCTION("""COMPUTED_VALUE"""),271)</f>
        <v>271</v>
      </c>
      <c r="E429" s="1">
        <f ca="1">IFERROR(__xludf.DUMMYFUNCTION("""COMPUTED_VALUE"""),274.39)</f>
        <v>274.39</v>
      </c>
      <c r="F429" s="1">
        <f ca="1">IFERROR(__xludf.DUMMYFUNCTION("""COMPUTED_VALUE"""),133692313)</f>
        <v>133692313</v>
      </c>
    </row>
    <row r="430" spans="1:6" ht="12.6">
      <c r="A430" s="2">
        <f ca="1">IFERROR(__xludf.DUMMYFUNCTION("""COMPUTED_VALUE"""),45187.6666666666)</f>
        <v>45187.666666666599</v>
      </c>
      <c r="B430" s="1">
        <f ca="1">IFERROR(__xludf.DUMMYFUNCTION("""COMPUTED_VALUE"""),271.16)</f>
        <v>271.16000000000003</v>
      </c>
      <c r="C430" s="1">
        <f ca="1">IFERROR(__xludf.DUMMYFUNCTION("""COMPUTED_VALUE"""),271.44)</f>
        <v>271.44</v>
      </c>
      <c r="D430" s="1">
        <f ca="1">IFERROR(__xludf.DUMMYFUNCTION("""COMPUTED_VALUE"""),263.76)</f>
        <v>263.76</v>
      </c>
      <c r="E430" s="1">
        <f ca="1">IFERROR(__xludf.DUMMYFUNCTION("""COMPUTED_VALUE"""),265.28)</f>
        <v>265.27999999999997</v>
      </c>
      <c r="F430" s="1">
        <f ca="1">IFERROR(__xludf.DUMMYFUNCTION("""COMPUTED_VALUE"""),101543305)</f>
        <v>101543305</v>
      </c>
    </row>
    <row r="431" spans="1:6" ht="12.6">
      <c r="A431" s="2">
        <f ca="1">IFERROR(__xludf.DUMMYFUNCTION("""COMPUTED_VALUE"""),45188.6666666666)</f>
        <v>45188.666666666599</v>
      </c>
      <c r="B431" s="1">
        <f ca="1">IFERROR(__xludf.DUMMYFUNCTION("""COMPUTED_VALUE"""),264.35)</f>
        <v>264.35000000000002</v>
      </c>
      <c r="C431" s="1">
        <f ca="1">IFERROR(__xludf.DUMMYFUNCTION("""COMPUTED_VALUE"""),267.85)</f>
        <v>267.85000000000002</v>
      </c>
      <c r="D431" s="1">
        <f ca="1">IFERROR(__xludf.DUMMYFUNCTION("""COMPUTED_VALUE"""),261.2)</f>
        <v>261.2</v>
      </c>
      <c r="E431" s="1">
        <f ca="1">IFERROR(__xludf.DUMMYFUNCTION("""COMPUTED_VALUE"""),266.5)</f>
        <v>266.5</v>
      </c>
      <c r="F431" s="1">
        <f ca="1">IFERROR(__xludf.DUMMYFUNCTION("""COMPUTED_VALUE"""),103704040)</f>
        <v>103704040</v>
      </c>
    </row>
    <row r="432" spans="1:6" ht="12.6">
      <c r="A432" s="2">
        <f ca="1">IFERROR(__xludf.DUMMYFUNCTION("""COMPUTED_VALUE"""),45189.6666666666)</f>
        <v>45189.666666666599</v>
      </c>
      <c r="B432" s="1">
        <f ca="1">IFERROR(__xludf.DUMMYFUNCTION("""COMPUTED_VALUE"""),267.04)</f>
        <v>267.04000000000002</v>
      </c>
      <c r="C432" s="1">
        <f ca="1">IFERROR(__xludf.DUMMYFUNCTION("""COMPUTED_VALUE"""),273.93)</f>
        <v>273.93</v>
      </c>
      <c r="D432" s="1">
        <f ca="1">IFERROR(__xludf.DUMMYFUNCTION("""COMPUTED_VALUE"""),262.46)</f>
        <v>262.45999999999998</v>
      </c>
      <c r="E432" s="1">
        <f ca="1">IFERROR(__xludf.DUMMYFUNCTION("""COMPUTED_VALUE"""),262.59)</f>
        <v>262.58999999999997</v>
      </c>
      <c r="F432" s="1">
        <f ca="1">IFERROR(__xludf.DUMMYFUNCTION("""COMPUTED_VALUE"""),122514643)</f>
        <v>122514643</v>
      </c>
    </row>
    <row r="433" spans="1:6" ht="12.6">
      <c r="A433" s="2">
        <f ca="1">IFERROR(__xludf.DUMMYFUNCTION("""COMPUTED_VALUE"""),45190.6666666666)</f>
        <v>45190.666666666599</v>
      </c>
      <c r="B433" s="1">
        <f ca="1">IFERROR(__xludf.DUMMYFUNCTION("""COMPUTED_VALUE"""),257.85)</f>
        <v>257.85000000000002</v>
      </c>
      <c r="C433" s="1">
        <f ca="1">IFERROR(__xludf.DUMMYFUNCTION("""COMPUTED_VALUE"""),260.86)</f>
        <v>260.86</v>
      </c>
      <c r="D433" s="1">
        <f ca="1">IFERROR(__xludf.DUMMYFUNCTION("""COMPUTED_VALUE"""),254.21)</f>
        <v>254.21</v>
      </c>
      <c r="E433" s="1">
        <f ca="1">IFERROR(__xludf.DUMMYFUNCTION("""COMPUTED_VALUE"""),255.7)</f>
        <v>255.7</v>
      </c>
      <c r="F433" s="1">
        <f ca="1">IFERROR(__xludf.DUMMYFUNCTION("""COMPUTED_VALUE"""),119951516)</f>
        <v>119951516</v>
      </c>
    </row>
    <row r="434" spans="1:6" ht="12.6">
      <c r="A434" s="2">
        <f ca="1">IFERROR(__xludf.DUMMYFUNCTION("""COMPUTED_VALUE"""),45191.6666666666)</f>
        <v>45191.666666666599</v>
      </c>
      <c r="B434" s="1">
        <f ca="1">IFERROR(__xludf.DUMMYFUNCTION("""COMPUTED_VALUE"""),257.4)</f>
        <v>257.39999999999998</v>
      </c>
      <c r="C434" s="1">
        <f ca="1">IFERROR(__xludf.DUMMYFUNCTION("""COMPUTED_VALUE"""),257.79)</f>
        <v>257.79000000000002</v>
      </c>
      <c r="D434" s="1">
        <f ca="1">IFERROR(__xludf.DUMMYFUNCTION("""COMPUTED_VALUE"""),244.48)</f>
        <v>244.48</v>
      </c>
      <c r="E434" s="1">
        <f ca="1">IFERROR(__xludf.DUMMYFUNCTION("""COMPUTED_VALUE"""),244.88)</f>
        <v>244.88</v>
      </c>
      <c r="F434" s="1">
        <f ca="1">IFERROR(__xludf.DUMMYFUNCTION("""COMPUTED_VALUE"""),127524083)</f>
        <v>127524083</v>
      </c>
    </row>
    <row r="435" spans="1:6" ht="12.6">
      <c r="A435" s="2">
        <f ca="1">IFERROR(__xludf.DUMMYFUNCTION("""COMPUTED_VALUE"""),45194.6666666666)</f>
        <v>45194.666666666599</v>
      </c>
      <c r="B435" s="1">
        <f ca="1">IFERROR(__xludf.DUMMYFUNCTION("""COMPUTED_VALUE"""),243.38)</f>
        <v>243.38</v>
      </c>
      <c r="C435" s="1">
        <f ca="1">IFERROR(__xludf.DUMMYFUNCTION("""COMPUTED_VALUE"""),247.1)</f>
        <v>247.1</v>
      </c>
      <c r="D435" s="1">
        <f ca="1">IFERROR(__xludf.DUMMYFUNCTION("""COMPUTED_VALUE"""),238.31)</f>
        <v>238.31</v>
      </c>
      <c r="E435" s="1">
        <f ca="1">IFERROR(__xludf.DUMMYFUNCTION("""COMPUTED_VALUE"""),246.99)</f>
        <v>246.99</v>
      </c>
      <c r="F435" s="1">
        <f ca="1">IFERROR(__xludf.DUMMYFUNCTION("""COMPUTED_VALUE"""),104636557)</f>
        <v>104636557</v>
      </c>
    </row>
    <row r="436" spans="1:6" ht="12.6">
      <c r="A436" s="2">
        <f ca="1">IFERROR(__xludf.DUMMYFUNCTION("""COMPUTED_VALUE"""),45195.6666666666)</f>
        <v>45195.666666666599</v>
      </c>
      <c r="B436" s="1">
        <f ca="1">IFERROR(__xludf.DUMMYFUNCTION("""COMPUTED_VALUE"""),242.98)</f>
        <v>242.98</v>
      </c>
      <c r="C436" s="1">
        <f ca="1">IFERROR(__xludf.DUMMYFUNCTION("""COMPUTED_VALUE"""),249.55)</f>
        <v>249.55</v>
      </c>
      <c r="D436" s="1">
        <f ca="1">IFERROR(__xludf.DUMMYFUNCTION("""COMPUTED_VALUE"""),241.66)</f>
        <v>241.66</v>
      </c>
      <c r="E436" s="1">
        <f ca="1">IFERROR(__xludf.DUMMYFUNCTION("""COMPUTED_VALUE"""),244.12)</f>
        <v>244.12</v>
      </c>
      <c r="F436" s="1">
        <f ca="1">IFERROR(__xludf.DUMMYFUNCTION("""COMPUTED_VALUE"""),101993631)</f>
        <v>101993631</v>
      </c>
    </row>
    <row r="437" spans="1:6" ht="12.6">
      <c r="A437" s="2">
        <f ca="1">IFERROR(__xludf.DUMMYFUNCTION("""COMPUTED_VALUE"""),45196.6666666666)</f>
        <v>45196.666666666599</v>
      </c>
      <c r="B437" s="1">
        <f ca="1">IFERROR(__xludf.DUMMYFUNCTION("""COMPUTED_VALUE"""),244.26)</f>
        <v>244.26</v>
      </c>
      <c r="C437" s="1">
        <f ca="1">IFERROR(__xludf.DUMMYFUNCTION("""COMPUTED_VALUE"""),245.33)</f>
        <v>245.33</v>
      </c>
      <c r="D437" s="1">
        <f ca="1">IFERROR(__xludf.DUMMYFUNCTION("""COMPUTED_VALUE"""),234.58)</f>
        <v>234.58</v>
      </c>
      <c r="E437" s="1">
        <f ca="1">IFERROR(__xludf.DUMMYFUNCTION("""COMPUTED_VALUE"""),240.5)</f>
        <v>240.5</v>
      </c>
      <c r="F437" s="1">
        <f ca="1">IFERROR(__xludf.DUMMYFUNCTION("""COMPUTED_VALUE"""),136597184)</f>
        <v>136597184</v>
      </c>
    </row>
    <row r="438" spans="1:6" ht="12.6">
      <c r="A438" s="2">
        <f ca="1">IFERROR(__xludf.DUMMYFUNCTION("""COMPUTED_VALUE"""),45197.6666666666)</f>
        <v>45197.666666666599</v>
      </c>
      <c r="B438" s="1">
        <f ca="1">IFERROR(__xludf.DUMMYFUNCTION("""COMPUTED_VALUE"""),240.02)</f>
        <v>240.02</v>
      </c>
      <c r="C438" s="1">
        <f ca="1">IFERROR(__xludf.DUMMYFUNCTION("""COMPUTED_VALUE"""),247.55)</f>
        <v>247.55</v>
      </c>
      <c r="D438" s="1">
        <f ca="1">IFERROR(__xludf.DUMMYFUNCTION("""COMPUTED_VALUE"""),238.65)</f>
        <v>238.65</v>
      </c>
      <c r="E438" s="1">
        <f ca="1">IFERROR(__xludf.DUMMYFUNCTION("""COMPUTED_VALUE"""),246.38)</f>
        <v>246.38</v>
      </c>
      <c r="F438" s="1">
        <f ca="1">IFERROR(__xludf.DUMMYFUNCTION("""COMPUTED_VALUE"""),117058870)</f>
        <v>117058870</v>
      </c>
    </row>
    <row r="439" spans="1:6" ht="12.6">
      <c r="A439" s="2">
        <f ca="1">IFERROR(__xludf.DUMMYFUNCTION("""COMPUTED_VALUE"""),45198.6666666666)</f>
        <v>45198.666666666599</v>
      </c>
      <c r="B439" s="1">
        <f ca="1">IFERROR(__xludf.DUMMYFUNCTION("""COMPUTED_VALUE"""),250)</f>
        <v>250</v>
      </c>
      <c r="C439" s="1">
        <f ca="1">IFERROR(__xludf.DUMMYFUNCTION("""COMPUTED_VALUE"""),254.77)</f>
        <v>254.77</v>
      </c>
      <c r="D439" s="1">
        <f ca="1">IFERROR(__xludf.DUMMYFUNCTION("""COMPUTED_VALUE"""),246.35)</f>
        <v>246.35</v>
      </c>
      <c r="E439" s="1">
        <f ca="1">IFERROR(__xludf.DUMMYFUNCTION("""COMPUTED_VALUE"""),250.22)</f>
        <v>250.22</v>
      </c>
      <c r="F439" s="1">
        <f ca="1">IFERROR(__xludf.DUMMYFUNCTION("""COMPUTED_VALUE"""),128522729)</f>
        <v>128522729</v>
      </c>
    </row>
    <row r="440" spans="1:6" ht="12.6">
      <c r="A440" s="2">
        <f ca="1">IFERROR(__xludf.DUMMYFUNCTION("""COMPUTED_VALUE"""),45201.6666666666)</f>
        <v>45201.666666666599</v>
      </c>
      <c r="B440" s="1">
        <f ca="1">IFERROR(__xludf.DUMMYFUNCTION("""COMPUTED_VALUE"""),244.81)</f>
        <v>244.81</v>
      </c>
      <c r="C440" s="1">
        <f ca="1">IFERROR(__xludf.DUMMYFUNCTION("""COMPUTED_VALUE"""),254.28)</f>
        <v>254.28</v>
      </c>
      <c r="D440" s="1">
        <f ca="1">IFERROR(__xludf.DUMMYFUNCTION("""COMPUTED_VALUE"""),242.62)</f>
        <v>242.62</v>
      </c>
      <c r="E440" s="1">
        <f ca="1">IFERROR(__xludf.DUMMYFUNCTION("""COMPUTED_VALUE"""),251.6)</f>
        <v>251.6</v>
      </c>
      <c r="F440" s="1">
        <f ca="1">IFERROR(__xludf.DUMMYFUNCTION("""COMPUTED_VALUE"""),123810402)</f>
        <v>123810402</v>
      </c>
    </row>
    <row r="441" spans="1:6" ht="12.6">
      <c r="A441" s="2">
        <f ca="1">IFERROR(__xludf.DUMMYFUNCTION("""COMPUTED_VALUE"""),45202.6666666666)</f>
        <v>45202.666666666599</v>
      </c>
      <c r="B441" s="1">
        <f ca="1">IFERROR(__xludf.DUMMYFUNCTION("""COMPUTED_VALUE"""),248.61)</f>
        <v>248.61</v>
      </c>
      <c r="C441" s="1">
        <f ca="1">IFERROR(__xludf.DUMMYFUNCTION("""COMPUTED_VALUE"""),250.02)</f>
        <v>250.02</v>
      </c>
      <c r="D441" s="1">
        <f ca="1">IFERROR(__xludf.DUMMYFUNCTION("""COMPUTED_VALUE"""),244.45)</f>
        <v>244.45</v>
      </c>
      <c r="E441" s="1">
        <f ca="1">IFERROR(__xludf.DUMMYFUNCTION("""COMPUTED_VALUE"""),246.53)</f>
        <v>246.53</v>
      </c>
      <c r="F441" s="1">
        <f ca="1">IFERROR(__xludf.DUMMYFUNCTION("""COMPUTED_VALUE"""),101985305)</f>
        <v>101985305</v>
      </c>
    </row>
    <row r="442" spans="1:6" ht="12.6">
      <c r="A442" s="2">
        <f ca="1">IFERROR(__xludf.DUMMYFUNCTION("""COMPUTED_VALUE"""),45203.6666666666)</f>
        <v>45203.666666666599</v>
      </c>
      <c r="B442" s="1">
        <f ca="1">IFERROR(__xludf.DUMMYFUNCTION("""COMPUTED_VALUE"""),248.14)</f>
        <v>248.14</v>
      </c>
      <c r="C442" s="1">
        <f ca="1">IFERROR(__xludf.DUMMYFUNCTION("""COMPUTED_VALUE"""),261.86)</f>
        <v>261.86</v>
      </c>
      <c r="D442" s="1">
        <f ca="1">IFERROR(__xludf.DUMMYFUNCTION("""COMPUTED_VALUE"""),247.6)</f>
        <v>247.6</v>
      </c>
      <c r="E442" s="1">
        <f ca="1">IFERROR(__xludf.DUMMYFUNCTION("""COMPUTED_VALUE"""),261.16)</f>
        <v>261.16000000000003</v>
      </c>
      <c r="F442" s="1">
        <f ca="1">IFERROR(__xludf.DUMMYFUNCTION("""COMPUTED_VALUE"""),129721567)</f>
        <v>129721567</v>
      </c>
    </row>
    <row r="443" spans="1:6" ht="12.6">
      <c r="A443" s="2">
        <f ca="1">IFERROR(__xludf.DUMMYFUNCTION("""COMPUTED_VALUE"""),45204.6666666666)</f>
        <v>45204.666666666599</v>
      </c>
      <c r="B443" s="1">
        <f ca="1">IFERROR(__xludf.DUMMYFUNCTION("""COMPUTED_VALUE"""),260)</f>
        <v>260</v>
      </c>
      <c r="C443" s="1">
        <f ca="1">IFERROR(__xludf.DUMMYFUNCTION("""COMPUTED_VALUE"""),263.6)</f>
        <v>263.60000000000002</v>
      </c>
      <c r="D443" s="1">
        <f ca="1">IFERROR(__xludf.DUMMYFUNCTION("""COMPUTED_VALUE"""),256.25)</f>
        <v>256.25</v>
      </c>
      <c r="E443" s="1">
        <f ca="1">IFERROR(__xludf.DUMMYFUNCTION("""COMPUTED_VALUE"""),260.05)</f>
        <v>260.05</v>
      </c>
      <c r="F443" s="1">
        <f ca="1">IFERROR(__xludf.DUMMYFUNCTION("""COMPUTED_VALUE"""),119159214)</f>
        <v>119159214</v>
      </c>
    </row>
    <row r="444" spans="1:6" ht="12.6">
      <c r="A444" s="2">
        <f ca="1">IFERROR(__xludf.DUMMYFUNCTION("""COMPUTED_VALUE"""),45205.6666666666)</f>
        <v>45205.666666666599</v>
      </c>
      <c r="B444" s="1">
        <f ca="1">IFERROR(__xludf.DUMMYFUNCTION("""COMPUTED_VALUE"""),253.98)</f>
        <v>253.98</v>
      </c>
      <c r="C444" s="1">
        <f ca="1">IFERROR(__xludf.DUMMYFUNCTION("""COMPUTED_VALUE"""),261.65)</f>
        <v>261.64999999999998</v>
      </c>
      <c r="D444" s="1">
        <f ca="1">IFERROR(__xludf.DUMMYFUNCTION("""COMPUTED_VALUE"""),250.65)</f>
        <v>250.65</v>
      </c>
      <c r="E444" s="1">
        <f ca="1">IFERROR(__xludf.DUMMYFUNCTION("""COMPUTED_VALUE"""),260.53)</f>
        <v>260.52999999999997</v>
      </c>
      <c r="F444" s="1">
        <f ca="1">IFERROR(__xludf.DUMMYFUNCTION("""COMPUTED_VALUE"""),118121812)</f>
        <v>118121812</v>
      </c>
    </row>
    <row r="445" spans="1:6" ht="12.6">
      <c r="A445" s="2">
        <f ca="1">IFERROR(__xludf.DUMMYFUNCTION("""COMPUTED_VALUE"""),45208.6666666666)</f>
        <v>45208.666666666599</v>
      </c>
      <c r="B445" s="1">
        <f ca="1">IFERROR(__xludf.DUMMYFUNCTION("""COMPUTED_VALUE"""),255.31)</f>
        <v>255.31</v>
      </c>
      <c r="C445" s="1">
        <f ca="1">IFERROR(__xludf.DUMMYFUNCTION("""COMPUTED_VALUE"""),261.36)</f>
        <v>261.36</v>
      </c>
      <c r="D445" s="1">
        <f ca="1">IFERROR(__xludf.DUMMYFUNCTION("""COMPUTED_VALUE"""),252.05)</f>
        <v>252.05</v>
      </c>
      <c r="E445" s="1">
        <f ca="1">IFERROR(__xludf.DUMMYFUNCTION("""COMPUTED_VALUE"""),259.67)</f>
        <v>259.67</v>
      </c>
      <c r="F445" s="1">
        <f ca="1">IFERROR(__xludf.DUMMYFUNCTION("""COMPUTED_VALUE"""),101377947)</f>
        <v>101377947</v>
      </c>
    </row>
    <row r="446" spans="1:6" ht="12.6">
      <c r="A446" s="2">
        <f ca="1">IFERROR(__xludf.DUMMYFUNCTION("""COMPUTED_VALUE"""),45209.6666666666)</f>
        <v>45209.666666666599</v>
      </c>
      <c r="B446" s="1">
        <f ca="1">IFERROR(__xludf.DUMMYFUNCTION("""COMPUTED_VALUE"""),257.75)</f>
        <v>257.75</v>
      </c>
      <c r="C446" s="1">
        <f ca="1">IFERROR(__xludf.DUMMYFUNCTION("""COMPUTED_VALUE"""),268.94)</f>
        <v>268.94</v>
      </c>
      <c r="D446" s="1">
        <f ca="1">IFERROR(__xludf.DUMMYFUNCTION("""COMPUTED_VALUE"""),257.65)</f>
        <v>257.64999999999998</v>
      </c>
      <c r="E446" s="1">
        <f ca="1">IFERROR(__xludf.DUMMYFUNCTION("""COMPUTED_VALUE"""),263.62)</f>
        <v>263.62</v>
      </c>
      <c r="F446" s="1">
        <f ca="1">IFERROR(__xludf.DUMMYFUNCTION("""COMPUTED_VALUE"""),122656030)</f>
        <v>122656030</v>
      </c>
    </row>
    <row r="447" spans="1:6" ht="12.6">
      <c r="A447" s="2">
        <f ca="1">IFERROR(__xludf.DUMMYFUNCTION("""COMPUTED_VALUE"""),45210.6666666666)</f>
        <v>45210.666666666599</v>
      </c>
      <c r="B447" s="1">
        <f ca="1">IFERROR(__xludf.DUMMYFUNCTION("""COMPUTED_VALUE"""),266.2)</f>
        <v>266.2</v>
      </c>
      <c r="C447" s="1">
        <f ca="1">IFERROR(__xludf.DUMMYFUNCTION("""COMPUTED_VALUE"""),268.6)</f>
        <v>268.60000000000002</v>
      </c>
      <c r="D447" s="1">
        <f ca="1">IFERROR(__xludf.DUMMYFUNCTION("""COMPUTED_VALUE"""),260.9)</f>
        <v>260.89999999999998</v>
      </c>
      <c r="E447" s="1">
        <f ca="1">IFERROR(__xludf.DUMMYFUNCTION("""COMPUTED_VALUE"""),262.99)</f>
        <v>262.99</v>
      </c>
      <c r="F447" s="1">
        <f ca="1">IFERROR(__xludf.DUMMYFUNCTION("""COMPUTED_VALUE"""),103706266)</f>
        <v>103706266</v>
      </c>
    </row>
    <row r="448" spans="1:6" ht="12.6">
      <c r="A448" s="2">
        <f ca="1">IFERROR(__xludf.DUMMYFUNCTION("""COMPUTED_VALUE"""),45211.6666666666)</f>
        <v>45211.666666666599</v>
      </c>
      <c r="B448" s="1">
        <f ca="1">IFERROR(__xludf.DUMMYFUNCTION("""COMPUTED_VALUE"""),262.92)</f>
        <v>262.92</v>
      </c>
      <c r="C448" s="1">
        <f ca="1">IFERROR(__xludf.DUMMYFUNCTION("""COMPUTED_VALUE"""),265.41)</f>
        <v>265.41000000000003</v>
      </c>
      <c r="D448" s="1">
        <f ca="1">IFERROR(__xludf.DUMMYFUNCTION("""COMPUTED_VALUE"""),256.63)</f>
        <v>256.63</v>
      </c>
      <c r="E448" s="1">
        <f ca="1">IFERROR(__xludf.DUMMYFUNCTION("""COMPUTED_VALUE"""),258.87)</f>
        <v>258.87</v>
      </c>
      <c r="F448" s="1">
        <f ca="1">IFERROR(__xludf.DUMMYFUNCTION("""COMPUTED_VALUE"""),111508114)</f>
        <v>111508114</v>
      </c>
    </row>
    <row r="449" spans="1:6" ht="12.6">
      <c r="A449" s="2">
        <f ca="1">IFERROR(__xludf.DUMMYFUNCTION("""COMPUTED_VALUE"""),45212.6666666666)</f>
        <v>45212.666666666599</v>
      </c>
      <c r="B449" s="1">
        <f ca="1">IFERROR(__xludf.DUMMYFUNCTION("""COMPUTED_VALUE"""),258.9)</f>
        <v>258.89999999999998</v>
      </c>
      <c r="C449" s="1">
        <f ca="1">IFERROR(__xludf.DUMMYFUNCTION("""COMPUTED_VALUE"""),259.6)</f>
        <v>259.60000000000002</v>
      </c>
      <c r="D449" s="1">
        <f ca="1">IFERROR(__xludf.DUMMYFUNCTION("""COMPUTED_VALUE"""),250.22)</f>
        <v>250.22</v>
      </c>
      <c r="E449" s="1">
        <f ca="1">IFERROR(__xludf.DUMMYFUNCTION("""COMPUTED_VALUE"""),251.12)</f>
        <v>251.12</v>
      </c>
      <c r="F449" s="1">
        <f ca="1">IFERROR(__xludf.DUMMYFUNCTION("""COMPUTED_VALUE"""),102296786)</f>
        <v>102296786</v>
      </c>
    </row>
    <row r="450" spans="1:6" ht="12.6">
      <c r="A450" s="2">
        <f ca="1">IFERROR(__xludf.DUMMYFUNCTION("""COMPUTED_VALUE"""),45215.6666666666)</f>
        <v>45215.666666666599</v>
      </c>
      <c r="B450" s="1">
        <f ca="1">IFERROR(__xludf.DUMMYFUNCTION("""COMPUTED_VALUE"""),250.05)</f>
        <v>250.05</v>
      </c>
      <c r="C450" s="1">
        <f ca="1">IFERROR(__xludf.DUMMYFUNCTION("""COMPUTED_VALUE"""),255.4)</f>
        <v>255.4</v>
      </c>
      <c r="D450" s="1">
        <f ca="1">IFERROR(__xludf.DUMMYFUNCTION("""COMPUTED_VALUE"""),248.48)</f>
        <v>248.48</v>
      </c>
      <c r="E450" s="1">
        <f ca="1">IFERROR(__xludf.DUMMYFUNCTION("""COMPUTED_VALUE"""),253.92)</f>
        <v>253.92</v>
      </c>
      <c r="F450" s="1">
        <f ca="1">IFERROR(__xludf.DUMMYFUNCTION("""COMPUTED_VALUE"""),88917176)</f>
        <v>88917176</v>
      </c>
    </row>
    <row r="451" spans="1:6" ht="12.6">
      <c r="A451" s="2">
        <f ca="1">IFERROR(__xludf.DUMMYFUNCTION("""COMPUTED_VALUE"""),45216.6666666666)</f>
        <v>45216.666666666599</v>
      </c>
      <c r="B451" s="1">
        <f ca="1">IFERROR(__xludf.DUMMYFUNCTION("""COMPUTED_VALUE"""),250.1)</f>
        <v>250.1</v>
      </c>
      <c r="C451" s="1">
        <f ca="1">IFERROR(__xludf.DUMMYFUNCTION("""COMPUTED_VALUE"""),257.18)</f>
        <v>257.18</v>
      </c>
      <c r="D451" s="1">
        <f ca="1">IFERROR(__xludf.DUMMYFUNCTION("""COMPUTED_VALUE"""),247.08)</f>
        <v>247.08</v>
      </c>
      <c r="E451" s="1">
        <f ca="1">IFERROR(__xludf.DUMMYFUNCTION("""COMPUTED_VALUE"""),254.85)</f>
        <v>254.85</v>
      </c>
      <c r="F451" s="1">
        <f ca="1">IFERROR(__xludf.DUMMYFUNCTION("""COMPUTED_VALUE"""),93562909)</f>
        <v>93562909</v>
      </c>
    </row>
    <row r="452" spans="1:6" ht="12.6">
      <c r="A452" s="2">
        <f ca="1">IFERROR(__xludf.DUMMYFUNCTION("""COMPUTED_VALUE"""),45217.6666666666)</f>
        <v>45217.666666666599</v>
      </c>
      <c r="B452" s="1">
        <f ca="1">IFERROR(__xludf.DUMMYFUNCTION("""COMPUTED_VALUE"""),252.7)</f>
        <v>252.7</v>
      </c>
      <c r="C452" s="1">
        <f ca="1">IFERROR(__xludf.DUMMYFUNCTION("""COMPUTED_VALUE"""),254.63)</f>
        <v>254.63</v>
      </c>
      <c r="D452" s="1">
        <f ca="1">IFERROR(__xludf.DUMMYFUNCTION("""COMPUTED_VALUE"""),242.08)</f>
        <v>242.08</v>
      </c>
      <c r="E452" s="1">
        <f ca="1">IFERROR(__xludf.DUMMYFUNCTION("""COMPUTED_VALUE"""),242.68)</f>
        <v>242.68</v>
      </c>
      <c r="F452" s="1">
        <f ca="1">IFERROR(__xludf.DUMMYFUNCTION("""COMPUTED_VALUE"""),125147846)</f>
        <v>125147846</v>
      </c>
    </row>
    <row r="453" spans="1:6" ht="12.6">
      <c r="A453" s="2">
        <f ca="1">IFERROR(__xludf.DUMMYFUNCTION("""COMPUTED_VALUE"""),45218.6666666666)</f>
        <v>45218.666666666599</v>
      </c>
      <c r="B453" s="1">
        <f ca="1">IFERROR(__xludf.DUMMYFUNCTION("""COMPUTED_VALUE"""),225.95)</f>
        <v>225.95</v>
      </c>
      <c r="C453" s="1">
        <f ca="1">IFERROR(__xludf.DUMMYFUNCTION("""COMPUTED_VALUE"""),230.61)</f>
        <v>230.61</v>
      </c>
      <c r="D453" s="1">
        <f ca="1">IFERROR(__xludf.DUMMYFUNCTION("""COMPUTED_VALUE"""),216.78)</f>
        <v>216.78</v>
      </c>
      <c r="E453" s="1">
        <f ca="1">IFERROR(__xludf.DUMMYFUNCTION("""COMPUTED_VALUE"""),220.11)</f>
        <v>220.11</v>
      </c>
      <c r="F453" s="1">
        <f ca="1">IFERROR(__xludf.DUMMYFUNCTION("""COMPUTED_VALUE"""),170772713)</f>
        <v>170772713</v>
      </c>
    </row>
    <row r="454" spans="1:6" ht="12.6">
      <c r="A454" s="2">
        <f ca="1">IFERROR(__xludf.DUMMYFUNCTION("""COMPUTED_VALUE"""),45219.6666666666)</f>
        <v>45219.666666666599</v>
      </c>
      <c r="B454" s="1">
        <f ca="1">IFERROR(__xludf.DUMMYFUNCTION("""COMPUTED_VALUE"""),217.01)</f>
        <v>217.01</v>
      </c>
      <c r="C454" s="1">
        <f ca="1">IFERROR(__xludf.DUMMYFUNCTION("""COMPUTED_VALUE"""),218.86)</f>
        <v>218.86</v>
      </c>
      <c r="D454" s="1">
        <f ca="1">IFERROR(__xludf.DUMMYFUNCTION("""COMPUTED_VALUE"""),210.42)</f>
        <v>210.42</v>
      </c>
      <c r="E454" s="1">
        <f ca="1">IFERROR(__xludf.DUMMYFUNCTION("""COMPUTED_VALUE"""),211.99)</f>
        <v>211.99</v>
      </c>
      <c r="F454" s="1">
        <f ca="1">IFERROR(__xludf.DUMMYFUNCTION("""COMPUTED_VALUE"""),138010095)</f>
        <v>138010095</v>
      </c>
    </row>
    <row r="455" spans="1:6" ht="12.6">
      <c r="A455" s="2">
        <f ca="1">IFERROR(__xludf.DUMMYFUNCTION("""COMPUTED_VALUE"""),45222.6666666666)</f>
        <v>45222.666666666599</v>
      </c>
      <c r="B455" s="1">
        <f ca="1">IFERROR(__xludf.DUMMYFUNCTION("""COMPUTED_VALUE"""),210)</f>
        <v>210</v>
      </c>
      <c r="C455" s="1">
        <f ca="1">IFERROR(__xludf.DUMMYFUNCTION("""COMPUTED_VALUE"""),216.98)</f>
        <v>216.98</v>
      </c>
      <c r="D455" s="1">
        <f ca="1">IFERROR(__xludf.DUMMYFUNCTION("""COMPUTED_VALUE"""),202.51)</f>
        <v>202.51</v>
      </c>
      <c r="E455" s="1">
        <f ca="1">IFERROR(__xludf.DUMMYFUNCTION("""COMPUTED_VALUE"""),212.08)</f>
        <v>212.08</v>
      </c>
      <c r="F455" s="1">
        <f ca="1">IFERROR(__xludf.DUMMYFUNCTION("""COMPUTED_VALUE"""),150683368)</f>
        <v>150683368</v>
      </c>
    </row>
    <row r="456" spans="1:6" ht="12.6">
      <c r="A456" s="2">
        <f ca="1">IFERROR(__xludf.DUMMYFUNCTION("""COMPUTED_VALUE"""),45223.6666666666)</f>
        <v>45223.666666666599</v>
      </c>
      <c r="B456" s="1">
        <f ca="1">IFERROR(__xludf.DUMMYFUNCTION("""COMPUTED_VALUE"""),216.5)</f>
        <v>216.5</v>
      </c>
      <c r="C456" s="1">
        <f ca="1">IFERROR(__xludf.DUMMYFUNCTION("""COMPUTED_VALUE"""),222.05)</f>
        <v>222.05</v>
      </c>
      <c r="D456" s="1">
        <f ca="1">IFERROR(__xludf.DUMMYFUNCTION("""COMPUTED_VALUE"""),214.11)</f>
        <v>214.11</v>
      </c>
      <c r="E456" s="1">
        <f ca="1">IFERROR(__xludf.DUMMYFUNCTION("""COMPUTED_VALUE"""),216.52)</f>
        <v>216.52</v>
      </c>
      <c r="F456" s="1">
        <f ca="1">IFERROR(__xludf.DUMMYFUNCTION("""COMPUTED_VALUE"""),118231113)</f>
        <v>118231113</v>
      </c>
    </row>
    <row r="457" spans="1:6" ht="12.6">
      <c r="A457" s="2">
        <f ca="1">IFERROR(__xludf.DUMMYFUNCTION("""COMPUTED_VALUE"""),45224.6666666666)</f>
        <v>45224.666666666599</v>
      </c>
      <c r="B457" s="1">
        <f ca="1">IFERROR(__xludf.DUMMYFUNCTION("""COMPUTED_VALUE"""),215.88)</f>
        <v>215.88</v>
      </c>
      <c r="C457" s="1">
        <f ca="1">IFERROR(__xludf.DUMMYFUNCTION("""COMPUTED_VALUE"""),220.1)</f>
        <v>220.1</v>
      </c>
      <c r="D457" s="1">
        <f ca="1">IFERROR(__xludf.DUMMYFUNCTION("""COMPUTED_VALUE"""),212.2)</f>
        <v>212.2</v>
      </c>
      <c r="E457" s="1">
        <f ca="1">IFERROR(__xludf.DUMMYFUNCTION("""COMPUTED_VALUE"""),212.42)</f>
        <v>212.42</v>
      </c>
      <c r="F457" s="1">
        <f ca="1">IFERROR(__xludf.DUMMYFUNCTION("""COMPUTED_VALUE"""),107065087)</f>
        <v>107065087</v>
      </c>
    </row>
    <row r="458" spans="1:6" ht="12.6">
      <c r="A458" s="2">
        <f ca="1">IFERROR(__xludf.DUMMYFUNCTION("""COMPUTED_VALUE"""),45225.6666666666)</f>
        <v>45225.666666666599</v>
      </c>
      <c r="B458" s="1">
        <f ca="1">IFERROR(__xludf.DUMMYFUNCTION("""COMPUTED_VALUE"""),211.32)</f>
        <v>211.32</v>
      </c>
      <c r="C458" s="1">
        <f ca="1">IFERROR(__xludf.DUMMYFUNCTION("""COMPUTED_VALUE"""),214.8)</f>
        <v>214.8</v>
      </c>
      <c r="D458" s="1">
        <f ca="1">IFERROR(__xludf.DUMMYFUNCTION("""COMPUTED_VALUE"""),204.88)</f>
        <v>204.88</v>
      </c>
      <c r="E458" s="1">
        <f ca="1">IFERROR(__xludf.DUMMYFUNCTION("""COMPUTED_VALUE"""),205.76)</f>
        <v>205.76</v>
      </c>
      <c r="F458" s="1">
        <f ca="1">IFERROR(__xludf.DUMMYFUNCTION("""COMPUTED_VALUE"""),115112635)</f>
        <v>115112635</v>
      </c>
    </row>
    <row r="459" spans="1:6" ht="12.6">
      <c r="A459" s="2">
        <f ca="1">IFERROR(__xludf.DUMMYFUNCTION("""COMPUTED_VALUE"""),45226.6666666666)</f>
        <v>45226.666666666599</v>
      </c>
      <c r="B459" s="1">
        <f ca="1">IFERROR(__xludf.DUMMYFUNCTION("""COMPUTED_VALUE"""),210.6)</f>
        <v>210.6</v>
      </c>
      <c r="C459" s="1">
        <f ca="1">IFERROR(__xludf.DUMMYFUNCTION("""COMPUTED_VALUE"""),212.41)</f>
        <v>212.41</v>
      </c>
      <c r="D459" s="1">
        <f ca="1">IFERROR(__xludf.DUMMYFUNCTION("""COMPUTED_VALUE"""),205.77)</f>
        <v>205.77</v>
      </c>
      <c r="E459" s="1">
        <f ca="1">IFERROR(__xludf.DUMMYFUNCTION("""COMPUTED_VALUE"""),207.3)</f>
        <v>207.3</v>
      </c>
      <c r="F459" s="1">
        <f ca="1">IFERROR(__xludf.DUMMYFUNCTION("""COMPUTED_VALUE"""),94881173)</f>
        <v>94881173</v>
      </c>
    </row>
    <row r="460" spans="1:6" ht="12.6">
      <c r="A460" s="2">
        <f ca="1">IFERROR(__xludf.DUMMYFUNCTION("""COMPUTED_VALUE"""),45229.6666666666)</f>
        <v>45229.666666666599</v>
      </c>
      <c r="B460" s="1">
        <f ca="1">IFERROR(__xludf.DUMMYFUNCTION("""COMPUTED_VALUE"""),209.28)</f>
        <v>209.28</v>
      </c>
      <c r="C460" s="1">
        <f ca="1">IFERROR(__xludf.DUMMYFUNCTION("""COMPUTED_VALUE"""),210.88)</f>
        <v>210.88</v>
      </c>
      <c r="D460" s="1">
        <f ca="1">IFERROR(__xludf.DUMMYFUNCTION("""COMPUTED_VALUE"""),194.67)</f>
        <v>194.67</v>
      </c>
      <c r="E460" s="1">
        <f ca="1">IFERROR(__xludf.DUMMYFUNCTION("""COMPUTED_VALUE"""),197.36)</f>
        <v>197.36</v>
      </c>
      <c r="F460" s="1">
        <f ca="1">IFERROR(__xludf.DUMMYFUNCTION("""COMPUTED_VALUE"""),136448167)</f>
        <v>136448167</v>
      </c>
    </row>
    <row r="461" spans="1:6" ht="12.6">
      <c r="A461" s="2">
        <f ca="1">IFERROR(__xludf.DUMMYFUNCTION("""COMPUTED_VALUE"""),45230.6666666666)</f>
        <v>45230.666666666599</v>
      </c>
      <c r="B461" s="1">
        <f ca="1">IFERROR(__xludf.DUMMYFUNCTION("""COMPUTED_VALUE"""),196.12)</f>
        <v>196.12</v>
      </c>
      <c r="C461" s="1">
        <f ca="1">IFERROR(__xludf.DUMMYFUNCTION("""COMPUTED_VALUE"""),202.8)</f>
        <v>202.8</v>
      </c>
      <c r="D461" s="1">
        <f ca="1">IFERROR(__xludf.DUMMYFUNCTION("""COMPUTED_VALUE"""),194.07)</f>
        <v>194.07</v>
      </c>
      <c r="E461" s="1">
        <f ca="1">IFERROR(__xludf.DUMMYFUNCTION("""COMPUTED_VALUE"""),200.84)</f>
        <v>200.84</v>
      </c>
      <c r="F461" s="1">
        <f ca="1">IFERROR(__xludf.DUMMYFUNCTION("""COMPUTED_VALUE"""),118068273)</f>
        <v>118068273</v>
      </c>
    </row>
    <row r="462" spans="1:6" ht="12.6">
      <c r="A462" s="2">
        <f ca="1">IFERROR(__xludf.DUMMYFUNCTION("""COMPUTED_VALUE"""),45231.6666666666)</f>
        <v>45231.666666666599</v>
      </c>
      <c r="B462" s="1">
        <f ca="1">IFERROR(__xludf.DUMMYFUNCTION("""COMPUTED_VALUE"""),204.04)</f>
        <v>204.04</v>
      </c>
      <c r="C462" s="1">
        <f ca="1">IFERROR(__xludf.DUMMYFUNCTION("""COMPUTED_VALUE"""),205.99)</f>
        <v>205.99</v>
      </c>
      <c r="D462" s="1">
        <f ca="1">IFERROR(__xludf.DUMMYFUNCTION("""COMPUTED_VALUE"""),197.85)</f>
        <v>197.85</v>
      </c>
      <c r="E462" s="1">
        <f ca="1">IFERROR(__xludf.DUMMYFUNCTION("""COMPUTED_VALUE"""),205.66)</f>
        <v>205.66</v>
      </c>
      <c r="F462" s="1">
        <f ca="1">IFERROR(__xludf.DUMMYFUNCTION("""COMPUTED_VALUE"""),121661656)</f>
        <v>121661656</v>
      </c>
    </row>
    <row r="463" spans="1:6" ht="12.6">
      <c r="A463" s="2">
        <f ca="1">IFERROR(__xludf.DUMMYFUNCTION("""COMPUTED_VALUE"""),45232.6666666666)</f>
        <v>45232.666666666599</v>
      </c>
      <c r="B463" s="1">
        <f ca="1">IFERROR(__xludf.DUMMYFUNCTION("""COMPUTED_VALUE"""),212.97)</f>
        <v>212.97</v>
      </c>
      <c r="C463" s="1">
        <f ca="1">IFERROR(__xludf.DUMMYFUNCTION("""COMPUTED_VALUE"""),219.2)</f>
        <v>219.2</v>
      </c>
      <c r="D463" s="1">
        <f ca="1">IFERROR(__xludf.DUMMYFUNCTION("""COMPUTED_VALUE"""),211.45)</f>
        <v>211.45</v>
      </c>
      <c r="E463" s="1">
        <f ca="1">IFERROR(__xludf.DUMMYFUNCTION("""COMPUTED_VALUE"""),218.51)</f>
        <v>218.51</v>
      </c>
      <c r="F463" s="1">
        <f ca="1">IFERROR(__xludf.DUMMYFUNCTION("""COMPUTED_VALUE"""),125987621)</f>
        <v>125987621</v>
      </c>
    </row>
    <row r="464" spans="1:6" ht="12.6">
      <c r="A464" s="2">
        <f ca="1">IFERROR(__xludf.DUMMYFUNCTION("""COMPUTED_VALUE"""),45233.6666666666)</f>
        <v>45233.666666666599</v>
      </c>
      <c r="B464" s="1">
        <f ca="1">IFERROR(__xludf.DUMMYFUNCTION("""COMPUTED_VALUE"""),221.15)</f>
        <v>221.15</v>
      </c>
      <c r="C464" s="1">
        <f ca="1">IFERROR(__xludf.DUMMYFUNCTION("""COMPUTED_VALUE"""),226.37)</f>
        <v>226.37</v>
      </c>
      <c r="D464" s="1">
        <f ca="1">IFERROR(__xludf.DUMMYFUNCTION("""COMPUTED_VALUE"""),218.4)</f>
        <v>218.4</v>
      </c>
      <c r="E464" s="1">
        <f ca="1">IFERROR(__xludf.DUMMYFUNCTION("""COMPUTED_VALUE"""),219.96)</f>
        <v>219.96</v>
      </c>
      <c r="F464" s="1">
        <f ca="1">IFERROR(__xludf.DUMMYFUNCTION("""COMPUTED_VALUE"""),119534790)</f>
        <v>119534790</v>
      </c>
    </row>
    <row r="465" spans="1:6" ht="12.6">
      <c r="A465" s="2">
        <f ca="1">IFERROR(__xludf.DUMMYFUNCTION("""COMPUTED_VALUE"""),45236.6666666666)</f>
        <v>45236.666666666599</v>
      </c>
      <c r="B465" s="1">
        <f ca="1">IFERROR(__xludf.DUMMYFUNCTION("""COMPUTED_VALUE"""),223.98)</f>
        <v>223.98</v>
      </c>
      <c r="C465" s="1">
        <f ca="1">IFERROR(__xludf.DUMMYFUNCTION("""COMPUTED_VALUE"""),226.32)</f>
        <v>226.32</v>
      </c>
      <c r="D465" s="1">
        <f ca="1">IFERROR(__xludf.DUMMYFUNCTION("""COMPUTED_VALUE"""),215)</f>
        <v>215</v>
      </c>
      <c r="E465" s="1">
        <f ca="1">IFERROR(__xludf.DUMMYFUNCTION("""COMPUTED_VALUE"""),219.27)</f>
        <v>219.27</v>
      </c>
      <c r="F465" s="1">
        <f ca="1">IFERROR(__xludf.DUMMYFUNCTION("""COMPUTED_VALUE"""),117335820)</f>
        <v>117335820</v>
      </c>
    </row>
    <row r="466" spans="1:6" ht="12.6">
      <c r="A466" s="2">
        <f ca="1">IFERROR(__xludf.DUMMYFUNCTION("""COMPUTED_VALUE"""),45237.6666666666)</f>
        <v>45237.666666666599</v>
      </c>
      <c r="B466" s="1">
        <f ca="1">IFERROR(__xludf.DUMMYFUNCTION("""COMPUTED_VALUE"""),219.98)</f>
        <v>219.98</v>
      </c>
      <c r="C466" s="1">
        <f ca="1">IFERROR(__xludf.DUMMYFUNCTION("""COMPUTED_VALUE"""),223.12)</f>
        <v>223.12</v>
      </c>
      <c r="D466" s="1">
        <f ca="1">IFERROR(__xludf.DUMMYFUNCTION("""COMPUTED_VALUE"""),215.72)</f>
        <v>215.72</v>
      </c>
      <c r="E466" s="1">
        <f ca="1">IFERROR(__xludf.DUMMYFUNCTION("""COMPUTED_VALUE"""),222.18)</f>
        <v>222.18</v>
      </c>
      <c r="F466" s="1">
        <f ca="1">IFERROR(__xludf.DUMMYFUNCTION("""COMPUTED_VALUE"""),116900130)</f>
        <v>116900130</v>
      </c>
    </row>
    <row r="467" spans="1:6" ht="12.6">
      <c r="A467" s="2">
        <f ca="1">IFERROR(__xludf.DUMMYFUNCTION("""COMPUTED_VALUE"""),45238.6666666666)</f>
        <v>45238.666666666599</v>
      </c>
      <c r="B467" s="1">
        <f ca="1">IFERROR(__xludf.DUMMYFUNCTION("""COMPUTED_VALUE"""),223.15)</f>
        <v>223.15</v>
      </c>
      <c r="C467" s="1">
        <f ca="1">IFERROR(__xludf.DUMMYFUNCTION("""COMPUTED_VALUE"""),224.15)</f>
        <v>224.15</v>
      </c>
      <c r="D467" s="1">
        <f ca="1">IFERROR(__xludf.DUMMYFUNCTION("""COMPUTED_VALUE"""),217.64)</f>
        <v>217.64</v>
      </c>
      <c r="E467" s="1">
        <f ca="1">IFERROR(__xludf.DUMMYFUNCTION("""COMPUTED_VALUE"""),222.11)</f>
        <v>222.11</v>
      </c>
      <c r="F467" s="1">
        <f ca="1">IFERROR(__xludf.DUMMYFUNCTION("""COMPUTED_VALUE"""),106584841)</f>
        <v>106584841</v>
      </c>
    </row>
    <row r="468" spans="1:6" ht="12.6">
      <c r="A468" s="2">
        <f ca="1">IFERROR(__xludf.DUMMYFUNCTION("""COMPUTED_VALUE"""),45239.6666666666)</f>
        <v>45239.666666666599</v>
      </c>
      <c r="B468" s="1">
        <f ca="1">IFERROR(__xludf.DUMMYFUNCTION("""COMPUTED_VALUE"""),219.75)</f>
        <v>219.75</v>
      </c>
      <c r="C468" s="1">
        <f ca="1">IFERROR(__xludf.DUMMYFUNCTION("""COMPUTED_VALUE"""),220.8)</f>
        <v>220.8</v>
      </c>
      <c r="D468" s="1">
        <f ca="1">IFERROR(__xludf.DUMMYFUNCTION("""COMPUTED_VALUE"""),206.68)</f>
        <v>206.68</v>
      </c>
      <c r="E468" s="1">
        <f ca="1">IFERROR(__xludf.DUMMYFUNCTION("""COMPUTED_VALUE"""),209.98)</f>
        <v>209.98</v>
      </c>
      <c r="F468" s="1">
        <f ca="1">IFERROR(__xludf.DUMMYFUNCTION("""COMPUTED_VALUE"""),142110454)</f>
        <v>142110454</v>
      </c>
    </row>
    <row r="469" spans="1:6" ht="12.6">
      <c r="A469" s="2">
        <f ca="1">IFERROR(__xludf.DUMMYFUNCTION("""COMPUTED_VALUE"""),45240.6666666666)</f>
        <v>45240.666666666599</v>
      </c>
      <c r="B469" s="1">
        <f ca="1">IFERROR(__xludf.DUMMYFUNCTION("""COMPUTED_VALUE"""),210.03)</f>
        <v>210.03</v>
      </c>
      <c r="C469" s="1">
        <f ca="1">IFERROR(__xludf.DUMMYFUNCTION("""COMPUTED_VALUE"""),215.38)</f>
        <v>215.38</v>
      </c>
      <c r="D469" s="1">
        <f ca="1">IFERROR(__xludf.DUMMYFUNCTION("""COMPUTED_VALUE"""),205.69)</f>
        <v>205.69</v>
      </c>
      <c r="E469" s="1">
        <f ca="1">IFERROR(__xludf.DUMMYFUNCTION("""COMPUTED_VALUE"""),214.65)</f>
        <v>214.65</v>
      </c>
      <c r="F469" s="1">
        <f ca="1">IFERROR(__xludf.DUMMYFUNCTION("""COMPUTED_VALUE"""),131310128)</f>
        <v>131310128</v>
      </c>
    </row>
    <row r="470" spans="1:6" ht="12.6">
      <c r="A470" s="2">
        <f ca="1">IFERROR(__xludf.DUMMYFUNCTION("""COMPUTED_VALUE"""),45243.6666666666)</f>
        <v>45243.666666666599</v>
      </c>
      <c r="B470" s="1">
        <f ca="1">IFERROR(__xludf.DUMMYFUNCTION("""COMPUTED_VALUE"""),215.6)</f>
        <v>215.6</v>
      </c>
      <c r="C470" s="1">
        <f ca="1">IFERROR(__xludf.DUMMYFUNCTION("""COMPUTED_VALUE"""),225.4)</f>
        <v>225.4</v>
      </c>
      <c r="D470" s="1">
        <f ca="1">IFERROR(__xludf.DUMMYFUNCTION("""COMPUTED_VALUE"""),211.61)</f>
        <v>211.61</v>
      </c>
      <c r="E470" s="1">
        <f ca="1">IFERROR(__xludf.DUMMYFUNCTION("""COMPUTED_VALUE"""),223.71)</f>
        <v>223.71</v>
      </c>
      <c r="F470" s="1">
        <f ca="1">IFERROR(__xludf.DUMMYFUNCTION("""COMPUTED_VALUE"""),140447569)</f>
        <v>140447569</v>
      </c>
    </row>
    <row r="471" spans="1:6" ht="12.6">
      <c r="A471" s="2">
        <f ca="1">IFERROR(__xludf.DUMMYFUNCTION("""COMPUTED_VALUE"""),45244.6666666666)</f>
        <v>45244.666666666599</v>
      </c>
      <c r="B471" s="1">
        <f ca="1">IFERROR(__xludf.DUMMYFUNCTION("""COMPUTED_VALUE"""),235.03)</f>
        <v>235.03</v>
      </c>
      <c r="C471" s="1">
        <f ca="1">IFERROR(__xludf.DUMMYFUNCTION("""COMPUTED_VALUE"""),238.14)</f>
        <v>238.14</v>
      </c>
      <c r="D471" s="1">
        <f ca="1">IFERROR(__xludf.DUMMYFUNCTION("""COMPUTED_VALUE"""),230.72)</f>
        <v>230.72</v>
      </c>
      <c r="E471" s="1">
        <f ca="1">IFERROR(__xludf.DUMMYFUNCTION("""COMPUTED_VALUE"""),237.41)</f>
        <v>237.41</v>
      </c>
      <c r="F471" s="1">
        <f ca="1">IFERROR(__xludf.DUMMYFUNCTION("""COMPUTED_VALUE"""),149771642)</f>
        <v>149771642</v>
      </c>
    </row>
    <row r="472" spans="1:6" ht="12.6">
      <c r="A472" s="2">
        <f ca="1">IFERROR(__xludf.DUMMYFUNCTION("""COMPUTED_VALUE"""),45245.6666666666)</f>
        <v>45245.666666666599</v>
      </c>
      <c r="B472" s="1">
        <f ca="1">IFERROR(__xludf.DUMMYFUNCTION("""COMPUTED_VALUE"""),239.29)</f>
        <v>239.29</v>
      </c>
      <c r="C472" s="1">
        <f ca="1">IFERROR(__xludf.DUMMYFUNCTION("""COMPUTED_VALUE"""),246.7)</f>
        <v>246.7</v>
      </c>
      <c r="D472" s="1">
        <f ca="1">IFERROR(__xludf.DUMMYFUNCTION("""COMPUTED_VALUE"""),236.45)</f>
        <v>236.45</v>
      </c>
      <c r="E472" s="1">
        <f ca="1">IFERROR(__xludf.DUMMYFUNCTION("""COMPUTED_VALUE"""),242.84)</f>
        <v>242.84</v>
      </c>
      <c r="F472" s="1">
        <f ca="1">IFERROR(__xludf.DUMMYFUNCTION("""COMPUTED_VALUE"""),150353975)</f>
        <v>150353975</v>
      </c>
    </row>
    <row r="473" spans="1:6" ht="12.6">
      <c r="A473" s="2">
        <f ca="1">IFERROR(__xludf.DUMMYFUNCTION("""COMPUTED_VALUE"""),45246.6666666666)</f>
        <v>45246.666666666599</v>
      </c>
      <c r="B473" s="1">
        <f ca="1">IFERROR(__xludf.DUMMYFUNCTION("""COMPUTED_VALUE"""),239.49)</f>
        <v>239.49</v>
      </c>
      <c r="C473" s="1">
        <f ca="1">IFERROR(__xludf.DUMMYFUNCTION("""COMPUTED_VALUE"""),240.88)</f>
        <v>240.88</v>
      </c>
      <c r="D473" s="1">
        <f ca="1">IFERROR(__xludf.DUMMYFUNCTION("""COMPUTED_VALUE"""),230.96)</f>
        <v>230.96</v>
      </c>
      <c r="E473" s="1">
        <f ca="1">IFERROR(__xludf.DUMMYFUNCTION("""COMPUTED_VALUE"""),233.59)</f>
        <v>233.59</v>
      </c>
      <c r="F473" s="1">
        <f ca="1">IFERROR(__xludf.DUMMYFUNCTION("""COMPUTED_VALUE"""),136816819)</f>
        <v>136816819</v>
      </c>
    </row>
    <row r="474" spans="1:6" ht="12.6">
      <c r="A474" s="2">
        <f ca="1">IFERROR(__xludf.DUMMYFUNCTION("""COMPUTED_VALUE"""),45247.6666666666)</f>
        <v>45247.666666666599</v>
      </c>
      <c r="B474" s="1">
        <f ca="1">IFERROR(__xludf.DUMMYFUNCTION("""COMPUTED_VALUE"""),232)</f>
        <v>232</v>
      </c>
      <c r="C474" s="1">
        <f ca="1">IFERROR(__xludf.DUMMYFUNCTION("""COMPUTED_VALUE"""),237.39)</f>
        <v>237.39</v>
      </c>
      <c r="D474" s="1">
        <f ca="1">IFERROR(__xludf.DUMMYFUNCTION("""COMPUTED_VALUE"""),226.54)</f>
        <v>226.54</v>
      </c>
      <c r="E474" s="1">
        <f ca="1">IFERROR(__xludf.DUMMYFUNCTION("""COMPUTED_VALUE"""),234.3)</f>
        <v>234.3</v>
      </c>
      <c r="F474" s="1">
        <f ca="1">IFERROR(__xludf.DUMMYFUNCTION("""COMPUTED_VALUE"""),142766234)</f>
        <v>142766234</v>
      </c>
    </row>
    <row r="475" spans="1:6" ht="12.6">
      <c r="A475" s="2">
        <f ca="1">IFERROR(__xludf.DUMMYFUNCTION("""COMPUTED_VALUE"""),45250.6666666666)</f>
        <v>45250.666666666599</v>
      </c>
      <c r="B475" s="1">
        <f ca="1">IFERROR(__xludf.DUMMYFUNCTION("""COMPUTED_VALUE"""),234.04)</f>
        <v>234.04</v>
      </c>
      <c r="C475" s="1">
        <f ca="1">IFERROR(__xludf.DUMMYFUNCTION("""COMPUTED_VALUE"""),237.1)</f>
        <v>237.1</v>
      </c>
      <c r="D475" s="1">
        <f ca="1">IFERROR(__xludf.DUMMYFUNCTION("""COMPUTED_VALUE"""),231.02)</f>
        <v>231.02</v>
      </c>
      <c r="E475" s="1">
        <f ca="1">IFERROR(__xludf.DUMMYFUNCTION("""COMPUTED_VALUE"""),235.6)</f>
        <v>235.6</v>
      </c>
      <c r="F475" s="1">
        <f ca="1">IFERROR(__xludf.DUMMYFUNCTION("""COMPUTED_VALUE"""),116562402)</f>
        <v>116562402</v>
      </c>
    </row>
    <row r="476" spans="1:6" ht="12.6">
      <c r="A476" s="2">
        <f ca="1">IFERROR(__xludf.DUMMYFUNCTION("""COMPUTED_VALUE"""),45251.6666666666)</f>
        <v>45251.666666666599</v>
      </c>
      <c r="B476" s="1">
        <f ca="1">IFERROR(__xludf.DUMMYFUNCTION("""COMPUTED_VALUE"""),235.04)</f>
        <v>235.04</v>
      </c>
      <c r="C476" s="1">
        <f ca="1">IFERROR(__xludf.DUMMYFUNCTION("""COMPUTED_VALUE"""),243.62)</f>
        <v>243.62</v>
      </c>
      <c r="D476" s="1">
        <f ca="1">IFERROR(__xludf.DUMMYFUNCTION("""COMPUTED_VALUE"""),233.34)</f>
        <v>233.34</v>
      </c>
      <c r="E476" s="1">
        <f ca="1">IFERROR(__xludf.DUMMYFUNCTION("""COMPUTED_VALUE"""),241.2)</f>
        <v>241.2</v>
      </c>
      <c r="F476" s="1">
        <f ca="1">IFERROR(__xludf.DUMMYFUNCTION("""COMPUTED_VALUE"""),122288000)</f>
        <v>122288000</v>
      </c>
    </row>
    <row r="477" spans="1:6" ht="12.6">
      <c r="A477" s="2">
        <f ca="1">IFERROR(__xludf.DUMMYFUNCTION("""COMPUTED_VALUE"""),45252.6666666666)</f>
        <v>45252.666666666599</v>
      </c>
      <c r="B477" s="1">
        <f ca="1">IFERROR(__xludf.DUMMYFUNCTION("""COMPUTED_VALUE"""),242.04)</f>
        <v>242.04</v>
      </c>
      <c r="C477" s="1">
        <f ca="1">IFERROR(__xludf.DUMMYFUNCTION("""COMPUTED_VALUE"""),244.01)</f>
        <v>244.01</v>
      </c>
      <c r="D477" s="1">
        <f ca="1">IFERROR(__xludf.DUMMYFUNCTION("""COMPUTED_VALUE"""),231.4)</f>
        <v>231.4</v>
      </c>
      <c r="E477" s="1">
        <f ca="1">IFERROR(__xludf.DUMMYFUNCTION("""COMPUTED_VALUE"""),234.21)</f>
        <v>234.21</v>
      </c>
      <c r="F477" s="1">
        <f ca="1">IFERROR(__xludf.DUMMYFUNCTION("""COMPUTED_VALUE"""),118117078)</f>
        <v>118117078</v>
      </c>
    </row>
    <row r="478" spans="1:6" ht="12.6">
      <c r="A478" s="2">
        <f ca="1">IFERROR(__xludf.DUMMYFUNCTION("""COMPUTED_VALUE"""),45254.5451388888)</f>
        <v>45254.545138888803</v>
      </c>
      <c r="B478" s="1">
        <f ca="1">IFERROR(__xludf.DUMMYFUNCTION("""COMPUTED_VALUE"""),233.75)</f>
        <v>233.75</v>
      </c>
      <c r="C478" s="1">
        <f ca="1">IFERROR(__xludf.DUMMYFUNCTION("""COMPUTED_VALUE"""),238.75)</f>
        <v>238.75</v>
      </c>
      <c r="D478" s="1">
        <f ca="1">IFERROR(__xludf.DUMMYFUNCTION("""COMPUTED_VALUE"""),232.33)</f>
        <v>232.33</v>
      </c>
      <c r="E478" s="1">
        <f ca="1">IFERROR(__xludf.DUMMYFUNCTION("""COMPUTED_VALUE"""),235.45)</f>
        <v>235.45</v>
      </c>
      <c r="F478" s="1">
        <f ca="1">IFERROR(__xludf.DUMMYFUNCTION("""COMPUTED_VALUE"""),65125203)</f>
        <v>65125203</v>
      </c>
    </row>
    <row r="479" spans="1:6" ht="12.6">
      <c r="A479" s="2">
        <f ca="1">IFERROR(__xludf.DUMMYFUNCTION("""COMPUTED_VALUE"""),45257.6666666666)</f>
        <v>45257.666666666599</v>
      </c>
      <c r="B479" s="1">
        <f ca="1">IFERROR(__xludf.DUMMYFUNCTION("""COMPUTED_VALUE"""),236.89)</f>
        <v>236.89</v>
      </c>
      <c r="C479" s="1">
        <f ca="1">IFERROR(__xludf.DUMMYFUNCTION("""COMPUTED_VALUE"""),238.33)</f>
        <v>238.33</v>
      </c>
      <c r="D479" s="1">
        <f ca="1">IFERROR(__xludf.DUMMYFUNCTION("""COMPUTED_VALUE"""),232.1)</f>
        <v>232.1</v>
      </c>
      <c r="E479" s="1">
        <f ca="1">IFERROR(__xludf.DUMMYFUNCTION("""COMPUTED_VALUE"""),236.08)</f>
        <v>236.08</v>
      </c>
      <c r="F479" s="1">
        <f ca="1">IFERROR(__xludf.DUMMYFUNCTION("""COMPUTED_VALUE"""),112031763)</f>
        <v>112031763</v>
      </c>
    </row>
    <row r="480" spans="1:6" ht="12.6">
      <c r="A480" s="2">
        <f ca="1">IFERROR(__xludf.DUMMYFUNCTION("""COMPUTED_VALUE"""),45258.6666666666)</f>
        <v>45258.666666666599</v>
      </c>
      <c r="B480" s="1">
        <f ca="1">IFERROR(__xludf.DUMMYFUNCTION("""COMPUTED_VALUE"""),236.68)</f>
        <v>236.68</v>
      </c>
      <c r="C480" s="1">
        <f ca="1">IFERROR(__xludf.DUMMYFUNCTION("""COMPUTED_VALUE"""),247)</f>
        <v>247</v>
      </c>
      <c r="D480" s="1">
        <f ca="1">IFERROR(__xludf.DUMMYFUNCTION("""COMPUTED_VALUE"""),234.01)</f>
        <v>234.01</v>
      </c>
      <c r="E480" s="1">
        <f ca="1">IFERROR(__xludf.DUMMYFUNCTION("""COMPUTED_VALUE"""),246.72)</f>
        <v>246.72</v>
      </c>
      <c r="F480" s="1">
        <f ca="1">IFERROR(__xludf.DUMMYFUNCTION("""COMPUTED_VALUE"""),148549913)</f>
        <v>148549913</v>
      </c>
    </row>
    <row r="481" spans="1:6" ht="12.6">
      <c r="A481" s="2">
        <f ca="1">IFERROR(__xludf.DUMMYFUNCTION("""COMPUTED_VALUE"""),45259.6666666666)</f>
        <v>45259.666666666599</v>
      </c>
      <c r="B481" s="1">
        <f ca="1">IFERROR(__xludf.DUMMYFUNCTION("""COMPUTED_VALUE"""),249.21)</f>
        <v>249.21</v>
      </c>
      <c r="C481" s="1">
        <f ca="1">IFERROR(__xludf.DUMMYFUNCTION("""COMPUTED_VALUE"""),252.75)</f>
        <v>252.75</v>
      </c>
      <c r="D481" s="1">
        <f ca="1">IFERROR(__xludf.DUMMYFUNCTION("""COMPUTED_VALUE"""),242.76)</f>
        <v>242.76</v>
      </c>
      <c r="E481" s="1">
        <f ca="1">IFERROR(__xludf.DUMMYFUNCTION("""COMPUTED_VALUE"""),244.14)</f>
        <v>244.14</v>
      </c>
      <c r="F481" s="1">
        <f ca="1">IFERROR(__xludf.DUMMYFUNCTION("""COMPUTED_VALUE"""),135401335)</f>
        <v>135401335</v>
      </c>
    </row>
    <row r="482" spans="1:6" ht="12.6">
      <c r="A482" s="2">
        <f ca="1">IFERROR(__xludf.DUMMYFUNCTION("""COMPUTED_VALUE"""),45260.6666666666)</f>
        <v>45260.666666666599</v>
      </c>
      <c r="B482" s="1">
        <f ca="1">IFERROR(__xludf.DUMMYFUNCTION("""COMPUTED_VALUE"""),245.14)</f>
        <v>245.14</v>
      </c>
      <c r="C482" s="1">
        <f ca="1">IFERROR(__xludf.DUMMYFUNCTION("""COMPUTED_VALUE"""),245.22)</f>
        <v>245.22</v>
      </c>
      <c r="D482" s="1">
        <f ca="1">IFERROR(__xludf.DUMMYFUNCTION("""COMPUTED_VALUE"""),236.91)</f>
        <v>236.91</v>
      </c>
      <c r="E482" s="1">
        <f ca="1">IFERROR(__xludf.DUMMYFUNCTION("""COMPUTED_VALUE"""),240.08)</f>
        <v>240.08</v>
      </c>
      <c r="F482" s="1">
        <f ca="1">IFERROR(__xludf.DUMMYFUNCTION("""COMPUTED_VALUE"""),132353196)</f>
        <v>132353196</v>
      </c>
    </row>
    <row r="483" spans="1:6" ht="12.6">
      <c r="A483" s="2">
        <f ca="1">IFERROR(__xludf.DUMMYFUNCTION("""COMPUTED_VALUE"""),45261.6666666666)</f>
        <v>45261.666666666599</v>
      </c>
      <c r="B483" s="1">
        <f ca="1">IFERROR(__xludf.DUMMYFUNCTION("""COMPUTED_VALUE"""),233.14)</f>
        <v>233.14</v>
      </c>
      <c r="C483" s="1">
        <f ca="1">IFERROR(__xludf.DUMMYFUNCTION("""COMPUTED_VALUE"""),240.19)</f>
        <v>240.19</v>
      </c>
      <c r="D483" s="1">
        <f ca="1">IFERROR(__xludf.DUMMYFUNCTION("""COMPUTED_VALUE"""),231.9)</f>
        <v>231.9</v>
      </c>
      <c r="E483" s="1">
        <f ca="1">IFERROR(__xludf.DUMMYFUNCTION("""COMPUTED_VALUE"""),238.83)</f>
        <v>238.83</v>
      </c>
      <c r="F483" s="1">
        <f ca="1">IFERROR(__xludf.DUMMYFUNCTION("""COMPUTED_VALUE"""),121331709)</f>
        <v>121331709</v>
      </c>
    </row>
    <row r="484" spans="1:6" ht="12.6">
      <c r="A484" s="2">
        <f ca="1">IFERROR(__xludf.DUMMYFUNCTION("""COMPUTED_VALUE"""),45264.6666666666)</f>
        <v>45264.666666666599</v>
      </c>
      <c r="B484" s="1">
        <f ca="1">IFERROR(__xludf.DUMMYFUNCTION("""COMPUTED_VALUE"""),235.75)</f>
        <v>235.75</v>
      </c>
      <c r="C484" s="1">
        <f ca="1">IFERROR(__xludf.DUMMYFUNCTION("""COMPUTED_VALUE"""),239.37)</f>
        <v>239.37</v>
      </c>
      <c r="D484" s="1">
        <f ca="1">IFERROR(__xludf.DUMMYFUNCTION("""COMPUTED_VALUE"""),233.29)</f>
        <v>233.29</v>
      </c>
      <c r="E484" s="1">
        <f ca="1">IFERROR(__xludf.DUMMYFUNCTION("""COMPUTED_VALUE"""),235.58)</f>
        <v>235.58</v>
      </c>
      <c r="F484" s="1">
        <f ca="1">IFERROR(__xludf.DUMMYFUNCTION("""COMPUTED_VALUE"""),104099817)</f>
        <v>104099817</v>
      </c>
    </row>
    <row r="485" spans="1:6" ht="12.6">
      <c r="A485" s="2">
        <f ca="1">IFERROR(__xludf.DUMMYFUNCTION("""COMPUTED_VALUE"""),45265.6666666666)</f>
        <v>45265.666666666599</v>
      </c>
      <c r="B485" s="1">
        <f ca="1">IFERROR(__xludf.DUMMYFUNCTION("""COMPUTED_VALUE"""),233.87)</f>
        <v>233.87</v>
      </c>
      <c r="C485" s="1">
        <f ca="1">IFERROR(__xludf.DUMMYFUNCTION("""COMPUTED_VALUE"""),246.66)</f>
        <v>246.66</v>
      </c>
      <c r="D485" s="1">
        <f ca="1">IFERROR(__xludf.DUMMYFUNCTION("""COMPUTED_VALUE"""),233.7)</f>
        <v>233.7</v>
      </c>
      <c r="E485" s="1">
        <f ca="1">IFERROR(__xludf.DUMMYFUNCTION("""COMPUTED_VALUE"""),238.72)</f>
        <v>238.72</v>
      </c>
      <c r="F485" s="1">
        <f ca="1">IFERROR(__xludf.DUMMYFUNCTION("""COMPUTED_VALUE"""),137971115)</f>
        <v>137971115</v>
      </c>
    </row>
    <row r="486" spans="1:6" ht="12.6">
      <c r="A486" s="2">
        <f ca="1">IFERROR(__xludf.DUMMYFUNCTION("""COMPUTED_VALUE"""),45266.6666666666)</f>
        <v>45266.666666666599</v>
      </c>
      <c r="B486" s="1">
        <f ca="1">IFERROR(__xludf.DUMMYFUNCTION("""COMPUTED_VALUE"""),242.92)</f>
        <v>242.92</v>
      </c>
      <c r="C486" s="1">
        <f ca="1">IFERROR(__xludf.DUMMYFUNCTION("""COMPUTED_VALUE"""),246.57)</f>
        <v>246.57</v>
      </c>
      <c r="D486" s="1">
        <f ca="1">IFERROR(__xludf.DUMMYFUNCTION("""COMPUTED_VALUE"""),239.17)</f>
        <v>239.17</v>
      </c>
      <c r="E486" s="1">
        <f ca="1">IFERROR(__xludf.DUMMYFUNCTION("""COMPUTED_VALUE"""),239.37)</f>
        <v>239.37</v>
      </c>
      <c r="F486" s="1">
        <f ca="1">IFERROR(__xludf.DUMMYFUNCTION("""COMPUTED_VALUE"""),126436179)</f>
        <v>126436179</v>
      </c>
    </row>
    <row r="487" spans="1:6" ht="12.6">
      <c r="A487" s="2">
        <f ca="1">IFERROR(__xludf.DUMMYFUNCTION("""COMPUTED_VALUE"""),45267.6666666666)</f>
        <v>45267.666666666599</v>
      </c>
      <c r="B487" s="1">
        <f ca="1">IFERROR(__xludf.DUMMYFUNCTION("""COMPUTED_VALUE"""),241.55)</f>
        <v>241.55</v>
      </c>
      <c r="C487" s="1">
        <f ca="1">IFERROR(__xludf.DUMMYFUNCTION("""COMPUTED_VALUE"""),244.08)</f>
        <v>244.08</v>
      </c>
      <c r="D487" s="1">
        <f ca="1">IFERROR(__xludf.DUMMYFUNCTION("""COMPUTED_VALUE"""),236.98)</f>
        <v>236.98</v>
      </c>
      <c r="E487" s="1">
        <f ca="1">IFERROR(__xludf.DUMMYFUNCTION("""COMPUTED_VALUE"""),242.64)</f>
        <v>242.64</v>
      </c>
      <c r="F487" s="1">
        <f ca="1">IFERROR(__xludf.DUMMYFUNCTION("""COMPUTED_VALUE"""),107142262)</f>
        <v>107142262</v>
      </c>
    </row>
    <row r="488" spans="1:6" ht="12.6">
      <c r="A488" s="2">
        <f ca="1">IFERROR(__xludf.DUMMYFUNCTION("""COMPUTED_VALUE"""),45268.6666666666)</f>
        <v>45268.666666666599</v>
      </c>
      <c r="B488" s="1">
        <f ca="1">IFERROR(__xludf.DUMMYFUNCTION("""COMPUTED_VALUE"""),240.27)</f>
        <v>240.27</v>
      </c>
      <c r="C488" s="1">
        <f ca="1">IFERROR(__xludf.DUMMYFUNCTION("""COMPUTED_VALUE"""),245.27)</f>
        <v>245.27</v>
      </c>
      <c r="D488" s="1">
        <f ca="1">IFERROR(__xludf.DUMMYFUNCTION("""COMPUTED_VALUE"""),239.27)</f>
        <v>239.27</v>
      </c>
      <c r="E488" s="1">
        <f ca="1">IFERROR(__xludf.DUMMYFUNCTION("""COMPUTED_VALUE"""),243.84)</f>
        <v>243.84</v>
      </c>
      <c r="F488" s="1">
        <f ca="1">IFERROR(__xludf.DUMMYFUNCTION("""COMPUTED_VALUE"""),103126829)</f>
        <v>103126829</v>
      </c>
    </row>
    <row r="489" spans="1:6" ht="12.6">
      <c r="A489" s="2">
        <f ca="1">IFERROR(__xludf.DUMMYFUNCTION("""COMPUTED_VALUE"""),45271.6666666666)</f>
        <v>45271.666666666599</v>
      </c>
      <c r="B489" s="1">
        <f ca="1">IFERROR(__xludf.DUMMYFUNCTION("""COMPUTED_VALUE"""),242.74)</f>
        <v>242.74</v>
      </c>
      <c r="C489" s="1">
        <f ca="1">IFERROR(__xludf.DUMMYFUNCTION("""COMPUTED_VALUE"""),243.44)</f>
        <v>243.44</v>
      </c>
      <c r="D489" s="1">
        <f ca="1">IFERROR(__xludf.DUMMYFUNCTION("""COMPUTED_VALUE"""),237.45)</f>
        <v>237.45</v>
      </c>
      <c r="E489" s="1">
        <f ca="1">IFERROR(__xludf.DUMMYFUNCTION("""COMPUTED_VALUE"""),239.74)</f>
        <v>239.74</v>
      </c>
      <c r="F489" s="1">
        <f ca="1">IFERROR(__xludf.DUMMYFUNCTION("""COMPUTED_VALUE"""),97913888)</f>
        <v>97913888</v>
      </c>
    </row>
    <row r="490" spans="1:6" ht="12.6">
      <c r="A490" s="2">
        <f ca="1">IFERROR(__xludf.DUMMYFUNCTION("""COMPUTED_VALUE"""),45272.6666666666)</f>
        <v>45272.666666666599</v>
      </c>
      <c r="B490" s="1">
        <f ca="1">IFERROR(__xludf.DUMMYFUNCTION("""COMPUTED_VALUE"""),238.55)</f>
        <v>238.55</v>
      </c>
      <c r="C490" s="1">
        <f ca="1">IFERROR(__xludf.DUMMYFUNCTION("""COMPUTED_VALUE"""),238.99)</f>
        <v>238.99</v>
      </c>
      <c r="D490" s="1">
        <f ca="1">IFERROR(__xludf.DUMMYFUNCTION("""COMPUTED_VALUE"""),233.87)</f>
        <v>233.87</v>
      </c>
      <c r="E490" s="1">
        <f ca="1">IFERROR(__xludf.DUMMYFUNCTION("""COMPUTED_VALUE"""),237.01)</f>
        <v>237.01</v>
      </c>
      <c r="F490" s="1">
        <f ca="1">IFERROR(__xludf.DUMMYFUNCTION("""COMPUTED_VALUE"""),95328313)</f>
        <v>95328313</v>
      </c>
    </row>
    <row r="491" spans="1:6" ht="12.6">
      <c r="A491" s="2">
        <f ca="1">IFERROR(__xludf.DUMMYFUNCTION("""COMPUTED_VALUE"""),45273.6666666666)</f>
        <v>45273.666666666599</v>
      </c>
      <c r="B491" s="1">
        <f ca="1">IFERROR(__xludf.DUMMYFUNCTION("""COMPUTED_VALUE"""),234.19)</f>
        <v>234.19</v>
      </c>
      <c r="C491" s="1">
        <f ca="1">IFERROR(__xludf.DUMMYFUNCTION("""COMPUTED_VALUE"""),240.3)</f>
        <v>240.3</v>
      </c>
      <c r="D491" s="1">
        <f ca="1">IFERROR(__xludf.DUMMYFUNCTION("""COMPUTED_VALUE"""),228.2)</f>
        <v>228.2</v>
      </c>
      <c r="E491" s="1">
        <f ca="1">IFERROR(__xludf.DUMMYFUNCTION("""COMPUTED_VALUE"""),239.29)</f>
        <v>239.29</v>
      </c>
      <c r="F491" s="1">
        <f ca="1">IFERROR(__xludf.DUMMYFUNCTION("""COMPUTED_VALUE"""),146286348)</f>
        <v>146286348</v>
      </c>
    </row>
    <row r="492" spans="1:6" ht="12.6">
      <c r="A492" s="2">
        <f ca="1">IFERROR(__xludf.DUMMYFUNCTION("""COMPUTED_VALUE"""),45274.6666666666)</f>
        <v>45274.666666666599</v>
      </c>
      <c r="B492" s="1">
        <f ca="1">IFERROR(__xludf.DUMMYFUNCTION("""COMPUTED_VALUE"""),241.22)</f>
        <v>241.22</v>
      </c>
      <c r="C492" s="1">
        <f ca="1">IFERROR(__xludf.DUMMYFUNCTION("""COMPUTED_VALUE"""),253.88)</f>
        <v>253.88</v>
      </c>
      <c r="D492" s="1">
        <f ca="1">IFERROR(__xludf.DUMMYFUNCTION("""COMPUTED_VALUE"""),240.79)</f>
        <v>240.79</v>
      </c>
      <c r="E492" s="1">
        <f ca="1">IFERROR(__xludf.DUMMYFUNCTION("""COMPUTED_VALUE"""),251.05)</f>
        <v>251.05</v>
      </c>
      <c r="F492" s="1">
        <f ca="1">IFERROR(__xludf.DUMMYFUNCTION("""COMPUTED_VALUE"""),160829239)</f>
        <v>160829239</v>
      </c>
    </row>
    <row r="493" spans="1:6" ht="12.6">
      <c r="A493" s="2">
        <f ca="1">IFERROR(__xludf.DUMMYFUNCTION("""COMPUTED_VALUE"""),45275.6666666666)</f>
        <v>45275.666666666599</v>
      </c>
      <c r="B493" s="1">
        <f ca="1">IFERROR(__xludf.DUMMYFUNCTION("""COMPUTED_VALUE"""),251.21)</f>
        <v>251.21</v>
      </c>
      <c r="C493" s="1">
        <f ca="1">IFERROR(__xludf.DUMMYFUNCTION("""COMPUTED_VALUE"""),254.13)</f>
        <v>254.13</v>
      </c>
      <c r="D493" s="1">
        <f ca="1">IFERROR(__xludf.DUMMYFUNCTION("""COMPUTED_VALUE"""),248.3)</f>
        <v>248.3</v>
      </c>
      <c r="E493" s="1">
        <f ca="1">IFERROR(__xludf.DUMMYFUNCTION("""COMPUTED_VALUE"""),253.5)</f>
        <v>253.5</v>
      </c>
      <c r="F493" s="1">
        <f ca="1">IFERROR(__xludf.DUMMYFUNCTION("""COMPUTED_VALUE"""),135932762)</f>
        <v>135932762</v>
      </c>
    </row>
    <row r="494" spans="1:6" ht="12.6">
      <c r="A494" s="2">
        <f ca="1">IFERROR(__xludf.DUMMYFUNCTION("""COMPUTED_VALUE"""),45278.6666666666)</f>
        <v>45278.666666666599</v>
      </c>
      <c r="B494" s="1">
        <f ca="1">IFERROR(__xludf.DUMMYFUNCTION("""COMPUTED_VALUE"""),253.78)</f>
        <v>253.78</v>
      </c>
      <c r="C494" s="1">
        <f ca="1">IFERROR(__xludf.DUMMYFUNCTION("""COMPUTED_VALUE"""),258.74)</f>
        <v>258.74</v>
      </c>
      <c r="D494" s="1">
        <f ca="1">IFERROR(__xludf.DUMMYFUNCTION("""COMPUTED_VALUE"""),251.36)</f>
        <v>251.36</v>
      </c>
      <c r="E494" s="1">
        <f ca="1">IFERROR(__xludf.DUMMYFUNCTION("""COMPUTED_VALUE"""),252.08)</f>
        <v>252.08</v>
      </c>
      <c r="F494" s="1">
        <f ca="1">IFERROR(__xludf.DUMMYFUNCTION("""COMPUTED_VALUE"""),116416490)</f>
        <v>116416490</v>
      </c>
    </row>
    <row r="495" spans="1:6" ht="12.6">
      <c r="A495" s="2">
        <f ca="1">IFERROR(__xludf.DUMMYFUNCTION("""COMPUTED_VALUE"""),45279.6666666666)</f>
        <v>45279.666666666599</v>
      </c>
      <c r="B495" s="1">
        <f ca="1">IFERROR(__xludf.DUMMYFUNCTION("""COMPUTED_VALUE"""),253.48)</f>
        <v>253.48</v>
      </c>
      <c r="C495" s="1">
        <f ca="1">IFERROR(__xludf.DUMMYFUNCTION("""COMPUTED_VALUE"""),258.34)</f>
        <v>258.33999999999997</v>
      </c>
      <c r="D495" s="1">
        <f ca="1">IFERROR(__xludf.DUMMYFUNCTION("""COMPUTED_VALUE"""),253.01)</f>
        <v>253.01</v>
      </c>
      <c r="E495" s="1">
        <f ca="1">IFERROR(__xludf.DUMMYFUNCTION("""COMPUTED_VALUE"""),257.22)</f>
        <v>257.22000000000003</v>
      </c>
      <c r="F495" s="1">
        <f ca="1">IFERROR(__xludf.DUMMYFUNCTION("""COMPUTED_VALUE"""),106737369)</f>
        <v>106737369</v>
      </c>
    </row>
    <row r="496" spans="1:6" ht="12.6">
      <c r="A496" s="2">
        <f ca="1">IFERROR(__xludf.DUMMYFUNCTION("""COMPUTED_VALUE"""),45280.6666666666)</f>
        <v>45280.666666666599</v>
      </c>
      <c r="B496" s="1">
        <f ca="1">IFERROR(__xludf.DUMMYFUNCTION("""COMPUTED_VALUE"""),256.41)</f>
        <v>256.41000000000003</v>
      </c>
      <c r="C496" s="1">
        <f ca="1">IFERROR(__xludf.DUMMYFUNCTION("""COMPUTED_VALUE"""),259.84)</f>
        <v>259.83999999999997</v>
      </c>
      <c r="D496" s="1">
        <f ca="1">IFERROR(__xludf.DUMMYFUNCTION("""COMPUTED_VALUE"""),247)</f>
        <v>247</v>
      </c>
      <c r="E496" s="1">
        <f ca="1">IFERROR(__xludf.DUMMYFUNCTION("""COMPUTED_VALUE"""),247.14)</f>
        <v>247.14</v>
      </c>
      <c r="F496" s="1">
        <f ca="1">IFERROR(__xludf.DUMMYFUNCTION("""COMPUTED_VALUE"""),125096987)</f>
        <v>125096987</v>
      </c>
    </row>
    <row r="497" spans="1:6" ht="12.6">
      <c r="A497" s="2">
        <f ca="1">IFERROR(__xludf.DUMMYFUNCTION("""COMPUTED_VALUE"""),45281.6666666666)</f>
        <v>45281.666666666599</v>
      </c>
      <c r="B497" s="1">
        <f ca="1">IFERROR(__xludf.DUMMYFUNCTION("""COMPUTED_VALUE"""),251.9)</f>
        <v>251.9</v>
      </c>
      <c r="C497" s="1">
        <f ca="1">IFERROR(__xludf.DUMMYFUNCTION("""COMPUTED_VALUE"""),254.8)</f>
        <v>254.8</v>
      </c>
      <c r="D497" s="1">
        <f ca="1">IFERROR(__xludf.DUMMYFUNCTION("""COMPUTED_VALUE"""),248.55)</f>
        <v>248.55</v>
      </c>
      <c r="E497" s="1">
        <f ca="1">IFERROR(__xludf.DUMMYFUNCTION("""COMPUTED_VALUE"""),254.5)</f>
        <v>254.5</v>
      </c>
      <c r="F497" s="1">
        <f ca="1">IFERROR(__xludf.DUMMYFUNCTION("""COMPUTED_VALUE"""),109594227)</f>
        <v>109594227</v>
      </c>
    </row>
    <row r="498" spans="1:6" ht="12.6">
      <c r="A498" s="2">
        <f ca="1">IFERROR(__xludf.DUMMYFUNCTION("""COMPUTED_VALUE"""),45282.6666666666)</f>
        <v>45282.666666666599</v>
      </c>
      <c r="B498" s="1">
        <f ca="1">IFERROR(__xludf.DUMMYFUNCTION("""COMPUTED_VALUE"""),256.76)</f>
        <v>256.76</v>
      </c>
      <c r="C498" s="1">
        <f ca="1">IFERROR(__xludf.DUMMYFUNCTION("""COMPUTED_VALUE"""),258.22)</f>
        <v>258.22000000000003</v>
      </c>
      <c r="D498" s="1">
        <f ca="1">IFERROR(__xludf.DUMMYFUNCTION("""COMPUTED_VALUE"""),251.37)</f>
        <v>251.37</v>
      </c>
      <c r="E498" s="1">
        <f ca="1">IFERROR(__xludf.DUMMYFUNCTION("""COMPUTED_VALUE"""),252.54)</f>
        <v>252.54</v>
      </c>
      <c r="F498" s="1">
        <f ca="1">IFERROR(__xludf.DUMMYFUNCTION("""COMPUTED_VALUE"""),93370094)</f>
        <v>93370094</v>
      </c>
    </row>
    <row r="499" spans="1:6" ht="12.6">
      <c r="A499" s="2">
        <f ca="1">IFERROR(__xludf.DUMMYFUNCTION("""COMPUTED_VALUE"""),45286.6666666666)</f>
        <v>45286.666666666599</v>
      </c>
      <c r="B499" s="1">
        <f ca="1">IFERROR(__xludf.DUMMYFUNCTION("""COMPUTED_VALUE"""),254.49)</f>
        <v>254.49</v>
      </c>
      <c r="C499" s="1">
        <f ca="1">IFERROR(__xludf.DUMMYFUNCTION("""COMPUTED_VALUE"""),257.97)</f>
        <v>257.97000000000003</v>
      </c>
      <c r="D499" s="1">
        <f ca="1">IFERROR(__xludf.DUMMYFUNCTION("""COMPUTED_VALUE"""),252.91)</f>
        <v>252.91</v>
      </c>
      <c r="E499" s="1">
        <f ca="1">IFERROR(__xludf.DUMMYFUNCTION("""COMPUTED_VALUE"""),256.61)</f>
        <v>256.61</v>
      </c>
      <c r="F499" s="1">
        <f ca="1">IFERROR(__xludf.DUMMYFUNCTION("""COMPUTED_VALUE"""),86892382)</f>
        <v>86892382</v>
      </c>
    </row>
    <row r="500" spans="1:6" ht="12.6">
      <c r="A500" s="2">
        <f ca="1">IFERROR(__xludf.DUMMYFUNCTION("""COMPUTED_VALUE"""),45287.6666666666)</f>
        <v>45287.666666666599</v>
      </c>
      <c r="B500" s="1">
        <f ca="1">IFERROR(__xludf.DUMMYFUNCTION("""COMPUTED_VALUE"""),258.35)</f>
        <v>258.35000000000002</v>
      </c>
      <c r="C500" s="1">
        <f ca="1">IFERROR(__xludf.DUMMYFUNCTION("""COMPUTED_VALUE"""),263.34)</f>
        <v>263.33999999999997</v>
      </c>
      <c r="D500" s="1">
        <f ca="1">IFERROR(__xludf.DUMMYFUNCTION("""COMPUTED_VALUE"""),257.52)</f>
        <v>257.52</v>
      </c>
      <c r="E500" s="1">
        <f ca="1">IFERROR(__xludf.DUMMYFUNCTION("""COMPUTED_VALUE"""),261.44)</f>
        <v>261.44</v>
      </c>
      <c r="F500" s="1">
        <f ca="1">IFERROR(__xludf.DUMMYFUNCTION("""COMPUTED_VALUE"""),106494359)</f>
        <v>106494359</v>
      </c>
    </row>
    <row r="501" spans="1:6" ht="12.6">
      <c r="A501" s="2">
        <f ca="1">IFERROR(__xludf.DUMMYFUNCTION("""COMPUTED_VALUE"""),45288.6666666666)</f>
        <v>45288.666666666599</v>
      </c>
      <c r="B501" s="1">
        <f ca="1">IFERROR(__xludf.DUMMYFUNCTION("""COMPUTED_VALUE"""),263.66)</f>
        <v>263.66000000000003</v>
      </c>
      <c r="C501" s="1">
        <f ca="1">IFERROR(__xludf.DUMMYFUNCTION("""COMPUTED_VALUE"""),265.13)</f>
        <v>265.13</v>
      </c>
      <c r="D501" s="1">
        <f ca="1">IFERROR(__xludf.DUMMYFUNCTION("""COMPUTED_VALUE"""),252.71)</f>
        <v>252.71</v>
      </c>
      <c r="E501" s="1">
        <f ca="1">IFERROR(__xludf.DUMMYFUNCTION("""COMPUTED_VALUE"""),253.18)</f>
        <v>253.18</v>
      </c>
      <c r="F501" s="1">
        <f ca="1">IFERROR(__xludf.DUMMYFUNCTION("""COMPUTED_VALUE"""),113619943)</f>
        <v>113619943</v>
      </c>
    </row>
    <row r="502" spans="1:6" ht="12.6">
      <c r="A502" s="2">
        <f ca="1">IFERROR(__xludf.DUMMYFUNCTION("""COMPUTED_VALUE"""),45289.6666666666)</f>
        <v>45289.666666666599</v>
      </c>
      <c r="B502" s="1">
        <f ca="1">IFERROR(__xludf.DUMMYFUNCTION("""COMPUTED_VALUE"""),255.1)</f>
        <v>255.1</v>
      </c>
      <c r="C502" s="1">
        <f ca="1">IFERROR(__xludf.DUMMYFUNCTION("""COMPUTED_VALUE"""),255.19)</f>
        <v>255.19</v>
      </c>
      <c r="D502" s="1">
        <f ca="1">IFERROR(__xludf.DUMMYFUNCTION("""COMPUTED_VALUE"""),247.43)</f>
        <v>247.43</v>
      </c>
      <c r="E502" s="1">
        <f ca="1">IFERROR(__xludf.DUMMYFUNCTION("""COMPUTED_VALUE"""),248.48)</f>
        <v>248.48</v>
      </c>
      <c r="F502" s="1">
        <f ca="1">IFERROR(__xludf.DUMMYFUNCTION("""COMPUTED_VALUE"""),100891578)</f>
        <v>100891578</v>
      </c>
    </row>
    <row r="503" spans="1:6" ht="12.6">
      <c r="A503" s="2">
        <f ca="1">IFERROR(__xludf.DUMMYFUNCTION("""COMPUTED_VALUE"""),45293.6666666666)</f>
        <v>45293.666666666599</v>
      </c>
      <c r="B503" s="1">
        <f ca="1">IFERROR(__xludf.DUMMYFUNCTION("""COMPUTED_VALUE"""),250.08)</f>
        <v>250.08</v>
      </c>
      <c r="C503" s="1">
        <f ca="1">IFERROR(__xludf.DUMMYFUNCTION("""COMPUTED_VALUE"""),251.25)</f>
        <v>251.25</v>
      </c>
      <c r="D503" s="1">
        <f ca="1">IFERROR(__xludf.DUMMYFUNCTION("""COMPUTED_VALUE"""),244.41)</f>
        <v>244.41</v>
      </c>
      <c r="E503" s="1">
        <f ca="1">IFERROR(__xludf.DUMMYFUNCTION("""COMPUTED_VALUE"""),248.42)</f>
        <v>248.42</v>
      </c>
      <c r="F503" s="1">
        <f ca="1">IFERROR(__xludf.DUMMYFUNCTION("""COMPUTED_VALUE"""),104654163)</f>
        <v>104654163</v>
      </c>
    </row>
    <row r="504" spans="1:6" ht="12.6">
      <c r="A504" s="2">
        <f ca="1">IFERROR(__xludf.DUMMYFUNCTION("""COMPUTED_VALUE"""),45294.6666666666)</f>
        <v>45294.666666666599</v>
      </c>
      <c r="B504" s="1">
        <f ca="1">IFERROR(__xludf.DUMMYFUNCTION("""COMPUTED_VALUE"""),244.98)</f>
        <v>244.98</v>
      </c>
      <c r="C504" s="1">
        <f ca="1">IFERROR(__xludf.DUMMYFUNCTION("""COMPUTED_VALUE"""),245.68)</f>
        <v>245.68</v>
      </c>
      <c r="D504" s="1">
        <f ca="1">IFERROR(__xludf.DUMMYFUNCTION("""COMPUTED_VALUE"""),236.32)</f>
        <v>236.32</v>
      </c>
      <c r="E504" s="1">
        <f ca="1">IFERROR(__xludf.DUMMYFUNCTION("""COMPUTED_VALUE"""),238.45)</f>
        <v>238.45</v>
      </c>
      <c r="F504" s="1">
        <f ca="1">IFERROR(__xludf.DUMMYFUNCTION("""COMPUTED_VALUE"""),121082599)</f>
        <v>121082599</v>
      </c>
    </row>
    <row r="505" spans="1:6" ht="12.6">
      <c r="A505" s="2">
        <f ca="1">IFERROR(__xludf.DUMMYFUNCTION("""COMPUTED_VALUE"""),45295.6666666666)</f>
        <v>45295.666666666599</v>
      </c>
      <c r="B505" s="1">
        <f ca="1">IFERROR(__xludf.DUMMYFUNCTION("""COMPUTED_VALUE"""),239.25)</f>
        <v>239.25</v>
      </c>
      <c r="C505" s="1">
        <f ca="1">IFERROR(__xludf.DUMMYFUNCTION("""COMPUTED_VALUE"""),242.7)</f>
        <v>242.7</v>
      </c>
      <c r="D505" s="1">
        <f ca="1">IFERROR(__xludf.DUMMYFUNCTION("""COMPUTED_VALUE"""),237.73)</f>
        <v>237.73</v>
      </c>
      <c r="E505" s="1">
        <f ca="1">IFERROR(__xludf.DUMMYFUNCTION("""COMPUTED_VALUE"""),237.93)</f>
        <v>237.93</v>
      </c>
      <c r="F505" s="1">
        <f ca="1">IFERROR(__xludf.DUMMYFUNCTION("""COMPUTED_VALUE"""),102629283)</f>
        <v>102629283</v>
      </c>
    </row>
    <row r="506" spans="1:6" ht="12.6">
      <c r="A506" s="2">
        <f ca="1">IFERROR(__xludf.DUMMYFUNCTION("""COMPUTED_VALUE"""),45296.6666666666)</f>
        <v>45296.666666666599</v>
      </c>
      <c r="B506" s="1">
        <f ca="1">IFERROR(__xludf.DUMMYFUNCTION("""COMPUTED_VALUE"""),236.86)</f>
        <v>236.86</v>
      </c>
      <c r="C506" s="1">
        <f ca="1">IFERROR(__xludf.DUMMYFUNCTION("""COMPUTED_VALUE"""),240.12)</f>
        <v>240.12</v>
      </c>
      <c r="D506" s="1">
        <f ca="1">IFERROR(__xludf.DUMMYFUNCTION("""COMPUTED_VALUE"""),234.9)</f>
        <v>234.9</v>
      </c>
      <c r="E506" s="1">
        <f ca="1">IFERROR(__xludf.DUMMYFUNCTION("""COMPUTED_VALUE"""),237.49)</f>
        <v>237.49</v>
      </c>
      <c r="F506" s="1">
        <f ca="1">IFERROR(__xludf.DUMMYFUNCTION("""COMPUTED_VALUE"""),92488939)</f>
        <v>92488939</v>
      </c>
    </row>
    <row r="507" spans="1:6" ht="12.6">
      <c r="A507" s="2">
        <f ca="1">IFERROR(__xludf.DUMMYFUNCTION("""COMPUTED_VALUE"""),45299.6666666666)</f>
        <v>45299.666666666599</v>
      </c>
      <c r="B507" s="1">
        <f ca="1">IFERROR(__xludf.DUMMYFUNCTION("""COMPUTED_VALUE"""),236.14)</f>
        <v>236.14</v>
      </c>
      <c r="C507" s="1">
        <f ca="1">IFERROR(__xludf.DUMMYFUNCTION("""COMPUTED_VALUE"""),241.25)</f>
        <v>241.25</v>
      </c>
      <c r="D507" s="1">
        <f ca="1">IFERROR(__xludf.DUMMYFUNCTION("""COMPUTED_VALUE"""),235.3)</f>
        <v>235.3</v>
      </c>
      <c r="E507" s="1">
        <f ca="1">IFERROR(__xludf.DUMMYFUNCTION("""COMPUTED_VALUE"""),240.45)</f>
        <v>240.45</v>
      </c>
      <c r="F507" s="1">
        <f ca="1">IFERROR(__xludf.DUMMYFUNCTION("""COMPUTED_VALUE"""),85166580)</f>
        <v>85166580</v>
      </c>
    </row>
    <row r="508" spans="1:6" ht="12.6">
      <c r="A508" s="2">
        <f ca="1">IFERROR(__xludf.DUMMYFUNCTION("""COMPUTED_VALUE"""),45300.6666666666)</f>
        <v>45300.666666666599</v>
      </c>
      <c r="B508" s="1">
        <f ca="1">IFERROR(__xludf.DUMMYFUNCTION("""COMPUTED_VALUE"""),238.11)</f>
        <v>238.11</v>
      </c>
      <c r="C508" s="1">
        <f ca="1">IFERROR(__xludf.DUMMYFUNCTION("""COMPUTED_VALUE"""),238.96)</f>
        <v>238.96</v>
      </c>
      <c r="D508" s="1">
        <f ca="1">IFERROR(__xludf.DUMMYFUNCTION("""COMPUTED_VALUE"""),232.04)</f>
        <v>232.04</v>
      </c>
      <c r="E508" s="1">
        <f ca="1">IFERROR(__xludf.DUMMYFUNCTION("""COMPUTED_VALUE"""),234.96)</f>
        <v>234.96</v>
      </c>
      <c r="F508" s="1">
        <f ca="1">IFERROR(__xludf.DUMMYFUNCTION("""COMPUTED_VALUE"""),96705664)</f>
        <v>96705664</v>
      </c>
    </row>
    <row r="509" spans="1:6" ht="12.6">
      <c r="A509" s="2">
        <f ca="1">IFERROR(__xludf.DUMMYFUNCTION("""COMPUTED_VALUE"""),45301.6666666666)</f>
        <v>45301.666666666599</v>
      </c>
      <c r="B509" s="1">
        <f ca="1">IFERROR(__xludf.DUMMYFUNCTION("""COMPUTED_VALUE"""),235.1)</f>
        <v>235.1</v>
      </c>
      <c r="C509" s="1">
        <f ca="1">IFERROR(__xludf.DUMMYFUNCTION("""COMPUTED_VALUE"""),235.5)</f>
        <v>235.5</v>
      </c>
      <c r="D509" s="1">
        <f ca="1">IFERROR(__xludf.DUMMYFUNCTION("""COMPUTED_VALUE"""),231.29)</f>
        <v>231.29</v>
      </c>
      <c r="E509" s="1">
        <f ca="1">IFERROR(__xludf.DUMMYFUNCTION("""COMPUTED_VALUE"""),233.94)</f>
        <v>233.94</v>
      </c>
      <c r="F509" s="1">
        <f ca="1">IFERROR(__xludf.DUMMYFUNCTION("""COMPUTED_VALUE"""),91628502)</f>
        <v>91628502</v>
      </c>
    </row>
    <row r="510" spans="1:6" ht="12.6">
      <c r="A510" s="2">
        <f ca="1">IFERROR(__xludf.DUMMYFUNCTION("""COMPUTED_VALUE"""),45302.6666666666)</f>
        <v>45302.666666666599</v>
      </c>
      <c r="B510" s="1">
        <f ca="1">IFERROR(__xludf.DUMMYFUNCTION("""COMPUTED_VALUE"""),230.57)</f>
        <v>230.57</v>
      </c>
      <c r="C510" s="1">
        <f ca="1">IFERROR(__xludf.DUMMYFUNCTION("""COMPUTED_VALUE"""),230.93)</f>
        <v>230.93</v>
      </c>
      <c r="D510" s="1">
        <f ca="1">IFERROR(__xludf.DUMMYFUNCTION("""COMPUTED_VALUE"""),225.37)</f>
        <v>225.37</v>
      </c>
      <c r="E510" s="1">
        <f ca="1">IFERROR(__xludf.DUMMYFUNCTION("""COMPUTED_VALUE"""),227.22)</f>
        <v>227.22</v>
      </c>
      <c r="F510" s="1">
        <f ca="1">IFERROR(__xludf.DUMMYFUNCTION("""COMPUTED_VALUE"""),105873612)</f>
        <v>105873612</v>
      </c>
    </row>
    <row r="511" spans="1:6" ht="12.6">
      <c r="A511" s="2">
        <f ca="1">IFERROR(__xludf.DUMMYFUNCTION("""COMPUTED_VALUE"""),45303.6666666666)</f>
        <v>45303.666666666599</v>
      </c>
      <c r="B511" s="1">
        <f ca="1">IFERROR(__xludf.DUMMYFUNCTION("""COMPUTED_VALUE"""),220.08)</f>
        <v>220.08</v>
      </c>
      <c r="C511" s="1">
        <f ca="1">IFERROR(__xludf.DUMMYFUNCTION("""COMPUTED_VALUE"""),225.34)</f>
        <v>225.34</v>
      </c>
      <c r="D511" s="1">
        <f ca="1">IFERROR(__xludf.DUMMYFUNCTION("""COMPUTED_VALUE"""),217.15)</f>
        <v>217.15</v>
      </c>
      <c r="E511" s="1">
        <f ca="1">IFERROR(__xludf.DUMMYFUNCTION("""COMPUTED_VALUE"""),218.89)</f>
        <v>218.89</v>
      </c>
      <c r="F511" s="1">
        <f ca="1">IFERROR(__xludf.DUMMYFUNCTION("""COMPUTED_VALUE"""),123043812)</f>
        <v>123043812</v>
      </c>
    </row>
    <row r="512" spans="1:6" ht="12.6">
      <c r="A512" s="2">
        <f ca="1">IFERROR(__xludf.DUMMYFUNCTION("""COMPUTED_VALUE"""),45307.6666666666)</f>
        <v>45307.666666666599</v>
      </c>
      <c r="B512" s="1">
        <f ca="1">IFERROR(__xludf.DUMMYFUNCTION("""COMPUTED_VALUE"""),215.1)</f>
        <v>215.1</v>
      </c>
      <c r="C512" s="1">
        <f ca="1">IFERROR(__xludf.DUMMYFUNCTION("""COMPUTED_VALUE"""),223.49)</f>
        <v>223.49</v>
      </c>
      <c r="D512" s="1">
        <f ca="1">IFERROR(__xludf.DUMMYFUNCTION("""COMPUTED_VALUE"""),212.18)</f>
        <v>212.18</v>
      </c>
      <c r="E512" s="1">
        <f ca="1">IFERROR(__xludf.DUMMYFUNCTION("""COMPUTED_VALUE"""),219.91)</f>
        <v>219.91</v>
      </c>
      <c r="F512" s="1">
        <f ca="1">IFERROR(__xludf.DUMMYFUNCTION("""COMPUTED_VALUE"""),115355046)</f>
        <v>115355046</v>
      </c>
    </row>
    <row r="513" spans="1:6" ht="12.6">
      <c r="A513" s="2">
        <f ca="1">IFERROR(__xludf.DUMMYFUNCTION("""COMPUTED_VALUE"""),45308.6666666666)</f>
        <v>45308.666666666599</v>
      </c>
      <c r="B513" s="1">
        <f ca="1">IFERROR(__xludf.DUMMYFUNCTION("""COMPUTED_VALUE"""),214.86)</f>
        <v>214.86</v>
      </c>
      <c r="C513" s="1">
        <f ca="1">IFERROR(__xludf.DUMMYFUNCTION("""COMPUTED_VALUE"""),215.67)</f>
        <v>215.67</v>
      </c>
      <c r="D513" s="1">
        <f ca="1">IFERROR(__xludf.DUMMYFUNCTION("""COMPUTED_VALUE"""),212.01)</f>
        <v>212.01</v>
      </c>
      <c r="E513" s="1">
        <f ca="1">IFERROR(__xludf.DUMMYFUNCTION("""COMPUTED_VALUE"""),215.55)</f>
        <v>215.55</v>
      </c>
      <c r="F513" s="1">
        <f ca="1">IFERROR(__xludf.DUMMYFUNCTION("""COMPUTED_VALUE"""),103164400)</f>
        <v>103164400</v>
      </c>
    </row>
    <row r="514" spans="1:6" ht="12.6">
      <c r="A514" s="2">
        <f ca="1">IFERROR(__xludf.DUMMYFUNCTION("""COMPUTED_VALUE"""),45309.6666666666)</f>
        <v>45309.666666666599</v>
      </c>
      <c r="B514" s="1">
        <f ca="1">IFERROR(__xludf.DUMMYFUNCTION("""COMPUTED_VALUE"""),216.88)</f>
        <v>216.88</v>
      </c>
      <c r="C514" s="1">
        <f ca="1">IFERROR(__xludf.DUMMYFUNCTION("""COMPUTED_VALUE"""),217.45)</f>
        <v>217.45</v>
      </c>
      <c r="D514" s="1">
        <f ca="1">IFERROR(__xludf.DUMMYFUNCTION("""COMPUTED_VALUE"""),208.74)</f>
        <v>208.74</v>
      </c>
      <c r="E514" s="1">
        <f ca="1">IFERROR(__xludf.DUMMYFUNCTION("""COMPUTED_VALUE"""),211.88)</f>
        <v>211.88</v>
      </c>
      <c r="F514" s="1">
        <f ca="1">IFERROR(__xludf.DUMMYFUNCTION("""COMPUTED_VALUE"""),108595431)</f>
        <v>108595431</v>
      </c>
    </row>
    <row r="515" spans="1:6" ht="12.6">
      <c r="A515" s="2">
        <f ca="1">IFERROR(__xludf.DUMMYFUNCTION("""COMPUTED_VALUE"""),45310.6666666666)</f>
        <v>45310.666666666599</v>
      </c>
      <c r="B515" s="1">
        <f ca="1">IFERROR(__xludf.DUMMYFUNCTION("""COMPUTED_VALUE"""),209.99)</f>
        <v>209.99</v>
      </c>
      <c r="C515" s="1">
        <f ca="1">IFERROR(__xludf.DUMMYFUNCTION("""COMPUTED_VALUE"""),213.19)</f>
        <v>213.19</v>
      </c>
      <c r="D515" s="1">
        <f ca="1">IFERROR(__xludf.DUMMYFUNCTION("""COMPUTED_VALUE"""),207.56)</f>
        <v>207.56</v>
      </c>
      <c r="E515" s="1">
        <f ca="1">IFERROR(__xludf.DUMMYFUNCTION("""COMPUTED_VALUE"""),212.19)</f>
        <v>212.19</v>
      </c>
      <c r="F515" s="1">
        <f ca="1">IFERROR(__xludf.DUMMYFUNCTION("""COMPUTED_VALUE"""),102260343)</f>
        <v>102260343</v>
      </c>
    </row>
    <row r="516" spans="1:6" ht="12.6">
      <c r="A516" s="2">
        <f ca="1">IFERROR(__xludf.DUMMYFUNCTION("""COMPUTED_VALUE"""),45313.6666666666)</f>
        <v>45313.666666666599</v>
      </c>
      <c r="B516" s="1">
        <f ca="1">IFERROR(__xludf.DUMMYFUNCTION("""COMPUTED_VALUE"""),212.26)</f>
        <v>212.26</v>
      </c>
      <c r="C516" s="1">
        <f ca="1">IFERROR(__xludf.DUMMYFUNCTION("""COMPUTED_VALUE"""),217.8)</f>
        <v>217.8</v>
      </c>
      <c r="D516" s="1">
        <f ca="1">IFERROR(__xludf.DUMMYFUNCTION("""COMPUTED_VALUE"""),206.27)</f>
        <v>206.27</v>
      </c>
      <c r="E516" s="1">
        <f ca="1">IFERROR(__xludf.DUMMYFUNCTION("""COMPUTED_VALUE"""),208.8)</f>
        <v>208.8</v>
      </c>
      <c r="F516" s="1">
        <f ca="1">IFERROR(__xludf.DUMMYFUNCTION("""COMPUTED_VALUE"""),117952527)</f>
        <v>117952527</v>
      </c>
    </row>
    <row r="517" spans="1:6" ht="12.6">
      <c r="A517" s="2">
        <f ca="1">IFERROR(__xludf.DUMMYFUNCTION("""COMPUTED_VALUE"""),45314.6666666666)</f>
        <v>45314.666666666599</v>
      </c>
      <c r="B517" s="1">
        <f ca="1">IFERROR(__xludf.DUMMYFUNCTION("""COMPUTED_VALUE"""),211.3)</f>
        <v>211.3</v>
      </c>
      <c r="C517" s="1">
        <f ca="1">IFERROR(__xludf.DUMMYFUNCTION("""COMPUTED_VALUE"""),215.65)</f>
        <v>215.65</v>
      </c>
      <c r="D517" s="1">
        <f ca="1">IFERROR(__xludf.DUMMYFUNCTION("""COMPUTED_VALUE"""),207.75)</f>
        <v>207.75</v>
      </c>
      <c r="E517" s="1">
        <f ca="1">IFERROR(__xludf.DUMMYFUNCTION("""COMPUTED_VALUE"""),209.14)</f>
        <v>209.14</v>
      </c>
      <c r="F517" s="1">
        <f ca="1">IFERROR(__xludf.DUMMYFUNCTION("""COMPUTED_VALUE"""),106605946)</f>
        <v>106605946</v>
      </c>
    </row>
    <row r="518" spans="1:6" ht="12.6">
      <c r="A518" s="2">
        <f ca="1">IFERROR(__xludf.DUMMYFUNCTION("""COMPUTED_VALUE"""),45315.6666666666)</f>
        <v>45315.666666666599</v>
      </c>
      <c r="B518" s="1">
        <f ca="1">IFERROR(__xludf.DUMMYFUNCTION("""COMPUTED_VALUE"""),211.88)</f>
        <v>211.88</v>
      </c>
      <c r="C518" s="1">
        <f ca="1">IFERROR(__xludf.DUMMYFUNCTION("""COMPUTED_VALUE"""),212.73)</f>
        <v>212.73</v>
      </c>
      <c r="D518" s="1">
        <f ca="1">IFERROR(__xludf.DUMMYFUNCTION("""COMPUTED_VALUE"""),206.77)</f>
        <v>206.77</v>
      </c>
      <c r="E518" s="1">
        <f ca="1">IFERROR(__xludf.DUMMYFUNCTION("""COMPUTED_VALUE"""),207.83)</f>
        <v>207.83</v>
      </c>
      <c r="F518" s="1">
        <f ca="1">IFERROR(__xludf.DUMMYFUNCTION("""COMPUTED_VALUE"""),123369932)</f>
        <v>123369932</v>
      </c>
    </row>
    <row r="519" spans="1:6" ht="12.6">
      <c r="A519" s="2">
        <f ca="1">IFERROR(__xludf.DUMMYFUNCTION("""COMPUTED_VALUE"""),45316.6666666666)</f>
        <v>45316.666666666599</v>
      </c>
      <c r="B519" s="1">
        <f ca="1">IFERROR(__xludf.DUMMYFUNCTION("""COMPUTED_VALUE"""),189.7)</f>
        <v>189.7</v>
      </c>
      <c r="C519" s="1">
        <f ca="1">IFERROR(__xludf.DUMMYFUNCTION("""COMPUTED_VALUE"""),193)</f>
        <v>193</v>
      </c>
      <c r="D519" s="1">
        <f ca="1">IFERROR(__xludf.DUMMYFUNCTION("""COMPUTED_VALUE"""),180.06)</f>
        <v>180.06</v>
      </c>
      <c r="E519" s="1">
        <f ca="1">IFERROR(__xludf.DUMMYFUNCTION("""COMPUTED_VALUE"""),182.63)</f>
        <v>182.63</v>
      </c>
      <c r="F519" s="1">
        <f ca="1">IFERROR(__xludf.DUMMYFUNCTION("""COMPUTED_VALUE"""),198076787)</f>
        <v>198076787</v>
      </c>
    </row>
    <row r="520" spans="1:6" ht="12.6">
      <c r="A520" s="2">
        <f ca="1">IFERROR(__xludf.DUMMYFUNCTION("""COMPUTED_VALUE"""),45317.6666666666)</f>
        <v>45317.666666666599</v>
      </c>
      <c r="B520" s="1">
        <f ca="1">IFERROR(__xludf.DUMMYFUNCTION("""COMPUTED_VALUE"""),185.5)</f>
        <v>185.5</v>
      </c>
      <c r="C520" s="1">
        <f ca="1">IFERROR(__xludf.DUMMYFUNCTION("""COMPUTED_VALUE"""),186.78)</f>
        <v>186.78</v>
      </c>
      <c r="D520" s="1">
        <f ca="1">IFERROR(__xludf.DUMMYFUNCTION("""COMPUTED_VALUE"""),182.1)</f>
        <v>182.1</v>
      </c>
      <c r="E520" s="1">
        <f ca="1">IFERROR(__xludf.DUMMYFUNCTION("""COMPUTED_VALUE"""),183.25)</f>
        <v>183.25</v>
      </c>
      <c r="F520" s="1">
        <f ca="1">IFERROR(__xludf.DUMMYFUNCTION("""COMPUTED_VALUE"""),107343231)</f>
        <v>107343231</v>
      </c>
    </row>
    <row r="521" spans="1:6" ht="12.6">
      <c r="A521" s="2">
        <f ca="1">IFERROR(__xludf.DUMMYFUNCTION("""COMPUTED_VALUE"""),45320.6666666666)</f>
        <v>45320.666666666599</v>
      </c>
      <c r="B521" s="1">
        <f ca="1">IFERROR(__xludf.DUMMYFUNCTION("""COMPUTED_VALUE"""),185.63)</f>
        <v>185.63</v>
      </c>
      <c r="C521" s="1">
        <f ca="1">IFERROR(__xludf.DUMMYFUNCTION("""COMPUTED_VALUE"""),191.48)</f>
        <v>191.48</v>
      </c>
      <c r="D521" s="1">
        <f ca="1">IFERROR(__xludf.DUMMYFUNCTION("""COMPUTED_VALUE"""),183.67)</f>
        <v>183.67</v>
      </c>
      <c r="E521" s="1">
        <f ca="1">IFERROR(__xludf.DUMMYFUNCTION("""COMPUTED_VALUE"""),190.93)</f>
        <v>190.93</v>
      </c>
      <c r="F521" s="1">
        <f ca="1">IFERROR(__xludf.DUMMYFUNCTION("""COMPUTED_VALUE"""),125013148)</f>
        <v>125013148</v>
      </c>
    </row>
    <row r="522" spans="1:6" ht="12.6">
      <c r="A522" s="2">
        <f ca="1">IFERROR(__xludf.DUMMYFUNCTION("""COMPUTED_VALUE"""),45321.6666666666)</f>
        <v>45321.666666666599</v>
      </c>
      <c r="B522" s="1">
        <f ca="1">IFERROR(__xludf.DUMMYFUNCTION("""COMPUTED_VALUE"""),195.33)</f>
        <v>195.33</v>
      </c>
      <c r="C522" s="1">
        <f ca="1">IFERROR(__xludf.DUMMYFUNCTION("""COMPUTED_VALUE"""),196.36)</f>
        <v>196.36</v>
      </c>
      <c r="D522" s="1">
        <f ca="1">IFERROR(__xludf.DUMMYFUNCTION("""COMPUTED_VALUE"""),190.61)</f>
        <v>190.61</v>
      </c>
      <c r="E522" s="1">
        <f ca="1">IFERROR(__xludf.DUMMYFUNCTION("""COMPUTED_VALUE"""),191.59)</f>
        <v>191.59</v>
      </c>
      <c r="F522" s="1">
        <f ca="1">IFERROR(__xludf.DUMMYFUNCTION("""COMPUTED_VALUE"""),109982327)</f>
        <v>109982327</v>
      </c>
    </row>
    <row r="523" spans="1:6" ht="12.6">
      <c r="A523" s="2">
        <f ca="1">IFERROR(__xludf.DUMMYFUNCTION("""COMPUTED_VALUE"""),45322.6666666666)</f>
        <v>45322.666666666599</v>
      </c>
      <c r="B523" s="1">
        <f ca="1">IFERROR(__xludf.DUMMYFUNCTION("""COMPUTED_VALUE"""),187)</f>
        <v>187</v>
      </c>
      <c r="C523" s="1">
        <f ca="1">IFERROR(__xludf.DUMMYFUNCTION("""COMPUTED_VALUE"""),193.97)</f>
        <v>193.97</v>
      </c>
      <c r="D523" s="1">
        <f ca="1">IFERROR(__xludf.DUMMYFUNCTION("""COMPUTED_VALUE"""),185.85)</f>
        <v>185.85</v>
      </c>
      <c r="E523" s="1">
        <f ca="1">IFERROR(__xludf.DUMMYFUNCTION("""COMPUTED_VALUE"""),187.29)</f>
        <v>187.29</v>
      </c>
      <c r="F523" s="1">
        <f ca="1">IFERROR(__xludf.DUMMYFUNCTION("""COMPUTED_VALUE"""),103221430)</f>
        <v>103221430</v>
      </c>
    </row>
    <row r="524" spans="1:6" ht="12.6">
      <c r="A524" s="2">
        <f ca="1">IFERROR(__xludf.DUMMYFUNCTION("""COMPUTED_VALUE"""),45323.6666666666)</f>
        <v>45323.666666666599</v>
      </c>
      <c r="B524" s="1">
        <f ca="1">IFERROR(__xludf.DUMMYFUNCTION("""COMPUTED_VALUE"""),188.5)</f>
        <v>188.5</v>
      </c>
      <c r="C524" s="1">
        <f ca="1">IFERROR(__xludf.DUMMYFUNCTION("""COMPUTED_VALUE"""),189.88)</f>
        <v>189.88</v>
      </c>
      <c r="D524" s="1">
        <f ca="1">IFERROR(__xludf.DUMMYFUNCTION("""COMPUTED_VALUE"""),184.28)</f>
        <v>184.28</v>
      </c>
      <c r="E524" s="1">
        <f ca="1">IFERROR(__xludf.DUMMYFUNCTION("""COMPUTED_VALUE"""),188.86)</f>
        <v>188.86</v>
      </c>
      <c r="F524" s="1">
        <f ca="1">IFERROR(__xludf.DUMMYFUNCTION("""COMPUTED_VALUE"""),91843275)</f>
        <v>91843275</v>
      </c>
    </row>
    <row r="525" spans="1:6" ht="12.6">
      <c r="A525" s="2">
        <f ca="1">IFERROR(__xludf.DUMMYFUNCTION("""COMPUTED_VALUE"""),45324.6666666666)</f>
        <v>45324.666666666599</v>
      </c>
      <c r="B525" s="1">
        <f ca="1">IFERROR(__xludf.DUMMYFUNCTION("""COMPUTED_VALUE"""),185.04)</f>
        <v>185.04</v>
      </c>
      <c r="C525" s="1">
        <f ca="1">IFERROR(__xludf.DUMMYFUNCTION("""COMPUTED_VALUE"""),188.69)</f>
        <v>188.69</v>
      </c>
      <c r="D525" s="1">
        <f ca="1">IFERROR(__xludf.DUMMYFUNCTION("""COMPUTED_VALUE"""),182)</f>
        <v>182</v>
      </c>
      <c r="E525" s="1">
        <f ca="1">IFERROR(__xludf.DUMMYFUNCTION("""COMPUTED_VALUE"""),187.91)</f>
        <v>187.91</v>
      </c>
      <c r="F525" s="1">
        <f ca="1">IFERROR(__xludf.DUMMYFUNCTION("""COMPUTED_VALUE"""),110612672)</f>
        <v>110612672</v>
      </c>
    </row>
    <row r="526" spans="1:6" ht="12.6">
      <c r="A526" s="2">
        <f ca="1">IFERROR(__xludf.DUMMYFUNCTION("""COMPUTED_VALUE"""),45327.6666666666)</f>
        <v>45327.666666666599</v>
      </c>
      <c r="B526" s="1">
        <f ca="1">IFERROR(__xludf.DUMMYFUNCTION("""COMPUTED_VALUE"""),184.26)</f>
        <v>184.26</v>
      </c>
      <c r="C526" s="1">
        <f ca="1">IFERROR(__xludf.DUMMYFUNCTION("""COMPUTED_VALUE"""),184.68)</f>
        <v>184.68</v>
      </c>
      <c r="D526" s="1">
        <f ca="1">IFERROR(__xludf.DUMMYFUNCTION("""COMPUTED_VALUE"""),175.01)</f>
        <v>175.01</v>
      </c>
      <c r="E526" s="1">
        <f ca="1">IFERROR(__xludf.DUMMYFUNCTION("""COMPUTED_VALUE"""),181.06)</f>
        <v>181.06</v>
      </c>
      <c r="F526" s="1">
        <f ca="1">IFERROR(__xludf.DUMMYFUNCTION("""COMPUTED_VALUE"""),134294447)</f>
        <v>134294447</v>
      </c>
    </row>
    <row r="527" spans="1:6" ht="12.6">
      <c r="A527" s="2">
        <f ca="1">IFERROR(__xludf.DUMMYFUNCTION("""COMPUTED_VALUE"""),45328.6666666666)</f>
        <v>45328.666666666599</v>
      </c>
      <c r="B527" s="1">
        <f ca="1">IFERROR(__xludf.DUMMYFUNCTION("""COMPUTED_VALUE"""),177.21)</f>
        <v>177.21</v>
      </c>
      <c r="C527" s="1">
        <f ca="1">IFERROR(__xludf.DUMMYFUNCTION("""COMPUTED_VALUE"""),186.49)</f>
        <v>186.49</v>
      </c>
      <c r="D527" s="1">
        <f ca="1">IFERROR(__xludf.DUMMYFUNCTION("""COMPUTED_VALUE"""),177.11)</f>
        <v>177.11</v>
      </c>
      <c r="E527" s="1">
        <f ca="1">IFERROR(__xludf.DUMMYFUNCTION("""COMPUTED_VALUE"""),185.1)</f>
        <v>185.1</v>
      </c>
      <c r="F527" s="1">
        <f ca="1">IFERROR(__xludf.DUMMYFUNCTION("""COMPUTED_VALUE"""),122675954)</f>
        <v>122675954</v>
      </c>
    </row>
    <row r="528" spans="1:6" ht="12.6">
      <c r="A528" s="2">
        <f ca="1">IFERROR(__xludf.DUMMYFUNCTION("""COMPUTED_VALUE"""),45329.6666666666)</f>
        <v>45329.666666666599</v>
      </c>
      <c r="B528" s="1">
        <f ca="1">IFERROR(__xludf.DUMMYFUNCTION("""COMPUTED_VALUE"""),188.18)</f>
        <v>188.18</v>
      </c>
      <c r="C528" s="1">
        <f ca="1">IFERROR(__xludf.DUMMYFUNCTION("""COMPUTED_VALUE"""),189.79)</f>
        <v>189.79</v>
      </c>
      <c r="D528" s="1">
        <f ca="1">IFERROR(__xludf.DUMMYFUNCTION("""COMPUTED_VALUE"""),182.68)</f>
        <v>182.68</v>
      </c>
      <c r="E528" s="1">
        <f ca="1">IFERROR(__xludf.DUMMYFUNCTION("""COMPUTED_VALUE"""),187.58)</f>
        <v>187.58</v>
      </c>
      <c r="F528" s="1">
        <f ca="1">IFERROR(__xludf.DUMMYFUNCTION("""COMPUTED_VALUE"""),111535217)</f>
        <v>111535217</v>
      </c>
    </row>
    <row r="529" spans="1:6" ht="12.6">
      <c r="A529" s="2">
        <f ca="1">IFERROR(__xludf.DUMMYFUNCTION("""COMPUTED_VALUE"""),45330.6666666666)</f>
        <v>45330.666666666599</v>
      </c>
      <c r="B529" s="1">
        <f ca="1">IFERROR(__xludf.DUMMYFUNCTION("""COMPUTED_VALUE"""),189)</f>
        <v>189</v>
      </c>
      <c r="C529" s="1">
        <f ca="1">IFERROR(__xludf.DUMMYFUNCTION("""COMPUTED_VALUE"""),191.62)</f>
        <v>191.62</v>
      </c>
      <c r="D529" s="1">
        <f ca="1">IFERROR(__xludf.DUMMYFUNCTION("""COMPUTED_VALUE"""),185.58)</f>
        <v>185.58</v>
      </c>
      <c r="E529" s="1">
        <f ca="1">IFERROR(__xludf.DUMMYFUNCTION("""COMPUTED_VALUE"""),189.56)</f>
        <v>189.56</v>
      </c>
      <c r="F529" s="1">
        <f ca="1">IFERROR(__xludf.DUMMYFUNCTION("""COMPUTED_VALUE"""),83034043)</f>
        <v>83034043</v>
      </c>
    </row>
    <row r="530" spans="1:6" ht="12.6">
      <c r="A530" s="2">
        <f ca="1">IFERROR(__xludf.DUMMYFUNCTION("""COMPUTED_VALUE"""),45331.6666666666)</f>
        <v>45331.666666666599</v>
      </c>
      <c r="B530" s="1">
        <f ca="1">IFERROR(__xludf.DUMMYFUNCTION("""COMPUTED_VALUE"""),190.18)</f>
        <v>190.18</v>
      </c>
      <c r="C530" s="1">
        <f ca="1">IFERROR(__xludf.DUMMYFUNCTION("""COMPUTED_VALUE"""),194.12)</f>
        <v>194.12</v>
      </c>
      <c r="D530" s="1">
        <f ca="1">IFERROR(__xludf.DUMMYFUNCTION("""COMPUTED_VALUE"""),189.48)</f>
        <v>189.48</v>
      </c>
      <c r="E530" s="1">
        <f ca="1">IFERROR(__xludf.DUMMYFUNCTION("""COMPUTED_VALUE"""),193.57)</f>
        <v>193.57</v>
      </c>
      <c r="F530" s="1">
        <f ca="1">IFERROR(__xludf.DUMMYFUNCTION("""COMPUTED_VALUE"""),84476347)</f>
        <v>84476347</v>
      </c>
    </row>
    <row r="531" spans="1:6" ht="12.6">
      <c r="A531" s="2">
        <f ca="1">IFERROR(__xludf.DUMMYFUNCTION("""COMPUTED_VALUE"""),45334.6666666666)</f>
        <v>45334.666666666599</v>
      </c>
      <c r="B531" s="1">
        <f ca="1">IFERROR(__xludf.DUMMYFUNCTION("""COMPUTED_VALUE"""),192.11)</f>
        <v>192.11</v>
      </c>
      <c r="C531" s="1">
        <f ca="1">IFERROR(__xludf.DUMMYFUNCTION("""COMPUTED_VALUE"""),194.73)</f>
        <v>194.73</v>
      </c>
      <c r="D531" s="1">
        <f ca="1">IFERROR(__xludf.DUMMYFUNCTION("""COMPUTED_VALUE"""),187.28)</f>
        <v>187.28</v>
      </c>
      <c r="E531" s="1">
        <f ca="1">IFERROR(__xludf.DUMMYFUNCTION("""COMPUTED_VALUE"""),188.13)</f>
        <v>188.13</v>
      </c>
      <c r="F531" s="1">
        <f ca="1">IFERROR(__xludf.DUMMYFUNCTION("""COMPUTED_VALUE"""),95498597)</f>
        <v>95498597</v>
      </c>
    </row>
    <row r="532" spans="1:6" ht="12.6">
      <c r="A532" s="2">
        <f ca="1">IFERROR(__xludf.DUMMYFUNCTION("""COMPUTED_VALUE"""),45335.6666666666)</f>
        <v>45335.666666666599</v>
      </c>
      <c r="B532" s="1">
        <f ca="1">IFERROR(__xludf.DUMMYFUNCTION("""COMPUTED_VALUE"""),183.99)</f>
        <v>183.99</v>
      </c>
      <c r="C532" s="1">
        <f ca="1">IFERROR(__xludf.DUMMYFUNCTION("""COMPUTED_VALUE"""),187.26)</f>
        <v>187.26</v>
      </c>
      <c r="D532" s="1">
        <f ca="1">IFERROR(__xludf.DUMMYFUNCTION("""COMPUTED_VALUE"""),182.11)</f>
        <v>182.11</v>
      </c>
      <c r="E532" s="1">
        <f ca="1">IFERROR(__xludf.DUMMYFUNCTION("""COMPUTED_VALUE"""),184.02)</f>
        <v>184.02</v>
      </c>
      <c r="F532" s="1">
        <f ca="1">IFERROR(__xludf.DUMMYFUNCTION("""COMPUTED_VALUE"""),86759478)</f>
        <v>86759478</v>
      </c>
    </row>
    <row r="533" spans="1:6" ht="12.6">
      <c r="A533" s="2">
        <f ca="1">IFERROR(__xludf.DUMMYFUNCTION("""COMPUTED_VALUE"""),45336.6666666666)</f>
        <v>45336.666666666599</v>
      </c>
      <c r="B533" s="1">
        <f ca="1">IFERROR(__xludf.DUMMYFUNCTION("""COMPUTED_VALUE"""),185.3)</f>
        <v>185.3</v>
      </c>
      <c r="C533" s="1">
        <f ca="1">IFERROR(__xludf.DUMMYFUNCTION("""COMPUTED_VALUE"""),188.89)</f>
        <v>188.89</v>
      </c>
      <c r="D533" s="1">
        <f ca="1">IFERROR(__xludf.DUMMYFUNCTION("""COMPUTED_VALUE"""),183.35)</f>
        <v>183.35</v>
      </c>
      <c r="E533" s="1">
        <f ca="1">IFERROR(__xludf.DUMMYFUNCTION("""COMPUTED_VALUE"""),188.71)</f>
        <v>188.71</v>
      </c>
      <c r="F533" s="1">
        <f ca="1">IFERROR(__xludf.DUMMYFUNCTION("""COMPUTED_VALUE"""),81202987)</f>
        <v>81202987</v>
      </c>
    </row>
    <row r="534" spans="1:6" ht="12.6">
      <c r="A534" s="2">
        <f ca="1">IFERROR(__xludf.DUMMYFUNCTION("""COMPUTED_VALUE"""),45337.6666666666)</f>
        <v>45337.666666666599</v>
      </c>
      <c r="B534" s="1">
        <f ca="1">IFERROR(__xludf.DUMMYFUNCTION("""COMPUTED_VALUE"""),189.16)</f>
        <v>189.16</v>
      </c>
      <c r="C534" s="1">
        <f ca="1">IFERROR(__xludf.DUMMYFUNCTION("""COMPUTED_VALUE"""),200.88)</f>
        <v>200.88</v>
      </c>
      <c r="D534" s="1">
        <f ca="1">IFERROR(__xludf.DUMMYFUNCTION("""COMPUTED_VALUE"""),188.86)</f>
        <v>188.86</v>
      </c>
      <c r="E534" s="1">
        <f ca="1">IFERROR(__xludf.DUMMYFUNCTION("""COMPUTED_VALUE"""),200.45)</f>
        <v>200.45</v>
      </c>
      <c r="F534" s="1">
        <f ca="1">IFERROR(__xludf.DUMMYFUNCTION("""COMPUTED_VALUE"""),120831762)</f>
        <v>120831762</v>
      </c>
    </row>
    <row r="535" spans="1:6" ht="12.6">
      <c r="A535" s="2">
        <f ca="1">IFERROR(__xludf.DUMMYFUNCTION("""COMPUTED_VALUE"""),45338.6666666666)</f>
        <v>45338.666666666599</v>
      </c>
      <c r="B535" s="1">
        <f ca="1">IFERROR(__xludf.DUMMYFUNCTION("""COMPUTED_VALUE"""),202.06)</f>
        <v>202.06</v>
      </c>
      <c r="C535" s="1">
        <f ca="1">IFERROR(__xludf.DUMMYFUNCTION("""COMPUTED_VALUE"""),203.17)</f>
        <v>203.17</v>
      </c>
      <c r="D535" s="1">
        <f ca="1">IFERROR(__xludf.DUMMYFUNCTION("""COMPUTED_VALUE"""),197.4)</f>
        <v>197.4</v>
      </c>
      <c r="E535" s="1">
        <f ca="1">IFERROR(__xludf.DUMMYFUNCTION("""COMPUTED_VALUE"""),199.95)</f>
        <v>199.95</v>
      </c>
      <c r="F535" s="1">
        <f ca="1">IFERROR(__xludf.DUMMYFUNCTION("""COMPUTED_VALUE"""),111346705)</f>
        <v>111346705</v>
      </c>
    </row>
    <row r="536" spans="1:6" ht="12.6">
      <c r="A536" s="2">
        <f ca="1">IFERROR(__xludf.DUMMYFUNCTION("""COMPUTED_VALUE"""),45342.6666666666)</f>
        <v>45342.666666666599</v>
      </c>
      <c r="B536" s="1">
        <f ca="1">IFERROR(__xludf.DUMMYFUNCTION("""COMPUTED_VALUE"""),196.13)</f>
        <v>196.13</v>
      </c>
      <c r="C536" s="1">
        <f ca="1">IFERROR(__xludf.DUMMYFUNCTION("""COMPUTED_VALUE"""),198.6)</f>
        <v>198.6</v>
      </c>
      <c r="D536" s="1">
        <f ca="1">IFERROR(__xludf.DUMMYFUNCTION("""COMPUTED_VALUE"""),189.13)</f>
        <v>189.13</v>
      </c>
      <c r="E536" s="1">
        <f ca="1">IFERROR(__xludf.DUMMYFUNCTION("""COMPUTED_VALUE"""),193.76)</f>
        <v>193.76</v>
      </c>
      <c r="F536" s="1">
        <f ca="1">IFERROR(__xludf.DUMMYFUNCTION("""COMPUTED_VALUE"""),104545762)</f>
        <v>104545762</v>
      </c>
    </row>
    <row r="537" spans="1:6" ht="12.6">
      <c r="A537" s="2">
        <f ca="1">IFERROR(__xludf.DUMMYFUNCTION("""COMPUTED_VALUE"""),45343.6666666666)</f>
        <v>45343.666666666599</v>
      </c>
      <c r="B537" s="1">
        <f ca="1">IFERROR(__xludf.DUMMYFUNCTION("""COMPUTED_VALUE"""),193.36)</f>
        <v>193.36</v>
      </c>
      <c r="C537" s="1">
        <f ca="1">IFERROR(__xludf.DUMMYFUNCTION("""COMPUTED_VALUE"""),199.44)</f>
        <v>199.44</v>
      </c>
      <c r="D537" s="1">
        <f ca="1">IFERROR(__xludf.DUMMYFUNCTION("""COMPUTED_VALUE"""),191.95)</f>
        <v>191.95</v>
      </c>
      <c r="E537" s="1">
        <f ca="1">IFERROR(__xludf.DUMMYFUNCTION("""COMPUTED_VALUE"""),194.77)</f>
        <v>194.77</v>
      </c>
      <c r="F537" s="1">
        <f ca="1">IFERROR(__xludf.DUMMYFUNCTION("""COMPUTED_VALUE"""),103844008)</f>
        <v>103844008</v>
      </c>
    </row>
    <row r="538" spans="1:6" ht="12.6">
      <c r="A538" s="2">
        <f ca="1">IFERROR(__xludf.DUMMYFUNCTION("""COMPUTED_VALUE"""),45344.6666666666)</f>
        <v>45344.666666666599</v>
      </c>
      <c r="B538" s="1">
        <f ca="1">IFERROR(__xludf.DUMMYFUNCTION("""COMPUTED_VALUE"""),194)</f>
        <v>194</v>
      </c>
      <c r="C538" s="1">
        <f ca="1">IFERROR(__xludf.DUMMYFUNCTION("""COMPUTED_VALUE"""),198.32)</f>
        <v>198.32</v>
      </c>
      <c r="D538" s="1">
        <f ca="1">IFERROR(__xludf.DUMMYFUNCTION("""COMPUTED_VALUE"""),191.36)</f>
        <v>191.36</v>
      </c>
      <c r="E538" s="1">
        <f ca="1">IFERROR(__xludf.DUMMYFUNCTION("""COMPUTED_VALUE"""),197.41)</f>
        <v>197.41</v>
      </c>
      <c r="F538" s="1">
        <f ca="1">IFERROR(__xludf.DUMMYFUNCTION("""COMPUTED_VALUE"""),92739461)</f>
        <v>92739461</v>
      </c>
    </row>
    <row r="539" spans="1:6" ht="12.6">
      <c r="A539" s="2">
        <f ca="1">IFERROR(__xludf.DUMMYFUNCTION("""COMPUTED_VALUE"""),45345.6666666666)</f>
        <v>45345.666666666599</v>
      </c>
      <c r="B539" s="1">
        <f ca="1">IFERROR(__xludf.DUMMYFUNCTION("""COMPUTED_VALUE"""),195.31)</f>
        <v>195.31</v>
      </c>
      <c r="C539" s="1">
        <f ca="1">IFERROR(__xludf.DUMMYFUNCTION("""COMPUTED_VALUE"""),197.57)</f>
        <v>197.57</v>
      </c>
      <c r="D539" s="1">
        <f ca="1">IFERROR(__xludf.DUMMYFUNCTION("""COMPUTED_VALUE"""),191.5)</f>
        <v>191.5</v>
      </c>
      <c r="E539" s="1">
        <f ca="1">IFERROR(__xludf.DUMMYFUNCTION("""COMPUTED_VALUE"""),191.97)</f>
        <v>191.97</v>
      </c>
      <c r="F539" s="1">
        <f ca="1">IFERROR(__xludf.DUMMYFUNCTION("""COMPUTED_VALUE"""),78841917)</f>
        <v>78841917</v>
      </c>
    </row>
    <row r="540" spans="1:6" ht="12.6">
      <c r="A540" s="2">
        <f ca="1">IFERROR(__xludf.DUMMYFUNCTION("""COMPUTED_VALUE"""),45348.6666666666)</f>
        <v>45348.666666666599</v>
      </c>
      <c r="B540" s="1">
        <f ca="1">IFERROR(__xludf.DUMMYFUNCTION("""COMPUTED_VALUE"""),192.29)</f>
        <v>192.29</v>
      </c>
      <c r="C540" s="1">
        <f ca="1">IFERROR(__xludf.DUMMYFUNCTION("""COMPUTED_VALUE"""),201.78)</f>
        <v>201.78</v>
      </c>
      <c r="D540" s="1">
        <f ca="1">IFERROR(__xludf.DUMMYFUNCTION("""COMPUTED_VALUE"""),192)</f>
        <v>192</v>
      </c>
      <c r="E540" s="1">
        <f ca="1">IFERROR(__xludf.DUMMYFUNCTION("""COMPUTED_VALUE"""),199.4)</f>
        <v>199.4</v>
      </c>
      <c r="F540" s="1">
        <f ca="1">IFERROR(__xludf.DUMMYFUNCTION("""COMPUTED_VALUE"""),111747116)</f>
        <v>111747116</v>
      </c>
    </row>
    <row r="541" spans="1:6" ht="12.6">
      <c r="A541" s="2">
        <f ca="1">IFERROR(__xludf.DUMMYFUNCTION("""COMPUTED_VALUE"""),45349.6666666666)</f>
        <v>45349.666666666599</v>
      </c>
      <c r="B541" s="1">
        <f ca="1">IFERROR(__xludf.DUMMYFUNCTION("""COMPUTED_VALUE"""),204.04)</f>
        <v>204.04</v>
      </c>
      <c r="C541" s="1">
        <f ca="1">IFERROR(__xludf.DUMMYFUNCTION("""COMPUTED_VALUE"""),205.6)</f>
        <v>205.6</v>
      </c>
      <c r="D541" s="1">
        <f ca="1">IFERROR(__xludf.DUMMYFUNCTION("""COMPUTED_VALUE"""),198.26)</f>
        <v>198.26</v>
      </c>
      <c r="E541" s="1">
        <f ca="1">IFERROR(__xludf.DUMMYFUNCTION("""COMPUTED_VALUE"""),199.73)</f>
        <v>199.73</v>
      </c>
      <c r="F541" s="1">
        <f ca="1">IFERROR(__xludf.DUMMYFUNCTION("""COMPUTED_VALUE"""),108645412)</f>
        <v>108645412</v>
      </c>
    </row>
    <row r="542" spans="1:6" ht="12.6">
      <c r="A542" s="2">
        <f ca="1">IFERROR(__xludf.DUMMYFUNCTION("""COMPUTED_VALUE"""),45350.6666666666)</f>
        <v>45350.666666666599</v>
      </c>
      <c r="B542" s="1">
        <f ca="1">IFERROR(__xludf.DUMMYFUNCTION("""COMPUTED_VALUE"""),200.42)</f>
        <v>200.42</v>
      </c>
      <c r="C542" s="1">
        <f ca="1">IFERROR(__xludf.DUMMYFUNCTION("""COMPUTED_VALUE"""),205.3)</f>
        <v>205.3</v>
      </c>
      <c r="D542" s="1">
        <f ca="1">IFERROR(__xludf.DUMMYFUNCTION("""COMPUTED_VALUE"""),198.44)</f>
        <v>198.44</v>
      </c>
      <c r="E542" s="1">
        <f ca="1">IFERROR(__xludf.DUMMYFUNCTION("""COMPUTED_VALUE"""),202.04)</f>
        <v>202.04</v>
      </c>
      <c r="F542" s="1">
        <f ca="1">IFERROR(__xludf.DUMMYFUNCTION("""COMPUTED_VALUE"""),99806173)</f>
        <v>99806173</v>
      </c>
    </row>
    <row r="543" spans="1:6" ht="12.6">
      <c r="A543" s="2">
        <f ca="1">IFERROR(__xludf.DUMMYFUNCTION("""COMPUTED_VALUE"""),45351.6666666666)</f>
        <v>45351.666666666599</v>
      </c>
      <c r="B543" s="1">
        <f ca="1">IFERROR(__xludf.DUMMYFUNCTION("""COMPUTED_VALUE"""),204.18)</f>
        <v>204.18</v>
      </c>
      <c r="C543" s="1">
        <f ca="1">IFERROR(__xludf.DUMMYFUNCTION("""COMPUTED_VALUE"""),205.28)</f>
        <v>205.28</v>
      </c>
      <c r="D543" s="1">
        <f ca="1">IFERROR(__xludf.DUMMYFUNCTION("""COMPUTED_VALUE"""),198.45)</f>
        <v>198.45</v>
      </c>
      <c r="E543" s="1">
        <f ca="1">IFERROR(__xludf.DUMMYFUNCTION("""COMPUTED_VALUE"""),201.88)</f>
        <v>201.88</v>
      </c>
      <c r="F543" s="1">
        <f ca="1">IFERROR(__xludf.DUMMYFUNCTION("""COMPUTED_VALUE"""),85906974)</f>
        <v>85906974</v>
      </c>
    </row>
    <row r="544" spans="1:6" ht="12.6">
      <c r="A544" s="2">
        <f ca="1">IFERROR(__xludf.DUMMYFUNCTION("""COMPUTED_VALUE"""),45352.6666666666)</f>
        <v>45352.666666666599</v>
      </c>
      <c r="B544" s="1">
        <f ca="1">IFERROR(__xludf.DUMMYFUNCTION("""COMPUTED_VALUE"""),200.52)</f>
        <v>200.52</v>
      </c>
      <c r="C544" s="1">
        <f ca="1">IFERROR(__xludf.DUMMYFUNCTION("""COMPUTED_VALUE"""),204.52)</f>
        <v>204.52</v>
      </c>
      <c r="D544" s="1">
        <f ca="1">IFERROR(__xludf.DUMMYFUNCTION("""COMPUTED_VALUE"""),198.5)</f>
        <v>198.5</v>
      </c>
      <c r="E544" s="1">
        <f ca="1">IFERROR(__xludf.DUMMYFUNCTION("""COMPUTED_VALUE"""),202.64)</f>
        <v>202.64</v>
      </c>
      <c r="F544" s="1">
        <f ca="1">IFERROR(__xludf.DUMMYFUNCTION("""COMPUTED_VALUE"""),82243119)</f>
        <v>82243119</v>
      </c>
    </row>
    <row r="545" spans="1:6" ht="12.6">
      <c r="A545" s="2">
        <f ca="1">IFERROR(__xludf.DUMMYFUNCTION("""COMPUTED_VALUE"""),45355.6666666666)</f>
        <v>45355.666666666599</v>
      </c>
      <c r="B545" s="1">
        <f ca="1">IFERROR(__xludf.DUMMYFUNCTION("""COMPUTED_VALUE"""),198.73)</f>
        <v>198.73</v>
      </c>
      <c r="C545" s="1">
        <f ca="1">IFERROR(__xludf.DUMMYFUNCTION("""COMPUTED_VALUE"""),199.75)</f>
        <v>199.75</v>
      </c>
      <c r="D545" s="1">
        <f ca="1">IFERROR(__xludf.DUMMYFUNCTION("""COMPUTED_VALUE"""),186.72)</f>
        <v>186.72</v>
      </c>
      <c r="E545" s="1">
        <f ca="1">IFERROR(__xludf.DUMMYFUNCTION("""COMPUTED_VALUE"""),188.14)</f>
        <v>188.14</v>
      </c>
      <c r="F545" s="1">
        <f ca="1">IFERROR(__xludf.DUMMYFUNCTION("""COMPUTED_VALUE"""),134334869)</f>
        <v>134334869</v>
      </c>
    </row>
    <row r="546" spans="1:6" ht="12.6">
      <c r="A546" s="2">
        <f ca="1">IFERROR(__xludf.DUMMYFUNCTION("""COMPUTED_VALUE"""),45356.6666666666)</f>
        <v>45356.666666666599</v>
      </c>
      <c r="B546" s="1">
        <f ca="1">IFERROR(__xludf.DUMMYFUNCTION("""COMPUTED_VALUE"""),183.05)</f>
        <v>183.05</v>
      </c>
      <c r="C546" s="1">
        <f ca="1">IFERROR(__xludf.DUMMYFUNCTION("""COMPUTED_VALUE"""),184.59)</f>
        <v>184.59</v>
      </c>
      <c r="D546" s="1">
        <f ca="1">IFERROR(__xludf.DUMMYFUNCTION("""COMPUTED_VALUE"""),177.57)</f>
        <v>177.57</v>
      </c>
      <c r="E546" s="1">
        <f ca="1">IFERROR(__xludf.DUMMYFUNCTION("""COMPUTED_VALUE"""),180.74)</f>
        <v>180.74</v>
      </c>
      <c r="F546" s="1">
        <f ca="1">IFERROR(__xludf.DUMMYFUNCTION("""COMPUTED_VALUE"""),119660758)</f>
        <v>119660758</v>
      </c>
    </row>
    <row r="547" spans="1:6" ht="12.6">
      <c r="A547" s="2">
        <f ca="1">IFERROR(__xludf.DUMMYFUNCTION("""COMPUTED_VALUE"""),45357.6666666666)</f>
        <v>45357.666666666599</v>
      </c>
      <c r="B547" s="1">
        <f ca="1">IFERROR(__xludf.DUMMYFUNCTION("""COMPUTED_VALUE"""),179.99)</f>
        <v>179.99</v>
      </c>
      <c r="C547" s="1">
        <f ca="1">IFERROR(__xludf.DUMMYFUNCTION("""COMPUTED_VALUE"""),181.58)</f>
        <v>181.58</v>
      </c>
      <c r="D547" s="1">
        <f ca="1">IFERROR(__xludf.DUMMYFUNCTION("""COMPUTED_VALUE"""),173.7)</f>
        <v>173.7</v>
      </c>
      <c r="E547" s="1">
        <f ca="1">IFERROR(__xludf.DUMMYFUNCTION("""COMPUTED_VALUE"""),176.54)</f>
        <v>176.54</v>
      </c>
      <c r="F547" s="1">
        <f ca="1">IFERROR(__xludf.DUMMYFUNCTION("""COMPUTED_VALUE"""),107920944)</f>
        <v>107920944</v>
      </c>
    </row>
    <row r="548" spans="1:6" ht="12.6">
      <c r="A548" s="2">
        <f ca="1">IFERROR(__xludf.DUMMYFUNCTION("""COMPUTED_VALUE"""),45358.6666666666)</f>
        <v>45358.666666666599</v>
      </c>
      <c r="B548" s="1">
        <f ca="1">IFERROR(__xludf.DUMMYFUNCTION("""COMPUTED_VALUE"""),174.35)</f>
        <v>174.35</v>
      </c>
      <c r="C548" s="1">
        <f ca="1">IFERROR(__xludf.DUMMYFUNCTION("""COMPUTED_VALUE"""),180.04)</f>
        <v>180.04</v>
      </c>
      <c r="D548" s="1">
        <f ca="1">IFERROR(__xludf.DUMMYFUNCTION("""COMPUTED_VALUE"""),173.7)</f>
        <v>173.7</v>
      </c>
      <c r="E548" s="1">
        <f ca="1">IFERROR(__xludf.DUMMYFUNCTION("""COMPUTED_VALUE"""),178.65)</f>
        <v>178.65</v>
      </c>
      <c r="F548" s="1">
        <f ca="1">IFERROR(__xludf.DUMMYFUNCTION("""COMPUTED_VALUE"""),102129004)</f>
        <v>102129004</v>
      </c>
    </row>
    <row r="549" spans="1:6" ht="12.6">
      <c r="A549" s="2">
        <f ca="1">IFERROR(__xludf.DUMMYFUNCTION("""COMPUTED_VALUE"""),45359.6666666666)</f>
        <v>45359.666666666599</v>
      </c>
      <c r="B549" s="1">
        <f ca="1">IFERROR(__xludf.DUMMYFUNCTION("""COMPUTED_VALUE"""),181.5)</f>
        <v>181.5</v>
      </c>
      <c r="C549" s="1">
        <f ca="1">IFERROR(__xludf.DUMMYFUNCTION("""COMPUTED_VALUE"""),182.73)</f>
        <v>182.73</v>
      </c>
      <c r="D549" s="1">
        <f ca="1">IFERROR(__xludf.DUMMYFUNCTION("""COMPUTED_VALUE"""),174.7)</f>
        <v>174.7</v>
      </c>
      <c r="E549" s="1">
        <f ca="1">IFERROR(__xludf.DUMMYFUNCTION("""COMPUTED_VALUE"""),175.34)</f>
        <v>175.34</v>
      </c>
      <c r="F549" s="1">
        <f ca="1">IFERROR(__xludf.DUMMYFUNCTION("""COMPUTED_VALUE"""),85544644)</f>
        <v>85544644</v>
      </c>
    </row>
    <row r="550" spans="1:6" ht="12.6">
      <c r="A550" s="2">
        <f ca="1">IFERROR(__xludf.DUMMYFUNCTION("""COMPUTED_VALUE"""),45362.6666666666)</f>
        <v>45362.666666666599</v>
      </c>
      <c r="B550" s="1">
        <f ca="1">IFERROR(__xludf.DUMMYFUNCTION("""COMPUTED_VALUE"""),175.45)</f>
        <v>175.45</v>
      </c>
      <c r="C550" s="1">
        <f ca="1">IFERROR(__xludf.DUMMYFUNCTION("""COMPUTED_VALUE"""),182.87)</f>
        <v>182.87</v>
      </c>
      <c r="D550" s="1">
        <f ca="1">IFERROR(__xludf.DUMMYFUNCTION("""COMPUTED_VALUE"""),174.8)</f>
        <v>174.8</v>
      </c>
      <c r="E550" s="1">
        <f ca="1">IFERROR(__xludf.DUMMYFUNCTION("""COMPUTED_VALUE"""),177.77)</f>
        <v>177.77</v>
      </c>
      <c r="F550" s="1">
        <f ca="1">IFERROR(__xludf.DUMMYFUNCTION("""COMPUTED_VALUE"""),85391528)</f>
        <v>85391528</v>
      </c>
    </row>
    <row r="551" spans="1:6" ht="12.6">
      <c r="A551" s="2">
        <f ca="1">IFERROR(__xludf.DUMMYFUNCTION("""COMPUTED_VALUE"""),45363.6666666666)</f>
        <v>45363.666666666599</v>
      </c>
      <c r="B551" s="1">
        <f ca="1">IFERROR(__xludf.DUMMYFUNCTION("""COMPUTED_VALUE"""),177.77)</f>
        <v>177.77</v>
      </c>
      <c r="C551" s="1">
        <f ca="1">IFERROR(__xludf.DUMMYFUNCTION("""COMPUTED_VALUE"""),179.43)</f>
        <v>179.43</v>
      </c>
      <c r="D551" s="1">
        <f ca="1">IFERROR(__xludf.DUMMYFUNCTION("""COMPUTED_VALUE"""),172.41)</f>
        <v>172.41</v>
      </c>
      <c r="E551" s="1">
        <f ca="1">IFERROR(__xludf.DUMMYFUNCTION("""COMPUTED_VALUE"""),177.54)</f>
        <v>177.54</v>
      </c>
      <c r="F551" s="1">
        <f ca="1">IFERROR(__xludf.DUMMYFUNCTION("""COMPUTED_VALUE"""),87391684)</f>
        <v>87391684</v>
      </c>
    </row>
    <row r="552" spans="1:6" ht="12.6">
      <c r="A552" s="2">
        <f ca="1">IFERROR(__xludf.DUMMYFUNCTION("""COMPUTED_VALUE"""),45364.6666666666)</f>
        <v>45364.666666666599</v>
      </c>
      <c r="B552" s="1">
        <f ca="1">IFERROR(__xludf.DUMMYFUNCTION("""COMPUTED_VALUE"""),173.05)</f>
        <v>173.05</v>
      </c>
      <c r="C552" s="1">
        <f ca="1">IFERROR(__xludf.DUMMYFUNCTION("""COMPUTED_VALUE"""),176.05)</f>
        <v>176.05</v>
      </c>
      <c r="D552" s="1">
        <f ca="1">IFERROR(__xludf.DUMMYFUNCTION("""COMPUTED_VALUE"""),169.15)</f>
        <v>169.15</v>
      </c>
      <c r="E552" s="1">
        <f ca="1">IFERROR(__xludf.DUMMYFUNCTION("""COMPUTED_VALUE"""),169.48)</f>
        <v>169.48</v>
      </c>
      <c r="F552" s="1">
        <f ca="1">IFERROR(__xludf.DUMMYFUNCTION("""COMPUTED_VALUE"""),106524518)</f>
        <v>106524518</v>
      </c>
    </row>
    <row r="553" spans="1:6" ht="12.6">
      <c r="A553" s="2">
        <f ca="1">IFERROR(__xludf.DUMMYFUNCTION("""COMPUTED_VALUE"""),45365.6666666666)</f>
        <v>45365.666666666599</v>
      </c>
      <c r="B553" s="1">
        <f ca="1">IFERROR(__xludf.DUMMYFUNCTION("""COMPUTED_VALUE"""),167.77)</f>
        <v>167.77</v>
      </c>
      <c r="C553" s="1">
        <f ca="1">IFERROR(__xludf.DUMMYFUNCTION("""COMPUTED_VALUE"""),171.17)</f>
        <v>171.17</v>
      </c>
      <c r="D553" s="1">
        <f ca="1">IFERROR(__xludf.DUMMYFUNCTION("""COMPUTED_VALUE"""),160.51)</f>
        <v>160.51</v>
      </c>
      <c r="E553" s="1">
        <f ca="1">IFERROR(__xludf.DUMMYFUNCTION("""COMPUTED_VALUE"""),162.5)</f>
        <v>162.5</v>
      </c>
      <c r="F553" s="1">
        <f ca="1">IFERROR(__xludf.DUMMYFUNCTION("""COMPUTED_VALUE"""),126325696)</f>
        <v>126325696</v>
      </c>
    </row>
    <row r="554" spans="1:6" ht="12.6">
      <c r="A554" s="2">
        <f ca="1">IFERROR(__xludf.DUMMYFUNCTION("""COMPUTED_VALUE"""),45366.6666666666)</f>
        <v>45366.666666666599</v>
      </c>
      <c r="B554" s="1">
        <f ca="1">IFERROR(__xludf.DUMMYFUNCTION("""COMPUTED_VALUE"""),163.16)</f>
        <v>163.16</v>
      </c>
      <c r="C554" s="1">
        <f ca="1">IFERROR(__xludf.DUMMYFUNCTION("""COMPUTED_VALUE"""),165.18)</f>
        <v>165.18</v>
      </c>
      <c r="D554" s="1">
        <f ca="1">IFERROR(__xludf.DUMMYFUNCTION("""COMPUTED_VALUE"""),160.76)</f>
        <v>160.76</v>
      </c>
      <c r="E554" s="1">
        <f ca="1">IFERROR(__xludf.DUMMYFUNCTION("""COMPUTED_VALUE"""),163.57)</f>
        <v>163.57</v>
      </c>
      <c r="F554" s="1">
        <f ca="1">IFERROR(__xludf.DUMMYFUNCTION("""COMPUTED_VALUE"""),97146832)</f>
        <v>97146832</v>
      </c>
    </row>
    <row r="555" spans="1:6" ht="12.6">
      <c r="A555" s="2">
        <f ca="1">IFERROR(__xludf.DUMMYFUNCTION("""COMPUTED_VALUE"""),45369.6666666666)</f>
        <v>45369.666666666599</v>
      </c>
      <c r="B555" s="1">
        <f ca="1">IFERROR(__xludf.DUMMYFUNCTION("""COMPUTED_VALUE"""),170.02)</f>
        <v>170.02</v>
      </c>
      <c r="C555" s="1">
        <f ca="1">IFERROR(__xludf.DUMMYFUNCTION("""COMPUTED_VALUE"""),174.72)</f>
        <v>174.72</v>
      </c>
      <c r="D555" s="1">
        <f ca="1">IFERROR(__xludf.DUMMYFUNCTION("""COMPUTED_VALUE"""),165.9)</f>
        <v>165.9</v>
      </c>
      <c r="E555" s="1">
        <f ca="1">IFERROR(__xludf.DUMMYFUNCTION("""COMPUTED_VALUE"""),173.8)</f>
        <v>173.8</v>
      </c>
      <c r="F555" s="1">
        <f ca="1">IFERROR(__xludf.DUMMYFUNCTION("""COMPUTED_VALUE"""),108214358)</f>
        <v>108214358</v>
      </c>
    </row>
    <row r="556" spans="1:6" ht="12.6">
      <c r="A556" s="2">
        <f ca="1">IFERROR(__xludf.DUMMYFUNCTION("""COMPUTED_VALUE"""),45370.6666666666)</f>
        <v>45370.666666666599</v>
      </c>
      <c r="B556" s="1">
        <f ca="1">IFERROR(__xludf.DUMMYFUNCTION("""COMPUTED_VALUE"""),172.36)</f>
        <v>172.36</v>
      </c>
      <c r="C556" s="1">
        <f ca="1">IFERROR(__xludf.DUMMYFUNCTION("""COMPUTED_VALUE"""),172.82)</f>
        <v>172.82</v>
      </c>
      <c r="D556" s="1">
        <f ca="1">IFERROR(__xludf.DUMMYFUNCTION("""COMPUTED_VALUE"""),167.42)</f>
        <v>167.42</v>
      </c>
      <c r="E556" s="1">
        <f ca="1">IFERROR(__xludf.DUMMYFUNCTION("""COMPUTED_VALUE"""),171.32)</f>
        <v>171.32</v>
      </c>
      <c r="F556" s="1">
        <f ca="1">IFERROR(__xludf.DUMMYFUNCTION("""COMPUTED_VALUE"""),77271428)</f>
        <v>77271428</v>
      </c>
    </row>
    <row r="557" spans="1:6" ht="12.6">
      <c r="A557" s="2">
        <f ca="1">IFERROR(__xludf.DUMMYFUNCTION("""COMPUTED_VALUE"""),45371.6666666666)</f>
        <v>45371.666666666599</v>
      </c>
      <c r="B557" s="1">
        <f ca="1">IFERROR(__xludf.DUMMYFUNCTION("""COMPUTED_VALUE"""),173)</f>
        <v>173</v>
      </c>
      <c r="C557" s="1">
        <f ca="1">IFERROR(__xludf.DUMMYFUNCTION("""COMPUTED_VALUE"""),176.25)</f>
        <v>176.25</v>
      </c>
      <c r="D557" s="1">
        <f ca="1">IFERROR(__xludf.DUMMYFUNCTION("""COMPUTED_VALUE"""),170.82)</f>
        <v>170.82</v>
      </c>
      <c r="E557" s="1">
        <f ca="1">IFERROR(__xludf.DUMMYFUNCTION("""COMPUTED_VALUE"""),175.66)</f>
        <v>175.66</v>
      </c>
      <c r="F557" s="1">
        <f ca="1">IFERROR(__xludf.DUMMYFUNCTION("""COMPUTED_VALUE"""),83846726)</f>
        <v>83846726</v>
      </c>
    </row>
    <row r="558" spans="1:6" ht="12.6">
      <c r="A558" s="2">
        <f ca="1">IFERROR(__xludf.DUMMYFUNCTION("""COMPUTED_VALUE"""),45372.6666666666)</f>
        <v>45372.666666666599</v>
      </c>
      <c r="B558" s="1">
        <f ca="1">IFERROR(__xludf.DUMMYFUNCTION("""COMPUTED_VALUE"""),176.39)</f>
        <v>176.39</v>
      </c>
      <c r="C558" s="1">
        <f ca="1">IFERROR(__xludf.DUMMYFUNCTION("""COMPUTED_VALUE"""),178.18)</f>
        <v>178.18</v>
      </c>
      <c r="D558" s="1">
        <f ca="1">IFERROR(__xludf.DUMMYFUNCTION("""COMPUTED_VALUE"""),171.8)</f>
        <v>171.8</v>
      </c>
      <c r="E558" s="1">
        <f ca="1">IFERROR(__xludf.DUMMYFUNCTION("""COMPUTED_VALUE"""),172.82)</f>
        <v>172.82</v>
      </c>
      <c r="F558" s="1">
        <f ca="1">IFERROR(__xludf.DUMMYFUNCTION("""COMPUTED_VALUE"""),73178014)</f>
        <v>73178014</v>
      </c>
    </row>
    <row r="559" spans="1:6" ht="12.6">
      <c r="A559" s="2">
        <f ca="1">IFERROR(__xludf.DUMMYFUNCTION("""COMPUTED_VALUE"""),45373.6666666666)</f>
        <v>45373.666666666599</v>
      </c>
      <c r="B559" s="1">
        <f ca="1">IFERROR(__xludf.DUMMYFUNCTION("""COMPUTED_VALUE"""),166.69)</f>
        <v>166.69</v>
      </c>
      <c r="C559" s="1">
        <f ca="1">IFERROR(__xludf.DUMMYFUNCTION("""COMPUTED_VALUE"""),171.2)</f>
        <v>171.2</v>
      </c>
      <c r="D559" s="1">
        <f ca="1">IFERROR(__xludf.DUMMYFUNCTION("""COMPUTED_VALUE"""),166.3)</f>
        <v>166.3</v>
      </c>
      <c r="E559" s="1">
        <f ca="1">IFERROR(__xludf.DUMMYFUNCTION("""COMPUTED_VALUE"""),170.83)</f>
        <v>170.83</v>
      </c>
      <c r="F559" s="1">
        <f ca="1">IFERROR(__xludf.DUMMYFUNCTION("""COMPUTED_VALUE"""),75580637)</f>
        <v>75580637</v>
      </c>
    </row>
    <row r="560" spans="1:6" ht="12.6">
      <c r="A560" s="2">
        <f ca="1">IFERROR(__xludf.DUMMYFUNCTION("""COMPUTED_VALUE"""),45376.6666666666)</f>
        <v>45376.666666666599</v>
      </c>
      <c r="B560" s="1">
        <f ca="1">IFERROR(__xludf.DUMMYFUNCTION("""COMPUTED_VALUE"""),168.76)</f>
        <v>168.76</v>
      </c>
      <c r="C560" s="1">
        <f ca="1">IFERROR(__xludf.DUMMYFUNCTION("""COMPUTED_VALUE"""),175.24)</f>
        <v>175.24</v>
      </c>
      <c r="D560" s="1">
        <f ca="1">IFERROR(__xludf.DUMMYFUNCTION("""COMPUTED_VALUE"""),168.73)</f>
        <v>168.73</v>
      </c>
      <c r="E560" s="1">
        <f ca="1">IFERROR(__xludf.DUMMYFUNCTION("""COMPUTED_VALUE"""),172.63)</f>
        <v>172.63</v>
      </c>
      <c r="F560" s="1">
        <f ca="1">IFERROR(__xludf.DUMMYFUNCTION("""COMPUTED_VALUE"""),74228615)</f>
        <v>74228615</v>
      </c>
    </row>
    <row r="561" spans="1:6" ht="12.6">
      <c r="A561" s="2">
        <f ca="1">IFERROR(__xludf.DUMMYFUNCTION("""COMPUTED_VALUE"""),45377.6666666666)</f>
        <v>45377.666666666599</v>
      </c>
      <c r="B561" s="1">
        <f ca="1">IFERROR(__xludf.DUMMYFUNCTION("""COMPUTED_VALUE"""),178.58)</f>
        <v>178.58</v>
      </c>
      <c r="C561" s="1">
        <f ca="1">IFERROR(__xludf.DUMMYFUNCTION("""COMPUTED_VALUE"""),184.25)</f>
        <v>184.25</v>
      </c>
      <c r="D561" s="1">
        <f ca="1">IFERROR(__xludf.DUMMYFUNCTION("""COMPUTED_VALUE"""),177.38)</f>
        <v>177.38</v>
      </c>
      <c r="E561" s="1">
        <f ca="1">IFERROR(__xludf.DUMMYFUNCTION("""COMPUTED_VALUE"""),177.67)</f>
        <v>177.67</v>
      </c>
      <c r="F561" s="1">
        <f ca="1">IFERROR(__xludf.DUMMYFUNCTION("""COMPUTED_VALUE"""),113186227)</f>
        <v>113186227</v>
      </c>
    </row>
    <row r="562" spans="1:6" ht="12.6">
      <c r="A562" s="2">
        <f ca="1">IFERROR(__xludf.DUMMYFUNCTION("""COMPUTED_VALUE"""),45378.6666666666)</f>
        <v>45378.666666666599</v>
      </c>
      <c r="B562" s="1">
        <f ca="1">IFERROR(__xludf.DUMMYFUNCTION("""COMPUTED_VALUE"""),181.41)</f>
        <v>181.41</v>
      </c>
      <c r="C562" s="1">
        <f ca="1">IFERROR(__xludf.DUMMYFUNCTION("""COMPUTED_VALUE"""),181.91)</f>
        <v>181.91</v>
      </c>
      <c r="D562" s="1">
        <f ca="1">IFERROR(__xludf.DUMMYFUNCTION("""COMPUTED_VALUE"""),176)</f>
        <v>176</v>
      </c>
      <c r="E562" s="1">
        <f ca="1">IFERROR(__xludf.DUMMYFUNCTION("""COMPUTED_VALUE"""),179.83)</f>
        <v>179.83</v>
      </c>
      <c r="F562" s="1">
        <f ca="1">IFERROR(__xludf.DUMMYFUNCTION("""COMPUTED_VALUE"""),81804043)</f>
        <v>81804043</v>
      </c>
    </row>
    <row r="563" spans="1:6" ht="12.6">
      <c r="A563" s="2">
        <f ca="1">IFERROR(__xludf.DUMMYFUNCTION("""COMPUTED_VALUE"""),45379.6666666666)</f>
        <v>45379.666666666599</v>
      </c>
      <c r="B563" s="1">
        <f ca="1">IFERROR(__xludf.DUMMYFUNCTION("""COMPUTED_VALUE"""),177.45)</f>
        <v>177.45</v>
      </c>
      <c r="C563" s="1">
        <f ca="1">IFERROR(__xludf.DUMMYFUNCTION("""COMPUTED_VALUE"""),179.57)</f>
        <v>179.57</v>
      </c>
      <c r="D563" s="1">
        <f ca="1">IFERROR(__xludf.DUMMYFUNCTION("""COMPUTED_VALUE"""),175.3)</f>
        <v>175.3</v>
      </c>
      <c r="E563" s="1">
        <f ca="1">IFERROR(__xludf.DUMMYFUNCTION("""COMPUTED_VALUE"""),175.79)</f>
        <v>175.79</v>
      </c>
      <c r="F563" s="1">
        <f ca="1">IFERROR(__xludf.DUMMYFUNCTION("""COMPUTED_VALUE"""),77654838)</f>
        <v>77654838</v>
      </c>
    </row>
    <row r="564" spans="1:6" ht="12.6">
      <c r="A564" s="2">
        <f ca="1">IFERROR(__xludf.DUMMYFUNCTION("""COMPUTED_VALUE"""),45383.6666666666)</f>
        <v>45383.666666666599</v>
      </c>
      <c r="B564" s="1">
        <f ca="1">IFERROR(__xludf.DUMMYFUNCTION("""COMPUTED_VALUE"""),176.17)</f>
        <v>176.17</v>
      </c>
      <c r="C564" s="1">
        <f ca="1">IFERROR(__xludf.DUMMYFUNCTION("""COMPUTED_VALUE"""),176.75)</f>
        <v>176.75</v>
      </c>
      <c r="D564" s="1">
        <f ca="1">IFERROR(__xludf.DUMMYFUNCTION("""COMPUTED_VALUE"""),170.21)</f>
        <v>170.21</v>
      </c>
      <c r="E564" s="1">
        <f ca="1">IFERROR(__xludf.DUMMYFUNCTION("""COMPUTED_VALUE"""),175.22)</f>
        <v>175.22</v>
      </c>
      <c r="F564" s="1">
        <f ca="1">IFERROR(__xludf.DUMMYFUNCTION("""COMPUTED_VALUE"""),81562127)</f>
        <v>81562127</v>
      </c>
    </row>
    <row r="565" spans="1:6" ht="12.6">
      <c r="A565" s="2">
        <f ca="1">IFERROR(__xludf.DUMMYFUNCTION("""COMPUTED_VALUE"""),45384.6666666666)</f>
        <v>45384.666666666599</v>
      </c>
      <c r="B565" s="1">
        <f ca="1">IFERROR(__xludf.DUMMYFUNCTION("""COMPUTED_VALUE"""),164.75)</f>
        <v>164.75</v>
      </c>
      <c r="C565" s="1">
        <f ca="1">IFERROR(__xludf.DUMMYFUNCTION("""COMPUTED_VALUE"""),167.69)</f>
        <v>167.69</v>
      </c>
      <c r="D565" s="1">
        <f ca="1">IFERROR(__xludf.DUMMYFUNCTION("""COMPUTED_VALUE"""),163.43)</f>
        <v>163.43</v>
      </c>
      <c r="E565" s="1">
        <f ca="1">IFERROR(__xludf.DUMMYFUNCTION("""COMPUTED_VALUE"""),166.63)</f>
        <v>166.63</v>
      </c>
      <c r="F565" s="1">
        <f ca="1">IFERROR(__xludf.DUMMYFUNCTION("""COMPUTED_VALUE"""),116650594)</f>
        <v>116650594</v>
      </c>
    </row>
    <row r="566" spans="1:6" ht="12.6">
      <c r="A566" s="2">
        <f ca="1">IFERROR(__xludf.DUMMYFUNCTION("""COMPUTED_VALUE"""),45385.6666666666)</f>
        <v>45385.666666666599</v>
      </c>
      <c r="B566" s="1">
        <f ca="1">IFERROR(__xludf.DUMMYFUNCTION("""COMPUTED_VALUE"""),164.02)</f>
        <v>164.02</v>
      </c>
      <c r="C566" s="1">
        <f ca="1">IFERROR(__xludf.DUMMYFUNCTION("""COMPUTED_VALUE"""),168.82)</f>
        <v>168.82</v>
      </c>
      <c r="D566" s="1">
        <f ca="1">IFERROR(__xludf.DUMMYFUNCTION("""COMPUTED_VALUE"""),163.28)</f>
        <v>163.28</v>
      </c>
      <c r="E566" s="1">
        <f ca="1">IFERROR(__xludf.DUMMYFUNCTION("""COMPUTED_VALUE"""),168.38)</f>
        <v>168.38</v>
      </c>
      <c r="F566" s="1">
        <f ca="1">IFERROR(__xludf.DUMMYFUNCTION("""COMPUTED_VALUE"""),82950141)</f>
        <v>82950141</v>
      </c>
    </row>
    <row r="567" spans="1:6" ht="12.6">
      <c r="A567" s="2">
        <f ca="1">IFERROR(__xludf.DUMMYFUNCTION("""COMPUTED_VALUE"""),45386.6666666666)</f>
        <v>45386.666666666599</v>
      </c>
      <c r="B567" s="1">
        <f ca="1">IFERROR(__xludf.DUMMYFUNCTION("""COMPUTED_VALUE"""),170.07)</f>
        <v>170.07</v>
      </c>
      <c r="C567" s="1">
        <f ca="1">IFERROR(__xludf.DUMMYFUNCTION("""COMPUTED_VALUE"""),177.19)</f>
        <v>177.19</v>
      </c>
      <c r="D567" s="1">
        <f ca="1">IFERROR(__xludf.DUMMYFUNCTION("""COMPUTED_VALUE"""),168.01)</f>
        <v>168.01</v>
      </c>
      <c r="E567" s="1">
        <f ca="1">IFERROR(__xludf.DUMMYFUNCTION("""COMPUTED_VALUE"""),171.11)</f>
        <v>171.11</v>
      </c>
      <c r="F567" s="1">
        <f ca="1">IFERROR(__xludf.DUMMYFUNCTION("""COMPUTED_VALUE"""),123161960)</f>
        <v>123161960</v>
      </c>
    </row>
    <row r="568" spans="1:6" ht="12.6">
      <c r="A568" s="2">
        <f ca="1">IFERROR(__xludf.DUMMYFUNCTION("""COMPUTED_VALUE"""),45387.6666666666)</f>
        <v>45387.666666666599</v>
      </c>
      <c r="B568" s="1">
        <f ca="1">IFERROR(__xludf.DUMMYFUNCTION("""COMPUTED_VALUE"""),169.08)</f>
        <v>169.08</v>
      </c>
      <c r="C568" s="1">
        <f ca="1">IFERROR(__xludf.DUMMYFUNCTION("""COMPUTED_VALUE"""),170.86)</f>
        <v>170.86</v>
      </c>
      <c r="D568" s="1">
        <f ca="1">IFERROR(__xludf.DUMMYFUNCTION("""COMPUTED_VALUE"""),160.51)</f>
        <v>160.51</v>
      </c>
      <c r="E568" s="1">
        <f ca="1">IFERROR(__xludf.DUMMYFUNCTION("""COMPUTED_VALUE"""),164.9)</f>
        <v>164.9</v>
      </c>
      <c r="F568" s="1">
        <f ca="1">IFERROR(__xludf.DUMMYFUNCTION("""COMPUTED_VALUE"""),143157603)</f>
        <v>143157603</v>
      </c>
    </row>
    <row r="569" spans="1:6" ht="12.6">
      <c r="A569" s="2">
        <f ca="1">IFERROR(__xludf.DUMMYFUNCTION("""COMPUTED_VALUE"""),45390.6666666666)</f>
        <v>45390.666666666599</v>
      </c>
      <c r="B569" s="1">
        <f ca="1">IFERROR(__xludf.DUMMYFUNCTION("""COMPUTED_VALUE"""),169.34)</f>
        <v>169.34</v>
      </c>
      <c r="C569" s="1">
        <f ca="1">IFERROR(__xludf.DUMMYFUNCTION("""COMPUTED_VALUE"""),174.5)</f>
        <v>174.5</v>
      </c>
      <c r="D569" s="1">
        <f ca="1">IFERROR(__xludf.DUMMYFUNCTION("""COMPUTED_VALUE"""),167.79)</f>
        <v>167.79</v>
      </c>
      <c r="E569" s="1">
        <f ca="1">IFERROR(__xludf.DUMMYFUNCTION("""COMPUTED_VALUE"""),172.98)</f>
        <v>172.98</v>
      </c>
      <c r="F569" s="1">
        <f ca="1">IFERROR(__xludf.DUMMYFUNCTION("""COMPUTED_VALUE"""),104423320)</f>
        <v>104423320</v>
      </c>
    </row>
    <row r="570" spans="1:6" ht="12.6">
      <c r="A570" s="2">
        <f ca="1">IFERROR(__xludf.DUMMYFUNCTION("""COMPUTED_VALUE"""),45391.6666666666)</f>
        <v>45391.666666666599</v>
      </c>
      <c r="B570" s="1">
        <f ca="1">IFERROR(__xludf.DUMMYFUNCTION("""COMPUTED_VALUE"""),172.91)</f>
        <v>172.91</v>
      </c>
      <c r="C570" s="1">
        <f ca="1">IFERROR(__xludf.DUMMYFUNCTION("""COMPUTED_VALUE"""),179.22)</f>
        <v>179.22</v>
      </c>
      <c r="D570" s="1">
        <f ca="1">IFERROR(__xludf.DUMMYFUNCTION("""COMPUTED_VALUE"""),171.92)</f>
        <v>171.92</v>
      </c>
      <c r="E570" s="1">
        <f ca="1">IFERROR(__xludf.DUMMYFUNCTION("""COMPUTED_VALUE"""),176.88)</f>
        <v>176.88</v>
      </c>
      <c r="F570" s="1">
        <f ca="1">IFERROR(__xludf.DUMMYFUNCTION("""COMPUTED_VALUE"""),103232675)</f>
        <v>103232675</v>
      </c>
    </row>
    <row r="571" spans="1:6" ht="12.6">
      <c r="A571" s="2">
        <f ca="1">IFERROR(__xludf.DUMMYFUNCTION("""COMPUTED_VALUE"""),45392.6666666666)</f>
        <v>45392.666666666599</v>
      </c>
      <c r="B571" s="1">
        <f ca="1">IFERROR(__xludf.DUMMYFUNCTION("""COMPUTED_VALUE"""),173.04)</f>
        <v>173.04</v>
      </c>
      <c r="C571" s="1">
        <f ca="1">IFERROR(__xludf.DUMMYFUNCTION("""COMPUTED_VALUE"""),174.93)</f>
        <v>174.93</v>
      </c>
      <c r="D571" s="1">
        <f ca="1">IFERROR(__xludf.DUMMYFUNCTION("""COMPUTED_VALUE"""),170.01)</f>
        <v>170.01</v>
      </c>
      <c r="E571" s="1">
        <f ca="1">IFERROR(__xludf.DUMMYFUNCTION("""COMPUTED_VALUE"""),171.76)</f>
        <v>171.76</v>
      </c>
      <c r="F571" s="1">
        <f ca="1">IFERROR(__xludf.DUMMYFUNCTION("""COMPUTED_VALUE"""),84532407)</f>
        <v>84532407</v>
      </c>
    </row>
    <row r="572" spans="1:6" ht="12.6">
      <c r="A572" s="2">
        <f ca="1">IFERROR(__xludf.DUMMYFUNCTION("""COMPUTED_VALUE"""),45393.6666666666)</f>
        <v>45393.666666666599</v>
      </c>
      <c r="B572" s="1">
        <f ca="1">IFERROR(__xludf.DUMMYFUNCTION("""COMPUTED_VALUE"""),172.55)</f>
        <v>172.55</v>
      </c>
      <c r="C572" s="1">
        <f ca="1">IFERROR(__xludf.DUMMYFUNCTION("""COMPUTED_VALUE"""),175.88)</f>
        <v>175.88</v>
      </c>
      <c r="D572" s="1">
        <f ca="1">IFERROR(__xludf.DUMMYFUNCTION("""COMPUTED_VALUE"""),168.51)</f>
        <v>168.51</v>
      </c>
      <c r="E572" s="1">
        <f ca="1">IFERROR(__xludf.DUMMYFUNCTION("""COMPUTED_VALUE"""),174.6)</f>
        <v>174.6</v>
      </c>
      <c r="F572" s="1">
        <f ca="1">IFERROR(__xludf.DUMMYFUNCTION("""COMPUTED_VALUE"""),94515987)</f>
        <v>94515987</v>
      </c>
    </row>
    <row r="573" spans="1:6" ht="12.6">
      <c r="A573" s="2">
        <f ca="1">IFERROR(__xludf.DUMMYFUNCTION("""COMPUTED_VALUE"""),45394.6666666666)</f>
        <v>45394.666666666599</v>
      </c>
      <c r="B573" s="1">
        <f ca="1">IFERROR(__xludf.DUMMYFUNCTION("""COMPUTED_VALUE"""),172.34)</f>
        <v>172.34</v>
      </c>
      <c r="C573" s="1">
        <f ca="1">IFERROR(__xludf.DUMMYFUNCTION("""COMPUTED_VALUE"""),173.81)</f>
        <v>173.81</v>
      </c>
      <c r="D573" s="1">
        <f ca="1">IFERROR(__xludf.DUMMYFUNCTION("""COMPUTED_VALUE"""),170.36)</f>
        <v>170.36</v>
      </c>
      <c r="E573" s="1">
        <f ca="1">IFERROR(__xludf.DUMMYFUNCTION("""COMPUTED_VALUE"""),171.05)</f>
        <v>171.05</v>
      </c>
      <c r="F573" s="1">
        <f ca="1">IFERROR(__xludf.DUMMYFUNCTION("""COMPUTED_VALUE"""),64722669)</f>
        <v>64722669</v>
      </c>
    </row>
    <row r="574" spans="1:6" ht="12.6">
      <c r="A574" s="2">
        <f ca="1">IFERROR(__xludf.DUMMYFUNCTION("""COMPUTED_VALUE"""),45397.6666666666)</f>
        <v>45397.666666666599</v>
      </c>
      <c r="B574" s="1">
        <f ca="1">IFERROR(__xludf.DUMMYFUNCTION("""COMPUTED_VALUE"""),170.24)</f>
        <v>170.24</v>
      </c>
      <c r="C574" s="1">
        <f ca="1">IFERROR(__xludf.DUMMYFUNCTION("""COMPUTED_VALUE"""),170.69)</f>
        <v>170.69</v>
      </c>
      <c r="D574" s="1">
        <f ca="1">IFERROR(__xludf.DUMMYFUNCTION("""COMPUTED_VALUE"""),161.38)</f>
        <v>161.38</v>
      </c>
      <c r="E574" s="1">
        <f ca="1">IFERROR(__xludf.DUMMYFUNCTION("""COMPUTED_VALUE"""),161.48)</f>
        <v>161.47999999999999</v>
      </c>
      <c r="F574" s="1">
        <f ca="1">IFERROR(__xludf.DUMMYFUNCTION("""COMPUTED_VALUE"""),100245310)</f>
        <v>100245310</v>
      </c>
    </row>
    <row r="575" spans="1:6" ht="12.6">
      <c r="A575" s="2">
        <f ca="1">IFERROR(__xludf.DUMMYFUNCTION("""COMPUTED_VALUE"""),45398.6666666666)</f>
        <v>45398.666666666599</v>
      </c>
      <c r="B575" s="1">
        <f ca="1">IFERROR(__xludf.DUMMYFUNCTION("""COMPUTED_VALUE"""),156.74)</f>
        <v>156.74</v>
      </c>
      <c r="C575" s="1">
        <f ca="1">IFERROR(__xludf.DUMMYFUNCTION("""COMPUTED_VALUE"""),158.19)</f>
        <v>158.19</v>
      </c>
      <c r="D575" s="1">
        <f ca="1">IFERROR(__xludf.DUMMYFUNCTION("""COMPUTED_VALUE"""),153.75)</f>
        <v>153.75</v>
      </c>
      <c r="E575" s="1">
        <f ca="1">IFERROR(__xludf.DUMMYFUNCTION("""COMPUTED_VALUE"""),157.11)</f>
        <v>157.11000000000001</v>
      </c>
      <c r="F575" s="1">
        <f ca="1">IFERROR(__xludf.DUMMYFUNCTION("""COMPUTED_VALUE"""),96999956)</f>
        <v>96999956</v>
      </c>
    </row>
    <row r="576" spans="1:6" ht="12.6">
      <c r="A576" s="2">
        <f ca="1">IFERROR(__xludf.DUMMYFUNCTION("""COMPUTED_VALUE"""),45399.6666666666)</f>
        <v>45399.666666666599</v>
      </c>
      <c r="B576" s="1">
        <f ca="1">IFERROR(__xludf.DUMMYFUNCTION("""COMPUTED_VALUE"""),157.64)</f>
        <v>157.63999999999999</v>
      </c>
      <c r="C576" s="1">
        <f ca="1">IFERROR(__xludf.DUMMYFUNCTION("""COMPUTED_VALUE"""),158.33)</f>
        <v>158.33000000000001</v>
      </c>
      <c r="D576" s="1">
        <f ca="1">IFERROR(__xludf.DUMMYFUNCTION("""COMPUTED_VALUE"""),153.78)</f>
        <v>153.78</v>
      </c>
      <c r="E576" s="1">
        <f ca="1">IFERROR(__xludf.DUMMYFUNCTION("""COMPUTED_VALUE"""),155.45)</f>
        <v>155.44999999999999</v>
      </c>
      <c r="F576" s="1">
        <f ca="1">IFERROR(__xludf.DUMMYFUNCTION("""COMPUTED_VALUE"""),82439718)</f>
        <v>82439718</v>
      </c>
    </row>
    <row r="577" spans="1:6" ht="12.6">
      <c r="A577" s="2">
        <f ca="1">IFERROR(__xludf.DUMMYFUNCTION("""COMPUTED_VALUE"""),45400.6666666666)</f>
        <v>45400.666666666599</v>
      </c>
      <c r="B577" s="1">
        <f ca="1">IFERROR(__xludf.DUMMYFUNCTION("""COMPUTED_VALUE"""),151.25)</f>
        <v>151.25</v>
      </c>
      <c r="C577" s="1">
        <f ca="1">IFERROR(__xludf.DUMMYFUNCTION("""COMPUTED_VALUE"""),152.2)</f>
        <v>152.19999999999999</v>
      </c>
      <c r="D577" s="1">
        <f ca="1">IFERROR(__xludf.DUMMYFUNCTION("""COMPUTED_VALUE"""),148.7)</f>
        <v>148.69999999999999</v>
      </c>
      <c r="E577" s="1">
        <f ca="1">IFERROR(__xludf.DUMMYFUNCTION("""COMPUTED_VALUE"""),149.93)</f>
        <v>149.93</v>
      </c>
      <c r="F577" s="1">
        <f ca="1">IFERROR(__xludf.DUMMYFUNCTION("""COMPUTED_VALUE"""),96098830)</f>
        <v>96098830</v>
      </c>
    </row>
    <row r="578" spans="1:6" ht="12.6">
      <c r="A578" s="2">
        <f ca="1">IFERROR(__xludf.DUMMYFUNCTION("""COMPUTED_VALUE"""),45401.6666666666)</f>
        <v>45401.666666666599</v>
      </c>
      <c r="B578" s="1">
        <f ca="1">IFERROR(__xludf.DUMMYFUNCTION("""COMPUTED_VALUE"""),148.97)</f>
        <v>148.97</v>
      </c>
      <c r="C578" s="1">
        <f ca="1">IFERROR(__xludf.DUMMYFUNCTION("""COMPUTED_VALUE"""),150.94)</f>
        <v>150.94</v>
      </c>
      <c r="D578" s="1">
        <f ca="1">IFERROR(__xludf.DUMMYFUNCTION("""COMPUTED_VALUE"""),146.22)</f>
        <v>146.22</v>
      </c>
      <c r="E578" s="1">
        <f ca="1">IFERROR(__xludf.DUMMYFUNCTION("""COMPUTED_VALUE"""),147.05)</f>
        <v>147.05000000000001</v>
      </c>
      <c r="F578" s="1">
        <f ca="1">IFERROR(__xludf.DUMMYFUNCTION("""COMPUTED_VALUE"""),87074500)</f>
        <v>87074500</v>
      </c>
    </row>
    <row r="579" spans="1:6" ht="12.6">
      <c r="A579" s="2">
        <f ca="1">IFERROR(__xludf.DUMMYFUNCTION("""COMPUTED_VALUE"""),45404.6666666666)</f>
        <v>45404.666666666599</v>
      </c>
      <c r="B579" s="1">
        <f ca="1">IFERROR(__xludf.DUMMYFUNCTION("""COMPUTED_VALUE"""),140.56)</f>
        <v>140.56</v>
      </c>
      <c r="C579" s="1">
        <f ca="1">IFERROR(__xludf.DUMMYFUNCTION("""COMPUTED_VALUE"""),144.44)</f>
        <v>144.44</v>
      </c>
      <c r="D579" s="1">
        <f ca="1">IFERROR(__xludf.DUMMYFUNCTION("""COMPUTED_VALUE"""),138.8)</f>
        <v>138.80000000000001</v>
      </c>
      <c r="E579" s="1">
        <f ca="1">IFERROR(__xludf.DUMMYFUNCTION("""COMPUTED_VALUE"""),142.05)</f>
        <v>142.05000000000001</v>
      </c>
      <c r="F579" s="1">
        <f ca="1">IFERROR(__xludf.DUMMYFUNCTION("""COMPUTED_VALUE"""),107097564)</f>
        <v>107097564</v>
      </c>
    </row>
    <row r="580" spans="1:6" ht="12.6">
      <c r="A580" s="2">
        <f ca="1">IFERROR(__xludf.DUMMYFUNCTION("""COMPUTED_VALUE"""),45405.6666666666)</f>
        <v>45405.666666666599</v>
      </c>
      <c r="B580" s="1">
        <f ca="1">IFERROR(__xludf.DUMMYFUNCTION("""COMPUTED_VALUE"""),143.33)</f>
        <v>143.33000000000001</v>
      </c>
      <c r="C580" s="1">
        <f ca="1">IFERROR(__xludf.DUMMYFUNCTION("""COMPUTED_VALUE"""),147.26)</f>
        <v>147.26</v>
      </c>
      <c r="D580" s="1">
        <f ca="1">IFERROR(__xludf.DUMMYFUNCTION("""COMPUTED_VALUE"""),141.11)</f>
        <v>141.11000000000001</v>
      </c>
      <c r="E580" s="1">
        <f ca="1">IFERROR(__xludf.DUMMYFUNCTION("""COMPUTED_VALUE"""),144.68)</f>
        <v>144.68</v>
      </c>
      <c r="F580" s="1">
        <f ca="1">IFERROR(__xludf.DUMMYFUNCTION("""COMPUTED_VALUE"""),124545104)</f>
        <v>124545104</v>
      </c>
    </row>
    <row r="581" spans="1:6" ht="12.6">
      <c r="A581" s="2">
        <f ca="1">IFERROR(__xludf.DUMMYFUNCTION("""COMPUTED_VALUE"""),45406.6666666666)</f>
        <v>45406.666666666599</v>
      </c>
      <c r="B581" s="1">
        <f ca="1">IFERROR(__xludf.DUMMYFUNCTION("""COMPUTED_VALUE"""),162.84)</f>
        <v>162.84</v>
      </c>
      <c r="C581" s="1">
        <f ca="1">IFERROR(__xludf.DUMMYFUNCTION("""COMPUTED_VALUE"""),167.97)</f>
        <v>167.97</v>
      </c>
      <c r="D581" s="1">
        <f ca="1">IFERROR(__xludf.DUMMYFUNCTION("""COMPUTED_VALUE"""),157.51)</f>
        <v>157.51</v>
      </c>
      <c r="E581" s="1">
        <f ca="1">IFERROR(__xludf.DUMMYFUNCTION("""COMPUTED_VALUE"""),162.13)</f>
        <v>162.13</v>
      </c>
      <c r="F581" s="1">
        <f ca="1">IFERROR(__xludf.DUMMYFUNCTION("""COMPUTED_VALUE"""),181178020)</f>
        <v>181178020</v>
      </c>
    </row>
    <row r="582" spans="1:6" ht="12.6">
      <c r="A582" s="2">
        <f ca="1">IFERROR(__xludf.DUMMYFUNCTION("""COMPUTED_VALUE"""),45407.6666666666)</f>
        <v>45407.666666666599</v>
      </c>
      <c r="B582" s="1">
        <f ca="1">IFERROR(__xludf.DUMMYFUNCTION("""COMPUTED_VALUE"""),158.96)</f>
        <v>158.96</v>
      </c>
      <c r="C582" s="1">
        <f ca="1">IFERROR(__xludf.DUMMYFUNCTION("""COMPUTED_VALUE"""),170.88)</f>
        <v>170.88</v>
      </c>
      <c r="D582" s="1">
        <f ca="1">IFERROR(__xludf.DUMMYFUNCTION("""COMPUTED_VALUE"""),158.36)</f>
        <v>158.36000000000001</v>
      </c>
      <c r="E582" s="1">
        <f ca="1">IFERROR(__xludf.DUMMYFUNCTION("""COMPUTED_VALUE"""),170.18)</f>
        <v>170.18</v>
      </c>
      <c r="F582" s="1">
        <f ca="1">IFERROR(__xludf.DUMMYFUNCTION("""COMPUTED_VALUE"""),126427521)</f>
        <v>126427521</v>
      </c>
    </row>
    <row r="583" spans="1:6" ht="12.6">
      <c r="A583" s="2">
        <f ca="1">IFERROR(__xludf.DUMMYFUNCTION("""COMPUTED_VALUE"""),45408.6666666666)</f>
        <v>45408.666666666599</v>
      </c>
      <c r="B583" s="1">
        <f ca="1">IFERROR(__xludf.DUMMYFUNCTION("""COMPUTED_VALUE"""),168.85)</f>
        <v>168.85</v>
      </c>
      <c r="C583" s="1">
        <f ca="1">IFERROR(__xludf.DUMMYFUNCTION("""COMPUTED_VALUE"""),172.12)</f>
        <v>172.12</v>
      </c>
      <c r="D583" s="1">
        <f ca="1">IFERROR(__xludf.DUMMYFUNCTION("""COMPUTED_VALUE"""),166.37)</f>
        <v>166.37</v>
      </c>
      <c r="E583" s="1">
        <f ca="1">IFERROR(__xludf.DUMMYFUNCTION("""COMPUTED_VALUE"""),168.29)</f>
        <v>168.29</v>
      </c>
      <c r="F583" s="1">
        <f ca="1">IFERROR(__xludf.DUMMYFUNCTION("""COMPUTED_VALUE"""),109815725)</f>
        <v>109815725</v>
      </c>
    </row>
    <row r="584" spans="1:6" ht="12.6">
      <c r="A584" s="2">
        <f ca="1">IFERROR(__xludf.DUMMYFUNCTION("""COMPUTED_VALUE"""),45411.6666666666)</f>
        <v>45411.666666666599</v>
      </c>
      <c r="B584" s="1">
        <f ca="1">IFERROR(__xludf.DUMMYFUNCTION("""COMPUTED_VALUE"""),188.42)</f>
        <v>188.42</v>
      </c>
      <c r="C584" s="1">
        <f ca="1">IFERROR(__xludf.DUMMYFUNCTION("""COMPUTED_VALUE"""),198.87)</f>
        <v>198.87</v>
      </c>
      <c r="D584" s="1">
        <f ca="1">IFERROR(__xludf.DUMMYFUNCTION("""COMPUTED_VALUE"""),184.54)</f>
        <v>184.54</v>
      </c>
      <c r="E584" s="1">
        <f ca="1">IFERROR(__xludf.DUMMYFUNCTION("""COMPUTED_VALUE"""),194.05)</f>
        <v>194.05</v>
      </c>
      <c r="F584" s="1">
        <f ca="1">IFERROR(__xludf.DUMMYFUNCTION("""COMPUTED_VALUE"""),243869678)</f>
        <v>243869678</v>
      </c>
    </row>
    <row r="585" spans="1:6" ht="12.6">
      <c r="A585" s="2">
        <f ca="1">IFERROR(__xludf.DUMMYFUNCTION("""COMPUTED_VALUE"""),45412.6666666666)</f>
        <v>45412.666666666599</v>
      </c>
      <c r="B585" s="1">
        <f ca="1">IFERROR(__xludf.DUMMYFUNCTION("""COMPUTED_VALUE"""),186.98)</f>
        <v>186.98</v>
      </c>
      <c r="C585" s="1">
        <f ca="1">IFERROR(__xludf.DUMMYFUNCTION("""COMPUTED_VALUE"""),190.95)</f>
        <v>190.95</v>
      </c>
      <c r="D585" s="1">
        <f ca="1">IFERROR(__xludf.DUMMYFUNCTION("""COMPUTED_VALUE"""),182.84)</f>
        <v>182.84</v>
      </c>
      <c r="E585" s="1">
        <f ca="1">IFERROR(__xludf.DUMMYFUNCTION("""COMPUTED_VALUE"""),183.28)</f>
        <v>183.28</v>
      </c>
      <c r="F585" s="1">
        <f ca="1">IFERROR(__xludf.DUMMYFUNCTION("""COMPUTED_VALUE"""),127031787)</f>
        <v>127031787</v>
      </c>
    </row>
    <row r="586" spans="1:6" ht="12.6">
      <c r="A586" s="2">
        <f ca="1">IFERROR(__xludf.DUMMYFUNCTION("""COMPUTED_VALUE"""),45413.6666666666)</f>
        <v>45413.666666666599</v>
      </c>
      <c r="B586" s="1">
        <f ca="1">IFERROR(__xludf.DUMMYFUNCTION("""COMPUTED_VALUE"""),182)</f>
        <v>182</v>
      </c>
      <c r="C586" s="1">
        <f ca="1">IFERROR(__xludf.DUMMYFUNCTION("""COMPUTED_VALUE"""),185.86)</f>
        <v>185.86</v>
      </c>
      <c r="D586" s="1">
        <f ca="1">IFERROR(__xludf.DUMMYFUNCTION("""COMPUTED_VALUE"""),179.01)</f>
        <v>179.01</v>
      </c>
      <c r="E586" s="1">
        <f ca="1">IFERROR(__xludf.DUMMYFUNCTION("""COMPUTED_VALUE"""),179.99)</f>
        <v>179.99</v>
      </c>
      <c r="F586" s="1">
        <f ca="1">IFERROR(__xludf.DUMMYFUNCTION("""COMPUTED_VALUE"""),92829719)</f>
        <v>92829719</v>
      </c>
    </row>
    <row r="587" spans="1:6" ht="12.6">
      <c r="A587" s="2">
        <f ca="1">IFERROR(__xludf.DUMMYFUNCTION("""COMPUTED_VALUE"""),45414.6666666666)</f>
        <v>45414.666666666599</v>
      </c>
      <c r="B587" s="1">
        <f ca="1">IFERROR(__xludf.DUMMYFUNCTION("""COMPUTED_VALUE"""),182.86)</f>
        <v>182.86</v>
      </c>
      <c r="C587" s="1">
        <f ca="1">IFERROR(__xludf.DUMMYFUNCTION("""COMPUTED_VALUE"""),184.6)</f>
        <v>184.6</v>
      </c>
      <c r="D587" s="1">
        <f ca="1">IFERROR(__xludf.DUMMYFUNCTION("""COMPUTED_VALUE"""),176.02)</f>
        <v>176.02</v>
      </c>
      <c r="E587" s="1">
        <f ca="1">IFERROR(__xludf.DUMMYFUNCTION("""COMPUTED_VALUE"""),180.01)</f>
        <v>180.01</v>
      </c>
      <c r="F587" s="1">
        <f ca="1">IFERROR(__xludf.DUMMYFUNCTION("""COMPUTED_VALUE"""),89148041)</f>
        <v>89148041</v>
      </c>
    </row>
    <row r="588" spans="1:6" ht="12.6">
      <c r="A588" s="2">
        <f ca="1">IFERROR(__xludf.DUMMYFUNCTION("""COMPUTED_VALUE"""),45415.6666666666)</f>
        <v>45415.666666666599</v>
      </c>
      <c r="B588" s="1">
        <f ca="1">IFERROR(__xludf.DUMMYFUNCTION("""COMPUTED_VALUE"""),182.1)</f>
        <v>182.1</v>
      </c>
      <c r="C588" s="1">
        <f ca="1">IFERROR(__xludf.DUMMYFUNCTION("""COMPUTED_VALUE"""),184.78)</f>
        <v>184.78</v>
      </c>
      <c r="D588" s="1">
        <f ca="1">IFERROR(__xludf.DUMMYFUNCTION("""COMPUTED_VALUE"""),178.42)</f>
        <v>178.42</v>
      </c>
      <c r="E588" s="1">
        <f ca="1">IFERROR(__xludf.DUMMYFUNCTION("""COMPUTED_VALUE"""),181.19)</f>
        <v>181.19</v>
      </c>
      <c r="F588" s="1">
        <f ca="1">IFERROR(__xludf.DUMMYFUNCTION("""COMPUTED_VALUE"""),75491539)</f>
        <v>75491539</v>
      </c>
    </row>
    <row r="589" spans="1:6" ht="12.6">
      <c r="A589" s="2">
        <f ca="1">IFERROR(__xludf.DUMMYFUNCTION("""COMPUTED_VALUE"""),45418.6666666666)</f>
        <v>45418.666666666599</v>
      </c>
      <c r="B589" s="1">
        <f ca="1">IFERROR(__xludf.DUMMYFUNCTION("""COMPUTED_VALUE"""),183.8)</f>
        <v>183.8</v>
      </c>
      <c r="C589" s="1">
        <f ca="1">IFERROR(__xludf.DUMMYFUNCTION("""COMPUTED_VALUE"""),187.56)</f>
        <v>187.56</v>
      </c>
      <c r="D589" s="1">
        <f ca="1">IFERROR(__xludf.DUMMYFUNCTION("""COMPUTED_VALUE"""),182.2)</f>
        <v>182.2</v>
      </c>
      <c r="E589" s="1">
        <f ca="1">IFERROR(__xludf.DUMMYFUNCTION("""COMPUTED_VALUE"""),184.76)</f>
        <v>184.76</v>
      </c>
      <c r="F589" s="1">
        <f ca="1">IFERROR(__xludf.DUMMYFUNCTION("""COMPUTED_VALUE"""),84390253)</f>
        <v>84390253</v>
      </c>
    </row>
    <row r="590" spans="1:6" ht="12.6">
      <c r="A590" s="2">
        <f ca="1">IFERROR(__xludf.DUMMYFUNCTION("""COMPUTED_VALUE"""),45419.6666666666)</f>
        <v>45419.666666666599</v>
      </c>
      <c r="B590" s="1">
        <f ca="1">IFERROR(__xludf.DUMMYFUNCTION("""COMPUTED_VALUE"""),182.4)</f>
        <v>182.4</v>
      </c>
      <c r="C590" s="1">
        <f ca="1">IFERROR(__xludf.DUMMYFUNCTION("""COMPUTED_VALUE"""),183.26)</f>
        <v>183.26</v>
      </c>
      <c r="D590" s="1">
        <f ca="1">IFERROR(__xludf.DUMMYFUNCTION("""COMPUTED_VALUE"""),177.4)</f>
        <v>177.4</v>
      </c>
      <c r="E590" s="1">
        <f ca="1">IFERROR(__xludf.DUMMYFUNCTION("""COMPUTED_VALUE"""),177.81)</f>
        <v>177.81</v>
      </c>
      <c r="F590" s="1">
        <f ca="1">IFERROR(__xludf.DUMMYFUNCTION("""COMPUTED_VALUE"""),75045854)</f>
        <v>75045854</v>
      </c>
    </row>
    <row r="591" spans="1:6" ht="12.6">
      <c r="A591" s="2">
        <f ca="1">IFERROR(__xludf.DUMMYFUNCTION("""COMPUTED_VALUE"""),45420.6666666666)</f>
        <v>45420.666666666599</v>
      </c>
      <c r="B591" s="1">
        <f ca="1">IFERROR(__xludf.DUMMYFUNCTION("""COMPUTED_VALUE"""),171.59)</f>
        <v>171.59</v>
      </c>
      <c r="C591" s="1">
        <f ca="1">IFERROR(__xludf.DUMMYFUNCTION("""COMPUTED_VALUE"""),176.06)</f>
        <v>176.06</v>
      </c>
      <c r="D591" s="1">
        <f ca="1">IFERROR(__xludf.DUMMYFUNCTION("""COMPUTED_VALUE"""),170.15)</f>
        <v>170.15</v>
      </c>
      <c r="E591" s="1">
        <f ca="1">IFERROR(__xludf.DUMMYFUNCTION("""COMPUTED_VALUE"""),174.72)</f>
        <v>174.72</v>
      </c>
      <c r="F591" s="1">
        <f ca="1">IFERROR(__xludf.DUMMYFUNCTION("""COMPUTED_VALUE"""),79969488)</f>
        <v>79969488</v>
      </c>
    </row>
    <row r="592" spans="1:6" ht="12.6">
      <c r="A592" s="2">
        <f ca="1">IFERROR(__xludf.DUMMYFUNCTION("""COMPUTED_VALUE"""),45421.6666666666)</f>
        <v>45421.666666666599</v>
      </c>
      <c r="B592" s="1">
        <f ca="1">IFERROR(__xludf.DUMMYFUNCTION("""COMPUTED_VALUE"""),175.01)</f>
        <v>175.01</v>
      </c>
      <c r="C592" s="1">
        <f ca="1">IFERROR(__xludf.DUMMYFUNCTION("""COMPUTED_VALUE"""),175.62)</f>
        <v>175.62</v>
      </c>
      <c r="D592" s="1">
        <f ca="1">IFERROR(__xludf.DUMMYFUNCTION("""COMPUTED_VALUE"""),171.37)</f>
        <v>171.37</v>
      </c>
      <c r="E592" s="1">
        <f ca="1">IFERROR(__xludf.DUMMYFUNCTION("""COMPUTED_VALUE"""),171.97)</f>
        <v>171.97</v>
      </c>
      <c r="F592" s="1">
        <f ca="1">IFERROR(__xludf.DUMMYFUNCTION("""COMPUTED_VALUE"""),65950292)</f>
        <v>65950292</v>
      </c>
    </row>
    <row r="593" spans="1:6" ht="12.6">
      <c r="A593" s="2">
        <f ca="1">IFERROR(__xludf.DUMMYFUNCTION("""COMPUTED_VALUE"""),45422.6666666666)</f>
        <v>45422.666666666599</v>
      </c>
      <c r="B593" s="1">
        <f ca="1">IFERROR(__xludf.DUMMYFUNCTION("""COMPUTED_VALUE"""),173.05)</f>
        <v>173.05</v>
      </c>
      <c r="C593" s="1">
        <f ca="1">IFERROR(__xludf.DUMMYFUNCTION("""COMPUTED_VALUE"""),173.06)</f>
        <v>173.06</v>
      </c>
      <c r="D593" s="1">
        <f ca="1">IFERROR(__xludf.DUMMYFUNCTION("""COMPUTED_VALUE"""),167.75)</f>
        <v>167.75</v>
      </c>
      <c r="E593" s="1">
        <f ca="1">IFERROR(__xludf.DUMMYFUNCTION("""COMPUTED_VALUE"""),168.47)</f>
        <v>168.47</v>
      </c>
      <c r="F593" s="1">
        <f ca="1">IFERROR(__xludf.DUMMYFUNCTION("""COMPUTED_VALUE"""),72627178)</f>
        <v>72627178</v>
      </c>
    </row>
    <row r="594" spans="1:6" ht="12.6">
      <c r="A594" s="2">
        <f ca="1">IFERROR(__xludf.DUMMYFUNCTION("""COMPUTED_VALUE"""),45425.6666666666)</f>
        <v>45425.666666666599</v>
      </c>
      <c r="B594" s="1">
        <f ca="1">IFERROR(__xludf.DUMMYFUNCTION("""COMPUTED_VALUE"""),170)</f>
        <v>170</v>
      </c>
      <c r="C594" s="1">
        <f ca="1">IFERROR(__xludf.DUMMYFUNCTION("""COMPUTED_VALUE"""),175.4)</f>
        <v>175.4</v>
      </c>
      <c r="D594" s="1">
        <f ca="1">IFERROR(__xludf.DUMMYFUNCTION("""COMPUTED_VALUE"""),169)</f>
        <v>169</v>
      </c>
      <c r="E594" s="1">
        <f ca="1">IFERROR(__xludf.DUMMYFUNCTION("""COMPUTED_VALUE"""),171.89)</f>
        <v>171.89</v>
      </c>
      <c r="F594" s="1">
        <f ca="1">IFERROR(__xludf.DUMMYFUNCTION("""COMPUTED_VALUE"""),67018903)</f>
        <v>67018903</v>
      </c>
    </row>
    <row r="595" spans="1:6" ht="12.6">
      <c r="A595" s="2">
        <f ca="1">IFERROR(__xludf.DUMMYFUNCTION("""COMPUTED_VALUE"""),45426.6666666666)</f>
        <v>45426.666666666599</v>
      </c>
      <c r="B595" s="1">
        <f ca="1">IFERROR(__xludf.DUMMYFUNCTION("""COMPUTED_VALUE"""),174.5)</f>
        <v>174.5</v>
      </c>
      <c r="C595" s="1">
        <f ca="1">IFERROR(__xludf.DUMMYFUNCTION("""COMPUTED_VALUE"""),179.49)</f>
        <v>179.49</v>
      </c>
      <c r="D595" s="1">
        <f ca="1">IFERROR(__xludf.DUMMYFUNCTION("""COMPUTED_VALUE"""),174.07)</f>
        <v>174.07</v>
      </c>
      <c r="E595" s="1">
        <f ca="1">IFERROR(__xludf.DUMMYFUNCTION("""COMPUTED_VALUE"""),177.55)</f>
        <v>177.55</v>
      </c>
      <c r="F595" s="1">
        <f ca="1">IFERROR(__xludf.DUMMYFUNCTION("""COMPUTED_VALUE"""),86407422)</f>
        <v>86407422</v>
      </c>
    </row>
    <row r="596" spans="1:6" ht="12.6">
      <c r="A596" s="2">
        <f ca="1">IFERROR(__xludf.DUMMYFUNCTION("""COMPUTED_VALUE"""),45427.6666666666)</f>
        <v>45427.666666666599</v>
      </c>
      <c r="B596" s="1">
        <f ca="1">IFERROR(__xludf.DUMMYFUNCTION("""COMPUTED_VALUE"""),179.9)</f>
        <v>179.9</v>
      </c>
      <c r="C596" s="1">
        <f ca="1">IFERROR(__xludf.DUMMYFUNCTION("""COMPUTED_VALUE"""),180)</f>
        <v>180</v>
      </c>
      <c r="D596" s="1">
        <f ca="1">IFERROR(__xludf.DUMMYFUNCTION("""COMPUTED_VALUE"""),173.11)</f>
        <v>173.11</v>
      </c>
      <c r="E596" s="1">
        <f ca="1">IFERROR(__xludf.DUMMYFUNCTION("""COMPUTED_VALUE"""),173.99)</f>
        <v>173.99</v>
      </c>
      <c r="F596" s="1">
        <f ca="1">IFERROR(__xludf.DUMMYFUNCTION("""COMPUTED_VALUE"""),79662993)</f>
        <v>79662993</v>
      </c>
    </row>
    <row r="597" spans="1:6" ht="12.6">
      <c r="A597" s="2">
        <f ca="1">IFERROR(__xludf.DUMMYFUNCTION("""COMPUTED_VALUE"""),45428.6666666666)</f>
        <v>45428.666666666599</v>
      </c>
      <c r="B597" s="1">
        <f ca="1">IFERROR(__xludf.DUMMYFUNCTION("""COMPUTED_VALUE"""),174.1)</f>
        <v>174.1</v>
      </c>
      <c r="C597" s="1">
        <f ca="1">IFERROR(__xludf.DUMMYFUNCTION("""COMPUTED_VALUE"""),175.79)</f>
        <v>175.79</v>
      </c>
      <c r="D597" s="1">
        <f ca="1">IFERROR(__xludf.DUMMYFUNCTION("""COMPUTED_VALUE"""),171.43)</f>
        <v>171.43</v>
      </c>
      <c r="E597" s="1">
        <f ca="1">IFERROR(__xludf.DUMMYFUNCTION("""COMPUTED_VALUE"""),174.84)</f>
        <v>174.84</v>
      </c>
      <c r="F597" s="1">
        <f ca="1">IFERROR(__xludf.DUMMYFUNCTION("""COMPUTED_VALUE"""),59812220)</f>
        <v>59812220</v>
      </c>
    </row>
    <row r="598" spans="1:6" ht="12.6">
      <c r="A598" s="2">
        <f ca="1">IFERROR(__xludf.DUMMYFUNCTION("""COMPUTED_VALUE"""),45429.6666666666)</f>
        <v>45429.666666666599</v>
      </c>
      <c r="B598" s="1">
        <f ca="1">IFERROR(__xludf.DUMMYFUNCTION("""COMPUTED_VALUE"""),173.55)</f>
        <v>173.55</v>
      </c>
      <c r="C598" s="1">
        <f ca="1">IFERROR(__xludf.DUMMYFUNCTION("""COMPUTED_VALUE"""),179.63)</f>
        <v>179.63</v>
      </c>
      <c r="D598" s="1">
        <f ca="1">IFERROR(__xludf.DUMMYFUNCTION("""COMPUTED_VALUE"""),172.75)</f>
        <v>172.75</v>
      </c>
      <c r="E598" s="1">
        <f ca="1">IFERROR(__xludf.DUMMYFUNCTION("""COMPUTED_VALUE"""),177.46)</f>
        <v>177.46</v>
      </c>
      <c r="F598" s="1">
        <f ca="1">IFERROR(__xludf.DUMMYFUNCTION("""COMPUTED_VALUE"""),77445845)</f>
        <v>77445845</v>
      </c>
    </row>
    <row r="599" spans="1:6" ht="12.6">
      <c r="A599" s="2">
        <f ca="1">IFERROR(__xludf.DUMMYFUNCTION("""COMPUTED_VALUE"""),45432.6666666666)</f>
        <v>45432.666666666599</v>
      </c>
      <c r="B599" s="1">
        <f ca="1">IFERROR(__xludf.DUMMYFUNCTION("""COMPUTED_VALUE"""),177.56)</f>
        <v>177.56</v>
      </c>
      <c r="C599" s="1">
        <f ca="1">IFERROR(__xludf.DUMMYFUNCTION("""COMPUTED_VALUE"""),177.75)</f>
        <v>177.75</v>
      </c>
      <c r="D599" s="1">
        <f ca="1">IFERROR(__xludf.DUMMYFUNCTION("""COMPUTED_VALUE"""),173.52)</f>
        <v>173.52</v>
      </c>
      <c r="E599" s="1">
        <f ca="1">IFERROR(__xludf.DUMMYFUNCTION("""COMPUTED_VALUE"""),174.95)</f>
        <v>174.95</v>
      </c>
      <c r="F599" s="1">
        <f ca="1">IFERROR(__xludf.DUMMYFUNCTION("""COMPUTED_VALUE"""),61727425)</f>
        <v>61727425</v>
      </c>
    </row>
    <row r="600" spans="1:6" ht="12.6">
      <c r="A600" s="2">
        <f ca="1">IFERROR(__xludf.DUMMYFUNCTION("""COMPUTED_VALUE"""),45433.6666666666)</f>
        <v>45433.666666666599</v>
      </c>
      <c r="B600" s="1">
        <f ca="1">IFERROR(__xludf.DUMMYFUNCTION("""COMPUTED_VALUE"""),175.51)</f>
        <v>175.51</v>
      </c>
      <c r="C600" s="1">
        <f ca="1">IFERROR(__xludf.DUMMYFUNCTION("""COMPUTED_VALUE"""),186.88)</f>
        <v>186.88</v>
      </c>
      <c r="D600" s="1">
        <f ca="1">IFERROR(__xludf.DUMMYFUNCTION("""COMPUTED_VALUE"""),174.71)</f>
        <v>174.71</v>
      </c>
      <c r="E600" s="1">
        <f ca="1">IFERROR(__xludf.DUMMYFUNCTION("""COMPUTED_VALUE"""),186.6)</f>
        <v>186.6</v>
      </c>
      <c r="F600" s="1">
        <f ca="1">IFERROR(__xludf.DUMMYFUNCTION("""COMPUTED_VALUE"""),115266512)</f>
        <v>115266512</v>
      </c>
    </row>
    <row r="601" spans="1:6" ht="12.6">
      <c r="A601" s="2">
        <f ca="1">IFERROR(__xludf.DUMMYFUNCTION("""COMPUTED_VALUE"""),45434.6666666666)</f>
        <v>45434.666666666599</v>
      </c>
      <c r="B601" s="1">
        <f ca="1">IFERROR(__xludf.DUMMYFUNCTION("""COMPUTED_VALUE"""),182.85)</f>
        <v>182.85</v>
      </c>
      <c r="C601" s="1">
        <f ca="1">IFERROR(__xludf.DUMMYFUNCTION("""COMPUTED_VALUE"""),183.8)</f>
        <v>183.8</v>
      </c>
      <c r="D601" s="1">
        <f ca="1">IFERROR(__xludf.DUMMYFUNCTION("""COMPUTED_VALUE"""),178.12)</f>
        <v>178.12</v>
      </c>
      <c r="E601" s="1">
        <f ca="1">IFERROR(__xludf.DUMMYFUNCTION("""COMPUTED_VALUE"""),180.11)</f>
        <v>180.11</v>
      </c>
      <c r="F601" s="1">
        <f ca="1">IFERROR(__xludf.DUMMYFUNCTION("""COMPUTED_VALUE"""),88313477)</f>
        <v>88313477</v>
      </c>
    </row>
    <row r="602" spans="1:6" ht="12.6">
      <c r="A602" s="2">
        <f ca="1">IFERROR(__xludf.DUMMYFUNCTION("""COMPUTED_VALUE"""),45435.6666666666)</f>
        <v>45435.666666666599</v>
      </c>
      <c r="B602" s="1">
        <f ca="1">IFERROR(__xludf.DUMMYFUNCTION("""COMPUTED_VALUE"""),181.8)</f>
        <v>181.8</v>
      </c>
      <c r="C602" s="1">
        <f ca="1">IFERROR(__xludf.DUMMYFUNCTION("""COMPUTED_VALUE"""),181.9)</f>
        <v>181.9</v>
      </c>
      <c r="D602" s="1">
        <f ca="1">IFERROR(__xludf.DUMMYFUNCTION("""COMPUTED_VALUE"""),173.26)</f>
        <v>173.26</v>
      </c>
      <c r="E602" s="1">
        <f ca="1">IFERROR(__xludf.DUMMYFUNCTION("""COMPUTED_VALUE"""),173.74)</f>
        <v>173.74</v>
      </c>
      <c r="F602" s="1">
        <f ca="1">IFERROR(__xludf.DUMMYFUNCTION("""COMPUTED_VALUE"""),71975496)</f>
        <v>71975496</v>
      </c>
    </row>
    <row r="603" spans="1:6" ht="12.6">
      <c r="A603" s="2">
        <f ca="1">IFERROR(__xludf.DUMMYFUNCTION("""COMPUTED_VALUE"""),45436.6666666666)</f>
        <v>45436.666666666599</v>
      </c>
      <c r="B603" s="1">
        <f ca="1">IFERROR(__xludf.DUMMYFUNCTION("""COMPUTED_VALUE"""),174.84)</f>
        <v>174.84</v>
      </c>
      <c r="C603" s="1">
        <f ca="1">IFERROR(__xludf.DUMMYFUNCTION("""COMPUTED_VALUE"""),180.08)</f>
        <v>180.08</v>
      </c>
      <c r="D603" s="1">
        <f ca="1">IFERROR(__xludf.DUMMYFUNCTION("""COMPUTED_VALUE"""),173.73)</f>
        <v>173.73</v>
      </c>
      <c r="E603" s="1">
        <f ca="1">IFERROR(__xludf.DUMMYFUNCTION("""COMPUTED_VALUE"""),179.24)</f>
        <v>179.24</v>
      </c>
      <c r="F603" s="1">
        <f ca="1">IFERROR(__xludf.DUMMYFUNCTION("""COMPUTED_VALUE"""),65584478)</f>
        <v>65584478</v>
      </c>
    </row>
    <row r="604" spans="1:6" ht="12.6">
      <c r="A604" s="2">
        <f ca="1">IFERROR(__xludf.DUMMYFUNCTION("""COMPUTED_VALUE"""),45440.6666666666)</f>
        <v>45440.666666666599</v>
      </c>
      <c r="B604" s="1">
        <f ca="1">IFERROR(__xludf.DUMMYFUNCTION("""COMPUTED_VALUE"""),176.4)</f>
        <v>176.4</v>
      </c>
      <c r="C604" s="1">
        <f ca="1">IFERROR(__xludf.DUMMYFUNCTION("""COMPUTED_VALUE"""),178.25)</f>
        <v>178.25</v>
      </c>
      <c r="D604" s="1">
        <f ca="1">IFERROR(__xludf.DUMMYFUNCTION("""COMPUTED_VALUE"""),173.16)</f>
        <v>173.16</v>
      </c>
      <c r="E604" s="1">
        <f ca="1">IFERROR(__xludf.DUMMYFUNCTION("""COMPUTED_VALUE"""),176.75)</f>
        <v>176.75</v>
      </c>
      <c r="F604" s="1">
        <f ca="1">IFERROR(__xludf.DUMMYFUNCTION("""COMPUTED_VALUE"""),59736620)</f>
        <v>59736620</v>
      </c>
    </row>
    <row r="605" spans="1:6" ht="12.6">
      <c r="A605" s="2">
        <f ca="1">IFERROR(__xludf.DUMMYFUNCTION("""COMPUTED_VALUE"""),45441.6666666666)</f>
        <v>45441.666666666599</v>
      </c>
      <c r="B605" s="1">
        <f ca="1">IFERROR(__xludf.DUMMYFUNCTION("""COMPUTED_VALUE"""),174.19)</f>
        <v>174.19</v>
      </c>
      <c r="C605" s="1">
        <f ca="1">IFERROR(__xludf.DUMMYFUNCTION("""COMPUTED_VALUE"""),178.15)</f>
        <v>178.15</v>
      </c>
      <c r="D605" s="1">
        <f ca="1">IFERROR(__xludf.DUMMYFUNCTION("""COMPUTED_VALUE"""),173.93)</f>
        <v>173.93</v>
      </c>
      <c r="E605" s="1">
        <f ca="1">IFERROR(__xludf.DUMMYFUNCTION("""COMPUTED_VALUE"""),176.19)</f>
        <v>176.19</v>
      </c>
      <c r="F605" s="1">
        <f ca="1">IFERROR(__xludf.DUMMYFUNCTION("""COMPUTED_VALUE"""),54782649)</f>
        <v>54782649</v>
      </c>
    </row>
    <row r="606" spans="1:6" ht="12.6">
      <c r="A606" s="2">
        <f ca="1">IFERROR(__xludf.DUMMYFUNCTION("""COMPUTED_VALUE"""),45442.6666666666)</f>
        <v>45442.666666666599</v>
      </c>
      <c r="B606" s="1">
        <f ca="1">IFERROR(__xludf.DUMMYFUNCTION("""COMPUTED_VALUE"""),178.58)</f>
        <v>178.58</v>
      </c>
      <c r="C606" s="1">
        <f ca="1">IFERROR(__xludf.DUMMYFUNCTION("""COMPUTED_VALUE"""),182.67)</f>
        <v>182.67</v>
      </c>
      <c r="D606" s="1">
        <f ca="1">IFERROR(__xludf.DUMMYFUNCTION("""COMPUTED_VALUE"""),175.38)</f>
        <v>175.38</v>
      </c>
      <c r="E606" s="1">
        <f ca="1">IFERROR(__xludf.DUMMYFUNCTION("""COMPUTED_VALUE"""),178.79)</f>
        <v>178.79</v>
      </c>
      <c r="F606" s="1">
        <f ca="1">IFERROR(__xludf.DUMMYFUNCTION("""COMPUTED_VALUE"""),77784755)</f>
        <v>77784755</v>
      </c>
    </row>
    <row r="607" spans="1:6" ht="12.6">
      <c r="A607" s="2">
        <f ca="1">IFERROR(__xludf.DUMMYFUNCTION("""COMPUTED_VALUE"""),45443.6666666666)</f>
        <v>45443.666666666599</v>
      </c>
      <c r="B607" s="1">
        <f ca="1">IFERROR(__xludf.DUMMYFUNCTION("""COMPUTED_VALUE"""),178.5)</f>
        <v>178.5</v>
      </c>
      <c r="C607" s="1">
        <f ca="1">IFERROR(__xludf.DUMMYFUNCTION("""COMPUTED_VALUE"""),180.32)</f>
        <v>180.32</v>
      </c>
      <c r="D607" s="1">
        <f ca="1">IFERROR(__xludf.DUMMYFUNCTION("""COMPUTED_VALUE"""),173.82)</f>
        <v>173.82</v>
      </c>
      <c r="E607" s="1">
        <f ca="1">IFERROR(__xludf.DUMMYFUNCTION("""COMPUTED_VALUE"""),178.08)</f>
        <v>178.08</v>
      </c>
      <c r="F607" s="1">
        <f ca="1">IFERROR(__xludf.DUMMYFUNCTION("""COMPUTED_VALUE"""),67314602)</f>
        <v>67314602</v>
      </c>
    </row>
    <row r="608" spans="1:6" ht="12.6">
      <c r="A608" s="2">
        <f ca="1">IFERROR(__xludf.DUMMYFUNCTION("""COMPUTED_VALUE"""),45446.6666666666)</f>
        <v>45446.666666666599</v>
      </c>
      <c r="B608" s="1">
        <f ca="1">IFERROR(__xludf.DUMMYFUNCTION("""COMPUTED_VALUE"""),178.13)</f>
        <v>178.13</v>
      </c>
      <c r="C608" s="1">
        <f ca="1">IFERROR(__xludf.DUMMYFUNCTION("""COMPUTED_VALUE"""),182.64)</f>
        <v>182.64</v>
      </c>
      <c r="D608" s="1">
        <f ca="1">IFERROR(__xludf.DUMMYFUNCTION("""COMPUTED_VALUE"""),174.49)</f>
        <v>174.49</v>
      </c>
      <c r="E608" s="1">
        <f ca="1">IFERROR(__xludf.DUMMYFUNCTION("""COMPUTED_VALUE"""),176.29)</f>
        <v>176.29</v>
      </c>
      <c r="F608" s="1">
        <f ca="1">IFERROR(__xludf.DUMMYFUNCTION("""COMPUTED_VALUE"""),68568920)</f>
        <v>68568920</v>
      </c>
    </row>
    <row r="609" spans="1:6" ht="12.6">
      <c r="A609" s="2">
        <f ca="1">IFERROR(__xludf.DUMMYFUNCTION("""COMPUTED_VALUE"""),45447.6666666666)</f>
        <v>45447.666666666599</v>
      </c>
      <c r="B609" s="1">
        <f ca="1">IFERROR(__xludf.DUMMYFUNCTION("""COMPUTED_VALUE"""),174.78)</f>
        <v>174.78</v>
      </c>
      <c r="C609" s="1">
        <f ca="1">IFERROR(__xludf.DUMMYFUNCTION("""COMPUTED_VALUE"""),177.76)</f>
        <v>177.76</v>
      </c>
      <c r="D609" s="1">
        <f ca="1">IFERROR(__xludf.DUMMYFUNCTION("""COMPUTED_VALUE"""),174)</f>
        <v>174</v>
      </c>
      <c r="E609" s="1">
        <f ca="1">IFERROR(__xludf.DUMMYFUNCTION("""COMPUTED_VALUE"""),174.77)</f>
        <v>174.77</v>
      </c>
      <c r="F609" s="1">
        <f ca="1">IFERROR(__xludf.DUMMYFUNCTION("""COMPUTED_VALUE"""),60056340)</f>
        <v>60056340</v>
      </c>
    </row>
    <row r="610" spans="1:6" ht="12.6">
      <c r="A610" s="2">
        <f ca="1">IFERROR(__xludf.DUMMYFUNCTION("""COMPUTED_VALUE"""),45448.6666666666)</f>
        <v>45448.666666666599</v>
      </c>
      <c r="B610" s="1">
        <f ca="1">IFERROR(__xludf.DUMMYFUNCTION("""COMPUTED_VALUE"""),175.35)</f>
        <v>175.35</v>
      </c>
      <c r="C610" s="1">
        <f ca="1">IFERROR(__xludf.DUMMYFUNCTION("""COMPUTED_VALUE"""),176.15)</f>
        <v>176.15</v>
      </c>
      <c r="D610" s="1">
        <f ca="1">IFERROR(__xludf.DUMMYFUNCTION("""COMPUTED_VALUE"""),172.13)</f>
        <v>172.13</v>
      </c>
      <c r="E610" s="1">
        <f ca="1">IFERROR(__xludf.DUMMYFUNCTION("""COMPUTED_VALUE"""),175)</f>
        <v>175</v>
      </c>
      <c r="F610" s="1">
        <f ca="1">IFERROR(__xludf.DUMMYFUNCTION("""COMPUTED_VALUE"""),57953756)</f>
        <v>57953756</v>
      </c>
    </row>
    <row r="611" spans="1:6" ht="12.6">
      <c r="A611" s="2">
        <f ca="1">IFERROR(__xludf.DUMMYFUNCTION("""COMPUTED_VALUE"""),45449.6666666666)</f>
        <v>45449.666666666599</v>
      </c>
      <c r="B611" s="1">
        <f ca="1">IFERROR(__xludf.DUMMYFUNCTION("""COMPUTED_VALUE"""),174.6)</f>
        <v>174.6</v>
      </c>
      <c r="C611" s="1">
        <f ca="1">IFERROR(__xludf.DUMMYFUNCTION("""COMPUTED_VALUE"""),179.73)</f>
        <v>179.73</v>
      </c>
      <c r="D611" s="1">
        <f ca="1">IFERROR(__xludf.DUMMYFUNCTION("""COMPUTED_VALUE"""),172.73)</f>
        <v>172.73</v>
      </c>
      <c r="E611" s="1">
        <f ca="1">IFERROR(__xludf.DUMMYFUNCTION("""COMPUTED_VALUE"""),177.94)</f>
        <v>177.94</v>
      </c>
      <c r="F611" s="1">
        <f ca="1">IFERROR(__xludf.DUMMYFUNCTION("""COMPUTED_VALUE"""),69887024)</f>
        <v>69887024</v>
      </c>
    </row>
    <row r="612" spans="1:6" ht="12.6">
      <c r="A612" s="2">
        <f ca="1">IFERROR(__xludf.DUMMYFUNCTION("""COMPUTED_VALUE"""),45450.6666666666)</f>
        <v>45450.666666666599</v>
      </c>
      <c r="B612" s="1">
        <f ca="1">IFERROR(__xludf.DUMMYFUNCTION("""COMPUTED_VALUE"""),176.13)</f>
        <v>176.13</v>
      </c>
      <c r="C612" s="1">
        <f ca="1">IFERROR(__xludf.DUMMYFUNCTION("""COMPUTED_VALUE"""),179.35)</f>
        <v>179.35</v>
      </c>
      <c r="D612" s="1">
        <f ca="1">IFERROR(__xludf.DUMMYFUNCTION("""COMPUTED_VALUE"""),175.58)</f>
        <v>175.58</v>
      </c>
      <c r="E612" s="1">
        <f ca="1">IFERROR(__xludf.DUMMYFUNCTION("""COMPUTED_VALUE"""),177.48)</f>
        <v>177.48</v>
      </c>
      <c r="F612" s="1">
        <f ca="1">IFERROR(__xludf.DUMMYFUNCTION("""COMPUTED_VALUE"""),56244932)</f>
        <v>56244932</v>
      </c>
    </row>
    <row r="613" spans="1:6" ht="12.6">
      <c r="A613" s="2">
        <f ca="1">IFERROR(__xludf.DUMMYFUNCTION("""COMPUTED_VALUE"""),45453.6666666666)</f>
        <v>45453.666666666599</v>
      </c>
      <c r="B613" s="1">
        <f ca="1">IFERROR(__xludf.DUMMYFUNCTION("""COMPUTED_VALUE"""),176.06)</f>
        <v>176.06</v>
      </c>
      <c r="C613" s="1">
        <f ca="1">IFERROR(__xludf.DUMMYFUNCTION("""COMPUTED_VALUE"""),178.57)</f>
        <v>178.57</v>
      </c>
      <c r="D613" s="1">
        <f ca="1">IFERROR(__xludf.DUMMYFUNCTION("""COMPUTED_VALUE"""),173.17)</f>
        <v>173.17</v>
      </c>
      <c r="E613" s="1">
        <f ca="1">IFERROR(__xludf.DUMMYFUNCTION("""COMPUTED_VALUE"""),173.79)</f>
        <v>173.79</v>
      </c>
      <c r="F613" s="1">
        <f ca="1">IFERROR(__xludf.DUMMYFUNCTION("""COMPUTED_VALUE"""),50869682)</f>
        <v>50869682</v>
      </c>
    </row>
    <row r="614" spans="1:6" ht="12.6">
      <c r="A614" s="2">
        <f ca="1">IFERROR(__xludf.DUMMYFUNCTION("""COMPUTED_VALUE"""),45454.6666666666)</f>
        <v>45454.666666666599</v>
      </c>
      <c r="B614" s="1">
        <f ca="1">IFERROR(__xludf.DUMMYFUNCTION("""COMPUTED_VALUE"""),173.92)</f>
        <v>173.92</v>
      </c>
      <c r="C614" s="1">
        <f ca="1">IFERROR(__xludf.DUMMYFUNCTION("""COMPUTED_VALUE"""),174.75)</f>
        <v>174.75</v>
      </c>
      <c r="D614" s="1">
        <f ca="1">IFERROR(__xludf.DUMMYFUNCTION("""COMPUTED_VALUE"""),167.41)</f>
        <v>167.41</v>
      </c>
      <c r="E614" s="1">
        <f ca="1">IFERROR(__xludf.DUMMYFUNCTION("""COMPUTED_VALUE"""),170.66)</f>
        <v>170.66</v>
      </c>
      <c r="F614" s="1">
        <f ca="1">IFERROR(__xludf.DUMMYFUNCTION("""COMPUTED_VALUE"""),64761928)</f>
        <v>64761928</v>
      </c>
    </row>
    <row r="615" spans="1:6" ht="12.6">
      <c r="A615" s="2">
        <f ca="1">IFERROR(__xludf.DUMMYFUNCTION("""COMPUTED_VALUE"""),45455.6666666666)</f>
        <v>45455.666666666599</v>
      </c>
      <c r="B615" s="1">
        <f ca="1">IFERROR(__xludf.DUMMYFUNCTION("""COMPUTED_VALUE"""),171.12)</f>
        <v>171.12</v>
      </c>
      <c r="C615" s="1">
        <f ca="1">IFERROR(__xludf.DUMMYFUNCTION("""COMPUTED_VALUE"""),180.55)</f>
        <v>180.55</v>
      </c>
      <c r="D615" s="1">
        <f ca="1">IFERROR(__xludf.DUMMYFUNCTION("""COMPUTED_VALUE"""),169.8)</f>
        <v>169.8</v>
      </c>
      <c r="E615" s="1">
        <f ca="1">IFERROR(__xludf.DUMMYFUNCTION("""COMPUTED_VALUE"""),177.29)</f>
        <v>177.29</v>
      </c>
      <c r="F615" s="1">
        <f ca="1">IFERROR(__xludf.DUMMYFUNCTION("""COMPUTED_VALUE"""),90389446)</f>
        <v>90389446</v>
      </c>
    </row>
    <row r="616" spans="1:6" ht="12.6">
      <c r="A616" s="2">
        <f ca="1">IFERROR(__xludf.DUMMYFUNCTION("""COMPUTED_VALUE"""),45456.6666666666)</f>
        <v>45456.666666666599</v>
      </c>
      <c r="B616" s="1">
        <f ca="1">IFERROR(__xludf.DUMMYFUNCTION("""COMPUTED_VALUE"""),188.39)</f>
        <v>188.39</v>
      </c>
      <c r="C616" s="1">
        <f ca="1">IFERROR(__xludf.DUMMYFUNCTION("""COMPUTED_VALUE"""),191.08)</f>
        <v>191.08</v>
      </c>
      <c r="D616" s="1">
        <f ca="1">IFERROR(__xludf.DUMMYFUNCTION("""COMPUTED_VALUE"""),181.23)</f>
        <v>181.23</v>
      </c>
      <c r="E616" s="1">
        <f ca="1">IFERROR(__xludf.DUMMYFUNCTION("""COMPUTED_VALUE"""),182.47)</f>
        <v>182.47</v>
      </c>
      <c r="F616" s="1">
        <f ca="1">IFERROR(__xludf.DUMMYFUNCTION("""COMPUTED_VALUE"""),118984122)</f>
        <v>118984122</v>
      </c>
    </row>
    <row r="617" spans="1:6" ht="12.6">
      <c r="A617" s="2">
        <f ca="1">IFERROR(__xludf.DUMMYFUNCTION("""COMPUTED_VALUE"""),45457.6666666666)</f>
        <v>45457.666666666599</v>
      </c>
      <c r="B617" s="1">
        <f ca="1">IFERROR(__xludf.DUMMYFUNCTION("""COMPUTED_VALUE"""),185.8)</f>
        <v>185.8</v>
      </c>
      <c r="C617" s="1">
        <f ca="1">IFERROR(__xludf.DUMMYFUNCTION("""COMPUTED_VALUE"""),186)</f>
        <v>186</v>
      </c>
      <c r="D617" s="1">
        <f ca="1">IFERROR(__xludf.DUMMYFUNCTION("""COMPUTED_VALUE"""),176.92)</f>
        <v>176.92</v>
      </c>
      <c r="E617" s="1">
        <f ca="1">IFERROR(__xludf.DUMMYFUNCTION("""COMPUTED_VALUE"""),178.01)</f>
        <v>178.01</v>
      </c>
      <c r="F617" s="1">
        <f ca="1">IFERROR(__xludf.DUMMYFUNCTION("""COMPUTED_VALUE"""),82038194)</f>
        <v>82038194</v>
      </c>
    </row>
    <row r="618" spans="1:6" ht="12.6">
      <c r="A618" s="2">
        <f ca="1">IFERROR(__xludf.DUMMYFUNCTION("""COMPUTED_VALUE"""),45460.6666666666)</f>
        <v>45460.666666666599</v>
      </c>
      <c r="B618" s="1">
        <f ca="1">IFERROR(__xludf.DUMMYFUNCTION("""COMPUTED_VALUE"""),177.92)</f>
        <v>177.92</v>
      </c>
      <c r="C618" s="1">
        <f ca="1">IFERROR(__xludf.DUMMYFUNCTION("""COMPUTED_VALUE"""),188.81)</f>
        <v>188.81</v>
      </c>
      <c r="D618" s="1">
        <f ca="1">IFERROR(__xludf.DUMMYFUNCTION("""COMPUTED_VALUE"""),177)</f>
        <v>177</v>
      </c>
      <c r="E618" s="1">
        <f ca="1">IFERROR(__xludf.DUMMYFUNCTION("""COMPUTED_VALUE"""),187.44)</f>
        <v>187.44</v>
      </c>
      <c r="F618" s="1">
        <f ca="1">IFERROR(__xludf.DUMMYFUNCTION("""COMPUTED_VALUE"""),109786083)</f>
        <v>109786083</v>
      </c>
    </row>
    <row r="619" spans="1:6" ht="12.6">
      <c r="A619" s="2">
        <f ca="1">IFERROR(__xludf.DUMMYFUNCTION("""COMPUTED_VALUE"""),45461.6666666666)</f>
        <v>45461.666666666599</v>
      </c>
      <c r="B619" s="1">
        <f ca="1">IFERROR(__xludf.DUMMYFUNCTION("""COMPUTED_VALUE"""),186.56)</f>
        <v>186.56</v>
      </c>
      <c r="C619" s="1">
        <f ca="1">IFERROR(__xludf.DUMMYFUNCTION("""COMPUTED_VALUE"""),187.2)</f>
        <v>187.2</v>
      </c>
      <c r="D619" s="1">
        <f ca="1">IFERROR(__xludf.DUMMYFUNCTION("""COMPUTED_VALUE"""),182.37)</f>
        <v>182.37</v>
      </c>
      <c r="E619" s="1">
        <f ca="1">IFERROR(__xludf.DUMMYFUNCTION("""COMPUTED_VALUE"""),184.86)</f>
        <v>184.86</v>
      </c>
      <c r="F619" s="1">
        <f ca="1">IFERROR(__xludf.DUMMYFUNCTION("""COMPUTED_VALUE"""),68982265)</f>
        <v>68982265</v>
      </c>
    </row>
    <row r="620" spans="1:6" ht="12.6">
      <c r="A620" s="2">
        <f ca="1">IFERROR(__xludf.DUMMYFUNCTION("""COMPUTED_VALUE"""),45463.6666666666)</f>
        <v>45463.666666666599</v>
      </c>
      <c r="B620" s="1">
        <f ca="1">IFERROR(__xludf.DUMMYFUNCTION("""COMPUTED_VALUE"""),184.68)</f>
        <v>184.68</v>
      </c>
      <c r="C620" s="1">
        <f ca="1">IFERROR(__xludf.DUMMYFUNCTION("""COMPUTED_VALUE"""),185.21)</f>
        <v>185.21</v>
      </c>
      <c r="D620" s="1">
        <f ca="1">IFERROR(__xludf.DUMMYFUNCTION("""COMPUTED_VALUE"""),179.66)</f>
        <v>179.66</v>
      </c>
      <c r="E620" s="1">
        <f ca="1">IFERROR(__xludf.DUMMYFUNCTION("""COMPUTED_VALUE"""),181.57)</f>
        <v>181.57</v>
      </c>
      <c r="F620" s="1">
        <f ca="1">IFERROR(__xludf.DUMMYFUNCTION("""COMPUTED_VALUE"""),55893139)</f>
        <v>55893139</v>
      </c>
    </row>
    <row r="621" spans="1:6" ht="12.6">
      <c r="A621" s="2">
        <f ca="1">IFERROR(__xludf.DUMMYFUNCTION("""COMPUTED_VALUE"""),45464.6666666666)</f>
        <v>45464.666666666599</v>
      </c>
      <c r="B621" s="1">
        <f ca="1">IFERROR(__xludf.DUMMYFUNCTION("""COMPUTED_VALUE"""),182.3)</f>
        <v>182.3</v>
      </c>
      <c r="C621" s="1">
        <f ca="1">IFERROR(__xludf.DUMMYFUNCTION("""COMPUTED_VALUE"""),183.95)</f>
        <v>183.95</v>
      </c>
      <c r="D621" s="1">
        <f ca="1">IFERROR(__xludf.DUMMYFUNCTION("""COMPUTED_VALUE"""),180.69)</f>
        <v>180.69</v>
      </c>
      <c r="E621" s="1">
        <f ca="1">IFERROR(__xludf.DUMMYFUNCTION("""COMPUTED_VALUE"""),183.01)</f>
        <v>183.01</v>
      </c>
      <c r="F621" s="1">
        <f ca="1">IFERROR(__xludf.DUMMYFUNCTION("""COMPUTED_VALUE"""),63029482)</f>
        <v>63029482</v>
      </c>
    </row>
    <row r="622" spans="1:6" ht="12.6">
      <c r="A622" s="2">
        <f ca="1">IFERROR(__xludf.DUMMYFUNCTION("""COMPUTED_VALUE"""),45467.6666666666)</f>
        <v>45467.666666666599</v>
      </c>
      <c r="B622" s="1">
        <f ca="1">IFERROR(__xludf.DUMMYFUNCTION("""COMPUTED_VALUE"""),184.97)</f>
        <v>184.97</v>
      </c>
      <c r="C622" s="1">
        <f ca="1">IFERROR(__xludf.DUMMYFUNCTION("""COMPUTED_VALUE"""),188.8)</f>
        <v>188.8</v>
      </c>
      <c r="D622" s="1">
        <f ca="1">IFERROR(__xludf.DUMMYFUNCTION("""COMPUTED_VALUE"""),182.55)</f>
        <v>182.55</v>
      </c>
      <c r="E622" s="1">
        <f ca="1">IFERROR(__xludf.DUMMYFUNCTION("""COMPUTED_VALUE"""),182.58)</f>
        <v>182.58</v>
      </c>
      <c r="F622" s="1">
        <f ca="1">IFERROR(__xludf.DUMMYFUNCTION("""COMPUTED_VALUE"""),61992070)</f>
        <v>61992070</v>
      </c>
    </row>
    <row r="623" spans="1:6" ht="12.6">
      <c r="A623" s="2">
        <f ca="1">IFERROR(__xludf.DUMMYFUNCTION("""COMPUTED_VALUE"""),45468.6666666666)</f>
        <v>45468.666666666599</v>
      </c>
      <c r="B623" s="1">
        <f ca="1">IFERROR(__xludf.DUMMYFUNCTION("""COMPUTED_VALUE"""),184.4)</f>
        <v>184.4</v>
      </c>
      <c r="C623" s="1">
        <f ca="1">IFERROR(__xludf.DUMMYFUNCTION("""COMPUTED_VALUE"""),187.97)</f>
        <v>187.97</v>
      </c>
      <c r="D623" s="1">
        <f ca="1">IFERROR(__xludf.DUMMYFUNCTION("""COMPUTED_VALUE"""),182.01)</f>
        <v>182.01</v>
      </c>
      <c r="E623" s="1">
        <f ca="1">IFERROR(__xludf.DUMMYFUNCTION("""COMPUTED_VALUE"""),187.35)</f>
        <v>187.35</v>
      </c>
      <c r="F623" s="1">
        <f ca="1">IFERROR(__xludf.DUMMYFUNCTION("""COMPUTED_VALUE"""),63678265)</f>
        <v>63678265</v>
      </c>
    </row>
    <row r="624" spans="1:6" ht="12.6">
      <c r="A624" s="2">
        <f ca="1">IFERROR(__xludf.DUMMYFUNCTION("""COMPUTED_VALUE"""),45469.6666666666)</f>
        <v>45469.666666666599</v>
      </c>
      <c r="B624" s="1">
        <f ca="1">IFERROR(__xludf.DUMMYFUNCTION("""COMPUTED_VALUE"""),186.54)</f>
        <v>186.54</v>
      </c>
      <c r="C624" s="1">
        <f ca="1">IFERROR(__xludf.DUMMYFUNCTION("""COMPUTED_VALUE"""),197.76)</f>
        <v>197.76</v>
      </c>
      <c r="D624" s="1">
        <f ca="1">IFERROR(__xludf.DUMMYFUNCTION("""COMPUTED_VALUE"""),186.36)</f>
        <v>186.36</v>
      </c>
      <c r="E624" s="1">
        <f ca="1">IFERROR(__xludf.DUMMYFUNCTION("""COMPUTED_VALUE"""),196.37)</f>
        <v>196.37</v>
      </c>
      <c r="F624" s="1">
        <f ca="1">IFERROR(__xludf.DUMMYFUNCTION("""COMPUTED_VALUE"""),95737066)</f>
        <v>95737066</v>
      </c>
    </row>
    <row r="625" spans="1:6" ht="12.6">
      <c r="A625" s="2">
        <f ca="1">IFERROR(__xludf.DUMMYFUNCTION("""COMPUTED_VALUE"""),45470.6666666666)</f>
        <v>45470.666666666599</v>
      </c>
      <c r="B625" s="1">
        <f ca="1">IFERROR(__xludf.DUMMYFUNCTION("""COMPUTED_VALUE"""),195.17)</f>
        <v>195.17</v>
      </c>
      <c r="C625" s="1">
        <f ca="1">IFERROR(__xludf.DUMMYFUNCTION("""COMPUTED_VALUE"""),198.72)</f>
        <v>198.72</v>
      </c>
      <c r="D625" s="1">
        <f ca="1">IFERROR(__xludf.DUMMYFUNCTION("""COMPUTED_VALUE"""),194.05)</f>
        <v>194.05</v>
      </c>
      <c r="E625" s="1">
        <f ca="1">IFERROR(__xludf.DUMMYFUNCTION("""COMPUTED_VALUE"""),197.42)</f>
        <v>197.42</v>
      </c>
      <c r="F625" s="1">
        <f ca="1">IFERROR(__xludf.DUMMYFUNCTION("""COMPUTED_VALUE"""),72746521)</f>
        <v>72746521</v>
      </c>
    </row>
    <row r="626" spans="1:6" ht="12.6">
      <c r="A626" s="2">
        <f ca="1">IFERROR(__xludf.DUMMYFUNCTION("""COMPUTED_VALUE"""),45471.6666666666)</f>
        <v>45471.666666666599</v>
      </c>
      <c r="B626" s="1">
        <f ca="1">IFERROR(__xludf.DUMMYFUNCTION("""COMPUTED_VALUE"""),199.55)</f>
        <v>199.55</v>
      </c>
      <c r="C626" s="1">
        <f ca="1">IFERROR(__xludf.DUMMYFUNCTION("""COMPUTED_VALUE"""),203.2)</f>
        <v>203.2</v>
      </c>
      <c r="D626" s="1">
        <f ca="1">IFERROR(__xludf.DUMMYFUNCTION("""COMPUTED_VALUE"""),195.26)</f>
        <v>195.26</v>
      </c>
      <c r="E626" s="1">
        <f ca="1">IFERROR(__xludf.DUMMYFUNCTION("""COMPUTED_VALUE"""),197.88)</f>
        <v>197.88</v>
      </c>
      <c r="F626" s="1">
        <f ca="1">IFERROR(__xludf.DUMMYFUNCTION("""COMPUTED_VALUE"""),95438068)</f>
        <v>95438068</v>
      </c>
    </row>
    <row r="627" spans="1:6" ht="12.6">
      <c r="A627" s="2">
        <f ca="1">IFERROR(__xludf.DUMMYFUNCTION("""COMPUTED_VALUE"""),45474.6666666666)</f>
        <v>45474.666666666599</v>
      </c>
      <c r="B627" s="1">
        <f ca="1">IFERROR(__xludf.DUMMYFUNCTION("""COMPUTED_VALUE"""),201.02)</f>
        <v>201.02</v>
      </c>
      <c r="C627" s="1">
        <f ca="1">IFERROR(__xludf.DUMMYFUNCTION("""COMPUTED_VALUE"""),213.23)</f>
        <v>213.23</v>
      </c>
      <c r="D627" s="1">
        <f ca="1">IFERROR(__xludf.DUMMYFUNCTION("""COMPUTED_VALUE"""),200.85)</f>
        <v>200.85</v>
      </c>
      <c r="E627" s="1">
        <f ca="1">IFERROR(__xludf.DUMMYFUNCTION("""COMPUTED_VALUE"""),209.86)</f>
        <v>209.86</v>
      </c>
      <c r="F627" s="1">
        <f ca="1">IFERROR(__xludf.DUMMYFUNCTION("""COMPUTED_VALUE"""),135691395)</f>
        <v>135691395</v>
      </c>
    </row>
    <row r="628" spans="1:6" ht="12.6">
      <c r="A628" s="2">
        <f ca="1">IFERROR(__xludf.DUMMYFUNCTION("""COMPUTED_VALUE"""),45475.6666666666)</f>
        <v>45475.666666666599</v>
      </c>
      <c r="B628" s="1">
        <f ca="1">IFERROR(__xludf.DUMMYFUNCTION("""COMPUTED_VALUE"""),218.89)</f>
        <v>218.89</v>
      </c>
      <c r="C628" s="1">
        <f ca="1">IFERROR(__xludf.DUMMYFUNCTION("""COMPUTED_VALUE"""),231.3)</f>
        <v>231.3</v>
      </c>
      <c r="D628" s="1">
        <f ca="1">IFERROR(__xludf.DUMMYFUNCTION("""COMPUTED_VALUE"""),218.06)</f>
        <v>218.06</v>
      </c>
      <c r="E628" s="1">
        <f ca="1">IFERROR(__xludf.DUMMYFUNCTION("""COMPUTED_VALUE"""),231.26)</f>
        <v>231.26</v>
      </c>
      <c r="F628" s="1">
        <f ca="1">IFERROR(__xludf.DUMMYFUNCTION("""COMPUTED_VALUE"""),205047920)</f>
        <v>205047920</v>
      </c>
    </row>
    <row r="629" spans="1:6" ht="12.6">
      <c r="A629" s="2">
        <f ca="1">IFERROR(__xludf.DUMMYFUNCTION("""COMPUTED_VALUE"""),45476.5451388888)</f>
        <v>45476.545138888803</v>
      </c>
      <c r="B629" s="1">
        <f ca="1">IFERROR(__xludf.DUMMYFUNCTION("""COMPUTED_VALUE"""),234.56)</f>
        <v>234.56</v>
      </c>
      <c r="C629" s="1">
        <f ca="1">IFERROR(__xludf.DUMMYFUNCTION("""COMPUTED_VALUE"""),248.35)</f>
        <v>248.35</v>
      </c>
      <c r="D629" s="1">
        <f ca="1">IFERROR(__xludf.DUMMYFUNCTION("""COMPUTED_VALUE"""),234.25)</f>
        <v>234.25</v>
      </c>
      <c r="E629" s="1">
        <f ca="1">IFERROR(__xludf.DUMMYFUNCTION("""COMPUTED_VALUE"""),246.39)</f>
        <v>246.39</v>
      </c>
      <c r="F629" s="1">
        <f ca="1">IFERROR(__xludf.DUMMYFUNCTION("""COMPUTED_VALUE"""),166561471)</f>
        <v>166561471</v>
      </c>
    </row>
    <row r="630" spans="1:6" ht="12.6">
      <c r="A630" s="2">
        <f ca="1">IFERROR(__xludf.DUMMYFUNCTION("""COMPUTED_VALUE"""),45478.6666666666)</f>
        <v>45478.666666666599</v>
      </c>
      <c r="B630" s="1">
        <f ca="1">IFERROR(__xludf.DUMMYFUNCTION("""COMPUTED_VALUE"""),249.81)</f>
        <v>249.81</v>
      </c>
      <c r="C630" s="1">
        <f ca="1">IFERROR(__xludf.DUMMYFUNCTION("""COMPUTED_VALUE"""),252.37)</f>
        <v>252.37</v>
      </c>
      <c r="D630" s="1">
        <f ca="1">IFERROR(__xludf.DUMMYFUNCTION("""COMPUTED_VALUE"""),242.46)</f>
        <v>242.46</v>
      </c>
      <c r="E630" s="1">
        <f ca="1">IFERROR(__xludf.DUMMYFUNCTION("""COMPUTED_VALUE"""),251.52)</f>
        <v>251.52</v>
      </c>
      <c r="F630" s="1">
        <f ca="1">IFERROR(__xludf.DUMMYFUNCTION("""COMPUTED_VALUE"""),154501152)</f>
        <v>154501152</v>
      </c>
    </row>
    <row r="631" spans="1:6" ht="12.6">
      <c r="A631" s="2">
        <f ca="1">IFERROR(__xludf.DUMMYFUNCTION("""COMPUTED_VALUE"""),45481.6666666666)</f>
        <v>45481.666666666599</v>
      </c>
      <c r="B631" s="1">
        <f ca="1">IFERROR(__xludf.DUMMYFUNCTION("""COMPUTED_VALUE"""),247.71)</f>
        <v>247.71</v>
      </c>
      <c r="C631" s="1">
        <f ca="1">IFERROR(__xludf.DUMMYFUNCTION("""COMPUTED_VALUE"""),259.44)</f>
        <v>259.44</v>
      </c>
      <c r="D631" s="1">
        <f ca="1">IFERROR(__xludf.DUMMYFUNCTION("""COMPUTED_VALUE"""),244.57)</f>
        <v>244.57</v>
      </c>
      <c r="E631" s="1">
        <f ca="1">IFERROR(__xludf.DUMMYFUNCTION("""COMPUTED_VALUE"""),252.94)</f>
        <v>252.94</v>
      </c>
      <c r="F631" s="1">
        <f ca="1">IFERROR(__xludf.DUMMYFUNCTION("""COMPUTED_VALUE"""),157219580)</f>
        <v>157219580</v>
      </c>
    </row>
    <row r="632" spans="1:6" ht="12.6">
      <c r="A632" s="2">
        <f ca="1">IFERROR(__xludf.DUMMYFUNCTION("""COMPUTED_VALUE"""),45482.6666666666)</f>
        <v>45482.666666666599</v>
      </c>
      <c r="B632" s="1">
        <f ca="1">IFERROR(__xludf.DUMMYFUNCTION("""COMPUTED_VALUE"""),251)</f>
        <v>251</v>
      </c>
      <c r="C632" s="1">
        <f ca="1">IFERROR(__xludf.DUMMYFUNCTION("""COMPUTED_VALUE"""),265.61)</f>
        <v>265.61</v>
      </c>
      <c r="D632" s="1">
        <f ca="1">IFERROR(__xludf.DUMMYFUNCTION("""COMPUTED_VALUE"""),250.3)</f>
        <v>250.3</v>
      </c>
      <c r="E632" s="1">
        <f ca="1">IFERROR(__xludf.DUMMYFUNCTION("""COMPUTED_VALUE"""),262.33)</f>
        <v>262.33</v>
      </c>
      <c r="F632" s="1">
        <f ca="1">IFERROR(__xludf.DUMMYFUNCTION("""COMPUTED_VALUE"""),160742516)</f>
        <v>160742516</v>
      </c>
    </row>
    <row r="633" spans="1:6" ht="12.6">
      <c r="A633" s="2">
        <f ca="1">IFERROR(__xludf.DUMMYFUNCTION("""COMPUTED_VALUE"""),45483.6666666666)</f>
        <v>45483.666666666599</v>
      </c>
      <c r="B633" s="1">
        <f ca="1">IFERROR(__xludf.DUMMYFUNCTION("""COMPUTED_VALUE"""),262.8)</f>
        <v>262.8</v>
      </c>
      <c r="C633" s="1">
        <f ca="1">IFERROR(__xludf.DUMMYFUNCTION("""COMPUTED_VALUE"""),267.59)</f>
        <v>267.58999999999997</v>
      </c>
      <c r="D633" s="1">
        <f ca="1">IFERROR(__xludf.DUMMYFUNCTION("""COMPUTED_VALUE"""),257.86)</f>
        <v>257.86</v>
      </c>
      <c r="E633" s="1">
        <f ca="1">IFERROR(__xludf.DUMMYFUNCTION("""COMPUTED_VALUE"""),263.26)</f>
        <v>263.26</v>
      </c>
      <c r="F633" s="1">
        <f ca="1">IFERROR(__xludf.DUMMYFUNCTION("""COMPUTED_VALUE"""),128519430)</f>
        <v>128519430</v>
      </c>
    </row>
    <row r="634" spans="1:6" ht="12.6">
      <c r="A634" s="2">
        <f ca="1">IFERROR(__xludf.DUMMYFUNCTION("""COMPUTED_VALUE"""),45484.6666666666)</f>
        <v>45484.666666666599</v>
      </c>
      <c r="B634" s="1">
        <f ca="1">IFERROR(__xludf.DUMMYFUNCTION("""COMPUTED_VALUE"""),263.3)</f>
        <v>263.3</v>
      </c>
      <c r="C634" s="1">
        <f ca="1">IFERROR(__xludf.DUMMYFUNCTION("""COMPUTED_VALUE"""),271)</f>
        <v>271</v>
      </c>
      <c r="D634" s="1">
        <f ca="1">IFERROR(__xludf.DUMMYFUNCTION("""COMPUTED_VALUE"""),239.65)</f>
        <v>239.65</v>
      </c>
      <c r="E634" s="1">
        <f ca="1">IFERROR(__xludf.DUMMYFUNCTION("""COMPUTED_VALUE"""),241.03)</f>
        <v>241.03</v>
      </c>
      <c r="F634" s="1">
        <f ca="1">IFERROR(__xludf.DUMMYFUNCTION("""COMPUTED_VALUE"""),221707273)</f>
        <v>221707273</v>
      </c>
    </row>
    <row r="635" spans="1:6" ht="12.6">
      <c r="A635" s="2">
        <f ca="1">IFERROR(__xludf.DUMMYFUNCTION("""COMPUTED_VALUE"""),45485.6666666666)</f>
        <v>45485.666666666599</v>
      </c>
      <c r="B635" s="1">
        <f ca="1">IFERROR(__xludf.DUMMYFUNCTION("""COMPUTED_VALUE"""),235.8)</f>
        <v>235.8</v>
      </c>
      <c r="C635" s="1">
        <f ca="1">IFERROR(__xludf.DUMMYFUNCTION("""COMPUTED_VALUE"""),251.84)</f>
        <v>251.84</v>
      </c>
      <c r="D635" s="1">
        <f ca="1">IFERROR(__xludf.DUMMYFUNCTION("""COMPUTED_VALUE"""),233.09)</f>
        <v>233.09</v>
      </c>
      <c r="E635" s="1">
        <f ca="1">IFERROR(__xludf.DUMMYFUNCTION("""COMPUTED_VALUE"""),248.23)</f>
        <v>248.23</v>
      </c>
      <c r="F635" s="1">
        <f ca="1">IFERROR(__xludf.DUMMYFUNCTION("""COMPUTED_VALUE"""),155955773)</f>
        <v>155955773</v>
      </c>
    </row>
    <row r="636" spans="1:6" ht="12.6">
      <c r="A636" s="2">
        <f ca="1">IFERROR(__xludf.DUMMYFUNCTION("""COMPUTED_VALUE"""),45488.6666666666)</f>
        <v>45488.666666666599</v>
      </c>
      <c r="B636" s="1">
        <f ca="1">IFERROR(__xludf.DUMMYFUNCTION("""COMPUTED_VALUE"""),255.97)</f>
        <v>255.97</v>
      </c>
      <c r="C636" s="1">
        <f ca="1">IFERROR(__xludf.DUMMYFUNCTION("""COMPUTED_VALUE"""),265.6)</f>
        <v>265.60000000000002</v>
      </c>
      <c r="D636" s="1">
        <f ca="1">IFERROR(__xludf.DUMMYFUNCTION("""COMPUTED_VALUE"""),251.73)</f>
        <v>251.73</v>
      </c>
      <c r="E636" s="1">
        <f ca="1">IFERROR(__xludf.DUMMYFUNCTION("""COMPUTED_VALUE"""),252.64)</f>
        <v>252.64</v>
      </c>
      <c r="F636" s="1">
        <f ca="1">IFERROR(__xludf.DUMMYFUNCTION("""COMPUTED_VALUE"""),146912920)</f>
        <v>146912920</v>
      </c>
    </row>
    <row r="637" spans="1:6" ht="12.6">
      <c r="A637" s="2">
        <f ca="1">IFERROR(__xludf.DUMMYFUNCTION("""COMPUTED_VALUE"""),45489.6666666666)</f>
        <v>45489.666666666599</v>
      </c>
      <c r="B637" s="1">
        <f ca="1">IFERROR(__xludf.DUMMYFUNCTION("""COMPUTED_VALUE"""),255.31)</f>
        <v>255.31</v>
      </c>
      <c r="C637" s="1">
        <f ca="1">IFERROR(__xludf.DUMMYFUNCTION("""COMPUTED_VALUE"""),258.62)</f>
        <v>258.62</v>
      </c>
      <c r="D637" s="1">
        <f ca="1">IFERROR(__xludf.DUMMYFUNCTION("""COMPUTED_VALUE"""),245.8)</f>
        <v>245.8</v>
      </c>
      <c r="E637" s="1">
        <f ca="1">IFERROR(__xludf.DUMMYFUNCTION("""COMPUTED_VALUE"""),256.56)</f>
        <v>256.56</v>
      </c>
      <c r="F637" s="1">
        <f ca="1">IFERROR(__xludf.DUMMYFUNCTION("""COMPUTED_VALUE"""),126332470)</f>
        <v>126332470</v>
      </c>
    </row>
    <row r="638" spans="1:6" ht="12.6">
      <c r="A638" s="2">
        <f ca="1">IFERROR(__xludf.DUMMYFUNCTION("""COMPUTED_VALUE"""),45490.6666666666)</f>
        <v>45490.666666666599</v>
      </c>
      <c r="B638" s="1">
        <f ca="1">IFERROR(__xludf.DUMMYFUNCTION("""COMPUTED_VALUE"""),252.73)</f>
        <v>252.73</v>
      </c>
      <c r="C638" s="1">
        <f ca="1">IFERROR(__xludf.DUMMYFUNCTION("""COMPUTED_VALUE"""),258.47)</f>
        <v>258.47000000000003</v>
      </c>
      <c r="D638" s="1">
        <f ca="1">IFERROR(__xludf.DUMMYFUNCTION("""COMPUTED_VALUE"""),246.18)</f>
        <v>246.18</v>
      </c>
      <c r="E638" s="1">
        <f ca="1">IFERROR(__xludf.DUMMYFUNCTION("""COMPUTED_VALUE"""),248.5)</f>
        <v>248.5</v>
      </c>
      <c r="F638" s="1">
        <f ca="1">IFERROR(__xludf.DUMMYFUNCTION("""COMPUTED_VALUE"""),115584810)</f>
        <v>115584810</v>
      </c>
    </row>
    <row r="639" spans="1:6" ht="12.6">
      <c r="A639" s="2">
        <f ca="1">IFERROR(__xludf.DUMMYFUNCTION("""COMPUTED_VALUE"""),45491.6666666666)</f>
        <v>45491.666666666599</v>
      </c>
      <c r="B639" s="1">
        <f ca="1">IFERROR(__xludf.DUMMYFUNCTION("""COMPUTED_VALUE"""),251.09)</f>
        <v>251.09</v>
      </c>
      <c r="C639" s="1">
        <f ca="1">IFERROR(__xludf.DUMMYFUNCTION("""COMPUTED_VALUE"""),257.14)</f>
        <v>257.14</v>
      </c>
      <c r="D639" s="1">
        <f ca="1">IFERROR(__xludf.DUMMYFUNCTION("""COMPUTED_VALUE"""),247.2)</f>
        <v>247.2</v>
      </c>
      <c r="E639" s="1">
        <f ca="1">IFERROR(__xludf.DUMMYFUNCTION("""COMPUTED_VALUE"""),249.23)</f>
        <v>249.23</v>
      </c>
      <c r="F639" s="1">
        <f ca="1">IFERROR(__xludf.DUMMYFUNCTION("""COMPUTED_VALUE"""),110869037)</f>
        <v>110869037</v>
      </c>
    </row>
    <row r="640" spans="1:6" ht="12.6">
      <c r="A640" s="2">
        <f ca="1">IFERROR(__xludf.DUMMYFUNCTION("""COMPUTED_VALUE"""),45492.6666666666)</f>
        <v>45492.666666666599</v>
      </c>
      <c r="B640" s="1">
        <f ca="1">IFERROR(__xludf.DUMMYFUNCTION("""COMPUTED_VALUE"""),247.79)</f>
        <v>247.79</v>
      </c>
      <c r="C640" s="1">
        <f ca="1">IFERROR(__xludf.DUMMYFUNCTION("""COMPUTED_VALUE"""),249.44)</f>
        <v>249.44</v>
      </c>
      <c r="D640" s="1">
        <f ca="1">IFERROR(__xludf.DUMMYFUNCTION("""COMPUTED_VALUE"""),236.83)</f>
        <v>236.83</v>
      </c>
      <c r="E640" s="1">
        <f ca="1">IFERROR(__xludf.DUMMYFUNCTION("""COMPUTED_VALUE"""),239.2)</f>
        <v>239.2</v>
      </c>
      <c r="F640" s="1">
        <f ca="1">IFERROR(__xludf.DUMMYFUNCTION("""COMPUTED_VALUE"""),87403903)</f>
        <v>87403903</v>
      </c>
    </row>
    <row r="641" spans="1:6" ht="12.6">
      <c r="A641" s="2">
        <f ca="1">IFERROR(__xludf.DUMMYFUNCTION("""COMPUTED_VALUE"""),45495.6666666666)</f>
        <v>45495.666666666599</v>
      </c>
      <c r="B641" s="1">
        <f ca="1">IFERROR(__xludf.DUMMYFUNCTION("""COMPUTED_VALUE"""),244.21)</f>
        <v>244.21</v>
      </c>
      <c r="C641" s="1">
        <f ca="1">IFERROR(__xludf.DUMMYFUNCTION("""COMPUTED_VALUE"""),253.21)</f>
        <v>253.21</v>
      </c>
      <c r="D641" s="1">
        <f ca="1">IFERROR(__xludf.DUMMYFUNCTION("""COMPUTED_VALUE"""),243.75)</f>
        <v>243.75</v>
      </c>
      <c r="E641" s="1">
        <f ca="1">IFERROR(__xludf.DUMMYFUNCTION("""COMPUTED_VALUE"""),251.51)</f>
        <v>251.51</v>
      </c>
      <c r="F641" s="1">
        <f ca="1">IFERROR(__xludf.DUMMYFUNCTION("""COMPUTED_VALUE"""),101225430)</f>
        <v>101225430</v>
      </c>
    </row>
    <row r="642" spans="1:6" ht="12.6">
      <c r="A642" s="2">
        <f ca="1">IFERROR(__xludf.DUMMYFUNCTION("""COMPUTED_VALUE"""),45496.6666666666)</f>
        <v>45496.666666666599</v>
      </c>
      <c r="B642" s="1">
        <f ca="1">IFERROR(__xludf.DUMMYFUNCTION("""COMPUTED_VALUE"""),253.6)</f>
        <v>253.6</v>
      </c>
      <c r="C642" s="1">
        <f ca="1">IFERROR(__xludf.DUMMYFUNCTION("""COMPUTED_VALUE"""),255.76)</f>
        <v>255.76</v>
      </c>
      <c r="D642" s="1">
        <f ca="1">IFERROR(__xludf.DUMMYFUNCTION("""COMPUTED_VALUE"""),245.63)</f>
        <v>245.63</v>
      </c>
      <c r="E642" s="1">
        <f ca="1">IFERROR(__xludf.DUMMYFUNCTION("""COMPUTED_VALUE"""),246.38)</f>
        <v>246.38</v>
      </c>
      <c r="F642" s="1">
        <f ca="1">IFERROR(__xludf.DUMMYFUNCTION("""COMPUTED_VALUE"""),111928192)</f>
        <v>111928192</v>
      </c>
    </row>
    <row r="643" spans="1:6" ht="12.6">
      <c r="A643" s="2">
        <f ca="1">IFERROR(__xludf.DUMMYFUNCTION("""COMPUTED_VALUE"""),45497.6666666666)</f>
        <v>45497.666666666599</v>
      </c>
      <c r="B643" s="1">
        <f ca="1">IFERROR(__xludf.DUMMYFUNCTION("""COMPUTED_VALUE"""),225.42)</f>
        <v>225.42</v>
      </c>
      <c r="C643" s="1">
        <f ca="1">IFERROR(__xludf.DUMMYFUNCTION("""COMPUTED_VALUE"""),225.99)</f>
        <v>225.99</v>
      </c>
      <c r="D643" s="1">
        <f ca="1">IFERROR(__xludf.DUMMYFUNCTION("""COMPUTED_VALUE"""),214.71)</f>
        <v>214.71</v>
      </c>
      <c r="E643" s="1">
        <f ca="1">IFERROR(__xludf.DUMMYFUNCTION("""COMPUTED_VALUE"""),215.99)</f>
        <v>215.99</v>
      </c>
      <c r="F643" s="1">
        <f ca="1">IFERROR(__xludf.DUMMYFUNCTION("""COMPUTED_VALUE"""),167942939)</f>
        <v>167942939</v>
      </c>
    </row>
    <row r="644" spans="1:6" ht="12.6">
      <c r="A644" s="2">
        <f ca="1">IFERROR(__xludf.DUMMYFUNCTION("""COMPUTED_VALUE"""),45498.6666666666)</f>
        <v>45498.666666666599</v>
      </c>
      <c r="B644" s="1">
        <f ca="1">IFERROR(__xludf.DUMMYFUNCTION("""COMPUTED_VALUE"""),216.8)</f>
        <v>216.8</v>
      </c>
      <c r="C644" s="1">
        <f ca="1">IFERROR(__xludf.DUMMYFUNCTION("""COMPUTED_VALUE"""),226)</f>
        <v>226</v>
      </c>
      <c r="D644" s="1">
        <f ca="1">IFERROR(__xludf.DUMMYFUNCTION("""COMPUTED_VALUE"""),216.23)</f>
        <v>216.23</v>
      </c>
      <c r="E644" s="1">
        <f ca="1">IFERROR(__xludf.DUMMYFUNCTION("""COMPUTED_VALUE"""),220.25)</f>
        <v>220.25</v>
      </c>
      <c r="F644" s="1">
        <f ca="1">IFERROR(__xludf.DUMMYFUNCTION("""COMPUTED_VALUE"""),100636466)</f>
        <v>100636466</v>
      </c>
    </row>
    <row r="645" spans="1:6" ht="12.6">
      <c r="A645" s="2">
        <f ca="1">IFERROR(__xludf.DUMMYFUNCTION("""COMPUTED_VALUE"""),45499.6666666666)</f>
        <v>45499.666666666599</v>
      </c>
      <c r="B645" s="1">
        <f ca="1">IFERROR(__xludf.DUMMYFUNCTION("""COMPUTED_VALUE"""),221.19)</f>
        <v>221.19</v>
      </c>
      <c r="C645" s="1">
        <f ca="1">IFERROR(__xludf.DUMMYFUNCTION("""COMPUTED_VALUE"""),222.28)</f>
        <v>222.28</v>
      </c>
      <c r="D645" s="1">
        <f ca="1">IFERROR(__xludf.DUMMYFUNCTION("""COMPUTED_VALUE"""),215.33)</f>
        <v>215.33</v>
      </c>
      <c r="E645" s="1">
        <f ca="1">IFERROR(__xludf.DUMMYFUNCTION("""COMPUTED_VALUE"""),219.8)</f>
        <v>219.8</v>
      </c>
      <c r="F645" s="1">
        <f ca="1">IFERROR(__xludf.DUMMYFUNCTION("""COMPUTED_VALUE"""),94604145)</f>
        <v>94604145</v>
      </c>
    </row>
    <row r="646" spans="1:6" ht="12.6">
      <c r="A646" s="2">
        <f ca="1">IFERROR(__xludf.DUMMYFUNCTION("""COMPUTED_VALUE"""),45502.6666666666)</f>
        <v>45502.666666666599</v>
      </c>
      <c r="B646" s="1">
        <f ca="1">IFERROR(__xludf.DUMMYFUNCTION("""COMPUTED_VALUE"""),224.9)</f>
        <v>224.9</v>
      </c>
      <c r="C646" s="1">
        <f ca="1">IFERROR(__xludf.DUMMYFUNCTION("""COMPUTED_VALUE"""),234.27)</f>
        <v>234.27</v>
      </c>
      <c r="D646" s="1">
        <f ca="1">IFERROR(__xludf.DUMMYFUNCTION("""COMPUTED_VALUE"""),224.7)</f>
        <v>224.7</v>
      </c>
      <c r="E646" s="1">
        <f ca="1">IFERROR(__xludf.DUMMYFUNCTION("""COMPUTED_VALUE"""),232.1)</f>
        <v>232.1</v>
      </c>
      <c r="F646" s="1">
        <f ca="1">IFERROR(__xludf.DUMMYFUNCTION("""COMPUTED_VALUE"""),129201789)</f>
        <v>129201789</v>
      </c>
    </row>
    <row r="647" spans="1:6" ht="12.6">
      <c r="A647" s="2">
        <f ca="1">IFERROR(__xludf.DUMMYFUNCTION("""COMPUTED_VALUE"""),45503.6666666666)</f>
        <v>45503.666666666599</v>
      </c>
      <c r="B647" s="1">
        <f ca="1">IFERROR(__xludf.DUMMYFUNCTION("""COMPUTED_VALUE"""),232.25)</f>
        <v>232.25</v>
      </c>
      <c r="C647" s="1">
        <f ca="1">IFERROR(__xludf.DUMMYFUNCTION("""COMPUTED_VALUE"""),232.41)</f>
        <v>232.41</v>
      </c>
      <c r="D647" s="1">
        <f ca="1">IFERROR(__xludf.DUMMYFUNCTION("""COMPUTED_VALUE"""),220)</f>
        <v>220</v>
      </c>
      <c r="E647" s="1">
        <f ca="1">IFERROR(__xludf.DUMMYFUNCTION("""COMPUTED_VALUE"""),222.62)</f>
        <v>222.62</v>
      </c>
      <c r="F647" s="1">
        <f ca="1">IFERROR(__xludf.DUMMYFUNCTION("""COMPUTED_VALUE"""),100560334)</f>
        <v>100560334</v>
      </c>
    </row>
    <row r="648" spans="1:6" ht="12.6">
      <c r="A648" s="2">
        <f ca="1">IFERROR(__xludf.DUMMYFUNCTION("""COMPUTED_VALUE"""),45504.6666666666)</f>
        <v>45504.666666666599</v>
      </c>
      <c r="B648" s="1">
        <f ca="1">IFERROR(__xludf.DUMMYFUNCTION("""COMPUTED_VALUE"""),227.9)</f>
        <v>227.9</v>
      </c>
      <c r="C648" s="1">
        <f ca="1">IFERROR(__xludf.DUMMYFUNCTION("""COMPUTED_VALUE"""),234.68)</f>
        <v>234.68</v>
      </c>
      <c r="D648" s="1">
        <f ca="1">IFERROR(__xludf.DUMMYFUNCTION("""COMPUTED_VALUE"""),226.79)</f>
        <v>226.79</v>
      </c>
      <c r="E648" s="1">
        <f ca="1">IFERROR(__xludf.DUMMYFUNCTION("""COMPUTED_VALUE"""),232.07)</f>
        <v>232.07</v>
      </c>
      <c r="F648" s="1">
        <f ca="1">IFERROR(__xludf.DUMMYFUNCTION("""COMPUTED_VALUE"""),67497011)</f>
        <v>67497011</v>
      </c>
    </row>
    <row r="649" spans="1:6" ht="12.6">
      <c r="A649" s="2">
        <f ca="1">IFERROR(__xludf.DUMMYFUNCTION("""COMPUTED_VALUE"""),45505.6666666666)</f>
        <v>45505.666666666599</v>
      </c>
      <c r="B649" s="1">
        <f ca="1">IFERROR(__xludf.DUMMYFUNCTION("""COMPUTED_VALUE"""),227.69)</f>
        <v>227.69</v>
      </c>
      <c r="C649" s="1">
        <f ca="1">IFERROR(__xludf.DUMMYFUNCTION("""COMPUTED_VALUE"""),231.87)</f>
        <v>231.87</v>
      </c>
      <c r="D649" s="1">
        <f ca="1">IFERROR(__xludf.DUMMYFUNCTION("""COMPUTED_VALUE"""),214.33)</f>
        <v>214.33</v>
      </c>
      <c r="E649" s="1">
        <f ca="1">IFERROR(__xludf.DUMMYFUNCTION("""COMPUTED_VALUE"""),216.86)</f>
        <v>216.86</v>
      </c>
      <c r="F649" s="1">
        <f ca="1">IFERROR(__xludf.DUMMYFUNCTION("""COMPUTED_VALUE"""),83861898)</f>
        <v>83861898</v>
      </c>
    </row>
    <row r="650" spans="1:6" ht="12.6">
      <c r="A650" s="2">
        <f ca="1">IFERROR(__xludf.DUMMYFUNCTION("""COMPUTED_VALUE"""),45506.6666666666)</f>
        <v>45506.666666666599</v>
      </c>
      <c r="B650" s="1">
        <f ca="1">IFERROR(__xludf.DUMMYFUNCTION("""COMPUTED_VALUE"""),214.88)</f>
        <v>214.88</v>
      </c>
      <c r="C650" s="1">
        <f ca="1">IFERROR(__xludf.DUMMYFUNCTION("""COMPUTED_VALUE"""),216.13)</f>
        <v>216.13</v>
      </c>
      <c r="D650" s="1">
        <f ca="1">IFERROR(__xludf.DUMMYFUNCTION("""COMPUTED_VALUE"""),205.78)</f>
        <v>205.78</v>
      </c>
      <c r="E650" s="1">
        <f ca="1">IFERROR(__xludf.DUMMYFUNCTION("""COMPUTED_VALUE"""),207.67)</f>
        <v>207.67</v>
      </c>
      <c r="F650" s="1">
        <f ca="1">IFERROR(__xludf.DUMMYFUNCTION("""COMPUTED_VALUE"""),82880120)</f>
        <v>82880120</v>
      </c>
    </row>
    <row r="651" spans="1:6" ht="12.6">
      <c r="A651" s="2">
        <f ca="1">IFERROR(__xludf.DUMMYFUNCTION("""COMPUTED_VALUE"""),45509.6666666666)</f>
        <v>45509.666666666599</v>
      </c>
      <c r="B651" s="1">
        <f ca="1">IFERROR(__xludf.DUMMYFUNCTION("""COMPUTED_VALUE"""),185.22)</f>
        <v>185.22</v>
      </c>
      <c r="C651" s="1">
        <f ca="1">IFERROR(__xludf.DUMMYFUNCTION("""COMPUTED_VALUE"""),203.88)</f>
        <v>203.88</v>
      </c>
      <c r="D651" s="1">
        <f ca="1">IFERROR(__xludf.DUMMYFUNCTION("""COMPUTED_VALUE"""),182)</f>
        <v>182</v>
      </c>
      <c r="E651" s="1">
        <f ca="1">IFERROR(__xludf.DUMMYFUNCTION("""COMPUTED_VALUE"""),198.88)</f>
        <v>198.88</v>
      </c>
      <c r="F651" s="1">
        <f ca="1">IFERROR(__xludf.DUMMYFUNCTION("""COMPUTED_VALUE"""),100308836)</f>
        <v>100308836</v>
      </c>
    </row>
    <row r="652" spans="1:6" ht="12.6">
      <c r="A652" s="2">
        <f ca="1">IFERROR(__xludf.DUMMYFUNCTION("""COMPUTED_VALUE"""),45510.6666666666)</f>
        <v>45510.666666666599</v>
      </c>
      <c r="B652" s="1">
        <f ca="1">IFERROR(__xludf.DUMMYFUNCTION("""COMPUTED_VALUE"""),200.75)</f>
        <v>200.75</v>
      </c>
      <c r="C652" s="1">
        <f ca="1">IFERROR(__xludf.DUMMYFUNCTION("""COMPUTED_VALUE"""),202.9)</f>
        <v>202.9</v>
      </c>
      <c r="D652" s="1">
        <f ca="1">IFERROR(__xludf.DUMMYFUNCTION("""COMPUTED_VALUE"""),192.67)</f>
        <v>192.67</v>
      </c>
      <c r="E652" s="1">
        <f ca="1">IFERROR(__xludf.DUMMYFUNCTION("""COMPUTED_VALUE"""),200.64)</f>
        <v>200.64</v>
      </c>
      <c r="F652" s="1">
        <f ca="1">IFERROR(__xludf.DUMMYFUNCTION("""COMPUTED_VALUE"""),73783942)</f>
        <v>73783942</v>
      </c>
    </row>
    <row r="653" spans="1:6" ht="12.6">
      <c r="A653" s="2">
        <f ca="1">IFERROR(__xludf.DUMMYFUNCTION("""COMPUTED_VALUE"""),45511.6666666666)</f>
        <v>45511.666666666599</v>
      </c>
      <c r="B653" s="1">
        <f ca="1">IFERROR(__xludf.DUMMYFUNCTION("""COMPUTED_VALUE"""),200.77)</f>
        <v>200.77</v>
      </c>
      <c r="C653" s="1">
        <f ca="1">IFERROR(__xludf.DUMMYFUNCTION("""COMPUTED_VALUE"""),203.49)</f>
        <v>203.49</v>
      </c>
      <c r="D653" s="1">
        <f ca="1">IFERROR(__xludf.DUMMYFUNCTION("""COMPUTED_VALUE"""),191.48)</f>
        <v>191.48</v>
      </c>
      <c r="E653" s="1">
        <f ca="1">IFERROR(__xludf.DUMMYFUNCTION("""COMPUTED_VALUE"""),191.76)</f>
        <v>191.76</v>
      </c>
      <c r="F653" s="1">
        <f ca="1">IFERROR(__xludf.DUMMYFUNCTION("""COMPUTED_VALUE"""),71159778)</f>
        <v>71159778</v>
      </c>
    </row>
    <row r="654" spans="1:6" ht="12.6">
      <c r="A654" s="2">
        <f ca="1">IFERROR(__xludf.DUMMYFUNCTION("""COMPUTED_VALUE"""),45512.6666666666)</f>
        <v>45512.666666666599</v>
      </c>
      <c r="B654" s="1">
        <f ca="1">IFERROR(__xludf.DUMMYFUNCTION("""COMPUTED_VALUE"""),195.7)</f>
        <v>195.7</v>
      </c>
      <c r="C654" s="1">
        <f ca="1">IFERROR(__xludf.DUMMYFUNCTION("""COMPUTED_VALUE"""),200.7)</f>
        <v>200.7</v>
      </c>
      <c r="D654" s="1">
        <f ca="1">IFERROR(__xludf.DUMMYFUNCTION("""COMPUTED_VALUE"""),192.04)</f>
        <v>192.04</v>
      </c>
      <c r="E654" s="1">
        <f ca="1">IFERROR(__xludf.DUMMYFUNCTION("""COMPUTED_VALUE"""),198.84)</f>
        <v>198.84</v>
      </c>
      <c r="F654" s="1">
        <f ca="1">IFERROR(__xludf.DUMMYFUNCTION("""COMPUTED_VALUE"""),65033874)</f>
        <v>65033874</v>
      </c>
    </row>
    <row r="655" spans="1:6" ht="12.6">
      <c r="A655" s="2">
        <f ca="1">IFERROR(__xludf.DUMMYFUNCTION("""COMPUTED_VALUE"""),45513.6666666666)</f>
        <v>45513.666666666599</v>
      </c>
      <c r="B655" s="1">
        <f ca="1">IFERROR(__xludf.DUMMYFUNCTION("""COMPUTED_VALUE"""),197.05)</f>
        <v>197.05</v>
      </c>
      <c r="C655" s="1">
        <f ca="1">IFERROR(__xludf.DUMMYFUNCTION("""COMPUTED_VALUE"""),200.88)</f>
        <v>200.88</v>
      </c>
      <c r="D655" s="1">
        <f ca="1">IFERROR(__xludf.DUMMYFUNCTION("""COMPUTED_VALUE"""),195.11)</f>
        <v>195.11</v>
      </c>
      <c r="E655" s="1">
        <f ca="1">IFERROR(__xludf.DUMMYFUNCTION("""COMPUTED_VALUE"""),200)</f>
        <v>200</v>
      </c>
      <c r="F655" s="1">
        <f ca="1">IFERROR(__xludf.DUMMYFUNCTION("""COMPUTED_VALUE"""),58648274)</f>
        <v>58648274</v>
      </c>
    </row>
    <row r="656" spans="1:6" ht="12.6">
      <c r="A656" s="2">
        <f ca="1">IFERROR(__xludf.DUMMYFUNCTION("""COMPUTED_VALUE"""),45516.6666666666)</f>
        <v>45516.666666666599</v>
      </c>
      <c r="B656" s="1">
        <f ca="1">IFERROR(__xludf.DUMMYFUNCTION("""COMPUTED_VALUE"""),199.02)</f>
        <v>199.02</v>
      </c>
      <c r="C656" s="1">
        <f ca="1">IFERROR(__xludf.DUMMYFUNCTION("""COMPUTED_VALUE"""),199.26)</f>
        <v>199.26</v>
      </c>
      <c r="D656" s="1">
        <f ca="1">IFERROR(__xludf.DUMMYFUNCTION("""COMPUTED_VALUE"""),194.67)</f>
        <v>194.67</v>
      </c>
      <c r="E656" s="1">
        <f ca="1">IFERROR(__xludf.DUMMYFUNCTION("""COMPUTED_VALUE"""),197.49)</f>
        <v>197.49</v>
      </c>
      <c r="F656" s="1">
        <f ca="1">IFERROR(__xludf.DUMMYFUNCTION("""COMPUTED_VALUE"""),64044903)</f>
        <v>64044903</v>
      </c>
    </row>
    <row r="657" spans="1:6" ht="12.6">
      <c r="A657" s="2">
        <f ca="1">IFERROR(__xludf.DUMMYFUNCTION("""COMPUTED_VALUE"""),45517.6666666666)</f>
        <v>45517.666666666599</v>
      </c>
      <c r="B657" s="1">
        <f ca="1">IFERROR(__xludf.DUMMYFUNCTION("""COMPUTED_VALUE"""),198.47)</f>
        <v>198.47</v>
      </c>
      <c r="C657" s="1">
        <f ca="1">IFERROR(__xludf.DUMMYFUNCTION("""COMPUTED_VALUE"""),208.49)</f>
        <v>208.49</v>
      </c>
      <c r="D657" s="1">
        <f ca="1">IFERROR(__xludf.DUMMYFUNCTION("""COMPUTED_VALUE"""),197.06)</f>
        <v>197.06</v>
      </c>
      <c r="E657" s="1">
        <f ca="1">IFERROR(__xludf.DUMMYFUNCTION("""COMPUTED_VALUE"""),207.83)</f>
        <v>207.83</v>
      </c>
      <c r="F657" s="1">
        <f ca="1">IFERROR(__xludf.DUMMYFUNCTION("""COMPUTED_VALUE"""),76247387)</f>
        <v>76247387</v>
      </c>
    </row>
    <row r="658" spans="1:6" ht="12.6">
      <c r="A658" s="2">
        <f ca="1">IFERROR(__xludf.DUMMYFUNCTION("""COMPUTED_VALUE"""),45518.6666666666)</f>
        <v>45518.666666666599</v>
      </c>
      <c r="B658" s="1">
        <f ca="1">IFERROR(__xludf.DUMMYFUNCTION("""COMPUTED_VALUE"""),207.39)</f>
        <v>207.39</v>
      </c>
      <c r="C658" s="1">
        <f ca="1">IFERROR(__xludf.DUMMYFUNCTION("""COMPUTED_VALUE"""),208.44)</f>
        <v>208.44</v>
      </c>
      <c r="D658" s="1">
        <f ca="1">IFERROR(__xludf.DUMMYFUNCTION("""COMPUTED_VALUE"""),198.75)</f>
        <v>198.75</v>
      </c>
      <c r="E658" s="1">
        <f ca="1">IFERROR(__xludf.DUMMYFUNCTION("""COMPUTED_VALUE"""),201.38)</f>
        <v>201.38</v>
      </c>
      <c r="F658" s="1">
        <f ca="1">IFERROR(__xludf.DUMMYFUNCTION("""COMPUTED_VALUE"""),70250014)</f>
        <v>70250014</v>
      </c>
    </row>
    <row r="659" spans="1:6" ht="12.6">
      <c r="A659" s="2">
        <f ca="1">IFERROR(__xludf.DUMMYFUNCTION("""COMPUTED_VALUE"""),45519.6666666666)</f>
        <v>45519.666666666599</v>
      </c>
      <c r="B659" s="1">
        <f ca="1">IFERROR(__xludf.DUMMYFUNCTION("""COMPUTED_VALUE"""),205.02)</f>
        <v>205.02</v>
      </c>
      <c r="C659" s="1">
        <f ca="1">IFERROR(__xludf.DUMMYFUNCTION("""COMPUTED_VALUE"""),215.88)</f>
        <v>215.88</v>
      </c>
      <c r="D659" s="1">
        <f ca="1">IFERROR(__xludf.DUMMYFUNCTION("""COMPUTED_VALUE"""),204.82)</f>
        <v>204.82</v>
      </c>
      <c r="E659" s="1">
        <f ca="1">IFERROR(__xludf.DUMMYFUNCTION("""COMPUTED_VALUE"""),214.14)</f>
        <v>214.14</v>
      </c>
      <c r="F659" s="1">
        <f ca="1">IFERROR(__xludf.DUMMYFUNCTION("""COMPUTED_VALUE"""),89848530)</f>
        <v>89848530</v>
      </c>
    </row>
    <row r="660" spans="1:6" ht="12.6">
      <c r="A660" s="2">
        <f ca="1">IFERROR(__xludf.DUMMYFUNCTION("""COMPUTED_VALUE"""),45520.6666666666)</f>
        <v>45520.666666666599</v>
      </c>
      <c r="B660" s="1">
        <f ca="1">IFERROR(__xludf.DUMMYFUNCTION("""COMPUTED_VALUE"""),211.15)</f>
        <v>211.15</v>
      </c>
      <c r="C660" s="1">
        <f ca="1">IFERROR(__xludf.DUMMYFUNCTION("""COMPUTED_VALUE"""),219.8)</f>
        <v>219.8</v>
      </c>
      <c r="D660" s="1">
        <f ca="1">IFERROR(__xludf.DUMMYFUNCTION("""COMPUTED_VALUE"""),210.8)</f>
        <v>210.8</v>
      </c>
      <c r="E660" s="1">
        <f ca="1">IFERROR(__xludf.DUMMYFUNCTION("""COMPUTED_VALUE"""),216.12)</f>
        <v>216.12</v>
      </c>
      <c r="F660" s="1">
        <f ca="1">IFERROR(__xludf.DUMMYFUNCTION("""COMPUTED_VALUE"""),88765122)</f>
        <v>88765122</v>
      </c>
    </row>
    <row r="661" spans="1:6" ht="12.6">
      <c r="A661" s="2">
        <f ca="1">IFERROR(__xludf.DUMMYFUNCTION("""COMPUTED_VALUE"""),45523.6666666666)</f>
        <v>45523.666666666599</v>
      </c>
      <c r="B661" s="1">
        <f ca="1">IFERROR(__xludf.DUMMYFUNCTION("""COMPUTED_VALUE"""),217.07)</f>
        <v>217.07</v>
      </c>
      <c r="C661" s="1">
        <f ca="1">IFERROR(__xludf.DUMMYFUNCTION("""COMPUTED_VALUE"""),222.98)</f>
        <v>222.98</v>
      </c>
      <c r="D661" s="1">
        <f ca="1">IFERROR(__xludf.DUMMYFUNCTION("""COMPUTED_VALUE"""),214.09)</f>
        <v>214.09</v>
      </c>
      <c r="E661" s="1">
        <f ca="1">IFERROR(__xludf.DUMMYFUNCTION("""COMPUTED_VALUE"""),222.72)</f>
        <v>222.72</v>
      </c>
      <c r="F661" s="1">
        <f ca="1">IFERROR(__xludf.DUMMYFUNCTION("""COMPUTED_VALUE"""),76435222)</f>
        <v>76435222</v>
      </c>
    </row>
    <row r="662" spans="1:6" ht="12.6">
      <c r="A662" s="2">
        <f ca="1">IFERROR(__xludf.DUMMYFUNCTION("""COMPUTED_VALUE"""),45524.6666666666)</f>
        <v>45524.666666666599</v>
      </c>
      <c r="B662" s="1">
        <f ca="1">IFERROR(__xludf.DUMMYFUNCTION("""COMPUTED_VALUE"""),224.88)</f>
        <v>224.88</v>
      </c>
      <c r="C662" s="1">
        <f ca="1">IFERROR(__xludf.DUMMYFUNCTION("""COMPUTED_VALUE"""),228.22)</f>
        <v>228.22</v>
      </c>
      <c r="D662" s="1">
        <f ca="1">IFERROR(__xludf.DUMMYFUNCTION("""COMPUTED_VALUE"""),219.56)</f>
        <v>219.56</v>
      </c>
      <c r="E662" s="1">
        <f ca="1">IFERROR(__xludf.DUMMYFUNCTION("""COMPUTED_VALUE"""),221.1)</f>
        <v>221.1</v>
      </c>
      <c r="F662" s="1">
        <f ca="1">IFERROR(__xludf.DUMMYFUNCTION("""COMPUTED_VALUE"""),74001182)</f>
        <v>74001182</v>
      </c>
    </row>
    <row r="663" spans="1:6" ht="12.6">
      <c r="A663" s="2">
        <f ca="1">IFERROR(__xludf.DUMMYFUNCTION("""COMPUTED_VALUE"""),45525.6666666666)</f>
        <v>45525.666666666599</v>
      </c>
      <c r="B663" s="1">
        <f ca="1">IFERROR(__xludf.DUMMYFUNCTION("""COMPUTED_VALUE"""),222.67)</f>
        <v>222.67</v>
      </c>
      <c r="C663" s="1">
        <f ca="1">IFERROR(__xludf.DUMMYFUNCTION("""COMPUTED_VALUE"""),224.66)</f>
        <v>224.66</v>
      </c>
      <c r="D663" s="1">
        <f ca="1">IFERROR(__xludf.DUMMYFUNCTION("""COMPUTED_VALUE"""),218.86)</f>
        <v>218.86</v>
      </c>
      <c r="E663" s="1">
        <f ca="1">IFERROR(__xludf.DUMMYFUNCTION("""COMPUTED_VALUE"""),223.27)</f>
        <v>223.27</v>
      </c>
      <c r="F663" s="1">
        <f ca="1">IFERROR(__xludf.DUMMYFUNCTION("""COMPUTED_VALUE"""),70145964)</f>
        <v>70145964</v>
      </c>
    </row>
    <row r="664" spans="1:6" ht="12.6">
      <c r="A664" s="2">
        <f ca="1">IFERROR(__xludf.DUMMYFUNCTION("""COMPUTED_VALUE"""),45526.6666666666)</f>
        <v>45526.666666666599</v>
      </c>
      <c r="B664" s="1">
        <f ca="1">IFERROR(__xludf.DUMMYFUNCTION("""COMPUTED_VALUE"""),223.82)</f>
        <v>223.82</v>
      </c>
      <c r="C664" s="1">
        <f ca="1">IFERROR(__xludf.DUMMYFUNCTION("""COMPUTED_VALUE"""),224.8)</f>
        <v>224.8</v>
      </c>
      <c r="D664" s="1">
        <f ca="1">IFERROR(__xludf.DUMMYFUNCTION("""COMPUTED_VALUE"""),210.32)</f>
        <v>210.32</v>
      </c>
      <c r="E664" s="1">
        <f ca="1">IFERROR(__xludf.DUMMYFUNCTION("""COMPUTED_VALUE"""),210.66)</f>
        <v>210.66</v>
      </c>
      <c r="F664" s="1">
        <f ca="1">IFERROR(__xludf.DUMMYFUNCTION("""COMPUTED_VALUE"""),79514482)</f>
        <v>79514482</v>
      </c>
    </row>
    <row r="665" spans="1:6" ht="12.6">
      <c r="A665" s="2">
        <f ca="1">IFERROR(__xludf.DUMMYFUNCTION("""COMPUTED_VALUE"""),45527.6666666666)</f>
        <v>45527.666666666599</v>
      </c>
      <c r="B665" s="1">
        <f ca="1">IFERROR(__xludf.DUMMYFUNCTION("""COMPUTED_VALUE"""),214.46)</f>
        <v>214.46</v>
      </c>
      <c r="C665" s="1">
        <f ca="1">IFERROR(__xludf.DUMMYFUNCTION("""COMPUTED_VALUE"""),221.48)</f>
        <v>221.48</v>
      </c>
      <c r="D665" s="1">
        <f ca="1">IFERROR(__xludf.DUMMYFUNCTION("""COMPUTED_VALUE"""),214.21)</f>
        <v>214.21</v>
      </c>
      <c r="E665" s="1">
        <f ca="1">IFERROR(__xludf.DUMMYFUNCTION("""COMPUTED_VALUE"""),220.32)</f>
        <v>220.32</v>
      </c>
      <c r="F665" s="1">
        <f ca="1">IFERROR(__xludf.DUMMYFUNCTION("""COMPUTED_VALUE"""),81525207)</f>
        <v>81525207</v>
      </c>
    </row>
    <row r="666" spans="1:6" ht="12.6">
      <c r="A666" s="2">
        <f ca="1">IFERROR(__xludf.DUMMYFUNCTION("""COMPUTED_VALUE"""),45530.6666666666)</f>
        <v>45530.666666666599</v>
      </c>
      <c r="B666" s="1">
        <f ca="1">IFERROR(__xludf.DUMMYFUNCTION("""COMPUTED_VALUE"""),218.75)</f>
        <v>218.75</v>
      </c>
      <c r="C666" s="1">
        <f ca="1">IFERROR(__xludf.DUMMYFUNCTION("""COMPUTED_VALUE"""),219.09)</f>
        <v>219.09</v>
      </c>
      <c r="D666" s="1">
        <f ca="1">IFERROR(__xludf.DUMMYFUNCTION("""COMPUTED_VALUE"""),211.01)</f>
        <v>211.01</v>
      </c>
      <c r="E666" s="1">
        <f ca="1">IFERROR(__xludf.DUMMYFUNCTION("""COMPUTED_VALUE"""),213.21)</f>
        <v>213.21</v>
      </c>
      <c r="F666" s="1">
        <f ca="1">IFERROR(__xludf.DUMMYFUNCTION("""COMPUTED_VALUE"""),59301187)</f>
        <v>59301187</v>
      </c>
    </row>
    <row r="667" spans="1:6" ht="12.6">
      <c r="A667" s="2">
        <f ca="1">IFERROR(__xludf.DUMMYFUNCTION("""COMPUTED_VALUE"""),45531.6666666666)</f>
        <v>45531.666666666599</v>
      </c>
      <c r="B667" s="1">
        <f ca="1">IFERROR(__xludf.DUMMYFUNCTION("""COMPUTED_VALUE"""),213.25)</f>
        <v>213.25</v>
      </c>
      <c r="C667" s="1">
        <f ca="1">IFERROR(__xludf.DUMMYFUNCTION("""COMPUTED_VALUE"""),215.66)</f>
        <v>215.66</v>
      </c>
      <c r="D667" s="1">
        <f ca="1">IFERROR(__xludf.DUMMYFUNCTION("""COMPUTED_VALUE"""),206.94)</f>
        <v>206.94</v>
      </c>
      <c r="E667" s="1">
        <f ca="1">IFERROR(__xludf.DUMMYFUNCTION("""COMPUTED_VALUE"""),209.21)</f>
        <v>209.21</v>
      </c>
      <c r="F667" s="1">
        <f ca="1">IFERROR(__xludf.DUMMYFUNCTION("""COMPUTED_VALUE"""),62821390)</f>
        <v>62821390</v>
      </c>
    </row>
    <row r="668" spans="1:6" ht="12.6">
      <c r="A668" s="2">
        <f ca="1">IFERROR(__xludf.DUMMYFUNCTION("""COMPUTED_VALUE"""),45532.6666666666)</f>
        <v>45532.666666666599</v>
      </c>
      <c r="B668" s="1">
        <f ca="1">IFERROR(__xludf.DUMMYFUNCTION("""COMPUTED_VALUE"""),209.72)</f>
        <v>209.72</v>
      </c>
      <c r="C668" s="1">
        <f ca="1">IFERROR(__xludf.DUMMYFUNCTION("""COMPUTED_VALUE"""),211.84)</f>
        <v>211.84</v>
      </c>
      <c r="D668" s="1">
        <f ca="1">IFERROR(__xludf.DUMMYFUNCTION("""COMPUTED_VALUE"""),202.59)</f>
        <v>202.59</v>
      </c>
      <c r="E668" s="1">
        <f ca="1">IFERROR(__xludf.DUMMYFUNCTION("""COMPUTED_VALUE"""),205.75)</f>
        <v>205.75</v>
      </c>
      <c r="F668" s="1">
        <f ca="1">IFERROR(__xludf.DUMMYFUNCTION("""COMPUTED_VALUE"""),64116350)</f>
        <v>64116350</v>
      </c>
    </row>
    <row r="669" spans="1:6" ht="12.6">
      <c r="A669" s="2">
        <f ca="1">IFERROR(__xludf.DUMMYFUNCTION("""COMPUTED_VALUE"""),45533.6666666666)</f>
        <v>45533.666666666599</v>
      </c>
      <c r="B669" s="1">
        <f ca="1">IFERROR(__xludf.DUMMYFUNCTION("""COMPUTED_VALUE"""),209.8)</f>
        <v>209.8</v>
      </c>
      <c r="C669" s="1">
        <f ca="1">IFERROR(__xludf.DUMMYFUNCTION("""COMPUTED_VALUE"""),214.89)</f>
        <v>214.89</v>
      </c>
      <c r="D669" s="1">
        <f ca="1">IFERROR(__xludf.DUMMYFUNCTION("""COMPUTED_VALUE"""),205.97)</f>
        <v>205.97</v>
      </c>
      <c r="E669" s="1">
        <f ca="1">IFERROR(__xludf.DUMMYFUNCTION("""COMPUTED_VALUE"""),206.28)</f>
        <v>206.28</v>
      </c>
      <c r="F669" s="1">
        <f ca="1">IFERROR(__xludf.DUMMYFUNCTION("""COMPUTED_VALUE"""),62308818)</f>
        <v>62308818</v>
      </c>
    </row>
    <row r="670" spans="1:6" ht="12.6">
      <c r="A670" s="2">
        <f ca="1">IFERROR(__xludf.DUMMYFUNCTION("""COMPUTED_VALUE"""),45534.6666666666)</f>
        <v>45534.666666666599</v>
      </c>
      <c r="B670" s="1">
        <f ca="1">IFERROR(__xludf.DUMMYFUNCTION("""COMPUTED_VALUE"""),208.63)</f>
        <v>208.63</v>
      </c>
      <c r="C670" s="1">
        <f ca="1">IFERROR(__xludf.DUMMYFUNCTION("""COMPUTED_VALUE"""),214.57)</f>
        <v>214.57</v>
      </c>
      <c r="D670" s="1">
        <f ca="1">IFERROR(__xludf.DUMMYFUNCTION("""COMPUTED_VALUE"""),207.03)</f>
        <v>207.03</v>
      </c>
      <c r="E670" s="1">
        <f ca="1">IFERROR(__xludf.DUMMYFUNCTION("""COMPUTED_VALUE"""),214.11)</f>
        <v>214.11</v>
      </c>
      <c r="F670" s="1">
        <f ca="1">IFERROR(__xludf.DUMMYFUNCTION("""COMPUTED_VALUE"""),63370608)</f>
        <v>63370608</v>
      </c>
    </row>
    <row r="671" spans="1:6" ht="12.6">
      <c r="A671" s="2">
        <f ca="1">IFERROR(__xludf.DUMMYFUNCTION("""COMPUTED_VALUE"""),45538.6666666666)</f>
        <v>45538.666666666599</v>
      </c>
      <c r="B671" s="1">
        <f ca="1">IFERROR(__xludf.DUMMYFUNCTION("""COMPUTED_VALUE"""),215.26)</f>
        <v>215.26</v>
      </c>
      <c r="C671" s="1">
        <f ca="1">IFERROR(__xludf.DUMMYFUNCTION("""COMPUTED_VALUE"""),219.9)</f>
        <v>219.9</v>
      </c>
      <c r="D671" s="1">
        <f ca="1">IFERROR(__xludf.DUMMYFUNCTION("""COMPUTED_VALUE"""),209.64)</f>
        <v>209.64</v>
      </c>
      <c r="E671" s="1">
        <f ca="1">IFERROR(__xludf.DUMMYFUNCTION("""COMPUTED_VALUE"""),210.6)</f>
        <v>210.6</v>
      </c>
      <c r="F671" s="1">
        <f ca="1">IFERROR(__xludf.DUMMYFUNCTION("""COMPUTED_VALUE"""),76714222)</f>
        <v>76714222</v>
      </c>
    </row>
    <row r="672" spans="1:6" ht="12.6">
      <c r="A672" s="2">
        <f ca="1">IFERROR(__xludf.DUMMYFUNCTION("""COMPUTED_VALUE"""),45539.6666666666)</f>
        <v>45539.666666666599</v>
      </c>
      <c r="B672" s="1">
        <f ca="1">IFERROR(__xludf.DUMMYFUNCTION("""COMPUTED_VALUE"""),210.59)</f>
        <v>210.59</v>
      </c>
      <c r="C672" s="1">
        <f ca="1">IFERROR(__xludf.DUMMYFUNCTION("""COMPUTED_VALUE"""),222.22)</f>
        <v>222.22</v>
      </c>
      <c r="D672" s="1">
        <f ca="1">IFERROR(__xludf.DUMMYFUNCTION("""COMPUTED_VALUE"""),210.57)</f>
        <v>210.57</v>
      </c>
      <c r="E672" s="1">
        <f ca="1">IFERROR(__xludf.DUMMYFUNCTION("""COMPUTED_VALUE"""),219.41)</f>
        <v>219.41</v>
      </c>
      <c r="F672" s="1">
        <f ca="1">IFERROR(__xludf.DUMMYFUNCTION("""COMPUTED_VALUE"""),80651767)</f>
        <v>80651767</v>
      </c>
    </row>
    <row r="673" spans="1:6" ht="12.6">
      <c r="A673" s="2">
        <f ca="1">IFERROR(__xludf.DUMMYFUNCTION("""COMPUTED_VALUE"""),45540.6666666666)</f>
        <v>45540.666666666599</v>
      </c>
      <c r="B673" s="1">
        <f ca="1">IFERROR(__xludf.DUMMYFUNCTION("""COMPUTED_VALUE"""),223.49)</f>
        <v>223.49</v>
      </c>
      <c r="C673" s="1">
        <f ca="1">IFERROR(__xludf.DUMMYFUNCTION("""COMPUTED_VALUE"""),235)</f>
        <v>235</v>
      </c>
      <c r="D673" s="1">
        <f ca="1">IFERROR(__xludf.DUMMYFUNCTION("""COMPUTED_VALUE"""),222.25)</f>
        <v>222.25</v>
      </c>
      <c r="E673" s="1">
        <f ca="1">IFERROR(__xludf.DUMMYFUNCTION("""COMPUTED_VALUE"""),230.17)</f>
        <v>230.17</v>
      </c>
      <c r="F673" s="1">
        <f ca="1">IFERROR(__xludf.DUMMYFUNCTION("""COMPUTED_VALUE"""),119355013)</f>
        <v>119355013</v>
      </c>
    </row>
    <row r="674" spans="1:6" ht="12.6">
      <c r="A674" s="2">
        <f ca="1">IFERROR(__xludf.DUMMYFUNCTION("""COMPUTED_VALUE"""),45541.6666666666)</f>
        <v>45541.666666666599</v>
      </c>
      <c r="B674" s="1">
        <f ca="1">IFERROR(__xludf.DUMMYFUNCTION("""COMPUTED_VALUE"""),232.6)</f>
        <v>232.6</v>
      </c>
      <c r="C674" s="1">
        <f ca="1">IFERROR(__xludf.DUMMYFUNCTION("""COMPUTED_VALUE"""),233.6)</f>
        <v>233.6</v>
      </c>
      <c r="D674" s="1">
        <f ca="1">IFERROR(__xludf.DUMMYFUNCTION("""COMPUTED_VALUE"""),210.51)</f>
        <v>210.51</v>
      </c>
      <c r="E674" s="1">
        <f ca="1">IFERROR(__xludf.DUMMYFUNCTION("""COMPUTED_VALUE"""),210.73)</f>
        <v>210.73</v>
      </c>
      <c r="F674" s="1">
        <f ca="1">IFERROR(__xludf.DUMMYFUNCTION("""COMPUTED_VALUE"""),112177004)</f>
        <v>112177004</v>
      </c>
    </row>
    <row r="675" spans="1:6" ht="12.6">
      <c r="A675" s="2">
        <f ca="1">IFERROR(__xludf.DUMMYFUNCTION("""COMPUTED_VALUE"""),45544.6666666666)</f>
        <v>45544.666666666599</v>
      </c>
      <c r="B675" s="1">
        <f ca="1">IFERROR(__xludf.DUMMYFUNCTION("""COMPUTED_VALUE"""),216.2)</f>
        <v>216.2</v>
      </c>
      <c r="C675" s="1">
        <f ca="1">IFERROR(__xludf.DUMMYFUNCTION("""COMPUTED_VALUE"""),219.87)</f>
        <v>219.87</v>
      </c>
      <c r="D675" s="1">
        <f ca="1">IFERROR(__xludf.DUMMYFUNCTION("""COMPUTED_VALUE"""),213.67)</f>
        <v>213.67</v>
      </c>
      <c r="E675" s="1">
        <f ca="1">IFERROR(__xludf.DUMMYFUNCTION("""COMPUTED_VALUE"""),216.27)</f>
        <v>216.27</v>
      </c>
      <c r="F675" s="1">
        <f ca="1">IFERROR(__xludf.DUMMYFUNCTION("""COMPUTED_VALUE"""),67443518)</f>
        <v>67443518</v>
      </c>
    </row>
    <row r="676" spans="1:6" ht="12.6">
      <c r="A676" s="2">
        <f ca="1">IFERROR(__xludf.DUMMYFUNCTION("""COMPUTED_VALUE"""),45545.6666666666)</f>
        <v>45545.666666666599</v>
      </c>
      <c r="B676" s="1">
        <f ca="1">IFERROR(__xludf.DUMMYFUNCTION("""COMPUTED_VALUE"""),220.07)</f>
        <v>220.07</v>
      </c>
      <c r="C676" s="1">
        <f ca="1">IFERROR(__xludf.DUMMYFUNCTION("""COMPUTED_VALUE"""),226.4)</f>
        <v>226.4</v>
      </c>
      <c r="D676" s="1">
        <f ca="1">IFERROR(__xludf.DUMMYFUNCTION("""COMPUTED_VALUE"""),218.64)</f>
        <v>218.64</v>
      </c>
      <c r="E676" s="1">
        <f ca="1">IFERROR(__xludf.DUMMYFUNCTION("""COMPUTED_VALUE"""),226.17)</f>
        <v>226.17</v>
      </c>
      <c r="F676" s="1">
        <f ca="1">IFERROR(__xludf.DUMMYFUNCTION("""COMPUTED_VALUE"""),78891136)</f>
        <v>78891136</v>
      </c>
    </row>
    <row r="677" spans="1:6" ht="12.6">
      <c r="A677" s="2">
        <f ca="1">IFERROR(__xludf.DUMMYFUNCTION("""COMPUTED_VALUE"""),45546.6666666666)</f>
        <v>45546.666666666599</v>
      </c>
      <c r="B677" s="1">
        <f ca="1">IFERROR(__xludf.DUMMYFUNCTION("""COMPUTED_VALUE"""),224.55)</f>
        <v>224.55</v>
      </c>
      <c r="C677" s="1">
        <f ca="1">IFERROR(__xludf.DUMMYFUNCTION("""COMPUTED_VALUE"""),228.47)</f>
        <v>228.47</v>
      </c>
      <c r="D677" s="1">
        <f ca="1">IFERROR(__xludf.DUMMYFUNCTION("""COMPUTED_VALUE"""),216.8)</f>
        <v>216.8</v>
      </c>
      <c r="E677" s="1">
        <f ca="1">IFERROR(__xludf.DUMMYFUNCTION("""COMPUTED_VALUE"""),228.13)</f>
        <v>228.13</v>
      </c>
      <c r="F677" s="1">
        <f ca="1">IFERROR(__xludf.DUMMYFUNCTION("""COMPUTED_VALUE"""),83548633)</f>
        <v>83548633</v>
      </c>
    </row>
    <row r="678" spans="1:6" ht="12.6">
      <c r="A678" s="2">
        <f ca="1">IFERROR(__xludf.DUMMYFUNCTION("""COMPUTED_VALUE"""),45547.6666666666)</f>
        <v>45547.666666666599</v>
      </c>
      <c r="B678" s="1">
        <f ca="1">IFERROR(__xludf.DUMMYFUNCTION("""COMPUTED_VALUE"""),224.66)</f>
        <v>224.66</v>
      </c>
      <c r="C678" s="1">
        <f ca="1">IFERROR(__xludf.DUMMYFUNCTION("""COMPUTED_VALUE"""),231.45)</f>
        <v>231.45</v>
      </c>
      <c r="D678" s="1">
        <f ca="1">IFERROR(__xludf.DUMMYFUNCTION("""COMPUTED_VALUE"""),223.83)</f>
        <v>223.83</v>
      </c>
      <c r="E678" s="1">
        <f ca="1">IFERROR(__xludf.DUMMYFUNCTION("""COMPUTED_VALUE"""),229.81)</f>
        <v>229.81</v>
      </c>
      <c r="F678" s="1">
        <f ca="1">IFERROR(__xludf.DUMMYFUNCTION("""COMPUTED_VALUE"""),72020042)</f>
        <v>72020042</v>
      </c>
    </row>
    <row r="679" spans="1:6" ht="12.6">
      <c r="A679" s="2">
        <f ca="1">IFERROR(__xludf.DUMMYFUNCTION("""COMPUTED_VALUE"""),45548.6666666666)</f>
        <v>45548.666666666599</v>
      </c>
      <c r="B679" s="1">
        <f ca="1">IFERROR(__xludf.DUMMYFUNCTION("""COMPUTED_VALUE"""),228)</f>
        <v>228</v>
      </c>
      <c r="C679" s="1">
        <f ca="1">IFERROR(__xludf.DUMMYFUNCTION("""COMPUTED_VALUE"""),232.67)</f>
        <v>232.67</v>
      </c>
      <c r="D679" s="1">
        <f ca="1">IFERROR(__xludf.DUMMYFUNCTION("""COMPUTED_VALUE"""),226.32)</f>
        <v>226.32</v>
      </c>
      <c r="E679" s="1">
        <f ca="1">IFERROR(__xludf.DUMMYFUNCTION("""COMPUTED_VALUE"""),230.29)</f>
        <v>230.29</v>
      </c>
      <c r="F679" s="1">
        <f ca="1">IFERROR(__xludf.DUMMYFUNCTION("""COMPUTED_VALUE"""),59515114)</f>
        <v>59515114</v>
      </c>
    </row>
    <row r="680" spans="1:6" ht="12.6">
      <c r="A680" s="2">
        <f ca="1">IFERROR(__xludf.DUMMYFUNCTION("""COMPUTED_VALUE"""),45551.6666666666)</f>
        <v>45551.666666666599</v>
      </c>
      <c r="B680" s="1">
        <f ca="1">IFERROR(__xludf.DUMMYFUNCTION("""COMPUTED_VALUE"""),229.3)</f>
        <v>229.3</v>
      </c>
      <c r="C680" s="1">
        <f ca="1">IFERROR(__xludf.DUMMYFUNCTION("""COMPUTED_VALUE"""),229.96)</f>
        <v>229.96</v>
      </c>
      <c r="D680" s="1">
        <f ca="1">IFERROR(__xludf.DUMMYFUNCTION("""COMPUTED_VALUE"""),223.53)</f>
        <v>223.53</v>
      </c>
      <c r="E680" s="1">
        <f ca="1">IFERROR(__xludf.DUMMYFUNCTION("""COMPUTED_VALUE"""),226.78)</f>
        <v>226.78</v>
      </c>
      <c r="F680" s="1">
        <f ca="1">IFERROR(__xludf.DUMMYFUNCTION("""COMPUTED_VALUE"""),54322995)</f>
        <v>54322995</v>
      </c>
    </row>
    <row r="681" spans="1:6" ht="12.6">
      <c r="A681" s="2">
        <f ca="1">IFERROR(__xludf.DUMMYFUNCTION("""COMPUTED_VALUE"""),45552.6666666666)</f>
        <v>45552.666666666599</v>
      </c>
      <c r="B681" s="1">
        <f ca="1">IFERROR(__xludf.DUMMYFUNCTION("""COMPUTED_VALUE"""),229.45)</f>
        <v>229.45</v>
      </c>
      <c r="C681" s="1">
        <f ca="1">IFERROR(__xludf.DUMMYFUNCTION("""COMPUTED_VALUE"""),234.57)</f>
        <v>234.57</v>
      </c>
      <c r="D681" s="1">
        <f ca="1">IFERROR(__xludf.DUMMYFUNCTION("""COMPUTED_VALUE"""),226.55)</f>
        <v>226.55</v>
      </c>
      <c r="E681" s="1">
        <f ca="1">IFERROR(__xludf.DUMMYFUNCTION("""COMPUTED_VALUE"""),227.87)</f>
        <v>227.87</v>
      </c>
      <c r="F681" s="1">
        <f ca="1">IFERROR(__xludf.DUMMYFUNCTION("""COMPUTED_VALUE"""),66761636)</f>
        <v>66761636</v>
      </c>
    </row>
    <row r="682" spans="1:6" ht="12.6">
      <c r="A682" s="2">
        <f ca="1">IFERROR(__xludf.DUMMYFUNCTION("""COMPUTED_VALUE"""),45553.6666666666)</f>
        <v>45553.666666666599</v>
      </c>
      <c r="B682" s="1">
        <f ca="1">IFERROR(__xludf.DUMMYFUNCTION("""COMPUTED_VALUE"""),230.09)</f>
        <v>230.09</v>
      </c>
      <c r="C682" s="1">
        <f ca="1">IFERROR(__xludf.DUMMYFUNCTION("""COMPUTED_VALUE"""),235.68)</f>
        <v>235.68</v>
      </c>
      <c r="D682" s="1">
        <f ca="1">IFERROR(__xludf.DUMMYFUNCTION("""COMPUTED_VALUE"""),226.88)</f>
        <v>226.88</v>
      </c>
      <c r="E682" s="1">
        <f ca="1">IFERROR(__xludf.DUMMYFUNCTION("""COMPUTED_VALUE"""),227.2)</f>
        <v>227.2</v>
      </c>
      <c r="F682" s="1">
        <f ca="1">IFERROR(__xludf.DUMMYFUNCTION("""COMPUTED_VALUE"""),78010204)</f>
        <v>78010204</v>
      </c>
    </row>
    <row r="683" spans="1:6" ht="12.6">
      <c r="A683" s="2">
        <f ca="1">IFERROR(__xludf.DUMMYFUNCTION("""COMPUTED_VALUE"""),45554.6666666666)</f>
        <v>45554.666666666599</v>
      </c>
      <c r="B683" s="1">
        <f ca="1">IFERROR(__xludf.DUMMYFUNCTION("""COMPUTED_VALUE"""),234)</f>
        <v>234</v>
      </c>
      <c r="C683" s="1">
        <f ca="1">IFERROR(__xludf.DUMMYFUNCTION("""COMPUTED_VALUE"""),244.24)</f>
        <v>244.24</v>
      </c>
      <c r="D683" s="1">
        <f ca="1">IFERROR(__xludf.DUMMYFUNCTION("""COMPUTED_VALUE"""),232.13)</f>
        <v>232.13</v>
      </c>
      <c r="E683" s="1">
        <f ca="1">IFERROR(__xludf.DUMMYFUNCTION("""COMPUTED_VALUE"""),243.92)</f>
        <v>243.92</v>
      </c>
      <c r="F683" s="1">
        <f ca="1">IFERROR(__xludf.DUMMYFUNCTION("""COMPUTED_VALUE"""),102694576)</f>
        <v>102694576</v>
      </c>
    </row>
    <row r="684" spans="1:6" ht="12.6">
      <c r="A684" s="2">
        <f ca="1">IFERROR(__xludf.DUMMYFUNCTION("""COMPUTED_VALUE"""),45555.6666666666)</f>
        <v>45555.666666666599</v>
      </c>
      <c r="B684" s="1">
        <f ca="1">IFERROR(__xludf.DUMMYFUNCTION("""COMPUTED_VALUE"""),241.52)</f>
        <v>241.52</v>
      </c>
      <c r="C684" s="1">
        <f ca="1">IFERROR(__xludf.DUMMYFUNCTION("""COMPUTED_VALUE"""),243.99)</f>
        <v>243.99</v>
      </c>
      <c r="D684" s="1">
        <f ca="1">IFERROR(__xludf.DUMMYFUNCTION("""COMPUTED_VALUE"""),235.92)</f>
        <v>235.92</v>
      </c>
      <c r="E684" s="1">
        <f ca="1">IFERROR(__xludf.DUMMYFUNCTION("""COMPUTED_VALUE"""),238.25)</f>
        <v>238.25</v>
      </c>
      <c r="F684" s="1">
        <f ca="1">IFERROR(__xludf.DUMMYFUNCTION("""COMPUTED_VALUE"""),99879070)</f>
        <v>99879070</v>
      </c>
    </row>
    <row r="685" spans="1:6" ht="12.6">
      <c r="A685" s="2">
        <f ca="1">IFERROR(__xludf.DUMMYFUNCTION("""COMPUTED_VALUE"""),45558.6666666666)</f>
        <v>45558.666666666599</v>
      </c>
      <c r="B685" s="1">
        <f ca="1">IFERROR(__xludf.DUMMYFUNCTION("""COMPUTED_VALUE"""),242.61)</f>
        <v>242.61</v>
      </c>
      <c r="C685" s="1">
        <f ca="1">IFERROR(__xludf.DUMMYFUNCTION("""COMPUTED_VALUE"""),250)</f>
        <v>250</v>
      </c>
      <c r="D685" s="1">
        <f ca="1">IFERROR(__xludf.DUMMYFUNCTION("""COMPUTED_VALUE"""),241.92)</f>
        <v>241.92</v>
      </c>
      <c r="E685" s="1">
        <f ca="1">IFERROR(__xludf.DUMMYFUNCTION("""COMPUTED_VALUE"""),250)</f>
        <v>250</v>
      </c>
      <c r="F685" s="1">
        <f ca="1">IFERROR(__xludf.DUMMYFUNCTION("""COMPUTED_VALUE"""),86927194)</f>
        <v>86927194</v>
      </c>
    </row>
    <row r="686" spans="1:6" ht="12.6">
      <c r="A686" s="2">
        <f ca="1">IFERROR(__xludf.DUMMYFUNCTION("""COMPUTED_VALUE"""),45559.6666666666)</f>
        <v>45559.666666666599</v>
      </c>
      <c r="B686" s="1">
        <f ca="1">IFERROR(__xludf.DUMMYFUNCTION("""COMPUTED_VALUE"""),254.08)</f>
        <v>254.08</v>
      </c>
      <c r="C686" s="1">
        <f ca="1">IFERROR(__xludf.DUMMYFUNCTION("""COMPUTED_VALUE"""),257.19)</f>
        <v>257.19</v>
      </c>
      <c r="D686" s="1">
        <f ca="1">IFERROR(__xludf.DUMMYFUNCTION("""COMPUTED_VALUE"""),249.05)</f>
        <v>249.05</v>
      </c>
      <c r="E686" s="1">
        <f ca="1">IFERROR(__xludf.DUMMYFUNCTION("""COMPUTED_VALUE"""),254.27)</f>
        <v>254.27</v>
      </c>
      <c r="F686" s="1">
        <f ca="1">IFERROR(__xludf.DUMMYFUNCTION("""COMPUTED_VALUE"""),88490999)</f>
        <v>88490999</v>
      </c>
    </row>
    <row r="687" spans="1:6" ht="12.6">
      <c r="A687" s="2">
        <f ca="1">IFERROR(__xludf.DUMMYFUNCTION("""COMPUTED_VALUE"""),45560.6666666666)</f>
        <v>45560.666666666599</v>
      </c>
      <c r="B687" s="1">
        <f ca="1">IFERROR(__xludf.DUMMYFUNCTION("""COMPUTED_VALUE"""),252.54)</f>
        <v>252.54</v>
      </c>
      <c r="C687" s="1">
        <f ca="1">IFERROR(__xludf.DUMMYFUNCTION("""COMPUTED_VALUE"""),257.05)</f>
        <v>257.05</v>
      </c>
      <c r="D687" s="1">
        <f ca="1">IFERROR(__xludf.DUMMYFUNCTION("""COMPUTED_VALUE"""),252.28)</f>
        <v>252.28</v>
      </c>
      <c r="E687" s="1">
        <f ca="1">IFERROR(__xludf.DUMMYFUNCTION("""COMPUTED_VALUE"""),257.02)</f>
        <v>257.02</v>
      </c>
      <c r="F687" s="1">
        <f ca="1">IFERROR(__xludf.DUMMYFUNCTION("""COMPUTED_VALUE"""),65034318)</f>
        <v>65034318</v>
      </c>
    </row>
    <row r="688" spans="1:6" ht="12.6">
      <c r="A688" s="2">
        <f ca="1">IFERROR(__xludf.DUMMYFUNCTION("""COMPUTED_VALUE"""),45561.6666666666)</f>
        <v>45561.666666666599</v>
      </c>
      <c r="B688" s="1">
        <f ca="1">IFERROR(__xludf.DUMMYFUNCTION("""COMPUTED_VALUE"""),260.6)</f>
        <v>260.60000000000002</v>
      </c>
      <c r="C688" s="1">
        <f ca="1">IFERROR(__xludf.DUMMYFUNCTION("""COMPUTED_VALUE"""),261.75)</f>
        <v>261.75</v>
      </c>
      <c r="D688" s="1">
        <f ca="1">IFERROR(__xludf.DUMMYFUNCTION("""COMPUTED_VALUE"""),251.53)</f>
        <v>251.53</v>
      </c>
      <c r="E688" s="1">
        <f ca="1">IFERROR(__xludf.DUMMYFUNCTION("""COMPUTED_VALUE"""),254.22)</f>
        <v>254.22</v>
      </c>
      <c r="F688" s="1">
        <f ca="1">IFERROR(__xludf.DUMMYFUNCTION("""COMPUTED_VALUE"""),67142193)</f>
        <v>67142193</v>
      </c>
    </row>
    <row r="689" spans="1:6" ht="12.6">
      <c r="A689" s="2">
        <f ca="1">IFERROR(__xludf.DUMMYFUNCTION("""COMPUTED_VALUE"""),45562.6666666666)</f>
        <v>45562.666666666599</v>
      </c>
      <c r="B689" s="1">
        <f ca="1">IFERROR(__xludf.DUMMYFUNCTION("""COMPUTED_VALUE"""),257.38)</f>
        <v>257.38</v>
      </c>
      <c r="C689" s="1">
        <f ca="1">IFERROR(__xludf.DUMMYFUNCTION("""COMPUTED_VALUE"""),260.7)</f>
        <v>260.7</v>
      </c>
      <c r="D689" s="1">
        <f ca="1">IFERROR(__xludf.DUMMYFUNCTION("""COMPUTED_VALUE"""),254.12)</f>
        <v>254.12</v>
      </c>
      <c r="E689" s="1">
        <f ca="1">IFERROR(__xludf.DUMMYFUNCTION("""COMPUTED_VALUE"""),260.46)</f>
        <v>260.45999999999998</v>
      </c>
      <c r="F689" s="1">
        <f ca="1">IFERROR(__xludf.DUMMYFUNCTION("""COMPUTED_VALUE"""),70988067)</f>
        <v>70988067</v>
      </c>
    </row>
    <row r="690" spans="1:6" ht="12.6">
      <c r="A690" s="2">
        <f ca="1">IFERROR(__xludf.DUMMYFUNCTION("""COMPUTED_VALUE"""),45565.6666666666)</f>
        <v>45565.666666666599</v>
      </c>
      <c r="B690" s="1">
        <f ca="1">IFERROR(__xludf.DUMMYFUNCTION("""COMPUTED_VALUE"""),259.04)</f>
        <v>259.04000000000002</v>
      </c>
      <c r="C690" s="1">
        <f ca="1">IFERROR(__xludf.DUMMYFUNCTION("""COMPUTED_VALUE"""),264.86)</f>
        <v>264.86</v>
      </c>
      <c r="D690" s="1">
        <f ca="1">IFERROR(__xludf.DUMMYFUNCTION("""COMPUTED_VALUE"""),255.77)</f>
        <v>255.77</v>
      </c>
      <c r="E690" s="1">
        <f ca="1">IFERROR(__xludf.DUMMYFUNCTION("""COMPUTED_VALUE"""),261.63)</f>
        <v>261.63</v>
      </c>
      <c r="F690" s="1">
        <f ca="1">IFERROR(__xludf.DUMMYFUNCTION("""COMPUTED_VALUE"""),80873381)</f>
        <v>80873381</v>
      </c>
    </row>
    <row r="691" spans="1:6" ht="12.6">
      <c r="A691" s="2">
        <f ca="1">IFERROR(__xludf.DUMMYFUNCTION("""COMPUTED_VALUE"""),45566.6666666666)</f>
        <v>45566.666666666599</v>
      </c>
      <c r="B691" s="1">
        <f ca="1">IFERROR(__xludf.DUMMYFUNCTION("""COMPUTED_VALUE"""),262.67)</f>
        <v>262.67</v>
      </c>
      <c r="C691" s="1">
        <f ca="1">IFERROR(__xludf.DUMMYFUNCTION("""COMPUTED_VALUE"""),263.98)</f>
        <v>263.98</v>
      </c>
      <c r="D691" s="1">
        <f ca="1">IFERROR(__xludf.DUMMYFUNCTION("""COMPUTED_VALUE"""),248.53)</f>
        <v>248.53</v>
      </c>
      <c r="E691" s="1">
        <f ca="1">IFERROR(__xludf.DUMMYFUNCTION("""COMPUTED_VALUE"""),258.02)</f>
        <v>258.02</v>
      </c>
      <c r="F691" s="1">
        <f ca="1">IFERROR(__xludf.DUMMYFUNCTION("""COMPUTED_VALUE"""),87397613)</f>
        <v>87397613</v>
      </c>
    </row>
    <row r="692" spans="1:6" ht="12.6">
      <c r="A692" s="2">
        <f ca="1">IFERROR(__xludf.DUMMYFUNCTION("""COMPUTED_VALUE"""),45567.6666666666)</f>
        <v>45567.666666666599</v>
      </c>
      <c r="B692" s="1">
        <f ca="1">IFERROR(__xludf.DUMMYFUNCTION("""COMPUTED_VALUE"""),247.55)</f>
        <v>247.55</v>
      </c>
      <c r="C692" s="1">
        <f ca="1">IFERROR(__xludf.DUMMYFUNCTION("""COMPUTED_VALUE"""),251.16)</f>
        <v>251.16</v>
      </c>
      <c r="D692" s="1">
        <f ca="1">IFERROR(__xludf.DUMMYFUNCTION("""COMPUTED_VALUE"""),241.5)</f>
        <v>241.5</v>
      </c>
      <c r="E692" s="1">
        <f ca="1">IFERROR(__xludf.DUMMYFUNCTION("""COMPUTED_VALUE"""),249.02)</f>
        <v>249.02</v>
      </c>
      <c r="F692" s="1">
        <f ca="1">IFERROR(__xludf.DUMMYFUNCTION("""COMPUTED_VALUE"""),93983930)</f>
        <v>93983930</v>
      </c>
    </row>
    <row r="693" spans="1:6" ht="12.6">
      <c r="A693" s="2">
        <f ca="1">IFERROR(__xludf.DUMMYFUNCTION("""COMPUTED_VALUE"""),45568.6666666666)</f>
        <v>45568.666666666599</v>
      </c>
      <c r="B693" s="1">
        <f ca="1">IFERROR(__xludf.DUMMYFUNCTION("""COMPUTED_VALUE"""),244.48)</f>
        <v>244.48</v>
      </c>
      <c r="C693" s="1">
        <f ca="1">IFERROR(__xludf.DUMMYFUNCTION("""COMPUTED_VALUE"""),249.79)</f>
        <v>249.79</v>
      </c>
      <c r="D693" s="1">
        <f ca="1">IFERROR(__xludf.DUMMYFUNCTION("""COMPUTED_VALUE"""),237.81)</f>
        <v>237.81</v>
      </c>
      <c r="E693" s="1">
        <f ca="1">IFERROR(__xludf.DUMMYFUNCTION("""COMPUTED_VALUE"""),240.66)</f>
        <v>240.66</v>
      </c>
      <c r="F693" s="1">
        <f ca="1">IFERROR(__xludf.DUMMYFUNCTION("""COMPUTED_VALUE"""),80729240)</f>
        <v>80729240</v>
      </c>
    </row>
    <row r="694" spans="1:6" ht="12.6">
      <c r="A694" s="2">
        <f ca="1">IFERROR(__xludf.DUMMYFUNCTION("""COMPUTED_VALUE"""),45569.6666666666)</f>
        <v>45569.666666666599</v>
      </c>
      <c r="B694" s="1">
        <f ca="1">IFERROR(__xludf.DUMMYFUNCTION("""COMPUTED_VALUE"""),246.69)</f>
        <v>246.69</v>
      </c>
      <c r="C694" s="1">
        <f ca="1">IFERROR(__xludf.DUMMYFUNCTION("""COMPUTED_VALUE"""),250.96)</f>
        <v>250.96</v>
      </c>
      <c r="D694" s="1">
        <f ca="1">IFERROR(__xludf.DUMMYFUNCTION("""COMPUTED_VALUE"""),244.58)</f>
        <v>244.58</v>
      </c>
      <c r="E694" s="1">
        <f ca="1">IFERROR(__xludf.DUMMYFUNCTION("""COMPUTED_VALUE"""),250.08)</f>
        <v>250.08</v>
      </c>
      <c r="F694" s="1">
        <f ca="1">IFERROR(__xludf.DUMMYFUNCTION("""COMPUTED_VALUE"""),86726285)</f>
        <v>86726285</v>
      </c>
    </row>
    <row r="695" spans="1:6" ht="12.6">
      <c r="A695" s="2">
        <f ca="1">IFERROR(__xludf.DUMMYFUNCTION("""COMPUTED_VALUE"""),45572.6666666666)</f>
        <v>45572.666666666599</v>
      </c>
      <c r="B695" s="1">
        <f ca="1">IFERROR(__xludf.DUMMYFUNCTION("""COMPUTED_VALUE"""),249)</f>
        <v>249</v>
      </c>
      <c r="C695" s="1">
        <f ca="1">IFERROR(__xludf.DUMMYFUNCTION("""COMPUTED_VALUE"""),249.83)</f>
        <v>249.83</v>
      </c>
      <c r="D695" s="1">
        <f ca="1">IFERROR(__xludf.DUMMYFUNCTION("""COMPUTED_VALUE"""),240.7)</f>
        <v>240.7</v>
      </c>
      <c r="E695" s="1">
        <f ca="1">IFERROR(__xludf.DUMMYFUNCTION("""COMPUTED_VALUE"""),240.83)</f>
        <v>240.83</v>
      </c>
      <c r="F695" s="1">
        <f ca="1">IFERROR(__xludf.DUMMYFUNCTION("""COMPUTED_VALUE"""),68113270)</f>
        <v>68113270</v>
      </c>
    </row>
    <row r="696" spans="1:6" ht="12.6">
      <c r="A696" s="2">
        <f ca="1">IFERROR(__xludf.DUMMYFUNCTION("""COMPUTED_VALUE"""),45573.6666666666)</f>
        <v>45573.666666666599</v>
      </c>
      <c r="B696" s="1">
        <f ca="1">IFERROR(__xludf.DUMMYFUNCTION("""COMPUTED_VALUE"""),243.56)</f>
        <v>243.56</v>
      </c>
      <c r="C696" s="1">
        <f ca="1">IFERROR(__xludf.DUMMYFUNCTION("""COMPUTED_VALUE"""),246.21)</f>
        <v>246.21</v>
      </c>
      <c r="D696" s="1">
        <f ca="1">IFERROR(__xludf.DUMMYFUNCTION("""COMPUTED_VALUE"""),240.56)</f>
        <v>240.56</v>
      </c>
      <c r="E696" s="1">
        <f ca="1">IFERROR(__xludf.DUMMYFUNCTION("""COMPUTED_VALUE"""),244.5)</f>
        <v>244.5</v>
      </c>
      <c r="F696" s="1">
        <f ca="1">IFERROR(__xludf.DUMMYFUNCTION("""COMPUTED_VALUE"""),56303160)</f>
        <v>56303160</v>
      </c>
    </row>
    <row r="697" spans="1:6" ht="12.6">
      <c r="A697" s="2">
        <f ca="1">IFERROR(__xludf.DUMMYFUNCTION("""COMPUTED_VALUE"""),45574.6666666666)</f>
        <v>45574.666666666599</v>
      </c>
      <c r="B697" s="1">
        <f ca="1">IFERROR(__xludf.DUMMYFUNCTION("""COMPUTED_VALUE"""),243.82)</f>
        <v>243.82</v>
      </c>
      <c r="C697" s="1">
        <f ca="1">IFERROR(__xludf.DUMMYFUNCTION("""COMPUTED_VALUE"""),247.43)</f>
        <v>247.43</v>
      </c>
      <c r="D697" s="1">
        <f ca="1">IFERROR(__xludf.DUMMYFUNCTION("""COMPUTED_VALUE"""),239.51)</f>
        <v>239.51</v>
      </c>
      <c r="E697" s="1">
        <f ca="1">IFERROR(__xludf.DUMMYFUNCTION("""COMPUTED_VALUE"""),241.05)</f>
        <v>241.05</v>
      </c>
      <c r="F697" s="1">
        <f ca="1">IFERROR(__xludf.DUMMYFUNCTION("""COMPUTED_VALUE"""),66289529)</f>
        <v>66289529</v>
      </c>
    </row>
    <row r="698" spans="1:6" ht="12.6">
      <c r="A698" s="2">
        <f ca="1">IFERROR(__xludf.DUMMYFUNCTION("""COMPUTED_VALUE"""),45575.6666666666)</f>
        <v>45575.666666666599</v>
      </c>
      <c r="B698" s="1">
        <f ca="1">IFERROR(__xludf.DUMMYFUNCTION("""COMPUTED_VALUE"""),241.81)</f>
        <v>241.81</v>
      </c>
      <c r="C698" s="1">
        <f ca="1">IFERROR(__xludf.DUMMYFUNCTION("""COMPUTED_VALUE"""),242.79)</f>
        <v>242.79</v>
      </c>
      <c r="D698" s="1">
        <f ca="1">IFERROR(__xludf.DUMMYFUNCTION("""COMPUTED_VALUE"""),232.34)</f>
        <v>232.34</v>
      </c>
      <c r="E698" s="1">
        <f ca="1">IFERROR(__xludf.DUMMYFUNCTION("""COMPUTED_VALUE"""),238.77)</f>
        <v>238.77</v>
      </c>
      <c r="F698" s="1">
        <f ca="1">IFERROR(__xludf.DUMMYFUNCTION("""COMPUTED_VALUE"""),83087063)</f>
        <v>83087063</v>
      </c>
    </row>
    <row r="699" spans="1:6" ht="12.6">
      <c r="A699" s="2">
        <f ca="1">IFERROR(__xludf.DUMMYFUNCTION("""COMPUTED_VALUE"""),45576.6666666666)</f>
        <v>45576.666666666599</v>
      </c>
      <c r="B699" s="1">
        <f ca="1">IFERROR(__xludf.DUMMYFUNCTION("""COMPUTED_VALUE"""),220.13)</f>
        <v>220.13</v>
      </c>
      <c r="C699" s="1">
        <f ca="1">IFERROR(__xludf.DUMMYFUNCTION("""COMPUTED_VALUE"""),223.34)</f>
        <v>223.34</v>
      </c>
      <c r="D699" s="1">
        <f ca="1">IFERROR(__xludf.DUMMYFUNCTION("""COMPUTED_VALUE"""),214.38)</f>
        <v>214.38</v>
      </c>
      <c r="E699" s="1">
        <f ca="1">IFERROR(__xludf.DUMMYFUNCTION("""COMPUTED_VALUE"""),217.8)</f>
        <v>217.8</v>
      </c>
      <c r="F699" s="1">
        <f ca="1">IFERROR(__xludf.DUMMYFUNCTION("""COMPUTED_VALUE"""),142628874)</f>
        <v>142628874</v>
      </c>
    </row>
    <row r="700" spans="1:6" ht="12.6">
      <c r="A700" s="2">
        <f ca="1">IFERROR(__xludf.DUMMYFUNCTION("""COMPUTED_VALUE"""),45579.6666666666)</f>
        <v>45579.666666666599</v>
      </c>
      <c r="B700" s="1">
        <f ca="1">IFERROR(__xludf.DUMMYFUNCTION("""COMPUTED_VALUE"""),220.13)</f>
        <v>220.13</v>
      </c>
      <c r="C700" s="1">
        <f ca="1">IFERROR(__xludf.DUMMYFUNCTION("""COMPUTED_VALUE"""),221.91)</f>
        <v>221.91</v>
      </c>
      <c r="D700" s="1">
        <f ca="1">IFERROR(__xludf.DUMMYFUNCTION("""COMPUTED_VALUE"""),213.74)</f>
        <v>213.74</v>
      </c>
      <c r="E700" s="1">
        <f ca="1">IFERROR(__xludf.DUMMYFUNCTION("""COMPUTED_VALUE"""),219.16)</f>
        <v>219.16</v>
      </c>
      <c r="F700" s="1">
        <f ca="1">IFERROR(__xludf.DUMMYFUNCTION("""COMPUTED_VALUE"""),86291923)</f>
        <v>86291923</v>
      </c>
    </row>
    <row r="701" spans="1:6" ht="12.6">
      <c r="A701" s="2">
        <f ca="1">IFERROR(__xludf.DUMMYFUNCTION("""COMPUTED_VALUE"""),45580.6666666666)</f>
        <v>45580.666666666599</v>
      </c>
      <c r="B701" s="1">
        <f ca="1">IFERROR(__xludf.DUMMYFUNCTION("""COMPUTED_VALUE"""),220.01)</f>
        <v>220.01</v>
      </c>
      <c r="C701" s="1">
        <f ca="1">IFERROR(__xludf.DUMMYFUNCTION("""COMPUTED_VALUE"""),224.26)</f>
        <v>224.26</v>
      </c>
      <c r="D701" s="1">
        <f ca="1">IFERROR(__xludf.DUMMYFUNCTION("""COMPUTED_VALUE"""),217.12)</f>
        <v>217.12</v>
      </c>
      <c r="E701" s="1">
        <f ca="1">IFERROR(__xludf.DUMMYFUNCTION("""COMPUTED_VALUE"""),219.57)</f>
        <v>219.57</v>
      </c>
      <c r="F701" s="1">
        <f ca="1">IFERROR(__xludf.DUMMYFUNCTION("""COMPUTED_VALUE"""),62988787)</f>
        <v>62988787</v>
      </c>
    </row>
    <row r="702" spans="1:6" ht="12.6">
      <c r="A702" s="2">
        <f ca="1">IFERROR(__xludf.DUMMYFUNCTION("""COMPUTED_VALUE"""),45581.6666666666)</f>
        <v>45581.666666666599</v>
      </c>
      <c r="B702" s="1">
        <f ca="1">IFERROR(__xludf.DUMMYFUNCTION("""COMPUTED_VALUE"""),221.4)</f>
        <v>221.4</v>
      </c>
      <c r="C702" s="1">
        <f ca="1">IFERROR(__xludf.DUMMYFUNCTION("""COMPUTED_VALUE"""),222.82)</f>
        <v>222.82</v>
      </c>
      <c r="D702" s="1">
        <f ca="1">IFERROR(__xludf.DUMMYFUNCTION("""COMPUTED_VALUE"""),218.93)</f>
        <v>218.93</v>
      </c>
      <c r="E702" s="1">
        <f ca="1">IFERROR(__xludf.DUMMYFUNCTION("""COMPUTED_VALUE"""),221.33)</f>
        <v>221.33</v>
      </c>
      <c r="F702" s="1">
        <f ca="1">IFERROR(__xludf.DUMMYFUNCTION("""COMPUTED_VALUE"""),49632824)</f>
        <v>49632824</v>
      </c>
    </row>
    <row r="703" spans="1:6" ht="12.6">
      <c r="A703" s="2">
        <f ca="1">IFERROR(__xludf.DUMMYFUNCTION("""COMPUTED_VALUE"""),45582.6666666666)</f>
        <v>45582.666666666599</v>
      </c>
      <c r="B703" s="1">
        <f ca="1">IFERROR(__xludf.DUMMYFUNCTION("""COMPUTED_VALUE"""),221.59)</f>
        <v>221.59</v>
      </c>
      <c r="C703" s="1">
        <f ca="1">IFERROR(__xludf.DUMMYFUNCTION("""COMPUTED_VALUE"""),222.08)</f>
        <v>222.08</v>
      </c>
      <c r="D703" s="1">
        <f ca="1">IFERROR(__xludf.DUMMYFUNCTION("""COMPUTED_VALUE"""),217.9)</f>
        <v>217.9</v>
      </c>
      <c r="E703" s="1">
        <f ca="1">IFERROR(__xludf.DUMMYFUNCTION("""COMPUTED_VALUE"""),220.89)</f>
        <v>220.89</v>
      </c>
      <c r="F703" s="1">
        <f ca="1">IFERROR(__xludf.DUMMYFUNCTION("""COMPUTED_VALUE"""),50791784)</f>
        <v>50791784</v>
      </c>
    </row>
    <row r="704" spans="1:6" ht="12.6">
      <c r="A704" s="2">
        <f ca="1">IFERROR(__xludf.DUMMYFUNCTION("""COMPUTED_VALUE"""),45583.6666666666)</f>
        <v>45583.666666666599</v>
      </c>
      <c r="B704" s="1">
        <f ca="1">IFERROR(__xludf.DUMMYFUNCTION("""COMPUTED_VALUE"""),220.71)</f>
        <v>220.71</v>
      </c>
      <c r="C704" s="1">
        <f ca="1">IFERROR(__xludf.DUMMYFUNCTION("""COMPUTED_VALUE"""),222.28)</f>
        <v>222.28</v>
      </c>
      <c r="D704" s="1">
        <f ca="1">IFERROR(__xludf.DUMMYFUNCTION("""COMPUTED_VALUE"""),219.23)</f>
        <v>219.23</v>
      </c>
      <c r="E704" s="1">
        <f ca="1">IFERROR(__xludf.DUMMYFUNCTION("""COMPUTED_VALUE"""),220.7)</f>
        <v>220.7</v>
      </c>
      <c r="F704" s="1">
        <f ca="1">IFERROR(__xludf.DUMMYFUNCTION("""COMPUTED_VALUE"""),49611867)</f>
        <v>49611867</v>
      </c>
    </row>
    <row r="705" spans="1:6" ht="12.6">
      <c r="A705" s="2">
        <f ca="1">IFERROR(__xludf.DUMMYFUNCTION("""COMPUTED_VALUE"""),45586.6666666666)</f>
        <v>45586.666666666599</v>
      </c>
      <c r="B705" s="1">
        <f ca="1">IFERROR(__xludf.DUMMYFUNCTION("""COMPUTED_VALUE"""),218.9)</f>
        <v>218.9</v>
      </c>
      <c r="C705" s="1">
        <f ca="1">IFERROR(__xludf.DUMMYFUNCTION("""COMPUTED_VALUE"""),220.48)</f>
        <v>220.48</v>
      </c>
      <c r="D705" s="1">
        <f ca="1">IFERROR(__xludf.DUMMYFUNCTION("""COMPUTED_VALUE"""),215.73)</f>
        <v>215.73</v>
      </c>
      <c r="E705" s="1">
        <f ca="1">IFERROR(__xludf.DUMMYFUNCTION("""COMPUTED_VALUE"""),218.85)</f>
        <v>218.85</v>
      </c>
      <c r="F705" s="1">
        <f ca="1">IFERROR(__xludf.DUMMYFUNCTION("""COMPUTED_VALUE"""),47328988)</f>
        <v>47328988</v>
      </c>
    </row>
    <row r="706" spans="1:6" ht="12.6">
      <c r="A706" s="2">
        <f ca="1">IFERROR(__xludf.DUMMYFUNCTION("""COMPUTED_VALUE"""),45587.6666666666)</f>
        <v>45587.666666666599</v>
      </c>
      <c r="B706" s="1">
        <f ca="1">IFERROR(__xludf.DUMMYFUNCTION("""COMPUTED_VALUE"""),217.31)</f>
        <v>217.31</v>
      </c>
      <c r="C706" s="1">
        <f ca="1">IFERROR(__xludf.DUMMYFUNCTION("""COMPUTED_VALUE"""),218.22)</f>
        <v>218.22</v>
      </c>
      <c r="D706" s="1">
        <f ca="1">IFERROR(__xludf.DUMMYFUNCTION("""COMPUTED_VALUE"""),215.26)</f>
        <v>215.26</v>
      </c>
      <c r="E706" s="1">
        <f ca="1">IFERROR(__xludf.DUMMYFUNCTION("""COMPUTED_VALUE"""),217.97)</f>
        <v>217.97</v>
      </c>
      <c r="F706" s="1">
        <f ca="1">IFERROR(__xludf.DUMMYFUNCTION("""COMPUTED_VALUE"""),43268741)</f>
        <v>43268741</v>
      </c>
    </row>
    <row r="707" spans="1:6" ht="12.6">
      <c r="A707" s="2">
        <f ca="1">IFERROR(__xludf.DUMMYFUNCTION("""COMPUTED_VALUE"""),45588.6666666666)</f>
        <v>45588.666666666599</v>
      </c>
      <c r="B707" s="1">
        <f ca="1">IFERROR(__xludf.DUMMYFUNCTION("""COMPUTED_VALUE"""),217.13)</f>
        <v>217.13</v>
      </c>
      <c r="C707" s="1">
        <f ca="1">IFERROR(__xludf.DUMMYFUNCTION("""COMPUTED_VALUE"""),218.72)</f>
        <v>218.72</v>
      </c>
      <c r="D707" s="1">
        <f ca="1">IFERROR(__xludf.DUMMYFUNCTION("""COMPUTED_VALUE"""),212.11)</f>
        <v>212.11</v>
      </c>
      <c r="E707" s="1">
        <f ca="1">IFERROR(__xludf.DUMMYFUNCTION("""COMPUTED_VALUE"""),213.65)</f>
        <v>213.65</v>
      </c>
      <c r="F707" s="1">
        <f ca="1">IFERROR(__xludf.DUMMYFUNCTION("""COMPUTED_VALUE"""),80938892)</f>
        <v>80938892</v>
      </c>
    </row>
    <row r="708" spans="1:6" ht="12.6">
      <c r="A708" s="2">
        <f ca="1">IFERROR(__xludf.DUMMYFUNCTION("""COMPUTED_VALUE"""),45589.6666666666)</f>
        <v>45589.666666666599</v>
      </c>
      <c r="B708" s="1">
        <f ca="1">IFERROR(__xludf.DUMMYFUNCTION("""COMPUTED_VALUE"""),244.68)</f>
        <v>244.68</v>
      </c>
      <c r="C708" s="1">
        <f ca="1">IFERROR(__xludf.DUMMYFUNCTION("""COMPUTED_VALUE"""),262.12)</f>
        <v>262.12</v>
      </c>
      <c r="D708" s="1">
        <f ca="1">IFERROR(__xludf.DUMMYFUNCTION("""COMPUTED_VALUE"""),242.65)</f>
        <v>242.65</v>
      </c>
      <c r="E708" s="1">
        <f ca="1">IFERROR(__xludf.DUMMYFUNCTION("""COMPUTED_VALUE"""),260.48)</f>
        <v>260.48</v>
      </c>
      <c r="F708" s="1">
        <f ca="1">IFERROR(__xludf.DUMMYFUNCTION("""COMPUTED_VALUE"""),204491903)</f>
        <v>204491903</v>
      </c>
    </row>
    <row r="709" spans="1:6" ht="12.6">
      <c r="A709" s="2">
        <f ca="1">IFERROR(__xludf.DUMMYFUNCTION("""COMPUTED_VALUE"""),45590.6666666666)</f>
        <v>45590.666666666599</v>
      </c>
      <c r="B709" s="1">
        <f ca="1">IFERROR(__xludf.DUMMYFUNCTION("""COMPUTED_VALUE"""),256.01)</f>
        <v>256.01</v>
      </c>
      <c r="C709" s="1">
        <f ca="1">IFERROR(__xludf.DUMMYFUNCTION("""COMPUTED_VALUE"""),269.49)</f>
        <v>269.49</v>
      </c>
      <c r="D709" s="1">
        <f ca="1">IFERROR(__xludf.DUMMYFUNCTION("""COMPUTED_VALUE"""),255.32)</f>
        <v>255.32</v>
      </c>
      <c r="E709" s="1">
        <f ca="1">IFERROR(__xludf.DUMMYFUNCTION("""COMPUTED_VALUE"""),269.19)</f>
        <v>269.19</v>
      </c>
      <c r="F709" s="1">
        <f ca="1">IFERROR(__xludf.DUMMYFUNCTION("""COMPUTED_VALUE"""),161611931)</f>
        <v>161611931</v>
      </c>
    </row>
    <row r="710" spans="1:6" ht="12.6">
      <c r="A710" s="2">
        <f ca="1">IFERROR(__xludf.DUMMYFUNCTION("""COMPUTED_VALUE"""),45593.6666666666)</f>
        <v>45593.666666666599</v>
      </c>
      <c r="B710" s="1">
        <f ca="1">IFERROR(__xludf.DUMMYFUNCTION("""COMPUTED_VALUE"""),270)</f>
        <v>270</v>
      </c>
      <c r="C710" s="1">
        <f ca="1">IFERROR(__xludf.DUMMYFUNCTION("""COMPUTED_VALUE"""),273.54)</f>
        <v>273.54000000000002</v>
      </c>
      <c r="D710" s="1">
        <f ca="1">IFERROR(__xludf.DUMMYFUNCTION("""COMPUTED_VALUE"""),262.24)</f>
        <v>262.24</v>
      </c>
      <c r="E710" s="1">
        <f ca="1">IFERROR(__xludf.DUMMYFUNCTION("""COMPUTED_VALUE"""),262.51)</f>
        <v>262.51</v>
      </c>
      <c r="F710" s="1">
        <f ca="1">IFERROR(__xludf.DUMMYFUNCTION("""COMPUTED_VALUE"""),107653603)</f>
        <v>107653603</v>
      </c>
    </row>
    <row r="711" spans="1:6" ht="12.6">
      <c r="A711" s="2">
        <f ca="1">IFERROR(__xludf.DUMMYFUNCTION("""COMPUTED_VALUE"""),45594.6666666666)</f>
        <v>45594.666666666599</v>
      </c>
      <c r="B711" s="1">
        <f ca="1">IFERROR(__xludf.DUMMYFUNCTION("""COMPUTED_VALUE"""),264.51)</f>
        <v>264.51</v>
      </c>
      <c r="C711" s="1">
        <f ca="1">IFERROR(__xludf.DUMMYFUNCTION("""COMPUTED_VALUE"""),264.98)</f>
        <v>264.98</v>
      </c>
      <c r="D711" s="1">
        <f ca="1">IFERROR(__xludf.DUMMYFUNCTION("""COMPUTED_VALUE"""),255.51)</f>
        <v>255.51</v>
      </c>
      <c r="E711" s="1">
        <f ca="1">IFERROR(__xludf.DUMMYFUNCTION("""COMPUTED_VALUE"""),259.52)</f>
        <v>259.52</v>
      </c>
      <c r="F711" s="1">
        <f ca="1">IFERROR(__xludf.DUMMYFUNCTION("""COMPUTED_VALUE"""),80521751)</f>
        <v>80521751</v>
      </c>
    </row>
    <row r="712" spans="1:6" ht="12.6">
      <c r="A712" s="2">
        <f ca="1">IFERROR(__xludf.DUMMYFUNCTION("""COMPUTED_VALUE"""),45595.6666666666)</f>
        <v>45595.666666666599</v>
      </c>
      <c r="B712" s="1">
        <f ca="1">IFERROR(__xludf.DUMMYFUNCTION("""COMPUTED_VALUE"""),258.04)</f>
        <v>258.04000000000002</v>
      </c>
      <c r="C712" s="1">
        <f ca="1">IFERROR(__xludf.DUMMYFUNCTION("""COMPUTED_VALUE"""),263.35)</f>
        <v>263.35000000000002</v>
      </c>
      <c r="D712" s="1">
        <f ca="1">IFERROR(__xludf.DUMMYFUNCTION("""COMPUTED_VALUE"""),255.82)</f>
        <v>255.82</v>
      </c>
      <c r="E712" s="1">
        <f ca="1">IFERROR(__xludf.DUMMYFUNCTION("""COMPUTED_VALUE"""),257.55)</f>
        <v>257.55</v>
      </c>
      <c r="F712" s="1">
        <f ca="1">IFERROR(__xludf.DUMMYFUNCTION("""COMPUTED_VALUE"""),53993576)</f>
        <v>53993576</v>
      </c>
    </row>
    <row r="713" spans="1:6" ht="12.6">
      <c r="A713" s="2">
        <f ca="1">IFERROR(__xludf.DUMMYFUNCTION("""COMPUTED_VALUE"""),45596.6666666666)</f>
        <v>45596.666666666599</v>
      </c>
      <c r="B713" s="1">
        <f ca="1">IFERROR(__xludf.DUMMYFUNCTION("""COMPUTED_VALUE"""),257.99)</f>
        <v>257.99</v>
      </c>
      <c r="C713" s="1">
        <f ca="1">IFERROR(__xludf.DUMMYFUNCTION("""COMPUTED_VALUE"""),259.75)</f>
        <v>259.75</v>
      </c>
      <c r="D713" s="1">
        <f ca="1">IFERROR(__xludf.DUMMYFUNCTION("""COMPUTED_VALUE"""),249.25)</f>
        <v>249.25</v>
      </c>
      <c r="E713" s="1">
        <f ca="1">IFERROR(__xludf.DUMMYFUNCTION("""COMPUTED_VALUE"""),249.85)</f>
        <v>249.85</v>
      </c>
      <c r="F713" s="1">
        <f ca="1">IFERROR(__xludf.DUMMYFUNCTION("""COMPUTED_VALUE"""),66575292)</f>
        <v>66575292</v>
      </c>
    </row>
    <row r="714" spans="1:6" ht="12.6">
      <c r="A714" s="2">
        <f ca="1">IFERROR(__xludf.DUMMYFUNCTION("""COMPUTED_VALUE"""),45597.6666666666)</f>
        <v>45597.666666666599</v>
      </c>
      <c r="B714" s="1">
        <f ca="1">IFERROR(__xludf.DUMMYFUNCTION("""COMPUTED_VALUE"""),252.04)</f>
        <v>252.04</v>
      </c>
      <c r="C714" s="1">
        <f ca="1">IFERROR(__xludf.DUMMYFUNCTION("""COMPUTED_VALUE"""),254)</f>
        <v>254</v>
      </c>
      <c r="D714" s="1">
        <f ca="1">IFERROR(__xludf.DUMMYFUNCTION("""COMPUTED_VALUE"""),246.63)</f>
        <v>246.63</v>
      </c>
      <c r="E714" s="1">
        <f ca="1">IFERROR(__xludf.DUMMYFUNCTION("""COMPUTED_VALUE"""),248.98)</f>
        <v>248.98</v>
      </c>
      <c r="F714" s="1">
        <f ca="1">IFERROR(__xludf.DUMMYFUNCTION("""COMPUTED_VALUE"""),57544757)</f>
        <v>57544757</v>
      </c>
    </row>
    <row r="715" spans="1:6" ht="12.6">
      <c r="A715" s="2">
        <f ca="1">IFERROR(__xludf.DUMMYFUNCTION("""COMPUTED_VALUE"""),45600.6666666666)</f>
        <v>45600.666666666599</v>
      </c>
      <c r="B715" s="1">
        <f ca="1">IFERROR(__xludf.DUMMYFUNCTION("""COMPUTED_VALUE"""),244.56)</f>
        <v>244.56</v>
      </c>
      <c r="C715" s="1">
        <f ca="1">IFERROR(__xludf.DUMMYFUNCTION("""COMPUTED_VALUE"""),248.9)</f>
        <v>248.9</v>
      </c>
      <c r="D715" s="1">
        <f ca="1">IFERROR(__xludf.DUMMYFUNCTION("""COMPUTED_VALUE"""),238.88)</f>
        <v>238.88</v>
      </c>
      <c r="E715" s="1">
        <f ca="1">IFERROR(__xludf.DUMMYFUNCTION("""COMPUTED_VALUE"""),242.84)</f>
        <v>242.84</v>
      </c>
      <c r="F715" s="1">
        <f ca="1">IFERROR(__xludf.DUMMYFUNCTION("""COMPUTED_VALUE"""),68802354)</f>
        <v>68802354</v>
      </c>
    </row>
    <row r="716" spans="1:6" ht="12.6">
      <c r="A716" s="2">
        <f ca="1">IFERROR(__xludf.DUMMYFUNCTION("""COMPUTED_VALUE"""),45601.6666666666)</f>
        <v>45601.666666666599</v>
      </c>
      <c r="B716" s="1">
        <f ca="1">IFERROR(__xludf.DUMMYFUNCTION("""COMPUTED_VALUE"""),247.34)</f>
        <v>247.34</v>
      </c>
      <c r="C716" s="1">
        <f ca="1">IFERROR(__xludf.DUMMYFUNCTION("""COMPUTED_VALUE"""),255.28)</f>
        <v>255.28</v>
      </c>
      <c r="D716" s="1">
        <f ca="1">IFERROR(__xludf.DUMMYFUNCTION("""COMPUTED_VALUE"""),246.21)</f>
        <v>246.21</v>
      </c>
      <c r="E716" s="1">
        <f ca="1">IFERROR(__xludf.DUMMYFUNCTION("""COMPUTED_VALUE"""),251.44)</f>
        <v>251.44</v>
      </c>
      <c r="F716" s="1">
        <f ca="1">IFERROR(__xludf.DUMMYFUNCTION("""COMPUTED_VALUE"""),69282505)</f>
        <v>69282505</v>
      </c>
    </row>
    <row r="717" spans="1:6" ht="12.6">
      <c r="A717" s="2">
        <f ca="1">IFERROR(__xludf.DUMMYFUNCTION("""COMPUTED_VALUE"""),45602.6666666666)</f>
        <v>45602.666666666599</v>
      </c>
      <c r="B717" s="1">
        <f ca="1">IFERROR(__xludf.DUMMYFUNCTION("""COMPUTED_VALUE"""),284.67)</f>
        <v>284.67</v>
      </c>
      <c r="C717" s="1">
        <f ca="1">IFERROR(__xludf.DUMMYFUNCTION("""COMPUTED_VALUE"""),289.59)</f>
        <v>289.58999999999997</v>
      </c>
      <c r="D717" s="1">
        <f ca="1">IFERROR(__xludf.DUMMYFUNCTION("""COMPUTED_VALUE"""),275.62)</f>
        <v>275.62</v>
      </c>
      <c r="E717" s="1">
        <f ca="1">IFERROR(__xludf.DUMMYFUNCTION("""COMPUTED_VALUE"""),288.53)</f>
        <v>288.52999999999997</v>
      </c>
      <c r="F717" s="1">
        <f ca="1">IFERROR(__xludf.DUMMYFUNCTION("""COMPUTED_VALUE"""),165228710)</f>
        <v>165228710</v>
      </c>
    </row>
    <row r="718" spans="1:6" ht="12.6">
      <c r="A718" s="2">
        <f ca="1">IFERROR(__xludf.DUMMYFUNCTION("""COMPUTED_VALUE"""),45603.6666666666)</f>
        <v>45603.666666666599</v>
      </c>
      <c r="B718" s="1">
        <f ca="1">IFERROR(__xludf.DUMMYFUNCTION("""COMPUTED_VALUE"""),288.89)</f>
        <v>288.89</v>
      </c>
      <c r="C718" s="1">
        <f ca="1">IFERROR(__xludf.DUMMYFUNCTION("""COMPUTED_VALUE"""),299.75)</f>
        <v>299.75</v>
      </c>
      <c r="D718" s="1">
        <f ca="1">IFERROR(__xludf.DUMMYFUNCTION("""COMPUTED_VALUE"""),285.52)</f>
        <v>285.52</v>
      </c>
      <c r="E718" s="1">
        <f ca="1">IFERROR(__xludf.DUMMYFUNCTION("""COMPUTED_VALUE"""),296.91)</f>
        <v>296.91000000000003</v>
      </c>
      <c r="F718" s="1">
        <f ca="1">IFERROR(__xludf.DUMMYFUNCTION("""COMPUTED_VALUE"""),117309232)</f>
        <v>117309232</v>
      </c>
    </row>
    <row r="719" spans="1:6" ht="12.6">
      <c r="A719" s="2">
        <f ca="1">IFERROR(__xludf.DUMMYFUNCTION("""COMPUTED_VALUE"""),45604.6666666666)</f>
        <v>45604.666666666599</v>
      </c>
      <c r="B719" s="1">
        <f ca="1">IFERROR(__xludf.DUMMYFUNCTION("""COMPUTED_VALUE"""),299.14)</f>
        <v>299.14</v>
      </c>
      <c r="C719" s="1">
        <f ca="1">IFERROR(__xludf.DUMMYFUNCTION("""COMPUTED_VALUE"""),328.71)</f>
        <v>328.71</v>
      </c>
      <c r="D719" s="1">
        <f ca="1">IFERROR(__xludf.DUMMYFUNCTION("""COMPUTED_VALUE"""),297.66)</f>
        <v>297.66000000000003</v>
      </c>
      <c r="E719" s="1">
        <f ca="1">IFERROR(__xludf.DUMMYFUNCTION("""COMPUTED_VALUE"""),321.22)</f>
        <v>321.22000000000003</v>
      </c>
      <c r="F719" s="1">
        <f ca="1">IFERROR(__xludf.DUMMYFUNCTION("""COMPUTED_VALUE"""),204782763)</f>
        <v>204782763</v>
      </c>
    </row>
    <row r="720" spans="1:6" ht="12.6">
      <c r="A720" s="2">
        <f ca="1">IFERROR(__xludf.DUMMYFUNCTION("""COMPUTED_VALUE"""),45607.6666666666)</f>
        <v>45607.666666666599</v>
      </c>
      <c r="B720" s="1">
        <f ca="1">IFERROR(__xludf.DUMMYFUNCTION("""COMPUTED_VALUE"""),346.3)</f>
        <v>346.3</v>
      </c>
      <c r="C720" s="1">
        <f ca="1">IFERROR(__xludf.DUMMYFUNCTION("""COMPUTED_VALUE"""),358.64)</f>
        <v>358.64</v>
      </c>
      <c r="D720" s="1">
        <f ca="1">IFERROR(__xludf.DUMMYFUNCTION("""COMPUTED_VALUE"""),336)</f>
        <v>336</v>
      </c>
      <c r="E720" s="1">
        <f ca="1">IFERROR(__xludf.DUMMYFUNCTION("""COMPUTED_VALUE"""),350)</f>
        <v>350</v>
      </c>
      <c r="F720" s="1">
        <f ca="1">IFERROR(__xludf.DUMMYFUNCTION("""COMPUTED_VALUE"""),210521625)</f>
        <v>210521625</v>
      </c>
    </row>
    <row r="721" spans="1:6" ht="12.6">
      <c r="A721" s="2">
        <f ca="1">IFERROR(__xludf.DUMMYFUNCTION("""COMPUTED_VALUE"""),45608.6666666666)</f>
        <v>45608.666666666599</v>
      </c>
      <c r="B721" s="1">
        <f ca="1">IFERROR(__xludf.DUMMYFUNCTION("""COMPUTED_VALUE"""),342.74)</f>
        <v>342.74</v>
      </c>
      <c r="C721" s="1">
        <f ca="1">IFERROR(__xludf.DUMMYFUNCTION("""COMPUTED_VALUE"""),345.84)</f>
        <v>345.84</v>
      </c>
      <c r="D721" s="1">
        <f ca="1">IFERROR(__xludf.DUMMYFUNCTION("""COMPUTED_VALUE"""),323.31)</f>
        <v>323.31</v>
      </c>
      <c r="E721" s="1">
        <f ca="1">IFERROR(__xludf.DUMMYFUNCTION("""COMPUTED_VALUE"""),328.49)</f>
        <v>328.49</v>
      </c>
      <c r="F721" s="1">
        <f ca="1">IFERROR(__xludf.DUMMYFUNCTION("""COMPUTED_VALUE"""),155726016)</f>
        <v>155726016</v>
      </c>
    </row>
    <row r="722" spans="1:6" ht="12.6">
      <c r="A722" s="2">
        <f ca="1">IFERROR(__xludf.DUMMYFUNCTION("""COMPUTED_VALUE"""),45609.6666666666)</f>
        <v>45609.666666666599</v>
      </c>
      <c r="B722" s="1">
        <f ca="1">IFERROR(__xludf.DUMMYFUNCTION("""COMPUTED_VALUE"""),335.85)</f>
        <v>335.85</v>
      </c>
      <c r="C722" s="1">
        <f ca="1">IFERROR(__xludf.DUMMYFUNCTION("""COMPUTED_VALUE"""),344.6)</f>
        <v>344.6</v>
      </c>
      <c r="D722" s="1">
        <f ca="1">IFERROR(__xludf.DUMMYFUNCTION("""COMPUTED_VALUE"""),322.5)</f>
        <v>322.5</v>
      </c>
      <c r="E722" s="1">
        <f ca="1">IFERROR(__xludf.DUMMYFUNCTION("""COMPUTED_VALUE"""),330.24)</f>
        <v>330.24</v>
      </c>
      <c r="F722" s="1">
        <f ca="1">IFERROR(__xludf.DUMMYFUNCTION("""COMPUTED_VALUE"""),125405599)</f>
        <v>125405599</v>
      </c>
    </row>
    <row r="723" spans="1:6" ht="12.6">
      <c r="A723" s="2">
        <f ca="1">IFERROR(__xludf.DUMMYFUNCTION("""COMPUTED_VALUE"""),45610.6666666666)</f>
        <v>45610.666666666599</v>
      </c>
      <c r="B723" s="1">
        <f ca="1">IFERROR(__xludf.DUMMYFUNCTION("""COMPUTED_VALUE"""),327.69)</f>
        <v>327.69</v>
      </c>
      <c r="C723" s="1">
        <f ca="1">IFERROR(__xludf.DUMMYFUNCTION("""COMPUTED_VALUE"""),329.98)</f>
        <v>329.98</v>
      </c>
      <c r="D723" s="1">
        <f ca="1">IFERROR(__xludf.DUMMYFUNCTION("""COMPUTED_VALUE"""),310.37)</f>
        <v>310.37</v>
      </c>
      <c r="E723" s="1">
        <f ca="1">IFERROR(__xludf.DUMMYFUNCTION("""COMPUTED_VALUE"""),311.18)</f>
        <v>311.18</v>
      </c>
      <c r="F723" s="1">
        <f ca="1">IFERROR(__xludf.DUMMYFUNCTION("""COMPUTED_VALUE"""),120726109)</f>
        <v>120726109</v>
      </c>
    </row>
    <row r="724" spans="1:6" ht="12.6">
      <c r="A724" s="2">
        <f ca="1">IFERROR(__xludf.DUMMYFUNCTION("""COMPUTED_VALUE"""),45611.6666666666)</f>
        <v>45611.666666666599</v>
      </c>
      <c r="B724" s="1">
        <f ca="1">IFERROR(__xludf.DUMMYFUNCTION("""COMPUTED_VALUE"""),310.57)</f>
        <v>310.57</v>
      </c>
      <c r="C724" s="1">
        <f ca="1">IFERROR(__xludf.DUMMYFUNCTION("""COMPUTED_VALUE"""),324.68)</f>
        <v>324.68</v>
      </c>
      <c r="D724" s="1">
        <f ca="1">IFERROR(__xludf.DUMMYFUNCTION("""COMPUTED_VALUE"""),309.22)</f>
        <v>309.22000000000003</v>
      </c>
      <c r="E724" s="1">
        <f ca="1">IFERROR(__xludf.DUMMYFUNCTION("""COMPUTED_VALUE"""),320.72)</f>
        <v>320.72000000000003</v>
      </c>
      <c r="F724" s="1">
        <f ca="1">IFERROR(__xludf.DUMMYFUNCTION("""COMPUTED_VALUE"""),114440286)</f>
        <v>114440286</v>
      </c>
    </row>
    <row r="725" spans="1:6" ht="12.6">
      <c r="A725" s="2">
        <f ca="1">IFERROR(__xludf.DUMMYFUNCTION("""COMPUTED_VALUE"""),45614.6666666666)</f>
        <v>45614.666666666599</v>
      </c>
      <c r="B725" s="1">
        <f ca="1">IFERROR(__xludf.DUMMYFUNCTION("""COMPUTED_VALUE"""),340.73)</f>
        <v>340.73</v>
      </c>
      <c r="C725" s="1">
        <f ca="1">IFERROR(__xludf.DUMMYFUNCTION("""COMPUTED_VALUE"""),348.55)</f>
        <v>348.55</v>
      </c>
      <c r="D725" s="1">
        <f ca="1">IFERROR(__xludf.DUMMYFUNCTION("""COMPUTED_VALUE"""),330.01)</f>
        <v>330.01</v>
      </c>
      <c r="E725" s="1">
        <f ca="1">IFERROR(__xludf.DUMMYFUNCTION("""COMPUTED_VALUE"""),338.74)</f>
        <v>338.74</v>
      </c>
      <c r="F725" s="1">
        <f ca="1">IFERROR(__xludf.DUMMYFUNCTION("""COMPUTED_VALUE"""),126547455)</f>
        <v>126547455</v>
      </c>
    </row>
    <row r="726" spans="1:6" ht="12.6">
      <c r="A726" s="2">
        <f ca="1">IFERROR(__xludf.DUMMYFUNCTION("""COMPUTED_VALUE"""),45615.6666666666)</f>
        <v>45615.666666666599</v>
      </c>
      <c r="B726" s="1">
        <f ca="1">IFERROR(__xludf.DUMMYFUNCTION("""COMPUTED_VALUE"""),335.76)</f>
        <v>335.76</v>
      </c>
      <c r="C726" s="1">
        <f ca="1">IFERROR(__xludf.DUMMYFUNCTION("""COMPUTED_VALUE"""),347.38)</f>
        <v>347.38</v>
      </c>
      <c r="D726" s="1">
        <f ca="1">IFERROR(__xludf.DUMMYFUNCTION("""COMPUTED_VALUE"""),332.75)</f>
        <v>332.75</v>
      </c>
      <c r="E726" s="1">
        <f ca="1">IFERROR(__xludf.DUMMYFUNCTION("""COMPUTED_VALUE"""),346)</f>
        <v>346</v>
      </c>
      <c r="F726" s="1">
        <f ca="1">IFERROR(__xludf.DUMMYFUNCTION("""COMPUTED_VALUE"""),88852452)</f>
        <v>88852452</v>
      </c>
    </row>
    <row r="727" spans="1:6" ht="12.6">
      <c r="A727" s="2">
        <f ca="1">IFERROR(__xludf.DUMMYFUNCTION("""COMPUTED_VALUE"""),45616.6666666666)</f>
        <v>45616.666666666599</v>
      </c>
      <c r="B727" s="1">
        <f ca="1">IFERROR(__xludf.DUMMYFUNCTION("""COMPUTED_VALUE"""),345)</f>
        <v>345</v>
      </c>
      <c r="C727" s="1">
        <f ca="1">IFERROR(__xludf.DUMMYFUNCTION("""COMPUTED_VALUE"""),346.6)</f>
        <v>346.6</v>
      </c>
      <c r="D727" s="1">
        <f ca="1">IFERROR(__xludf.DUMMYFUNCTION("""COMPUTED_VALUE"""),334.3)</f>
        <v>334.3</v>
      </c>
      <c r="E727" s="1">
        <f ca="1">IFERROR(__xludf.DUMMYFUNCTION("""COMPUTED_VALUE"""),342.03)</f>
        <v>342.03</v>
      </c>
      <c r="F727" s="1">
        <f ca="1">IFERROR(__xludf.DUMMYFUNCTION("""COMPUTED_VALUE"""),66340650)</f>
        <v>66340650</v>
      </c>
    </row>
    <row r="728" spans="1:6" ht="12.6">
      <c r="A728" s="2">
        <f ca="1">IFERROR(__xludf.DUMMYFUNCTION("""COMPUTED_VALUE"""),45617.6666666666)</f>
        <v>45617.666666666599</v>
      </c>
      <c r="B728" s="1">
        <f ca="1">IFERROR(__xludf.DUMMYFUNCTION("""COMPUTED_VALUE"""),343.81)</f>
        <v>343.81</v>
      </c>
      <c r="C728" s="1">
        <f ca="1">IFERROR(__xludf.DUMMYFUNCTION("""COMPUTED_VALUE"""),347.99)</f>
        <v>347.99</v>
      </c>
      <c r="D728" s="1">
        <f ca="1">IFERROR(__xludf.DUMMYFUNCTION("""COMPUTED_VALUE"""),335.28)</f>
        <v>335.28</v>
      </c>
      <c r="E728" s="1">
        <f ca="1">IFERROR(__xludf.DUMMYFUNCTION("""COMPUTED_VALUE"""),339.64)</f>
        <v>339.64</v>
      </c>
      <c r="F728" s="1">
        <f ca="1">IFERROR(__xludf.DUMMYFUNCTION("""COMPUTED_VALUE"""),58011719)</f>
        <v>58011719</v>
      </c>
    </row>
    <row r="729" spans="1:6" ht="12.6">
      <c r="A729" s="2">
        <f ca="1">IFERROR(__xludf.DUMMYFUNCTION("""COMPUTED_VALUE"""),45618.6666666666)</f>
        <v>45618.666666666599</v>
      </c>
      <c r="B729" s="1">
        <f ca="1">IFERROR(__xludf.DUMMYFUNCTION("""COMPUTED_VALUE"""),341.09)</f>
        <v>341.09</v>
      </c>
      <c r="C729" s="1">
        <f ca="1">IFERROR(__xludf.DUMMYFUNCTION("""COMPUTED_VALUE"""),361.53)</f>
        <v>361.53</v>
      </c>
      <c r="D729" s="1">
        <f ca="1">IFERROR(__xludf.DUMMYFUNCTION("""COMPUTED_VALUE"""),337.7)</f>
        <v>337.7</v>
      </c>
      <c r="E729" s="1">
        <f ca="1">IFERROR(__xludf.DUMMYFUNCTION("""COMPUTED_VALUE"""),352.56)</f>
        <v>352.56</v>
      </c>
      <c r="F729" s="1">
        <f ca="1">IFERROR(__xludf.DUMMYFUNCTION("""COMPUTED_VALUE"""),89140722)</f>
        <v>89140722</v>
      </c>
    </row>
    <row r="730" spans="1:6" ht="12.6">
      <c r="A730" s="2">
        <f ca="1">IFERROR(__xludf.DUMMYFUNCTION("""COMPUTED_VALUE"""),45621.6666666666)</f>
        <v>45621.666666666599</v>
      </c>
      <c r="B730" s="1">
        <f ca="1">IFERROR(__xludf.DUMMYFUNCTION("""COMPUTED_VALUE"""),360.14)</f>
        <v>360.14</v>
      </c>
      <c r="C730" s="1">
        <f ca="1">IFERROR(__xludf.DUMMYFUNCTION("""COMPUTED_VALUE"""),361.93)</f>
        <v>361.93</v>
      </c>
      <c r="D730" s="1">
        <f ca="1">IFERROR(__xludf.DUMMYFUNCTION("""COMPUTED_VALUE"""),338.2)</f>
        <v>338.2</v>
      </c>
      <c r="E730" s="1">
        <f ca="1">IFERROR(__xludf.DUMMYFUNCTION("""COMPUTED_VALUE"""),338.59)</f>
        <v>338.59</v>
      </c>
      <c r="F730" s="1">
        <f ca="1">IFERROR(__xludf.DUMMYFUNCTION("""COMPUTED_VALUE"""),95890899)</f>
        <v>95890899</v>
      </c>
    </row>
    <row r="731" spans="1:6" ht="12.6">
      <c r="A731" s="2">
        <f ca="1">IFERROR(__xludf.DUMMYFUNCTION("""COMPUTED_VALUE"""),45622.6666666666)</f>
        <v>45622.666666666599</v>
      </c>
      <c r="B731" s="1">
        <f ca="1">IFERROR(__xludf.DUMMYFUNCTION("""COMPUTED_VALUE"""),341)</f>
        <v>341</v>
      </c>
      <c r="C731" s="1">
        <f ca="1">IFERROR(__xludf.DUMMYFUNCTION("""COMPUTED_VALUE"""),346.96)</f>
        <v>346.96</v>
      </c>
      <c r="D731" s="1">
        <f ca="1">IFERROR(__xludf.DUMMYFUNCTION("""COMPUTED_VALUE"""),335.66)</f>
        <v>335.66</v>
      </c>
      <c r="E731" s="1">
        <f ca="1">IFERROR(__xludf.DUMMYFUNCTION("""COMPUTED_VALUE"""),338.23)</f>
        <v>338.23</v>
      </c>
      <c r="F731" s="1">
        <f ca="1">IFERROR(__xludf.DUMMYFUNCTION("""COMPUTED_VALUE"""),62295857)</f>
        <v>62295857</v>
      </c>
    </row>
    <row r="732" spans="1:6" ht="12.6">
      <c r="A732" s="2">
        <f ca="1">IFERROR(__xludf.DUMMYFUNCTION("""COMPUTED_VALUE"""),45623.6666666666)</f>
        <v>45623.666666666599</v>
      </c>
      <c r="B732" s="1">
        <f ca="1">IFERROR(__xludf.DUMMYFUNCTION("""COMPUTED_VALUE"""),341.8)</f>
        <v>341.8</v>
      </c>
      <c r="C732" s="1">
        <f ca="1">IFERROR(__xludf.DUMMYFUNCTION("""COMPUTED_VALUE"""),342.55)</f>
        <v>342.55</v>
      </c>
      <c r="D732" s="1">
        <f ca="1">IFERROR(__xludf.DUMMYFUNCTION("""COMPUTED_VALUE"""),326.59)</f>
        <v>326.58999999999997</v>
      </c>
      <c r="E732" s="1">
        <f ca="1">IFERROR(__xludf.DUMMYFUNCTION("""COMPUTED_VALUE"""),332.89)</f>
        <v>332.89</v>
      </c>
      <c r="F732" s="1">
        <f ca="1">IFERROR(__xludf.DUMMYFUNCTION("""COMPUTED_VALUE"""),57896439)</f>
        <v>57896439</v>
      </c>
    </row>
    <row r="733" spans="1:6" ht="12.6">
      <c r="A733" s="2">
        <f ca="1">IFERROR(__xludf.DUMMYFUNCTION("""COMPUTED_VALUE"""),45625.5451388888)</f>
        <v>45625.545138888803</v>
      </c>
      <c r="B733" s="1">
        <f ca="1">IFERROR(__xludf.DUMMYFUNCTION("""COMPUTED_VALUE"""),336.08)</f>
        <v>336.08</v>
      </c>
      <c r="C733" s="1">
        <f ca="1">IFERROR(__xludf.DUMMYFUNCTION("""COMPUTED_VALUE"""),345.45)</f>
        <v>345.45</v>
      </c>
      <c r="D733" s="1">
        <f ca="1">IFERROR(__xludf.DUMMYFUNCTION("""COMPUTED_VALUE"""),334.65)</f>
        <v>334.65</v>
      </c>
      <c r="E733" s="1">
        <f ca="1">IFERROR(__xludf.DUMMYFUNCTION("""COMPUTED_VALUE"""),345.16)</f>
        <v>345.16</v>
      </c>
      <c r="F733" s="1">
        <f ca="1">IFERROR(__xludf.DUMMYFUNCTION("""COMPUTED_VALUE"""),37167621)</f>
        <v>37167621</v>
      </c>
    </row>
    <row r="734" spans="1:6" ht="12.6">
      <c r="A734" s="2">
        <f ca="1">IFERROR(__xludf.DUMMYFUNCTION("""COMPUTED_VALUE"""),45628.6666666666)</f>
        <v>45628.666666666599</v>
      </c>
      <c r="B734" s="1">
        <f ca="1">IFERROR(__xludf.DUMMYFUNCTION("""COMPUTED_VALUE"""),352.38)</f>
        <v>352.38</v>
      </c>
      <c r="C734" s="1">
        <f ca="1">IFERROR(__xludf.DUMMYFUNCTION("""COMPUTED_VALUE"""),360)</f>
        <v>360</v>
      </c>
      <c r="D734" s="1">
        <f ca="1">IFERROR(__xludf.DUMMYFUNCTION("""COMPUTED_VALUE"""),351.15)</f>
        <v>351.15</v>
      </c>
      <c r="E734" s="1">
        <f ca="1">IFERROR(__xludf.DUMMYFUNCTION("""COMPUTED_VALUE"""),357.09)</f>
        <v>357.09</v>
      </c>
      <c r="F734" s="1">
        <f ca="1">IFERROR(__xludf.DUMMYFUNCTION("""COMPUTED_VALUE"""),77986478)</f>
        <v>77986478</v>
      </c>
    </row>
    <row r="735" spans="1:6" ht="12.6">
      <c r="A735" s="2">
        <f ca="1">IFERROR(__xludf.DUMMYFUNCTION("""COMPUTED_VALUE"""),45629.6666666666)</f>
        <v>45629.666666666599</v>
      </c>
      <c r="B735" s="1">
        <f ca="1">IFERROR(__xludf.DUMMYFUNCTION("""COMPUTED_VALUE"""),351.8)</f>
        <v>351.8</v>
      </c>
      <c r="C735" s="1">
        <f ca="1">IFERROR(__xludf.DUMMYFUNCTION("""COMPUTED_VALUE"""),355.69)</f>
        <v>355.69</v>
      </c>
      <c r="D735" s="1">
        <f ca="1">IFERROR(__xludf.DUMMYFUNCTION("""COMPUTED_VALUE"""),348.2)</f>
        <v>348.2</v>
      </c>
      <c r="E735" s="1">
        <f ca="1">IFERROR(__xludf.DUMMYFUNCTION("""COMPUTED_VALUE"""),351.42)</f>
        <v>351.42</v>
      </c>
      <c r="F735" s="1">
        <f ca="1">IFERROR(__xludf.DUMMYFUNCTION("""COMPUTED_VALUE"""),58267196)</f>
        <v>58267196</v>
      </c>
    </row>
    <row r="736" spans="1:6" ht="12.6">
      <c r="A736" s="2">
        <f ca="1">IFERROR(__xludf.DUMMYFUNCTION("""COMPUTED_VALUE"""),45630.6666666666)</f>
        <v>45630.666666666599</v>
      </c>
      <c r="B736" s="1">
        <f ca="1">IFERROR(__xludf.DUMMYFUNCTION("""COMPUTED_VALUE"""),353)</f>
        <v>353</v>
      </c>
      <c r="C736" s="1">
        <f ca="1">IFERROR(__xludf.DUMMYFUNCTION("""COMPUTED_VALUE"""),358.1)</f>
        <v>358.1</v>
      </c>
      <c r="D736" s="1">
        <f ca="1">IFERROR(__xludf.DUMMYFUNCTION("""COMPUTED_VALUE"""),348.6)</f>
        <v>348.6</v>
      </c>
      <c r="E736" s="1">
        <f ca="1">IFERROR(__xludf.DUMMYFUNCTION("""COMPUTED_VALUE"""),357.93)</f>
        <v>357.93</v>
      </c>
      <c r="F736" s="1">
        <f ca="1">IFERROR(__xludf.DUMMYFUNCTION("""COMPUTED_VALUE"""),50810874)</f>
        <v>50810874</v>
      </c>
    </row>
    <row r="737" spans="1:6" ht="12.6">
      <c r="A737" s="2">
        <f ca="1">IFERROR(__xludf.DUMMYFUNCTION("""COMPUTED_VALUE"""),45631.6666666666)</f>
        <v>45631.666666666599</v>
      </c>
      <c r="B737" s="1">
        <f ca="1">IFERROR(__xludf.DUMMYFUNCTION("""COMPUTED_VALUE"""),359.87)</f>
        <v>359.87</v>
      </c>
      <c r="C737" s="1">
        <f ca="1">IFERROR(__xludf.DUMMYFUNCTION("""COMPUTED_VALUE"""),375.43)</f>
        <v>375.43</v>
      </c>
      <c r="D737" s="1">
        <f ca="1">IFERROR(__xludf.DUMMYFUNCTION("""COMPUTED_VALUE"""),359.5)</f>
        <v>359.5</v>
      </c>
      <c r="E737" s="1">
        <f ca="1">IFERROR(__xludf.DUMMYFUNCTION("""COMPUTED_VALUE"""),369.49)</f>
        <v>369.49</v>
      </c>
      <c r="F737" s="1">
        <f ca="1">IFERROR(__xludf.DUMMYFUNCTION("""COMPUTED_VALUE"""),81403569)</f>
        <v>81403569</v>
      </c>
    </row>
    <row r="738" spans="1:6" ht="12.6">
      <c r="A738" s="2">
        <f ca="1">IFERROR(__xludf.DUMMYFUNCTION("""COMPUTED_VALUE"""),45632.6666666666)</f>
        <v>45632.666666666599</v>
      </c>
      <c r="B738" s="1">
        <f ca="1">IFERROR(__xludf.DUMMYFUNCTION("""COMPUTED_VALUE"""),377.42)</f>
        <v>377.42</v>
      </c>
      <c r="C738" s="1">
        <f ca="1">IFERROR(__xludf.DUMMYFUNCTION("""COMPUTED_VALUE"""),389.49)</f>
        <v>389.49</v>
      </c>
      <c r="D738" s="1">
        <f ca="1">IFERROR(__xludf.DUMMYFUNCTION("""COMPUTED_VALUE"""),370.8)</f>
        <v>370.8</v>
      </c>
      <c r="E738" s="1">
        <f ca="1">IFERROR(__xludf.DUMMYFUNCTION("""COMPUTED_VALUE"""),389.22)</f>
        <v>389.22</v>
      </c>
      <c r="F738" s="1">
        <f ca="1">IFERROR(__xludf.DUMMYFUNCTION("""COMPUTED_VALUE"""),81455834)</f>
        <v>81455834</v>
      </c>
    </row>
    <row r="739" spans="1:6" ht="12.6">
      <c r="A739" s="2">
        <f ca="1">IFERROR(__xludf.DUMMYFUNCTION("""COMPUTED_VALUE"""),45635.6666666666)</f>
        <v>45635.666666666599</v>
      </c>
      <c r="B739" s="1">
        <f ca="1">IFERROR(__xludf.DUMMYFUNCTION("""COMPUTED_VALUE"""),397.61)</f>
        <v>397.61</v>
      </c>
      <c r="C739" s="1">
        <f ca="1">IFERROR(__xludf.DUMMYFUNCTION("""COMPUTED_VALUE"""),404.8)</f>
        <v>404.8</v>
      </c>
      <c r="D739" s="1">
        <f ca="1">IFERROR(__xludf.DUMMYFUNCTION("""COMPUTED_VALUE"""),378.01)</f>
        <v>378.01</v>
      </c>
      <c r="E739" s="1">
        <f ca="1">IFERROR(__xludf.DUMMYFUNCTION("""COMPUTED_VALUE"""),389.79)</f>
        <v>389.79</v>
      </c>
      <c r="F739" s="1">
        <f ca="1">IFERROR(__xludf.DUMMYFUNCTION("""COMPUTED_VALUE"""),96359173)</f>
        <v>96359173</v>
      </c>
    </row>
    <row r="740" spans="1:6" ht="12.6">
      <c r="A740" s="2">
        <f ca="1">IFERROR(__xludf.DUMMYFUNCTION("""COMPUTED_VALUE"""),45636.6666666666)</f>
        <v>45636.666666666599</v>
      </c>
      <c r="B740" s="1">
        <f ca="1">IFERROR(__xludf.DUMMYFUNCTION("""COMPUTED_VALUE"""),392.68)</f>
        <v>392.68</v>
      </c>
      <c r="C740" s="1">
        <f ca="1">IFERROR(__xludf.DUMMYFUNCTION("""COMPUTED_VALUE"""),409.73)</f>
        <v>409.73</v>
      </c>
      <c r="D740" s="1">
        <f ca="1">IFERROR(__xludf.DUMMYFUNCTION("""COMPUTED_VALUE"""),390.85)</f>
        <v>390.85</v>
      </c>
      <c r="E740" s="1">
        <f ca="1">IFERROR(__xludf.DUMMYFUNCTION("""COMPUTED_VALUE"""),400.99)</f>
        <v>400.99</v>
      </c>
      <c r="F740" s="1">
        <f ca="1">IFERROR(__xludf.DUMMYFUNCTION("""COMPUTED_VALUE"""),97563578)</f>
        <v>97563578</v>
      </c>
    </row>
    <row r="741" spans="1:6" ht="12.6">
      <c r="A741" s="2">
        <f ca="1">IFERROR(__xludf.DUMMYFUNCTION("""COMPUTED_VALUE"""),45637.6666666666)</f>
        <v>45637.666666666599</v>
      </c>
      <c r="B741" s="1">
        <f ca="1">IFERROR(__xludf.DUMMYFUNCTION("""COMPUTED_VALUE"""),409.7)</f>
        <v>409.7</v>
      </c>
      <c r="C741" s="1">
        <f ca="1">IFERROR(__xludf.DUMMYFUNCTION("""COMPUTED_VALUE"""),424.88)</f>
        <v>424.88</v>
      </c>
      <c r="D741" s="1">
        <f ca="1">IFERROR(__xludf.DUMMYFUNCTION("""COMPUTED_VALUE"""),402.38)</f>
        <v>402.38</v>
      </c>
      <c r="E741" s="1">
        <f ca="1">IFERROR(__xludf.DUMMYFUNCTION("""COMPUTED_VALUE"""),424.77)</f>
        <v>424.77</v>
      </c>
      <c r="F741" s="1">
        <f ca="1">IFERROR(__xludf.DUMMYFUNCTION("""COMPUTED_VALUE"""),104287559)</f>
        <v>104287559</v>
      </c>
    </row>
    <row r="742" spans="1:6" ht="12.6">
      <c r="A742" s="2">
        <f ca="1">IFERROR(__xludf.DUMMYFUNCTION("""COMPUTED_VALUE"""),45638.6666666666)</f>
        <v>45638.666666666599</v>
      </c>
      <c r="B742" s="1">
        <f ca="1">IFERROR(__xludf.DUMMYFUNCTION("""COMPUTED_VALUE"""),424.84)</f>
        <v>424.84</v>
      </c>
      <c r="C742" s="1">
        <f ca="1">IFERROR(__xludf.DUMMYFUNCTION("""COMPUTED_VALUE"""),429.3)</f>
        <v>429.3</v>
      </c>
      <c r="D742" s="1">
        <f ca="1">IFERROR(__xludf.DUMMYFUNCTION("""COMPUTED_VALUE"""),415)</f>
        <v>415</v>
      </c>
      <c r="E742" s="1">
        <f ca="1">IFERROR(__xludf.DUMMYFUNCTION("""COMPUTED_VALUE"""),418.1)</f>
        <v>418.1</v>
      </c>
      <c r="F742" s="1">
        <f ca="1">IFERROR(__xludf.DUMMYFUNCTION("""COMPUTED_VALUE"""),87752225)</f>
        <v>87752225</v>
      </c>
    </row>
    <row r="743" spans="1:6" ht="12.6">
      <c r="A743" s="2">
        <f ca="1">IFERROR(__xludf.DUMMYFUNCTION("""COMPUTED_VALUE"""),45639.6666666666)</f>
        <v>45639.666666666599</v>
      </c>
      <c r="B743" s="1">
        <f ca="1">IFERROR(__xludf.DUMMYFUNCTION("""COMPUTED_VALUE"""),420)</f>
        <v>420</v>
      </c>
      <c r="C743" s="1">
        <f ca="1">IFERROR(__xludf.DUMMYFUNCTION("""COMPUTED_VALUE"""),436.3)</f>
        <v>436.3</v>
      </c>
      <c r="D743" s="1">
        <f ca="1">IFERROR(__xludf.DUMMYFUNCTION("""COMPUTED_VALUE"""),415.71)</f>
        <v>415.71</v>
      </c>
      <c r="E743" s="1">
        <f ca="1">IFERROR(__xludf.DUMMYFUNCTION("""COMPUTED_VALUE"""),436.23)</f>
        <v>436.23</v>
      </c>
      <c r="F743" s="1">
        <f ca="1">IFERROR(__xludf.DUMMYFUNCTION("""COMPUTED_VALUE"""),89000158)</f>
        <v>89000158</v>
      </c>
    </row>
    <row r="744" spans="1:6" ht="12.6">
      <c r="A744" s="2">
        <f ca="1">IFERROR(__xludf.DUMMYFUNCTION("""COMPUTED_VALUE"""),45642.6666666666)</f>
        <v>45642.666666666599</v>
      </c>
      <c r="B744" s="1">
        <f ca="1">IFERROR(__xludf.DUMMYFUNCTION("""COMPUTED_VALUE"""),441.09)</f>
        <v>441.09</v>
      </c>
      <c r="C744" s="1">
        <f ca="1">IFERROR(__xludf.DUMMYFUNCTION("""COMPUTED_VALUE"""),463.19)</f>
        <v>463.19</v>
      </c>
      <c r="D744" s="1">
        <f ca="1">IFERROR(__xludf.DUMMYFUNCTION("""COMPUTED_VALUE"""),436.15)</f>
        <v>436.15</v>
      </c>
      <c r="E744" s="1">
        <f ca="1">IFERROR(__xludf.DUMMYFUNCTION("""COMPUTED_VALUE"""),463.02)</f>
        <v>463.02</v>
      </c>
      <c r="F744" s="1">
        <f ca="1">IFERROR(__xludf.DUMMYFUNCTION("""COMPUTED_VALUE"""),114083811)</f>
        <v>114083811</v>
      </c>
    </row>
    <row r="745" spans="1:6" ht="12.6">
      <c r="A745" s="2">
        <f ca="1">IFERROR(__xludf.DUMMYFUNCTION("""COMPUTED_VALUE"""),45643.6666666666)</f>
        <v>45643.666666666599</v>
      </c>
      <c r="B745" s="1">
        <f ca="1">IFERROR(__xludf.DUMMYFUNCTION("""COMPUTED_VALUE"""),475.9)</f>
        <v>475.9</v>
      </c>
      <c r="C745" s="1">
        <f ca="1">IFERROR(__xludf.DUMMYFUNCTION("""COMPUTED_VALUE"""),483.99)</f>
        <v>483.99</v>
      </c>
      <c r="D745" s="1">
        <f ca="1">IFERROR(__xludf.DUMMYFUNCTION("""COMPUTED_VALUE"""),457.51)</f>
        <v>457.51</v>
      </c>
      <c r="E745" s="1">
        <f ca="1">IFERROR(__xludf.DUMMYFUNCTION("""COMPUTED_VALUE"""),479.86)</f>
        <v>479.86</v>
      </c>
      <c r="F745" s="1">
        <f ca="1">IFERROR(__xludf.DUMMYFUNCTION("""COMPUTED_VALUE"""),131222978)</f>
        <v>131222978</v>
      </c>
    </row>
    <row r="746" spans="1:6" ht="12.6">
      <c r="A746" s="2">
        <f ca="1">IFERROR(__xludf.DUMMYFUNCTION("""COMPUTED_VALUE"""),45644.6666666666)</f>
        <v>45644.666666666599</v>
      </c>
      <c r="B746" s="1">
        <f ca="1">IFERROR(__xludf.DUMMYFUNCTION("""COMPUTED_VALUE"""),466.5)</f>
        <v>466.5</v>
      </c>
      <c r="C746" s="1">
        <f ca="1">IFERROR(__xludf.DUMMYFUNCTION("""COMPUTED_VALUE"""),488.54)</f>
        <v>488.54</v>
      </c>
      <c r="D746" s="1">
        <f ca="1">IFERROR(__xludf.DUMMYFUNCTION("""COMPUTED_VALUE"""),427.01)</f>
        <v>427.01</v>
      </c>
      <c r="E746" s="1">
        <f ca="1">IFERROR(__xludf.DUMMYFUNCTION("""COMPUTED_VALUE"""),440.13)</f>
        <v>440.13</v>
      </c>
      <c r="F746" s="1">
        <f ca="1">IFERROR(__xludf.DUMMYFUNCTION("""COMPUTED_VALUE"""),149340788)</f>
        <v>149340788</v>
      </c>
    </row>
    <row r="747" spans="1:6" ht="12.6">
      <c r="A747" s="2">
        <f ca="1">IFERROR(__xludf.DUMMYFUNCTION("""COMPUTED_VALUE"""),45645.6666666666)</f>
        <v>45645.666666666599</v>
      </c>
      <c r="B747" s="1">
        <f ca="1">IFERROR(__xludf.DUMMYFUNCTION("""COMPUTED_VALUE"""),451.88)</f>
        <v>451.88</v>
      </c>
      <c r="C747" s="1">
        <f ca="1">IFERROR(__xludf.DUMMYFUNCTION("""COMPUTED_VALUE"""),456.36)</f>
        <v>456.36</v>
      </c>
      <c r="D747" s="1">
        <f ca="1">IFERROR(__xludf.DUMMYFUNCTION("""COMPUTED_VALUE"""),420.02)</f>
        <v>420.02</v>
      </c>
      <c r="E747" s="1">
        <f ca="1">IFERROR(__xludf.DUMMYFUNCTION("""COMPUTED_VALUE"""),436.17)</f>
        <v>436.17</v>
      </c>
      <c r="F747" s="1">
        <f ca="1">IFERROR(__xludf.DUMMYFUNCTION("""COMPUTED_VALUE"""),118566146)</f>
        <v>118566146</v>
      </c>
    </row>
    <row r="748" spans="1:6" ht="12.6">
      <c r="A748" s="2">
        <f ca="1">IFERROR(__xludf.DUMMYFUNCTION("""COMPUTED_VALUE"""),45646.6666666666)</f>
        <v>45646.666666666599</v>
      </c>
      <c r="B748" s="1">
        <f ca="1">IFERROR(__xludf.DUMMYFUNCTION("""COMPUTED_VALUE"""),425.51)</f>
        <v>425.51</v>
      </c>
      <c r="C748" s="1">
        <f ca="1">IFERROR(__xludf.DUMMYFUNCTION("""COMPUTED_VALUE"""),447.08)</f>
        <v>447.08</v>
      </c>
      <c r="D748" s="1">
        <f ca="1">IFERROR(__xludf.DUMMYFUNCTION("""COMPUTED_VALUE"""),417.64)</f>
        <v>417.64</v>
      </c>
      <c r="E748" s="1">
        <f ca="1">IFERROR(__xludf.DUMMYFUNCTION("""COMPUTED_VALUE"""),421.06)</f>
        <v>421.06</v>
      </c>
      <c r="F748" s="1">
        <f ca="1">IFERROR(__xludf.DUMMYFUNCTION("""COMPUTED_VALUE"""),132216176)</f>
        <v>132216176</v>
      </c>
    </row>
    <row r="749" spans="1:6" ht="12.6">
      <c r="A749" s="2">
        <f ca="1">IFERROR(__xludf.DUMMYFUNCTION("""COMPUTED_VALUE"""),45649.6666666666)</f>
        <v>45649.666666666599</v>
      </c>
      <c r="B749" s="1">
        <f ca="1">IFERROR(__xludf.DUMMYFUNCTION("""COMPUTED_VALUE"""),431)</f>
        <v>431</v>
      </c>
      <c r="C749" s="1">
        <f ca="1">IFERROR(__xludf.DUMMYFUNCTION("""COMPUTED_VALUE"""),434.51)</f>
        <v>434.51</v>
      </c>
      <c r="D749" s="1">
        <f ca="1">IFERROR(__xludf.DUMMYFUNCTION("""COMPUTED_VALUE"""),415.41)</f>
        <v>415.41</v>
      </c>
      <c r="E749" s="1">
        <f ca="1">IFERROR(__xludf.DUMMYFUNCTION("""COMPUTED_VALUE"""),430.6)</f>
        <v>430.6</v>
      </c>
      <c r="F749" s="1">
        <f ca="1">IFERROR(__xludf.DUMMYFUNCTION("""COMPUTED_VALUE"""),72698055)</f>
        <v>72698055</v>
      </c>
    </row>
    <row r="750" spans="1:6" ht="12.6">
      <c r="A750" s="2">
        <f ca="1">IFERROR(__xludf.DUMMYFUNCTION("""COMPUTED_VALUE"""),45650.5451388888)</f>
        <v>45650.545138888803</v>
      </c>
      <c r="B750" s="1">
        <f ca="1">IFERROR(__xludf.DUMMYFUNCTION("""COMPUTED_VALUE"""),435.9)</f>
        <v>435.9</v>
      </c>
      <c r="C750" s="1">
        <f ca="1">IFERROR(__xludf.DUMMYFUNCTION("""COMPUTED_VALUE"""),462.78)</f>
        <v>462.78</v>
      </c>
      <c r="D750" s="1">
        <f ca="1">IFERROR(__xludf.DUMMYFUNCTION("""COMPUTED_VALUE"""),435.14)</f>
        <v>435.14</v>
      </c>
      <c r="E750" s="1">
        <f ca="1">IFERROR(__xludf.DUMMYFUNCTION("""COMPUTED_VALUE"""),462.28)</f>
        <v>462.28</v>
      </c>
      <c r="F750" s="1">
        <f ca="1">IFERROR(__xludf.DUMMYFUNCTION("""COMPUTED_VALUE"""),59551750)</f>
        <v>59551750</v>
      </c>
    </row>
    <row r="751" spans="1:6" ht="12.6">
      <c r="A751" s="2">
        <f ca="1">IFERROR(__xludf.DUMMYFUNCTION("""COMPUTED_VALUE"""),45652.6666666666)</f>
        <v>45652.666666666599</v>
      </c>
      <c r="B751" s="1">
        <f ca="1">IFERROR(__xludf.DUMMYFUNCTION("""COMPUTED_VALUE"""),465.16)</f>
        <v>465.16</v>
      </c>
      <c r="C751" s="1">
        <f ca="1">IFERROR(__xludf.DUMMYFUNCTION("""COMPUTED_VALUE"""),465.33)</f>
        <v>465.33</v>
      </c>
      <c r="D751" s="1">
        <f ca="1">IFERROR(__xludf.DUMMYFUNCTION("""COMPUTED_VALUE"""),451.02)</f>
        <v>451.02</v>
      </c>
      <c r="E751" s="1">
        <f ca="1">IFERROR(__xludf.DUMMYFUNCTION("""COMPUTED_VALUE"""),454.13)</f>
        <v>454.13</v>
      </c>
      <c r="F751" s="1">
        <f ca="1">IFERROR(__xludf.DUMMYFUNCTION("""COMPUTED_VALUE"""),76651210)</f>
        <v>76651210</v>
      </c>
    </row>
    <row r="752" spans="1:6" ht="12.6">
      <c r="A752" s="2">
        <f ca="1">IFERROR(__xludf.DUMMYFUNCTION("""COMPUTED_VALUE"""),45653.6666666666)</f>
        <v>45653.666666666599</v>
      </c>
      <c r="B752" s="1">
        <f ca="1">IFERROR(__xludf.DUMMYFUNCTION("""COMPUTED_VALUE"""),449.52)</f>
        <v>449.52</v>
      </c>
      <c r="C752" s="1">
        <f ca="1">IFERROR(__xludf.DUMMYFUNCTION("""COMPUTED_VALUE"""),450)</f>
        <v>450</v>
      </c>
      <c r="D752" s="1">
        <f ca="1">IFERROR(__xludf.DUMMYFUNCTION("""COMPUTED_VALUE"""),426.5)</f>
        <v>426.5</v>
      </c>
      <c r="E752" s="1">
        <f ca="1">IFERROR(__xludf.DUMMYFUNCTION("""COMPUTED_VALUE"""),431.66)</f>
        <v>431.66</v>
      </c>
      <c r="F752" s="1">
        <f ca="1">IFERROR(__xludf.DUMMYFUNCTION("""COMPUTED_VALUE"""),82666821)</f>
        <v>82666821</v>
      </c>
    </row>
    <row r="753" spans="1:6" ht="12.6">
      <c r="A753" s="2">
        <f ca="1">IFERROR(__xludf.DUMMYFUNCTION("""COMPUTED_VALUE"""),45656.6666666666)</f>
        <v>45656.666666666599</v>
      </c>
      <c r="B753" s="1">
        <f ca="1">IFERROR(__xludf.DUMMYFUNCTION("""COMPUTED_VALUE"""),419.4)</f>
        <v>419.4</v>
      </c>
      <c r="C753" s="1">
        <f ca="1">IFERROR(__xludf.DUMMYFUNCTION("""COMPUTED_VALUE"""),427)</f>
        <v>427</v>
      </c>
      <c r="D753" s="1">
        <f ca="1">IFERROR(__xludf.DUMMYFUNCTION("""COMPUTED_VALUE"""),415.75)</f>
        <v>415.75</v>
      </c>
      <c r="E753" s="1">
        <f ca="1">IFERROR(__xludf.DUMMYFUNCTION("""COMPUTED_VALUE"""),417.41)</f>
        <v>417.41</v>
      </c>
      <c r="F753" s="1">
        <f ca="1">IFERROR(__xludf.DUMMYFUNCTION("""COMPUTED_VALUE"""),64941012)</f>
        <v>64941012</v>
      </c>
    </row>
    <row r="754" spans="1:6" ht="12.6">
      <c r="A754" s="2">
        <f ca="1">IFERROR(__xludf.DUMMYFUNCTION("""COMPUTED_VALUE"""),45657.6666666666)</f>
        <v>45657.666666666599</v>
      </c>
      <c r="B754" s="1">
        <f ca="1">IFERROR(__xludf.DUMMYFUNCTION("""COMPUTED_VALUE"""),423.79)</f>
        <v>423.79</v>
      </c>
      <c r="C754" s="1">
        <f ca="1">IFERROR(__xludf.DUMMYFUNCTION("""COMPUTED_VALUE"""),427.93)</f>
        <v>427.93</v>
      </c>
      <c r="D754" s="1">
        <f ca="1">IFERROR(__xludf.DUMMYFUNCTION("""COMPUTED_VALUE"""),402.54)</f>
        <v>402.54</v>
      </c>
      <c r="E754" s="1">
        <f ca="1">IFERROR(__xludf.DUMMYFUNCTION("""COMPUTED_VALUE"""),403.84)</f>
        <v>403.84</v>
      </c>
      <c r="F754" s="1">
        <f ca="1">IFERROR(__xludf.DUMMYFUNCTION("""COMPUTED_VALUE"""),76825121)</f>
        <v>76825121</v>
      </c>
    </row>
    <row r="755" spans="1:6" ht="12.6">
      <c r="A755" s="2">
        <f ca="1">IFERROR(__xludf.DUMMYFUNCTION("""COMPUTED_VALUE"""),45659.6666666666)</f>
        <v>45659.666666666599</v>
      </c>
      <c r="B755" s="1">
        <f ca="1">IFERROR(__xludf.DUMMYFUNCTION("""COMPUTED_VALUE"""),390.1)</f>
        <v>390.1</v>
      </c>
      <c r="C755" s="1">
        <f ca="1">IFERROR(__xludf.DUMMYFUNCTION("""COMPUTED_VALUE"""),392.73)</f>
        <v>392.73</v>
      </c>
      <c r="D755" s="1">
        <f ca="1">IFERROR(__xludf.DUMMYFUNCTION("""COMPUTED_VALUE"""),373.04)</f>
        <v>373.04</v>
      </c>
      <c r="E755" s="1">
        <f ca="1">IFERROR(__xludf.DUMMYFUNCTION("""COMPUTED_VALUE"""),379.28)</f>
        <v>379.28</v>
      </c>
      <c r="F755" s="1">
        <f ca="1">IFERROR(__xludf.DUMMYFUNCTION("""COMPUTED_VALUE"""),109710749)</f>
        <v>109710749</v>
      </c>
    </row>
    <row r="756" spans="1:6" ht="12.6">
      <c r="A756" s="2">
        <f ca="1">IFERROR(__xludf.DUMMYFUNCTION("""COMPUTED_VALUE"""),45660.6666666666)</f>
        <v>45660.666666666599</v>
      </c>
      <c r="B756" s="1">
        <f ca="1">IFERROR(__xludf.DUMMYFUNCTION("""COMPUTED_VALUE"""),381.48)</f>
        <v>381.48</v>
      </c>
      <c r="C756" s="1">
        <f ca="1">IFERROR(__xludf.DUMMYFUNCTION("""COMPUTED_VALUE"""),411.88)</f>
        <v>411.88</v>
      </c>
      <c r="D756" s="1">
        <f ca="1">IFERROR(__xludf.DUMMYFUNCTION("""COMPUTED_VALUE"""),379.45)</f>
        <v>379.45</v>
      </c>
      <c r="E756" s="1">
        <f ca="1">IFERROR(__xludf.DUMMYFUNCTION("""COMPUTED_VALUE"""),410.44)</f>
        <v>410.44</v>
      </c>
      <c r="F756" s="1">
        <f ca="1">IFERROR(__xludf.DUMMYFUNCTION("""COMPUTED_VALUE"""),95423329)</f>
        <v>95423329</v>
      </c>
    </row>
    <row r="757" spans="1:6" ht="12.6">
      <c r="A757" s="2">
        <f ca="1">IFERROR(__xludf.DUMMYFUNCTION("""COMPUTED_VALUE"""),45663.6666666666)</f>
        <v>45663.666666666599</v>
      </c>
      <c r="B757" s="1">
        <f ca="1">IFERROR(__xludf.DUMMYFUNCTION("""COMPUTED_VALUE"""),423.2)</f>
        <v>423.2</v>
      </c>
      <c r="C757" s="1">
        <f ca="1">IFERROR(__xludf.DUMMYFUNCTION("""COMPUTED_VALUE"""),426.43)</f>
        <v>426.43</v>
      </c>
      <c r="D757" s="1">
        <f ca="1">IFERROR(__xludf.DUMMYFUNCTION("""COMPUTED_VALUE"""),401.7)</f>
        <v>401.7</v>
      </c>
      <c r="E757" s="1">
        <f ca="1">IFERROR(__xludf.DUMMYFUNCTION("""COMPUTED_VALUE"""),411.05)</f>
        <v>411.05</v>
      </c>
      <c r="F757" s="1">
        <f ca="1">IFERROR(__xludf.DUMMYFUNCTION("""COMPUTED_VALUE"""),85516534)</f>
        <v>85516534</v>
      </c>
    </row>
    <row r="758" spans="1:6" ht="12.6">
      <c r="A758" s="2">
        <f ca="1">IFERROR(__xludf.DUMMYFUNCTION("""COMPUTED_VALUE"""),45664.6666666666)</f>
        <v>45664.666666666599</v>
      </c>
      <c r="B758" s="1">
        <f ca="1">IFERROR(__xludf.DUMMYFUNCTION("""COMPUTED_VALUE"""),405.83)</f>
        <v>405.83</v>
      </c>
      <c r="C758" s="1">
        <f ca="1">IFERROR(__xludf.DUMMYFUNCTION("""COMPUTED_VALUE"""),414.33)</f>
        <v>414.33</v>
      </c>
      <c r="D758" s="1">
        <f ca="1">IFERROR(__xludf.DUMMYFUNCTION("""COMPUTED_VALUE"""),390)</f>
        <v>390</v>
      </c>
      <c r="E758" s="1">
        <f ca="1">IFERROR(__xludf.DUMMYFUNCTION("""COMPUTED_VALUE"""),394.36)</f>
        <v>394.36</v>
      </c>
      <c r="F758" s="1">
        <f ca="1">IFERROR(__xludf.DUMMYFUNCTION("""COMPUTED_VALUE"""),75699525)</f>
        <v>75699525</v>
      </c>
    </row>
    <row r="759" spans="1:6" ht="12.6">
      <c r="A759" s="2">
        <f ca="1">IFERROR(__xludf.DUMMYFUNCTION("""COMPUTED_VALUE"""),45665.6666666666)</f>
        <v>45665.666666666599</v>
      </c>
      <c r="B759" s="1">
        <f ca="1">IFERROR(__xludf.DUMMYFUNCTION("""COMPUTED_VALUE"""),392.95)</f>
        <v>392.95</v>
      </c>
      <c r="C759" s="1">
        <f ca="1">IFERROR(__xludf.DUMMYFUNCTION("""COMPUTED_VALUE"""),402.5)</f>
        <v>402.5</v>
      </c>
      <c r="D759" s="1">
        <f ca="1">IFERROR(__xludf.DUMMYFUNCTION("""COMPUTED_VALUE"""),387.4)</f>
        <v>387.4</v>
      </c>
      <c r="E759" s="1">
        <f ca="1">IFERROR(__xludf.DUMMYFUNCTION("""COMPUTED_VALUE"""),394.94)</f>
        <v>394.94</v>
      </c>
      <c r="F759" s="1">
        <f ca="1">IFERROR(__xludf.DUMMYFUNCTION("""COMPUTED_VALUE"""),73038805)</f>
        <v>73038805</v>
      </c>
    </row>
    <row r="760" spans="1:6" ht="12.6">
      <c r="A760" s="2">
        <f ca="1">IFERROR(__xludf.DUMMYFUNCTION("""COMPUTED_VALUE"""),45667.6666666666)</f>
        <v>45667.666666666599</v>
      </c>
      <c r="B760" s="1">
        <f ca="1">IFERROR(__xludf.DUMMYFUNCTION("""COMPUTED_VALUE"""),391.4)</f>
        <v>391.4</v>
      </c>
      <c r="C760" s="1">
        <f ca="1">IFERROR(__xludf.DUMMYFUNCTION("""COMPUTED_VALUE"""),399.28)</f>
        <v>399.28</v>
      </c>
      <c r="D760" s="1">
        <f ca="1">IFERROR(__xludf.DUMMYFUNCTION("""COMPUTED_VALUE"""),377.29)</f>
        <v>377.29</v>
      </c>
      <c r="E760" s="1">
        <f ca="1">IFERROR(__xludf.DUMMYFUNCTION("""COMPUTED_VALUE"""),394.74)</f>
        <v>394.74</v>
      </c>
      <c r="F760" s="1">
        <f ca="1">IFERROR(__xludf.DUMMYFUNCTION("""COMPUTED_VALUE"""),62287333)</f>
        <v>62287333</v>
      </c>
    </row>
    <row r="761" spans="1:6" ht="12.6">
      <c r="A761" s="2">
        <f ca="1">IFERROR(__xludf.DUMMYFUNCTION("""COMPUTED_VALUE"""),45670.6666666666)</f>
        <v>45670.666666666599</v>
      </c>
      <c r="B761" s="1">
        <f ca="1">IFERROR(__xludf.DUMMYFUNCTION("""COMPUTED_VALUE"""),383.21)</f>
        <v>383.21</v>
      </c>
      <c r="C761" s="1">
        <f ca="1">IFERROR(__xludf.DUMMYFUNCTION("""COMPUTED_VALUE"""),403.79)</f>
        <v>403.79</v>
      </c>
      <c r="D761" s="1">
        <f ca="1">IFERROR(__xludf.DUMMYFUNCTION("""COMPUTED_VALUE"""),380.07)</f>
        <v>380.07</v>
      </c>
      <c r="E761" s="1">
        <f ca="1">IFERROR(__xludf.DUMMYFUNCTION("""COMPUTED_VALUE"""),403.31)</f>
        <v>403.31</v>
      </c>
      <c r="F761" s="1">
        <f ca="1">IFERROR(__xludf.DUMMYFUNCTION("""COMPUTED_VALUE"""),67580494)</f>
        <v>67580494</v>
      </c>
    </row>
    <row r="762" spans="1:6" ht="12.6">
      <c r="A762" s="2">
        <f ca="1">IFERROR(__xludf.DUMMYFUNCTION("""COMPUTED_VALUE"""),45671.6666666666)</f>
        <v>45671.666666666599</v>
      </c>
      <c r="B762" s="1">
        <f ca="1">IFERROR(__xludf.DUMMYFUNCTION("""COMPUTED_VALUE"""),414.34)</f>
        <v>414.34</v>
      </c>
      <c r="C762" s="1">
        <f ca="1">IFERROR(__xludf.DUMMYFUNCTION("""COMPUTED_VALUE"""),422.64)</f>
        <v>422.64</v>
      </c>
      <c r="D762" s="1">
        <f ca="1">IFERROR(__xludf.DUMMYFUNCTION("""COMPUTED_VALUE"""),394.54)</f>
        <v>394.54</v>
      </c>
      <c r="E762" s="1">
        <f ca="1">IFERROR(__xludf.DUMMYFUNCTION("""COMPUTED_VALUE"""),396.36)</f>
        <v>396.36</v>
      </c>
      <c r="F762" s="1">
        <f ca="1">IFERROR(__xludf.DUMMYFUNCTION("""COMPUTED_VALUE"""),84565022)</f>
        <v>84565022</v>
      </c>
    </row>
    <row r="763" spans="1:6" ht="12.6">
      <c r="A763" s="2">
        <f ca="1">IFERROR(__xludf.DUMMYFUNCTION("""COMPUTED_VALUE"""),45672.6666666666)</f>
        <v>45672.666666666599</v>
      </c>
      <c r="B763" s="1">
        <f ca="1">IFERROR(__xludf.DUMMYFUNCTION("""COMPUTED_VALUE"""),409.9)</f>
        <v>409.9</v>
      </c>
      <c r="C763" s="1">
        <f ca="1">IFERROR(__xludf.DUMMYFUNCTION("""COMPUTED_VALUE"""),429.8)</f>
        <v>429.8</v>
      </c>
      <c r="D763" s="1">
        <f ca="1">IFERROR(__xludf.DUMMYFUNCTION("""COMPUTED_VALUE"""),405.66)</f>
        <v>405.66</v>
      </c>
      <c r="E763" s="1">
        <f ca="1">IFERROR(__xludf.DUMMYFUNCTION("""COMPUTED_VALUE"""),428.22)</f>
        <v>428.22</v>
      </c>
      <c r="F763" s="1">
        <f ca="1">IFERROR(__xludf.DUMMYFUNCTION("""COMPUTED_VALUE"""),81375460)</f>
        <v>81375460</v>
      </c>
    </row>
    <row r="764" spans="1:6" ht="12.6">
      <c r="A764" s="2">
        <f ca="1">IFERROR(__xludf.DUMMYFUNCTION("""COMPUTED_VALUE"""),45673.6666666666)</f>
        <v>45673.666666666599</v>
      </c>
      <c r="B764" s="1">
        <f ca="1">IFERROR(__xludf.DUMMYFUNCTION("""COMPUTED_VALUE"""),423.49)</f>
        <v>423.49</v>
      </c>
      <c r="C764" s="1">
        <f ca="1">IFERROR(__xludf.DUMMYFUNCTION("""COMPUTED_VALUE"""),424)</f>
        <v>424</v>
      </c>
      <c r="D764" s="1">
        <f ca="1">IFERROR(__xludf.DUMMYFUNCTION("""COMPUTED_VALUE"""),409.13)</f>
        <v>409.13</v>
      </c>
      <c r="E764" s="1">
        <f ca="1">IFERROR(__xludf.DUMMYFUNCTION("""COMPUTED_VALUE"""),413.82)</f>
        <v>413.82</v>
      </c>
      <c r="F764" s="1">
        <f ca="1">IFERROR(__xludf.DUMMYFUNCTION("""COMPUTED_VALUE"""),68335151)</f>
        <v>68335151</v>
      </c>
    </row>
    <row r="765" spans="1:6" ht="12.6">
      <c r="A765" s="2">
        <f ca="1">IFERROR(__xludf.DUMMYFUNCTION("""COMPUTED_VALUE"""),45674.6666666666)</f>
        <v>45674.666666666599</v>
      </c>
      <c r="B765" s="1">
        <f ca="1">IFERROR(__xludf.DUMMYFUNCTION("""COMPUTED_VALUE"""),421.5)</f>
        <v>421.5</v>
      </c>
      <c r="C765" s="1">
        <f ca="1">IFERROR(__xludf.DUMMYFUNCTION("""COMPUTED_VALUE"""),439.74)</f>
        <v>439.74</v>
      </c>
      <c r="D765" s="1">
        <f ca="1">IFERROR(__xludf.DUMMYFUNCTION("""COMPUTED_VALUE"""),419.75)</f>
        <v>419.75</v>
      </c>
      <c r="E765" s="1">
        <f ca="1">IFERROR(__xludf.DUMMYFUNCTION("""COMPUTED_VALUE"""),426.5)</f>
        <v>426.5</v>
      </c>
      <c r="F765" s="1">
        <f ca="1">IFERROR(__xludf.DUMMYFUNCTION("""COMPUTED_VALUE"""),94991429)</f>
        <v>94991429</v>
      </c>
    </row>
    <row r="766" spans="1:6" ht="12.6">
      <c r="A766" s="2">
        <f ca="1">IFERROR(__xludf.DUMMYFUNCTION("""COMPUTED_VALUE"""),45678.6666666666)</f>
        <v>45678.666666666599</v>
      </c>
      <c r="B766" s="1">
        <f ca="1">IFERROR(__xludf.DUMMYFUNCTION("""COMPUTED_VALUE"""),432.64)</f>
        <v>432.64</v>
      </c>
      <c r="C766" s="1">
        <f ca="1">IFERROR(__xludf.DUMMYFUNCTION("""COMPUTED_VALUE"""),433.2)</f>
        <v>433.2</v>
      </c>
      <c r="D766" s="1">
        <f ca="1">IFERROR(__xludf.DUMMYFUNCTION("""COMPUTED_VALUE"""),406.31)</f>
        <v>406.31</v>
      </c>
      <c r="E766" s="1">
        <f ca="1">IFERROR(__xludf.DUMMYFUNCTION("""COMPUTED_VALUE"""),424.07)</f>
        <v>424.07</v>
      </c>
      <c r="F766" s="1">
        <f ca="1">IFERROR(__xludf.DUMMYFUNCTION("""COMPUTED_VALUE"""),87320894)</f>
        <v>87320894</v>
      </c>
    </row>
    <row r="767" spans="1:6" ht="12.6">
      <c r="A767" s="2">
        <f ca="1">IFERROR(__xludf.DUMMYFUNCTION("""COMPUTED_VALUE"""),45679.6666666666)</f>
        <v>45679.666666666599</v>
      </c>
      <c r="B767" s="1">
        <f ca="1">IFERROR(__xludf.DUMMYFUNCTION("""COMPUTED_VALUE"""),416.81)</f>
        <v>416.81</v>
      </c>
      <c r="C767" s="1">
        <f ca="1">IFERROR(__xludf.DUMMYFUNCTION("""COMPUTED_VALUE"""),428)</f>
        <v>428</v>
      </c>
      <c r="D767" s="1">
        <f ca="1">IFERROR(__xludf.DUMMYFUNCTION("""COMPUTED_VALUE"""),414.59)</f>
        <v>414.59</v>
      </c>
      <c r="E767" s="1">
        <f ca="1">IFERROR(__xludf.DUMMYFUNCTION("""COMPUTED_VALUE"""),415.11)</f>
        <v>415.11</v>
      </c>
      <c r="F767" s="1">
        <f ca="1">IFERROR(__xludf.DUMMYFUNCTION("""COMPUTED_VALUE"""),60963342)</f>
        <v>60963342</v>
      </c>
    </row>
    <row r="768" spans="1:6" ht="12.6">
      <c r="A768" s="2">
        <f ca="1">IFERROR(__xludf.DUMMYFUNCTION("""COMPUTED_VALUE"""),45680.6666666666)</f>
        <v>45680.666666666599</v>
      </c>
      <c r="B768" s="1">
        <f ca="1">IFERROR(__xludf.DUMMYFUNCTION("""COMPUTED_VALUE"""),416.06)</f>
        <v>416.06</v>
      </c>
      <c r="C768" s="1">
        <f ca="1">IFERROR(__xludf.DUMMYFUNCTION("""COMPUTED_VALUE"""),420.73)</f>
        <v>420.73</v>
      </c>
      <c r="D768" s="1">
        <f ca="1">IFERROR(__xludf.DUMMYFUNCTION("""COMPUTED_VALUE"""),408.95)</f>
        <v>408.95</v>
      </c>
      <c r="E768" s="1">
        <f ca="1">IFERROR(__xludf.DUMMYFUNCTION("""COMPUTED_VALUE"""),412.38)</f>
        <v>412.38</v>
      </c>
      <c r="F768" s="1">
        <f ca="1">IFERROR(__xludf.DUMMYFUNCTION("""COMPUTED_VALUE"""),50690592)</f>
        <v>50690592</v>
      </c>
    </row>
    <row r="769" spans="1:6" ht="12.6">
      <c r="A769" s="2">
        <f ca="1">IFERROR(__xludf.DUMMYFUNCTION("""COMPUTED_VALUE"""),45681.6666666666)</f>
        <v>45681.666666666599</v>
      </c>
      <c r="B769" s="1">
        <f ca="1">IFERROR(__xludf.DUMMYFUNCTION("""COMPUTED_VALUE"""),414.45)</f>
        <v>414.45</v>
      </c>
      <c r="C769" s="1">
        <f ca="1">IFERROR(__xludf.DUMMYFUNCTION("""COMPUTED_VALUE"""),418.88)</f>
        <v>418.88</v>
      </c>
      <c r="D769" s="1">
        <f ca="1">IFERROR(__xludf.DUMMYFUNCTION("""COMPUTED_VALUE"""),405.78)</f>
        <v>405.78</v>
      </c>
      <c r="E769" s="1">
        <f ca="1">IFERROR(__xludf.DUMMYFUNCTION("""COMPUTED_VALUE"""),406.58)</f>
        <v>406.58</v>
      </c>
      <c r="F769" s="1">
        <f ca="1">IFERROR(__xludf.DUMMYFUNCTION("""COMPUTED_VALUE"""),56427149)</f>
        <v>56427149</v>
      </c>
    </row>
    <row r="770" spans="1:6" ht="12.6">
      <c r="A770" s="2">
        <f ca="1">IFERROR(__xludf.DUMMYFUNCTION("""COMPUTED_VALUE"""),45684.6666666666)</f>
        <v>45684.666666666599</v>
      </c>
      <c r="B770" s="1">
        <f ca="1">IFERROR(__xludf.DUMMYFUNCTION("""COMPUTED_VALUE"""),394.8)</f>
        <v>394.8</v>
      </c>
      <c r="C770" s="1">
        <f ca="1">IFERROR(__xludf.DUMMYFUNCTION("""COMPUTED_VALUE"""),406.69)</f>
        <v>406.69</v>
      </c>
      <c r="D770" s="1">
        <f ca="1">IFERROR(__xludf.DUMMYFUNCTION("""COMPUTED_VALUE"""),389)</f>
        <v>389</v>
      </c>
      <c r="E770" s="1">
        <f ca="1">IFERROR(__xludf.DUMMYFUNCTION("""COMPUTED_VALUE"""),397.15)</f>
        <v>397.15</v>
      </c>
      <c r="F770" s="1">
        <f ca="1">IFERROR(__xludf.DUMMYFUNCTION("""COMPUTED_VALUE"""),58125510)</f>
        <v>58125510</v>
      </c>
    </row>
    <row r="771" spans="1:6" ht="12.6">
      <c r="A771" s="2">
        <f ca="1">IFERROR(__xludf.DUMMYFUNCTION("""COMPUTED_VALUE"""),45685.6666666666)</f>
        <v>45685.666666666599</v>
      </c>
      <c r="B771" s="1">
        <f ca="1">IFERROR(__xludf.DUMMYFUNCTION("""COMPUTED_VALUE"""),396.91)</f>
        <v>396.91</v>
      </c>
      <c r="C771" s="1">
        <f ca="1">IFERROR(__xludf.DUMMYFUNCTION("""COMPUTED_VALUE"""),400.59)</f>
        <v>400.59</v>
      </c>
      <c r="D771" s="1">
        <f ca="1">IFERROR(__xludf.DUMMYFUNCTION("""COMPUTED_VALUE"""),386.5)</f>
        <v>386.5</v>
      </c>
      <c r="E771" s="1">
        <f ca="1">IFERROR(__xludf.DUMMYFUNCTION("""COMPUTED_VALUE"""),398.09)</f>
        <v>398.09</v>
      </c>
      <c r="F771" s="1">
        <f ca="1">IFERROR(__xludf.DUMMYFUNCTION("""COMPUTED_VALUE"""),48910676)</f>
        <v>48910676</v>
      </c>
    </row>
    <row r="772" spans="1:6" ht="12.6">
      <c r="A772" s="2">
        <f ca="1">IFERROR(__xludf.DUMMYFUNCTION("""COMPUTED_VALUE"""),45686.6666666666)</f>
        <v>45686.666666666599</v>
      </c>
      <c r="B772" s="1">
        <f ca="1">IFERROR(__xludf.DUMMYFUNCTION("""COMPUTED_VALUE"""),395.21)</f>
        <v>395.21</v>
      </c>
      <c r="C772" s="1">
        <f ca="1">IFERROR(__xludf.DUMMYFUNCTION("""COMPUTED_VALUE"""),398.59)</f>
        <v>398.59</v>
      </c>
      <c r="D772" s="1">
        <f ca="1">IFERROR(__xludf.DUMMYFUNCTION("""COMPUTED_VALUE"""),384.48)</f>
        <v>384.48</v>
      </c>
      <c r="E772" s="1">
        <f ca="1">IFERROR(__xludf.DUMMYFUNCTION("""COMPUTED_VALUE"""),389.1)</f>
        <v>389.1</v>
      </c>
      <c r="F772" s="1">
        <f ca="1">IFERROR(__xludf.DUMMYFUNCTION("""COMPUTED_VALUE"""),68033648)</f>
        <v>68033648</v>
      </c>
    </row>
    <row r="773" spans="1:6" ht="12.6">
      <c r="A773" s="2">
        <f ca="1">IFERROR(__xludf.DUMMYFUNCTION("""COMPUTED_VALUE"""),45687.6666666666)</f>
        <v>45687.666666666599</v>
      </c>
      <c r="B773" s="1">
        <f ca="1">IFERROR(__xludf.DUMMYFUNCTION("""COMPUTED_VALUE"""),410.78)</f>
        <v>410.78</v>
      </c>
      <c r="C773" s="1">
        <f ca="1">IFERROR(__xludf.DUMMYFUNCTION("""COMPUTED_VALUE"""),412.5)</f>
        <v>412.5</v>
      </c>
      <c r="D773" s="1">
        <f ca="1">IFERROR(__xludf.DUMMYFUNCTION("""COMPUTED_VALUE"""),384.41)</f>
        <v>384.41</v>
      </c>
      <c r="E773" s="1">
        <f ca="1">IFERROR(__xludf.DUMMYFUNCTION("""COMPUTED_VALUE"""),400.28)</f>
        <v>400.28</v>
      </c>
      <c r="F773" s="1">
        <f ca="1">IFERROR(__xludf.DUMMYFUNCTION("""COMPUTED_VALUE"""),98092879)</f>
        <v>98092879</v>
      </c>
    </row>
    <row r="774" spans="1:6" ht="12.6">
      <c r="A774" s="2">
        <f ca="1">IFERROR(__xludf.DUMMYFUNCTION("""COMPUTED_VALUE"""),45688.6666666666)</f>
        <v>45688.666666666599</v>
      </c>
      <c r="B774" s="1">
        <f ca="1">IFERROR(__xludf.DUMMYFUNCTION("""COMPUTED_VALUE"""),401.53)</f>
        <v>401.53</v>
      </c>
      <c r="C774" s="1">
        <f ca="1">IFERROR(__xludf.DUMMYFUNCTION("""COMPUTED_VALUE"""),419.99)</f>
        <v>419.99</v>
      </c>
      <c r="D774" s="1">
        <f ca="1">IFERROR(__xludf.DUMMYFUNCTION("""COMPUTED_VALUE"""),401.34)</f>
        <v>401.34</v>
      </c>
      <c r="E774" s="1">
        <f ca="1">IFERROR(__xludf.DUMMYFUNCTION("""COMPUTED_VALUE"""),404.6)</f>
        <v>404.6</v>
      </c>
      <c r="F774" s="1">
        <f ca="1">IFERROR(__xludf.DUMMYFUNCTION("""COMPUTED_VALUE"""),83568219)</f>
        <v>83568219</v>
      </c>
    </row>
    <row r="775" spans="1:6" ht="12.6">
      <c r="A775" s="2">
        <f ca="1">IFERROR(__xludf.DUMMYFUNCTION("""COMPUTED_VALUE"""),45691.6666666666)</f>
        <v>45691.666666666599</v>
      </c>
      <c r="B775" s="1">
        <f ca="1">IFERROR(__xludf.DUMMYFUNCTION("""COMPUTED_VALUE"""),386.68)</f>
        <v>386.68</v>
      </c>
      <c r="C775" s="1">
        <f ca="1">IFERROR(__xludf.DUMMYFUNCTION("""COMPUTED_VALUE"""),389.17)</f>
        <v>389.17</v>
      </c>
      <c r="D775" s="1">
        <f ca="1">IFERROR(__xludf.DUMMYFUNCTION("""COMPUTED_VALUE"""),374.36)</f>
        <v>374.36</v>
      </c>
      <c r="E775" s="1">
        <f ca="1">IFERROR(__xludf.DUMMYFUNCTION("""COMPUTED_VALUE"""),383.68)</f>
        <v>383.68</v>
      </c>
      <c r="F775" s="1">
        <f ca="1">IFERROR(__xludf.DUMMYFUNCTION("""COMPUTED_VALUE"""),93732122)</f>
        <v>93732122</v>
      </c>
    </row>
    <row r="776" spans="1:6" ht="12.6">
      <c r="A776" s="2">
        <f ca="1">IFERROR(__xludf.DUMMYFUNCTION("""COMPUTED_VALUE"""),45692.6666666666)</f>
        <v>45692.666666666599</v>
      </c>
      <c r="B776" s="1">
        <f ca="1">IFERROR(__xludf.DUMMYFUNCTION("""COMPUTED_VALUE"""),382.63)</f>
        <v>382.63</v>
      </c>
      <c r="C776" s="1">
        <f ca="1">IFERROR(__xludf.DUMMYFUNCTION("""COMPUTED_VALUE"""),394)</f>
        <v>394</v>
      </c>
      <c r="D776" s="1">
        <f ca="1">IFERROR(__xludf.DUMMYFUNCTION("""COMPUTED_VALUE"""),381.4)</f>
        <v>381.4</v>
      </c>
      <c r="E776" s="1">
        <f ca="1">IFERROR(__xludf.DUMMYFUNCTION("""COMPUTED_VALUE"""),392.21)</f>
        <v>392.21</v>
      </c>
      <c r="F776" s="1">
        <f ca="1">IFERROR(__xludf.DUMMYFUNCTION("""COMPUTED_VALUE"""),57072235)</f>
        <v>57072235</v>
      </c>
    </row>
    <row r="777" spans="1:6" ht="12.6">
      <c r="A777" s="2">
        <f ca="1">IFERROR(__xludf.DUMMYFUNCTION("""COMPUTED_VALUE"""),45693.6666666666)</f>
        <v>45693.666666666599</v>
      </c>
      <c r="B777" s="1">
        <f ca="1">IFERROR(__xludf.DUMMYFUNCTION("""COMPUTED_VALUE"""),387.51)</f>
        <v>387.51</v>
      </c>
      <c r="C777" s="1">
        <f ca="1">IFERROR(__xludf.DUMMYFUNCTION("""COMPUTED_VALUE"""),388.39)</f>
        <v>388.39</v>
      </c>
      <c r="D777" s="1">
        <f ca="1">IFERROR(__xludf.DUMMYFUNCTION("""COMPUTED_VALUE"""),375.53)</f>
        <v>375.53</v>
      </c>
      <c r="E777" s="1">
        <f ca="1">IFERROR(__xludf.DUMMYFUNCTION("""COMPUTED_VALUE"""),378.17)</f>
        <v>378.17</v>
      </c>
      <c r="F777" s="1">
        <f ca="1">IFERROR(__xludf.DUMMYFUNCTION("""COMPUTED_VALUE"""),57614721)</f>
        <v>57614721</v>
      </c>
    </row>
    <row r="778" spans="1:6" ht="12.6">
      <c r="A778" s="2">
        <f ca="1">IFERROR(__xludf.DUMMYFUNCTION("""COMPUTED_VALUE"""),45694.6666666666)</f>
        <v>45694.666666666599</v>
      </c>
      <c r="B778" s="1">
        <f ca="1">IFERROR(__xludf.DUMMYFUNCTION("""COMPUTED_VALUE"""),373.03)</f>
        <v>373.03</v>
      </c>
      <c r="C778" s="1">
        <f ca="1">IFERROR(__xludf.DUMMYFUNCTION("""COMPUTED_VALUE"""),375.4)</f>
        <v>375.4</v>
      </c>
      <c r="D778" s="1">
        <f ca="1">IFERROR(__xludf.DUMMYFUNCTION("""COMPUTED_VALUE"""),363.18)</f>
        <v>363.18</v>
      </c>
      <c r="E778" s="1">
        <f ca="1">IFERROR(__xludf.DUMMYFUNCTION("""COMPUTED_VALUE"""),374.32)</f>
        <v>374.32</v>
      </c>
      <c r="F778" s="1">
        <f ca="1">IFERROR(__xludf.DUMMYFUNCTION("""COMPUTED_VALUE"""),77918230)</f>
        <v>77918230</v>
      </c>
    </row>
    <row r="779" spans="1:6" ht="12.6">
      <c r="A779" s="2">
        <f ca="1">IFERROR(__xludf.DUMMYFUNCTION("""COMPUTED_VALUE"""),45695.6666666666)</f>
        <v>45695.666666666599</v>
      </c>
      <c r="B779" s="1">
        <f ca="1">IFERROR(__xludf.DUMMYFUNCTION("""COMPUTED_VALUE"""),370.19)</f>
        <v>370.19</v>
      </c>
      <c r="C779" s="1">
        <f ca="1">IFERROR(__xludf.DUMMYFUNCTION("""COMPUTED_VALUE"""),380.55)</f>
        <v>380.55</v>
      </c>
      <c r="D779" s="1">
        <f ca="1">IFERROR(__xludf.DUMMYFUNCTION("""COMPUTED_VALUE"""),360.34)</f>
        <v>360.34</v>
      </c>
      <c r="E779" s="1">
        <f ca="1">IFERROR(__xludf.DUMMYFUNCTION("""COMPUTED_VALUE"""),361.62)</f>
        <v>361.62</v>
      </c>
      <c r="F779" s="1">
        <f ca="1">IFERROR(__xludf.DUMMYFUNCTION("""COMPUTED_VALUE"""),70298258)</f>
        <v>70298258</v>
      </c>
    </row>
    <row r="780" spans="1:6" ht="12.6">
      <c r="A780" s="2">
        <f ca="1">IFERROR(__xludf.DUMMYFUNCTION("""COMPUTED_VALUE"""),45698.6666666666)</f>
        <v>45698.666666666599</v>
      </c>
      <c r="B780" s="1">
        <f ca="1">IFERROR(__xludf.DUMMYFUNCTION("""COMPUTED_VALUE"""),356.21)</f>
        <v>356.21</v>
      </c>
      <c r="C780" s="1">
        <f ca="1">IFERROR(__xludf.DUMMYFUNCTION("""COMPUTED_VALUE"""),362.7)</f>
        <v>362.7</v>
      </c>
      <c r="D780" s="1">
        <f ca="1">IFERROR(__xludf.DUMMYFUNCTION("""COMPUTED_VALUE"""),350.51)</f>
        <v>350.51</v>
      </c>
      <c r="E780" s="1">
        <f ca="1">IFERROR(__xludf.DUMMYFUNCTION("""COMPUTED_VALUE"""),350.73)</f>
        <v>350.73</v>
      </c>
      <c r="F780" s="1">
        <f ca="1">IFERROR(__xludf.DUMMYFUNCTION("""COMPUTED_VALUE"""),77514903)</f>
        <v>77514903</v>
      </c>
    </row>
    <row r="781" spans="1:6" ht="12.6">
      <c r="A781" s="2">
        <f ca="1">IFERROR(__xludf.DUMMYFUNCTION("""COMPUTED_VALUE"""),45699.6666666666)</f>
        <v>45699.666666666599</v>
      </c>
      <c r="B781" s="1">
        <f ca="1">IFERROR(__xludf.DUMMYFUNCTION("""COMPUTED_VALUE"""),345.8)</f>
        <v>345.8</v>
      </c>
      <c r="C781" s="1">
        <f ca="1">IFERROR(__xludf.DUMMYFUNCTION("""COMPUTED_VALUE"""),349.37)</f>
        <v>349.37</v>
      </c>
      <c r="D781" s="1">
        <f ca="1">IFERROR(__xludf.DUMMYFUNCTION("""COMPUTED_VALUE"""),325.1)</f>
        <v>325.10000000000002</v>
      </c>
      <c r="E781" s="1">
        <f ca="1">IFERROR(__xludf.DUMMYFUNCTION("""COMPUTED_VALUE"""),328.5)</f>
        <v>328.5</v>
      </c>
      <c r="F781" s="1">
        <f ca="1">IFERROR(__xludf.DUMMYFUNCTION("""COMPUTED_VALUE"""),118543400)</f>
        <v>118543400</v>
      </c>
    </row>
    <row r="782" spans="1:6" ht="12.6">
      <c r="A782" s="2">
        <f ca="1">IFERROR(__xludf.DUMMYFUNCTION("""COMPUTED_VALUE"""),45700.6666666666)</f>
        <v>45700.666666666599</v>
      </c>
      <c r="B782" s="1">
        <f ca="1">IFERROR(__xludf.DUMMYFUNCTION("""COMPUTED_VALUE"""),329.94)</f>
        <v>329.94</v>
      </c>
      <c r="C782" s="1">
        <f ca="1">IFERROR(__xludf.DUMMYFUNCTION("""COMPUTED_VALUE"""),346.4)</f>
        <v>346.4</v>
      </c>
      <c r="D782" s="1">
        <f ca="1">IFERROR(__xludf.DUMMYFUNCTION("""COMPUTED_VALUE"""),329.12)</f>
        <v>329.12</v>
      </c>
      <c r="E782" s="1">
        <f ca="1">IFERROR(__xludf.DUMMYFUNCTION("""COMPUTED_VALUE"""),336.51)</f>
        <v>336.51</v>
      </c>
      <c r="F782" s="1">
        <f ca="1">IFERROR(__xludf.DUMMYFUNCTION("""COMPUTED_VALUE"""),105382729)</f>
        <v>105382729</v>
      </c>
    </row>
    <row r="783" spans="1:6" ht="12.6">
      <c r="A783" s="2">
        <f ca="1">IFERROR(__xludf.DUMMYFUNCTION("""COMPUTED_VALUE"""),45701.6666666666)</f>
        <v>45701.666666666599</v>
      </c>
      <c r="B783" s="1">
        <f ca="1">IFERROR(__xludf.DUMMYFUNCTION("""COMPUTED_VALUE"""),345)</f>
        <v>345</v>
      </c>
      <c r="C783" s="1">
        <f ca="1">IFERROR(__xludf.DUMMYFUNCTION("""COMPUTED_VALUE"""),358.69)</f>
        <v>358.69</v>
      </c>
      <c r="D783" s="1">
        <f ca="1">IFERROR(__xludf.DUMMYFUNCTION("""COMPUTED_VALUE"""),342.85)</f>
        <v>342.85</v>
      </c>
      <c r="E783" s="1">
        <f ca="1">IFERROR(__xludf.DUMMYFUNCTION("""COMPUTED_VALUE"""),355.94)</f>
        <v>355.94</v>
      </c>
      <c r="F783" s="1">
        <f ca="1">IFERROR(__xludf.DUMMYFUNCTION("""COMPUTED_VALUE"""),89441519)</f>
        <v>89441519</v>
      </c>
    </row>
    <row r="784" spans="1:6" ht="12.6">
      <c r="A784" s="2">
        <f ca="1">IFERROR(__xludf.DUMMYFUNCTION("""COMPUTED_VALUE"""),45702.6666666666)</f>
        <v>45702.666666666599</v>
      </c>
      <c r="B784" s="1">
        <f ca="1">IFERROR(__xludf.DUMMYFUNCTION("""COMPUTED_VALUE"""),360.62)</f>
        <v>360.62</v>
      </c>
      <c r="C784" s="1">
        <f ca="1">IFERROR(__xludf.DUMMYFUNCTION("""COMPUTED_VALUE"""),362)</f>
        <v>362</v>
      </c>
      <c r="D784" s="1">
        <f ca="1">IFERROR(__xludf.DUMMYFUNCTION("""COMPUTED_VALUE"""),347.5)</f>
        <v>347.5</v>
      </c>
      <c r="E784" s="1">
        <f ca="1">IFERROR(__xludf.DUMMYFUNCTION("""COMPUTED_VALUE"""),355.84)</f>
        <v>355.84</v>
      </c>
      <c r="F784" s="1">
        <f ca="1">IFERROR(__xludf.DUMMYFUNCTION("""COMPUTED_VALUE"""),68277279)</f>
        <v>68277279</v>
      </c>
    </row>
    <row r="785" spans="1:6" ht="12.6">
      <c r="A785" s="2">
        <f ca="1">IFERROR(__xludf.DUMMYFUNCTION("""COMPUTED_VALUE"""),45706.6666666666)</f>
        <v>45706.666666666599</v>
      </c>
      <c r="B785" s="1">
        <f ca="1">IFERROR(__xludf.DUMMYFUNCTION("""COMPUTED_VALUE"""),355.01)</f>
        <v>355.01</v>
      </c>
      <c r="C785" s="1">
        <f ca="1">IFERROR(__xludf.DUMMYFUNCTION("""COMPUTED_VALUE"""),359.1)</f>
        <v>359.1</v>
      </c>
      <c r="D785" s="1">
        <f ca="1">IFERROR(__xludf.DUMMYFUNCTION("""COMPUTED_VALUE"""),350.02)</f>
        <v>350.02</v>
      </c>
      <c r="E785" s="1">
        <f ca="1">IFERROR(__xludf.DUMMYFUNCTION("""COMPUTED_VALUE"""),354.11)</f>
        <v>354.11</v>
      </c>
      <c r="F785" s="1">
        <f ca="1">IFERROR(__xludf.DUMMYFUNCTION("""COMPUTED_VALUE"""),51631702)</f>
        <v>51631702</v>
      </c>
    </row>
    <row r="786" spans="1:6" ht="12.6">
      <c r="A786" s="2">
        <f ca="1">IFERROR(__xludf.DUMMYFUNCTION("""COMPUTED_VALUE"""),45707.6666666666)</f>
        <v>45707.666666666599</v>
      </c>
      <c r="B786" s="1">
        <f ca="1">IFERROR(__xludf.DUMMYFUNCTION("""COMPUTED_VALUE"""),354)</f>
        <v>354</v>
      </c>
      <c r="C786" s="1">
        <f ca="1">IFERROR(__xludf.DUMMYFUNCTION("""COMPUTED_VALUE"""),367.34)</f>
        <v>367.34</v>
      </c>
      <c r="D786" s="1">
        <f ca="1">IFERROR(__xludf.DUMMYFUNCTION("""COMPUTED_VALUE"""),353.67)</f>
        <v>353.67</v>
      </c>
      <c r="E786" s="1">
        <f ca="1">IFERROR(__xludf.DUMMYFUNCTION("""COMPUTED_VALUE"""),360.56)</f>
        <v>360.56</v>
      </c>
      <c r="F786" s="1">
        <f ca="1">IFERROR(__xludf.DUMMYFUNCTION("""COMPUTED_VALUE"""),67094374)</f>
        <v>67094374</v>
      </c>
    </row>
    <row r="787" spans="1:6" ht="12.6">
      <c r="A787" s="2">
        <f ca="1">IFERROR(__xludf.DUMMYFUNCTION("""COMPUTED_VALUE"""),45708.6666666666)</f>
        <v>45708.666666666599</v>
      </c>
      <c r="B787" s="1">
        <f ca="1">IFERROR(__xludf.DUMMYFUNCTION("""COMPUTED_VALUE"""),361.51)</f>
        <v>361.51</v>
      </c>
      <c r="C787" s="1">
        <f ca="1">IFERROR(__xludf.DUMMYFUNCTION("""COMPUTED_VALUE"""),362.3)</f>
        <v>362.3</v>
      </c>
      <c r="D787" s="1">
        <f ca="1">IFERROR(__xludf.DUMMYFUNCTION("""COMPUTED_VALUE"""),348)</f>
        <v>348</v>
      </c>
      <c r="E787" s="1">
        <f ca="1">IFERROR(__xludf.DUMMYFUNCTION("""COMPUTED_VALUE"""),354.4)</f>
        <v>354.4</v>
      </c>
      <c r="F787" s="1">
        <f ca="1">IFERROR(__xludf.DUMMYFUNCTION("""COMPUTED_VALUE"""),45965354)</f>
        <v>45965354</v>
      </c>
    </row>
    <row r="788" spans="1:6" ht="12.6">
      <c r="A788" s="2">
        <f ca="1">IFERROR(__xludf.DUMMYFUNCTION("""COMPUTED_VALUE"""),45709.6666666666)</f>
        <v>45709.666666666599</v>
      </c>
      <c r="B788" s="1">
        <f ca="1">IFERROR(__xludf.DUMMYFUNCTION("""COMPUTED_VALUE"""),353.44)</f>
        <v>353.44</v>
      </c>
      <c r="C788" s="1">
        <f ca="1">IFERROR(__xludf.DUMMYFUNCTION("""COMPUTED_VALUE"""),354.98)</f>
        <v>354.98</v>
      </c>
      <c r="D788" s="1">
        <f ca="1">IFERROR(__xludf.DUMMYFUNCTION("""COMPUTED_VALUE"""),334.42)</f>
        <v>334.42</v>
      </c>
      <c r="E788" s="1">
        <f ca="1">IFERROR(__xludf.DUMMYFUNCTION("""COMPUTED_VALUE"""),337.8)</f>
        <v>337.8</v>
      </c>
      <c r="F788" s="1">
        <f ca="1">IFERROR(__xludf.DUMMYFUNCTION("""COMPUTED_VALUE"""),74058648)</f>
        <v>74058648</v>
      </c>
    </row>
    <row r="789" spans="1:6" ht="12.6">
      <c r="A789" s="2">
        <f ca="1">IFERROR(__xludf.DUMMYFUNCTION("""COMPUTED_VALUE"""),45712.6666666666)</f>
        <v>45712.666666666599</v>
      </c>
      <c r="B789" s="1">
        <f ca="1">IFERROR(__xludf.DUMMYFUNCTION("""COMPUTED_VALUE"""),338.14)</f>
        <v>338.14</v>
      </c>
      <c r="C789" s="1">
        <f ca="1">IFERROR(__xludf.DUMMYFUNCTION("""COMPUTED_VALUE"""),342.4)</f>
        <v>342.4</v>
      </c>
      <c r="D789" s="1">
        <f ca="1">IFERROR(__xludf.DUMMYFUNCTION("""COMPUTED_VALUE"""),324.7)</f>
        <v>324.7</v>
      </c>
      <c r="E789" s="1">
        <f ca="1">IFERROR(__xludf.DUMMYFUNCTION("""COMPUTED_VALUE"""),330.53)</f>
        <v>330.53</v>
      </c>
      <c r="F789" s="1">
        <f ca="1">IFERROR(__xludf.DUMMYFUNCTION("""COMPUTED_VALUE"""),76052321)</f>
        <v>76052321</v>
      </c>
    </row>
    <row r="790" spans="1:6" ht="12.6">
      <c r="A790" s="2">
        <f ca="1">IFERROR(__xludf.DUMMYFUNCTION("""COMPUTED_VALUE"""),45713.6666666666)</f>
        <v>45713.666666666599</v>
      </c>
      <c r="B790" s="1">
        <f ca="1">IFERROR(__xludf.DUMMYFUNCTION("""COMPUTED_VALUE"""),327.02)</f>
        <v>327.02</v>
      </c>
      <c r="C790" s="1">
        <f ca="1">IFERROR(__xludf.DUMMYFUNCTION("""COMPUTED_VALUE"""),328.89)</f>
        <v>328.89</v>
      </c>
      <c r="D790" s="1">
        <f ca="1">IFERROR(__xludf.DUMMYFUNCTION("""COMPUTED_VALUE"""),297.25)</f>
        <v>297.25</v>
      </c>
      <c r="E790" s="1">
        <f ca="1">IFERROR(__xludf.DUMMYFUNCTION("""COMPUTED_VALUE"""),302.8)</f>
        <v>302.8</v>
      </c>
      <c r="F790" s="1">
        <f ca="1">IFERROR(__xludf.DUMMYFUNCTION("""COMPUTED_VALUE"""),134228777)</f>
        <v>134228777</v>
      </c>
    </row>
    <row r="791" spans="1:6" ht="12.6">
      <c r="A791" s="2">
        <f ca="1">IFERROR(__xludf.DUMMYFUNCTION("""COMPUTED_VALUE"""),45714.6666666666)</f>
        <v>45714.666666666599</v>
      </c>
      <c r="B791" s="1">
        <f ca="1">IFERROR(__xludf.DUMMYFUNCTION("""COMPUTED_VALUE"""),303.71)</f>
        <v>303.70999999999998</v>
      </c>
      <c r="C791" s="1">
        <f ca="1">IFERROR(__xludf.DUMMYFUNCTION("""COMPUTED_VALUE"""),309)</f>
        <v>309</v>
      </c>
      <c r="D791" s="1">
        <f ca="1">IFERROR(__xludf.DUMMYFUNCTION("""COMPUTED_VALUE"""),288.04)</f>
        <v>288.04000000000002</v>
      </c>
      <c r="E791" s="1">
        <f ca="1">IFERROR(__xludf.DUMMYFUNCTION("""COMPUTED_VALUE"""),290.8)</f>
        <v>290.8</v>
      </c>
      <c r="F791" s="1">
        <f ca="1">IFERROR(__xludf.DUMMYFUNCTION("""COMPUTED_VALUE"""),100118276)</f>
        <v>100118276</v>
      </c>
    </row>
    <row r="792" spans="1:6" ht="12.6">
      <c r="A792" s="2">
        <f ca="1">IFERROR(__xludf.DUMMYFUNCTION("""COMPUTED_VALUE"""),45715.6666666666)</f>
        <v>45715.666666666599</v>
      </c>
      <c r="B792" s="1">
        <f ca="1">IFERROR(__xludf.DUMMYFUNCTION("""COMPUTED_VALUE"""),291.16)</f>
        <v>291.16000000000003</v>
      </c>
      <c r="C792" s="1">
        <f ca="1">IFERROR(__xludf.DUMMYFUNCTION("""COMPUTED_VALUE"""),297.23)</f>
        <v>297.23</v>
      </c>
      <c r="D792" s="1">
        <f ca="1">IFERROR(__xludf.DUMMYFUNCTION("""COMPUTED_VALUE"""),280.88)</f>
        <v>280.88</v>
      </c>
      <c r="E792" s="1">
        <f ca="1">IFERROR(__xludf.DUMMYFUNCTION("""COMPUTED_VALUE"""),281.95)</f>
        <v>281.95</v>
      </c>
      <c r="F792" s="1">
        <f ca="1">IFERROR(__xludf.DUMMYFUNCTION("""COMPUTED_VALUE"""),101748197)</f>
        <v>101748197</v>
      </c>
    </row>
    <row r="793" spans="1:6" ht="12.6">
      <c r="A793" s="2">
        <f ca="1">IFERROR(__xludf.DUMMYFUNCTION("""COMPUTED_VALUE"""),45716.6666666666)</f>
        <v>45716.666666666599</v>
      </c>
      <c r="B793" s="1">
        <f ca="1">IFERROR(__xludf.DUMMYFUNCTION("""COMPUTED_VALUE"""),279.5)</f>
        <v>279.5</v>
      </c>
      <c r="C793" s="1">
        <f ca="1">IFERROR(__xludf.DUMMYFUNCTION("""COMPUTED_VALUE"""),293.88)</f>
        <v>293.88</v>
      </c>
      <c r="D793" s="1">
        <f ca="1">IFERROR(__xludf.DUMMYFUNCTION("""COMPUTED_VALUE"""),273.6)</f>
        <v>273.60000000000002</v>
      </c>
      <c r="E793" s="1">
        <f ca="1">IFERROR(__xludf.DUMMYFUNCTION("""COMPUTED_VALUE"""),292.98)</f>
        <v>292.98</v>
      </c>
      <c r="F793" s="1">
        <f ca="1">IFERROR(__xludf.DUMMYFUNCTION("""COMPUTED_VALUE"""),115696968)</f>
        <v>115696968</v>
      </c>
    </row>
    <row r="794" spans="1:6" ht="12.6">
      <c r="A794" s="2">
        <f ca="1">IFERROR(__xludf.DUMMYFUNCTION("""COMPUTED_VALUE"""),45719.6666666666)</f>
        <v>45719.666666666599</v>
      </c>
      <c r="B794" s="1">
        <f ca="1">IFERROR(__xludf.DUMMYFUNCTION("""COMPUTED_VALUE"""),300.34)</f>
        <v>300.33999999999997</v>
      </c>
      <c r="C794" s="1">
        <f ca="1">IFERROR(__xludf.DUMMYFUNCTION("""COMPUTED_VALUE"""),303.94)</f>
        <v>303.94</v>
      </c>
      <c r="D794" s="1">
        <f ca="1">IFERROR(__xludf.DUMMYFUNCTION("""COMPUTED_VALUE"""),277.3)</f>
        <v>277.3</v>
      </c>
      <c r="E794" s="1">
        <f ca="1">IFERROR(__xludf.DUMMYFUNCTION("""COMPUTED_VALUE"""),284.65)</f>
        <v>284.64999999999998</v>
      </c>
      <c r="F794" s="1">
        <f ca="1">IFERROR(__xludf.DUMMYFUNCTION("""COMPUTED_VALUE"""),115551414)</f>
        <v>115551414</v>
      </c>
    </row>
    <row r="795" spans="1:6" ht="12.6">
      <c r="A795" s="2">
        <f ca="1">IFERROR(__xludf.DUMMYFUNCTION("""COMPUTED_VALUE"""),45720.6666666666)</f>
        <v>45720.666666666599</v>
      </c>
      <c r="B795" s="1">
        <f ca="1">IFERROR(__xludf.DUMMYFUNCTION("""COMPUTED_VALUE"""),270.93)</f>
        <v>270.93</v>
      </c>
      <c r="C795" s="1">
        <f ca="1">IFERROR(__xludf.DUMMYFUNCTION("""COMPUTED_VALUE"""),284.35)</f>
        <v>284.35000000000002</v>
      </c>
      <c r="D795" s="1">
        <f ca="1">IFERROR(__xludf.DUMMYFUNCTION("""COMPUTED_VALUE"""),261.84)</f>
        <v>261.83999999999997</v>
      </c>
      <c r="E795" s="1">
        <f ca="1">IFERROR(__xludf.DUMMYFUNCTION("""COMPUTED_VALUE"""),272.04)</f>
        <v>272.04000000000002</v>
      </c>
      <c r="F795" s="1">
        <f ca="1">IFERROR(__xludf.DUMMYFUNCTION("""COMPUTED_VALUE"""),126706623)</f>
        <v>126706623</v>
      </c>
    </row>
    <row r="796" spans="1:6" ht="12.6">
      <c r="A796" s="2">
        <f ca="1">IFERROR(__xludf.DUMMYFUNCTION("""COMPUTED_VALUE"""),45721.6666666666)</f>
        <v>45721.666666666599</v>
      </c>
      <c r="B796" s="1">
        <f ca="1">IFERROR(__xludf.DUMMYFUNCTION("""COMPUTED_VALUE"""),272.92)</f>
        <v>272.92</v>
      </c>
      <c r="C796" s="1">
        <f ca="1">IFERROR(__xludf.DUMMYFUNCTION("""COMPUTED_VALUE"""),279.55)</f>
        <v>279.55</v>
      </c>
      <c r="D796" s="1">
        <f ca="1">IFERROR(__xludf.DUMMYFUNCTION("""COMPUTED_VALUE"""),267.71)</f>
        <v>267.70999999999998</v>
      </c>
      <c r="E796" s="1">
        <f ca="1">IFERROR(__xludf.DUMMYFUNCTION("""COMPUTED_VALUE"""),279.1)</f>
        <v>279.10000000000002</v>
      </c>
      <c r="F796" s="1">
        <f ca="1">IFERROR(__xludf.DUMMYFUNCTION("""COMPUTED_VALUE"""),94042913)</f>
        <v>94042913</v>
      </c>
    </row>
    <row r="797" spans="1:6" ht="12.6">
      <c r="A797" s="2">
        <f ca="1">IFERROR(__xludf.DUMMYFUNCTION("""COMPUTED_VALUE"""),45722.6666666666)</f>
        <v>45722.666666666599</v>
      </c>
      <c r="B797" s="1">
        <f ca="1">IFERROR(__xludf.DUMMYFUNCTION("""COMPUTED_VALUE"""),272.06)</f>
        <v>272.06</v>
      </c>
      <c r="C797" s="1">
        <f ca="1">IFERROR(__xludf.DUMMYFUNCTION("""COMPUTED_VALUE"""),272.65)</f>
        <v>272.64999999999998</v>
      </c>
      <c r="D797" s="1">
        <f ca="1">IFERROR(__xludf.DUMMYFUNCTION("""COMPUTED_VALUE"""),260.02)</f>
        <v>260.02</v>
      </c>
      <c r="E797" s="1">
        <f ca="1">IFERROR(__xludf.DUMMYFUNCTION("""COMPUTED_VALUE"""),263.45)</f>
        <v>263.45</v>
      </c>
      <c r="F797" s="1">
        <f ca="1">IFERROR(__xludf.DUMMYFUNCTION("""COMPUTED_VALUE"""),98451566)</f>
        <v>98451566</v>
      </c>
    </row>
    <row r="798" spans="1:6" ht="12.6">
      <c r="A798" s="2">
        <f ca="1">IFERROR(__xludf.DUMMYFUNCTION("""COMPUTED_VALUE"""),45723.6666666666)</f>
        <v>45723.666666666599</v>
      </c>
      <c r="B798" s="1">
        <f ca="1">IFERROR(__xludf.DUMMYFUNCTION("""COMPUTED_VALUE"""),259.32)</f>
        <v>259.32</v>
      </c>
      <c r="C798" s="1">
        <f ca="1">IFERROR(__xludf.DUMMYFUNCTION("""COMPUTED_VALUE"""),266.25)</f>
        <v>266.25</v>
      </c>
      <c r="D798" s="1">
        <f ca="1">IFERROR(__xludf.DUMMYFUNCTION("""COMPUTED_VALUE"""),250.73)</f>
        <v>250.73</v>
      </c>
      <c r="E798" s="1">
        <f ca="1">IFERROR(__xludf.DUMMYFUNCTION("""COMPUTED_VALUE"""),262.67)</f>
        <v>262.67</v>
      </c>
      <c r="F798" s="1">
        <f ca="1">IFERROR(__xludf.DUMMYFUNCTION("""COMPUTED_VALUE"""),102369640)</f>
        <v>102369640</v>
      </c>
    </row>
    <row r="799" spans="1:6" ht="12.6">
      <c r="A799" s="2">
        <f ca="1">IFERROR(__xludf.DUMMYFUNCTION("""COMPUTED_VALUE"""),45726.6666666666)</f>
        <v>45726.666666666599</v>
      </c>
      <c r="B799" s="1">
        <f ca="1">IFERROR(__xludf.DUMMYFUNCTION("""COMPUTED_VALUE"""),252.54)</f>
        <v>252.54</v>
      </c>
      <c r="C799" s="1">
        <f ca="1">IFERROR(__xludf.DUMMYFUNCTION("""COMPUTED_VALUE"""),253.37)</f>
        <v>253.37</v>
      </c>
      <c r="D799" s="1">
        <f ca="1">IFERROR(__xludf.DUMMYFUNCTION("""COMPUTED_VALUE"""),220)</f>
        <v>220</v>
      </c>
      <c r="E799" s="1">
        <f ca="1">IFERROR(__xludf.DUMMYFUNCTION("""COMPUTED_VALUE"""),222.15)</f>
        <v>222.15</v>
      </c>
      <c r="F799" s="1">
        <f ca="1">IFERROR(__xludf.DUMMYFUNCTION("""COMPUTED_VALUE"""),189076948)</f>
        <v>189076948</v>
      </c>
    </row>
    <row r="800" spans="1:6" ht="12.6">
      <c r="A800" s="2">
        <f ca="1">IFERROR(__xludf.DUMMYFUNCTION("""COMPUTED_VALUE"""),45727.6666666666)</f>
        <v>45727.666666666599</v>
      </c>
      <c r="B800" s="1">
        <f ca="1">IFERROR(__xludf.DUMMYFUNCTION("""COMPUTED_VALUE"""),225.31)</f>
        <v>225.31</v>
      </c>
      <c r="C800" s="1">
        <f ca="1">IFERROR(__xludf.DUMMYFUNCTION("""COMPUTED_VALUE"""),237.06)</f>
        <v>237.06</v>
      </c>
      <c r="D800" s="1">
        <f ca="1">IFERROR(__xludf.DUMMYFUNCTION("""COMPUTED_VALUE"""),217.02)</f>
        <v>217.02</v>
      </c>
      <c r="E800" s="1">
        <f ca="1">IFERROR(__xludf.DUMMYFUNCTION("""COMPUTED_VALUE"""),230.58)</f>
        <v>230.58</v>
      </c>
      <c r="F800" s="1">
        <f ca="1">IFERROR(__xludf.DUMMYFUNCTION("""COMPUTED_VALUE"""),174896415)</f>
        <v>174896415</v>
      </c>
    </row>
    <row r="801" spans="1:6" ht="12.6">
      <c r="A801" s="2">
        <f ca="1">IFERROR(__xludf.DUMMYFUNCTION("""COMPUTED_VALUE"""),45728.6666666666)</f>
        <v>45728.666666666599</v>
      </c>
      <c r="B801" s="1">
        <f ca="1">IFERROR(__xludf.DUMMYFUNCTION("""COMPUTED_VALUE"""),247.22)</f>
        <v>247.22</v>
      </c>
      <c r="C801" s="1">
        <f ca="1">IFERROR(__xludf.DUMMYFUNCTION("""COMPUTED_VALUE"""),251.84)</f>
        <v>251.84</v>
      </c>
      <c r="D801" s="1">
        <f ca="1">IFERROR(__xludf.DUMMYFUNCTION("""COMPUTED_VALUE"""),241.1)</f>
        <v>241.1</v>
      </c>
      <c r="E801" s="1">
        <f ca="1">IFERROR(__xludf.DUMMYFUNCTION("""COMPUTED_VALUE"""),248.09)</f>
        <v>248.09</v>
      </c>
      <c r="F801" s="1">
        <f ca="1">IFERROR(__xludf.DUMMYFUNCTION("""COMPUTED_VALUE"""),142215681)</f>
        <v>142215681</v>
      </c>
    </row>
    <row r="802" spans="1:6" ht="12.6">
      <c r="A802" s="2">
        <f ca="1">IFERROR(__xludf.DUMMYFUNCTION("""COMPUTED_VALUE"""),45729.6666666666)</f>
        <v>45729.666666666599</v>
      </c>
      <c r="B802" s="1">
        <f ca="1">IFERROR(__xludf.DUMMYFUNCTION("""COMPUTED_VALUE"""),248.13)</f>
        <v>248.13</v>
      </c>
      <c r="C802" s="1">
        <f ca="1">IFERROR(__xludf.DUMMYFUNCTION("""COMPUTED_VALUE"""),248.29)</f>
        <v>248.29</v>
      </c>
      <c r="D802" s="1">
        <f ca="1">IFERROR(__xludf.DUMMYFUNCTION("""COMPUTED_VALUE"""),232.6)</f>
        <v>232.6</v>
      </c>
      <c r="E802" s="1">
        <f ca="1">IFERROR(__xludf.DUMMYFUNCTION("""COMPUTED_VALUE"""),240.68)</f>
        <v>240.68</v>
      </c>
      <c r="F802" s="1">
        <f ca="1">IFERROR(__xludf.DUMMYFUNCTION("""COMPUTED_VALUE"""),114813525)</f>
        <v>114813525</v>
      </c>
    </row>
    <row r="803" spans="1:6" ht="12.6">
      <c r="A803" s="2">
        <f ca="1">IFERROR(__xludf.DUMMYFUNCTION("""COMPUTED_VALUE"""),45730.6666666666)</f>
        <v>45730.666666666599</v>
      </c>
      <c r="B803" s="1">
        <f ca="1">IFERROR(__xludf.DUMMYFUNCTION("""COMPUTED_VALUE"""),247.31)</f>
        <v>247.31</v>
      </c>
      <c r="C803" s="1">
        <f ca="1">IFERROR(__xludf.DUMMYFUNCTION("""COMPUTED_VALUE"""),251.58)</f>
        <v>251.58</v>
      </c>
      <c r="D803" s="1">
        <f ca="1">IFERROR(__xludf.DUMMYFUNCTION("""COMPUTED_VALUE"""),240.73)</f>
        <v>240.73</v>
      </c>
      <c r="E803" s="1">
        <f ca="1">IFERROR(__xludf.DUMMYFUNCTION("""COMPUTED_VALUE"""),249.98)</f>
        <v>249.98</v>
      </c>
      <c r="F803" s="1">
        <f ca="1">IFERROR(__xludf.DUMMYFUNCTION("""COMPUTED_VALUE"""),100242264)</f>
        <v>100242264</v>
      </c>
    </row>
    <row r="804" spans="1:6" ht="12.6">
      <c r="A804" s="2">
        <f ca="1">IFERROR(__xludf.DUMMYFUNCTION("""COMPUTED_VALUE"""),45733.6666666666)</f>
        <v>45733.666666666599</v>
      </c>
      <c r="B804" s="1">
        <f ca="1">IFERROR(__xludf.DUMMYFUNCTION("""COMPUTED_VALUE"""),245.06)</f>
        <v>245.06</v>
      </c>
      <c r="C804" s="1">
        <f ca="1">IFERROR(__xludf.DUMMYFUNCTION("""COMPUTED_VALUE"""),245.4)</f>
        <v>245.4</v>
      </c>
      <c r="D804" s="1">
        <f ca="1">IFERROR(__xludf.DUMMYFUNCTION("""COMPUTED_VALUE"""),232.8)</f>
        <v>232.8</v>
      </c>
      <c r="E804" s="1">
        <f ca="1">IFERROR(__xludf.DUMMYFUNCTION("""COMPUTED_VALUE"""),238.01)</f>
        <v>238.01</v>
      </c>
      <c r="F804" s="1">
        <f ca="1">IFERROR(__xludf.DUMMYFUNCTION("""COMPUTED_VALUE"""),111900565)</f>
        <v>111900565</v>
      </c>
    </row>
    <row r="805" spans="1:6" ht="12.6">
      <c r="A805" s="2">
        <f ca="1">IFERROR(__xludf.DUMMYFUNCTION("""COMPUTED_VALUE"""),45734.6666666666)</f>
        <v>45734.666666666599</v>
      </c>
      <c r="B805" s="1">
        <f ca="1">IFERROR(__xludf.DUMMYFUNCTION("""COMPUTED_VALUE"""),228.16)</f>
        <v>228.16</v>
      </c>
      <c r="C805" s="1">
        <f ca="1">IFERROR(__xludf.DUMMYFUNCTION("""COMPUTED_VALUE"""),230.1)</f>
        <v>230.1</v>
      </c>
      <c r="D805" s="1">
        <f ca="1">IFERROR(__xludf.DUMMYFUNCTION("""COMPUTED_VALUE"""),222.28)</f>
        <v>222.28</v>
      </c>
      <c r="E805" s="1">
        <f ca="1">IFERROR(__xludf.DUMMYFUNCTION("""COMPUTED_VALUE"""),225.31)</f>
        <v>225.31</v>
      </c>
      <c r="F805" s="1">
        <f ca="1">IFERROR(__xludf.DUMMYFUNCTION("""COMPUTED_VALUE"""),111477636)</f>
        <v>111477636</v>
      </c>
    </row>
    <row r="806" spans="1:6" ht="12.6">
      <c r="A806" s="2">
        <f ca="1">IFERROR(__xludf.DUMMYFUNCTION("""COMPUTED_VALUE"""),45735.6666666666)</f>
        <v>45735.666666666599</v>
      </c>
      <c r="B806" s="1">
        <f ca="1">IFERROR(__xludf.DUMMYFUNCTION("""COMPUTED_VALUE"""),231.61)</f>
        <v>231.61</v>
      </c>
      <c r="C806" s="1">
        <f ca="1">IFERROR(__xludf.DUMMYFUNCTION("""COMPUTED_VALUE"""),241.41)</f>
        <v>241.41</v>
      </c>
      <c r="D806" s="1">
        <f ca="1">IFERROR(__xludf.DUMMYFUNCTION("""COMPUTED_VALUE"""),229.2)</f>
        <v>229.2</v>
      </c>
      <c r="E806" s="1">
        <f ca="1">IFERROR(__xludf.DUMMYFUNCTION("""COMPUTED_VALUE"""),235.86)</f>
        <v>235.86</v>
      </c>
      <c r="F806" s="1">
        <f ca="1">IFERROR(__xludf.DUMMYFUNCTION("""COMPUTED_VALUE"""),111993753)</f>
        <v>111993753</v>
      </c>
    </row>
    <row r="807" spans="1:6" ht="12.6">
      <c r="A807" s="2">
        <f ca="1">IFERROR(__xludf.DUMMYFUNCTION("""COMPUTED_VALUE"""),45736.6666666666)</f>
        <v>45736.666666666599</v>
      </c>
      <c r="B807" s="1">
        <f ca="1">IFERROR(__xludf.DUMMYFUNCTION("""COMPUTED_VALUE"""),233.35)</f>
        <v>233.35</v>
      </c>
      <c r="C807" s="1">
        <f ca="1">IFERROR(__xludf.DUMMYFUNCTION("""COMPUTED_VALUE"""),238)</f>
        <v>238</v>
      </c>
      <c r="D807" s="1">
        <f ca="1">IFERROR(__xludf.DUMMYFUNCTION("""COMPUTED_VALUE"""),230.05)</f>
        <v>230.05</v>
      </c>
      <c r="E807" s="1">
        <f ca="1">IFERROR(__xludf.DUMMYFUNCTION("""COMPUTED_VALUE"""),236.26)</f>
        <v>236.26</v>
      </c>
      <c r="F807" s="1">
        <f ca="1">IFERROR(__xludf.DUMMYFUNCTION("""COMPUTED_VALUE"""),99028270)</f>
        <v>99028270</v>
      </c>
    </row>
    <row r="808" spans="1:6" ht="12.6">
      <c r="A808" s="2">
        <f ca="1">IFERROR(__xludf.DUMMYFUNCTION("""COMPUTED_VALUE"""),45737.6666666666)</f>
        <v>45737.666666666599</v>
      </c>
      <c r="B808" s="1">
        <f ca="1">IFERROR(__xludf.DUMMYFUNCTION("""COMPUTED_VALUE"""),234.99)</f>
        <v>234.99</v>
      </c>
      <c r="C808" s="1">
        <f ca="1">IFERROR(__xludf.DUMMYFUNCTION("""COMPUTED_VALUE"""),249.52)</f>
        <v>249.52</v>
      </c>
      <c r="D808" s="1">
        <f ca="1">IFERROR(__xludf.DUMMYFUNCTION("""COMPUTED_VALUE"""),234.55)</f>
        <v>234.55</v>
      </c>
      <c r="E808" s="1">
        <f ca="1">IFERROR(__xludf.DUMMYFUNCTION("""COMPUTED_VALUE"""),248.71)</f>
        <v>248.71</v>
      </c>
      <c r="F808" s="1">
        <f ca="1">IFERROR(__xludf.DUMMYFUNCTION("""COMPUTED_VALUE"""),132728684)</f>
        <v>132728684</v>
      </c>
    </row>
    <row r="809" spans="1:6" ht="12.6">
      <c r="A809" s="2">
        <f ca="1">IFERROR(__xludf.DUMMYFUNCTION("""COMPUTED_VALUE"""),45740.6666666666)</f>
        <v>45740.666666666599</v>
      </c>
      <c r="B809" s="1">
        <f ca="1">IFERROR(__xludf.DUMMYFUNCTION("""COMPUTED_VALUE"""),258.08)</f>
        <v>258.08</v>
      </c>
      <c r="C809" s="1">
        <f ca="1">IFERROR(__xludf.DUMMYFUNCTION("""COMPUTED_VALUE"""),278.64)</f>
        <v>278.64</v>
      </c>
      <c r="D809" s="1">
        <f ca="1">IFERROR(__xludf.DUMMYFUNCTION("""COMPUTED_VALUE"""),256.33)</f>
        <v>256.33</v>
      </c>
      <c r="E809" s="1">
        <f ca="1">IFERROR(__xludf.DUMMYFUNCTION("""COMPUTED_VALUE"""),278.39)</f>
        <v>278.39</v>
      </c>
      <c r="F809" s="1">
        <f ca="1">IFERROR(__xludf.DUMMYFUNCTION("""COMPUTED_VALUE"""),169079865)</f>
        <v>169079865</v>
      </c>
    </row>
    <row r="810" spans="1:6" ht="12.6">
      <c r="A810" s="2">
        <f ca="1">IFERROR(__xludf.DUMMYFUNCTION("""COMPUTED_VALUE"""),45741.6666666666)</f>
        <v>45741.666666666599</v>
      </c>
      <c r="B810" s="1">
        <f ca="1">IFERROR(__xludf.DUMMYFUNCTION("""COMPUTED_VALUE"""),283.6)</f>
        <v>283.60000000000002</v>
      </c>
      <c r="C810" s="1">
        <f ca="1">IFERROR(__xludf.DUMMYFUNCTION("""COMPUTED_VALUE"""),288.2)</f>
        <v>288.2</v>
      </c>
      <c r="D810" s="1">
        <f ca="1">IFERROR(__xludf.DUMMYFUNCTION("""COMPUTED_VALUE"""),271.28)</f>
        <v>271.27999999999997</v>
      </c>
      <c r="E810" s="1">
        <f ca="1">IFERROR(__xludf.DUMMYFUNCTION("""COMPUTED_VALUE"""),288.14)</f>
        <v>288.14</v>
      </c>
      <c r="F810" s="1">
        <f ca="1">IFERROR(__xludf.DUMMYFUNCTION("""COMPUTED_VALUE"""),150361538)</f>
        <v>150361538</v>
      </c>
    </row>
    <row r="811" spans="1:6" ht="12.6">
      <c r="A811" s="2">
        <f ca="1">IFERROR(__xludf.DUMMYFUNCTION("""COMPUTED_VALUE"""),45742.6666666666)</f>
        <v>45742.666666666599</v>
      </c>
      <c r="B811" s="1">
        <f ca="1">IFERROR(__xludf.DUMMYFUNCTION("""COMPUTED_VALUE"""),282.66)</f>
        <v>282.66000000000003</v>
      </c>
      <c r="C811" s="1">
        <f ca="1">IFERROR(__xludf.DUMMYFUNCTION("""COMPUTED_VALUE"""),284.9)</f>
        <v>284.89999999999998</v>
      </c>
      <c r="D811" s="1">
        <f ca="1">IFERROR(__xludf.DUMMYFUNCTION("""COMPUTED_VALUE"""),266.51)</f>
        <v>266.51</v>
      </c>
      <c r="E811" s="1">
        <f ca="1">IFERROR(__xludf.DUMMYFUNCTION("""COMPUTED_VALUE"""),272.06)</f>
        <v>272.06</v>
      </c>
      <c r="F811" s="1">
        <f ca="1">IFERROR(__xludf.DUMMYFUNCTION("""COMPUTED_VALUE"""),156254441)</f>
        <v>156254441</v>
      </c>
    </row>
    <row r="812" spans="1:6" ht="12.6">
      <c r="A812" s="2">
        <f ca="1">IFERROR(__xludf.DUMMYFUNCTION("""COMPUTED_VALUE"""),45743.6666666666)</f>
        <v>45743.666666666599</v>
      </c>
      <c r="B812" s="1">
        <f ca="1">IFERROR(__xludf.DUMMYFUNCTION("""COMPUTED_VALUE"""),272.48)</f>
        <v>272.48</v>
      </c>
      <c r="C812" s="1">
        <f ca="1">IFERROR(__xludf.DUMMYFUNCTION("""COMPUTED_VALUE"""),291.85)</f>
        <v>291.85000000000002</v>
      </c>
      <c r="D812" s="1">
        <f ca="1">IFERROR(__xludf.DUMMYFUNCTION("""COMPUTED_VALUE"""),271.82)</f>
        <v>271.82</v>
      </c>
      <c r="E812" s="1">
        <f ca="1">IFERROR(__xludf.DUMMYFUNCTION("""COMPUTED_VALUE"""),273.13)</f>
        <v>273.13</v>
      </c>
      <c r="F812" s="1">
        <f ca="1">IFERROR(__xludf.DUMMYFUNCTION("""COMPUTED_VALUE"""),162572146)</f>
        <v>162572146</v>
      </c>
    </row>
    <row r="813" spans="1:6" ht="12.6">
      <c r="A813" s="2">
        <f ca="1">IFERROR(__xludf.DUMMYFUNCTION("""COMPUTED_VALUE"""),45744.6666666666)</f>
        <v>45744.666666666599</v>
      </c>
      <c r="B813" s="1">
        <f ca="1">IFERROR(__xludf.DUMMYFUNCTION("""COMPUTED_VALUE"""),275.58)</f>
        <v>275.58</v>
      </c>
      <c r="C813" s="1">
        <f ca="1">IFERROR(__xludf.DUMMYFUNCTION("""COMPUTED_VALUE"""),276.1)</f>
        <v>276.10000000000002</v>
      </c>
      <c r="D813" s="1">
        <f ca="1">IFERROR(__xludf.DUMMYFUNCTION("""COMPUTED_VALUE"""),260.57)</f>
        <v>260.57</v>
      </c>
      <c r="E813" s="1">
        <f ca="1">IFERROR(__xludf.DUMMYFUNCTION("""COMPUTED_VALUE"""),263.55)</f>
        <v>263.55</v>
      </c>
      <c r="F813" s="1">
        <f ca="1">IFERROR(__xludf.DUMMYFUNCTION("""COMPUTED_VALUE"""),123809389)</f>
        <v>123809389</v>
      </c>
    </row>
    <row r="814" spans="1:6" ht="12.6">
      <c r="A814" s="2">
        <f ca="1">IFERROR(__xludf.DUMMYFUNCTION("""COMPUTED_VALUE"""),45747.6666666666)</f>
        <v>45747.666666666599</v>
      </c>
      <c r="B814" s="1">
        <f ca="1">IFERROR(__xludf.DUMMYFUNCTION("""COMPUTED_VALUE"""),249.31)</f>
        <v>249.31</v>
      </c>
      <c r="C814" s="1">
        <f ca="1">IFERROR(__xludf.DUMMYFUNCTION("""COMPUTED_VALUE"""),260.56)</f>
        <v>260.56</v>
      </c>
      <c r="D814" s="1">
        <f ca="1">IFERROR(__xludf.DUMMYFUNCTION("""COMPUTED_VALUE"""),243.36)</f>
        <v>243.36</v>
      </c>
      <c r="E814" s="1">
        <f ca="1">IFERROR(__xludf.DUMMYFUNCTION("""COMPUTED_VALUE"""),259.16)</f>
        <v>259.16000000000003</v>
      </c>
      <c r="F814" s="1">
        <f ca="1">IFERROR(__xludf.DUMMYFUNCTION("""COMPUTED_VALUE"""),134008936)</f>
        <v>134008936</v>
      </c>
    </row>
    <row r="815" spans="1:6" ht="12.6">
      <c r="A815" s="2">
        <f ca="1">IFERROR(__xludf.DUMMYFUNCTION("""COMPUTED_VALUE"""),45748.6666666666)</f>
        <v>45748.666666666599</v>
      </c>
      <c r="B815" s="1">
        <f ca="1">IFERROR(__xludf.DUMMYFUNCTION("""COMPUTED_VALUE"""),263.8)</f>
        <v>263.8</v>
      </c>
      <c r="C815" s="1">
        <f ca="1">IFERROR(__xludf.DUMMYFUNCTION("""COMPUTED_VALUE"""),277.45)</f>
        <v>277.45</v>
      </c>
      <c r="D815" s="1">
        <f ca="1">IFERROR(__xludf.DUMMYFUNCTION("""COMPUTED_VALUE"""),259.25)</f>
        <v>259.25</v>
      </c>
      <c r="E815" s="1">
        <f ca="1">IFERROR(__xludf.DUMMYFUNCTION("""COMPUTED_VALUE"""),268.46)</f>
        <v>268.45999999999998</v>
      </c>
      <c r="F815" s="1">
        <f ca="1">IFERROR(__xludf.DUMMYFUNCTION("""COMPUTED_VALUE"""),146486911)</f>
        <v>146486911</v>
      </c>
    </row>
    <row r="816" spans="1:6" ht="12.6">
      <c r="A816" s="2">
        <f ca="1">IFERROR(__xludf.DUMMYFUNCTION("""COMPUTED_VALUE"""),45749.6666666666)</f>
        <v>45749.666666666599</v>
      </c>
      <c r="B816" s="1">
        <f ca="1">IFERROR(__xludf.DUMMYFUNCTION("""COMPUTED_VALUE"""),254.6)</f>
        <v>254.6</v>
      </c>
      <c r="C816" s="1">
        <f ca="1">IFERROR(__xludf.DUMMYFUNCTION("""COMPUTED_VALUE"""),284.99)</f>
        <v>284.99</v>
      </c>
      <c r="D816" s="1">
        <f ca="1">IFERROR(__xludf.DUMMYFUNCTION("""COMPUTED_VALUE"""),251.27)</f>
        <v>251.27</v>
      </c>
      <c r="E816" s="1">
        <f ca="1">IFERROR(__xludf.DUMMYFUNCTION("""COMPUTED_VALUE"""),282.76)</f>
        <v>282.76</v>
      </c>
      <c r="F816" s="1">
        <f ca="1">IFERROR(__xludf.DUMMYFUNCTION("""COMPUTED_VALUE"""),212787817)</f>
        <v>212787817</v>
      </c>
    </row>
    <row r="817" spans="1:6" ht="12.6">
      <c r="A817" s="2">
        <f ca="1">IFERROR(__xludf.DUMMYFUNCTION("""COMPUTED_VALUE"""),45750.6666666666)</f>
        <v>45750.666666666599</v>
      </c>
      <c r="B817" s="1">
        <f ca="1">IFERROR(__xludf.DUMMYFUNCTION("""COMPUTED_VALUE"""),265.29)</f>
        <v>265.29000000000002</v>
      </c>
      <c r="C817" s="1">
        <f ca="1">IFERROR(__xludf.DUMMYFUNCTION("""COMPUTED_VALUE"""),276.3)</f>
        <v>276.3</v>
      </c>
      <c r="D817" s="1">
        <f ca="1">IFERROR(__xludf.DUMMYFUNCTION("""COMPUTED_VALUE"""),261.51)</f>
        <v>261.51</v>
      </c>
      <c r="E817" s="1">
        <f ca="1">IFERROR(__xludf.DUMMYFUNCTION("""COMPUTED_VALUE"""),267.28)</f>
        <v>267.27999999999997</v>
      </c>
      <c r="F817" s="1">
        <f ca="1">IFERROR(__xludf.DUMMYFUNCTION("""COMPUTED_VALUE"""),136174291)</f>
        <v>136174291</v>
      </c>
    </row>
    <row r="818" spans="1:6" ht="12.6">
      <c r="A818" s="2">
        <f ca="1">IFERROR(__xludf.DUMMYFUNCTION("""COMPUTED_VALUE"""),45751.6666666666)</f>
        <v>45751.666666666599</v>
      </c>
      <c r="B818" s="1">
        <f ca="1">IFERROR(__xludf.DUMMYFUNCTION("""COMPUTED_VALUE"""),255.38)</f>
        <v>255.38</v>
      </c>
      <c r="C818" s="1">
        <f ca="1">IFERROR(__xludf.DUMMYFUNCTION("""COMPUTED_VALUE"""),261)</f>
        <v>261</v>
      </c>
      <c r="D818" s="1">
        <f ca="1">IFERROR(__xludf.DUMMYFUNCTION("""COMPUTED_VALUE"""),236)</f>
        <v>236</v>
      </c>
      <c r="E818" s="1">
        <f ca="1">IFERROR(__xludf.DUMMYFUNCTION("""COMPUTED_VALUE"""),239.43)</f>
        <v>239.43</v>
      </c>
      <c r="F818" s="1">
        <f ca="1">IFERROR(__xludf.DUMMYFUNCTION("""COMPUTED_VALUE"""),181229353)</f>
        <v>181229353</v>
      </c>
    </row>
    <row r="819" spans="1:6" ht="12.6">
      <c r="A819" s="2">
        <f ca="1">IFERROR(__xludf.DUMMYFUNCTION("""COMPUTED_VALUE"""),45754.6666666666)</f>
        <v>45754.666666666599</v>
      </c>
      <c r="B819" s="1">
        <f ca="1">IFERROR(__xludf.DUMMYFUNCTION("""COMPUTED_VALUE"""),223.78)</f>
        <v>223.78</v>
      </c>
      <c r="C819" s="1">
        <f ca="1">IFERROR(__xludf.DUMMYFUNCTION("""COMPUTED_VALUE"""),252)</f>
        <v>252</v>
      </c>
      <c r="D819" s="1">
        <f ca="1">IFERROR(__xludf.DUMMYFUNCTION("""COMPUTED_VALUE"""),214.25)</f>
        <v>214.25</v>
      </c>
      <c r="E819" s="1">
        <f ca="1">IFERROR(__xludf.DUMMYFUNCTION("""COMPUTED_VALUE"""),233.29)</f>
        <v>233.29</v>
      </c>
      <c r="F819" s="1">
        <f ca="1">IFERROR(__xludf.DUMMYFUNCTION("""COMPUTED_VALUE"""),183453776)</f>
        <v>183453776</v>
      </c>
    </row>
    <row r="820" spans="1:6" ht="12.6">
      <c r="A820" s="2">
        <f ca="1">IFERROR(__xludf.DUMMYFUNCTION("""COMPUTED_VALUE"""),45755.6666666666)</f>
        <v>45755.666666666599</v>
      </c>
      <c r="B820" s="1">
        <f ca="1">IFERROR(__xludf.DUMMYFUNCTION("""COMPUTED_VALUE"""),245)</f>
        <v>245</v>
      </c>
      <c r="C820" s="1">
        <f ca="1">IFERROR(__xludf.DUMMYFUNCTION("""COMPUTED_VALUE"""),250.44)</f>
        <v>250.44</v>
      </c>
      <c r="D820" s="1">
        <f ca="1">IFERROR(__xludf.DUMMYFUNCTION("""COMPUTED_VALUE"""),217.8)</f>
        <v>217.8</v>
      </c>
      <c r="E820" s="1">
        <f ca="1">IFERROR(__xludf.DUMMYFUNCTION("""COMPUTED_VALUE"""),221.86)</f>
        <v>221.86</v>
      </c>
      <c r="F820" s="1">
        <f ca="1">IFERROR(__xludf.DUMMYFUNCTION("""COMPUTED_VALUE"""),171603472)</f>
        <v>171603472</v>
      </c>
    </row>
    <row r="821" spans="1:6" ht="12.6">
      <c r="A821" s="2">
        <f ca="1">IFERROR(__xludf.DUMMYFUNCTION("""COMPUTED_VALUE"""),45756.6666666666)</f>
        <v>45756.666666666599</v>
      </c>
      <c r="B821" s="1">
        <f ca="1">IFERROR(__xludf.DUMMYFUNCTION("""COMPUTED_VALUE"""),224.69)</f>
        <v>224.69</v>
      </c>
      <c r="C821" s="1">
        <f ca="1">IFERROR(__xludf.DUMMYFUNCTION("""COMPUTED_VALUE"""),274.69)</f>
        <v>274.69</v>
      </c>
      <c r="D821" s="1">
        <f ca="1">IFERROR(__xludf.DUMMYFUNCTION("""COMPUTED_VALUE"""),223.88)</f>
        <v>223.88</v>
      </c>
      <c r="E821" s="1">
        <f ca="1">IFERROR(__xludf.DUMMYFUNCTION("""COMPUTED_VALUE"""),272.2)</f>
        <v>272.2</v>
      </c>
      <c r="F821" s="1">
        <f ca="1">IFERROR(__xludf.DUMMYFUNCTION("""COMPUTED_VALUE"""),219433373)</f>
        <v>219433373</v>
      </c>
    </row>
    <row r="822" spans="1:6" ht="12.6">
      <c r="A822" s="2">
        <f ca="1">IFERROR(__xludf.DUMMYFUNCTION("""COMPUTED_VALUE"""),45757.6666666666)</f>
        <v>45757.666666666599</v>
      </c>
      <c r="B822" s="1">
        <f ca="1">IFERROR(__xludf.DUMMYFUNCTION("""COMPUTED_VALUE"""),260)</f>
        <v>260</v>
      </c>
      <c r="C822" s="1">
        <f ca="1">IFERROR(__xludf.DUMMYFUNCTION("""COMPUTED_VALUE"""),262.49)</f>
        <v>262.49</v>
      </c>
      <c r="D822" s="1">
        <f ca="1">IFERROR(__xludf.DUMMYFUNCTION("""COMPUTED_VALUE"""),239.33)</f>
        <v>239.33</v>
      </c>
      <c r="E822" s="1">
        <f ca="1">IFERROR(__xludf.DUMMYFUNCTION("""COMPUTED_VALUE"""),252.4)</f>
        <v>252.4</v>
      </c>
      <c r="F822" s="1">
        <f ca="1">IFERROR(__xludf.DUMMYFUNCTION("""COMPUTED_VALUE"""),181722604)</f>
        <v>181722604</v>
      </c>
    </row>
    <row r="823" spans="1:6" ht="12.6">
      <c r="A823" s="2">
        <f ca="1">IFERROR(__xludf.DUMMYFUNCTION("""COMPUTED_VALUE"""),45758.6666666666)</f>
        <v>45758.666666666599</v>
      </c>
      <c r="B823" s="1">
        <f ca="1">IFERROR(__xludf.DUMMYFUNCTION("""COMPUTED_VALUE"""),251.84)</f>
        <v>251.84</v>
      </c>
      <c r="C823" s="1">
        <f ca="1">IFERROR(__xludf.DUMMYFUNCTION("""COMPUTED_VALUE"""),257.74)</f>
        <v>257.74</v>
      </c>
      <c r="D823" s="1">
        <f ca="1">IFERROR(__xludf.DUMMYFUNCTION("""COMPUTED_VALUE"""),241.36)</f>
        <v>241.36</v>
      </c>
      <c r="E823" s="1">
        <f ca="1">IFERROR(__xludf.DUMMYFUNCTION("""COMPUTED_VALUE"""),252.31)</f>
        <v>252.31</v>
      </c>
      <c r="F823" s="1">
        <f ca="1">IFERROR(__xludf.DUMMYFUNCTION("""COMPUTED_VALUE"""),128948085)</f>
        <v>128948085</v>
      </c>
    </row>
    <row r="824" spans="1:6" ht="12.6">
      <c r="A824" s="2">
        <f ca="1">IFERROR(__xludf.DUMMYFUNCTION("""COMPUTED_VALUE"""),45761.6666666666)</f>
        <v>45761.666666666599</v>
      </c>
      <c r="B824" s="1">
        <f ca="1">IFERROR(__xludf.DUMMYFUNCTION("""COMPUTED_VALUE"""),258.36)</f>
        <v>258.36</v>
      </c>
      <c r="C824" s="1">
        <f ca="1">IFERROR(__xludf.DUMMYFUNCTION("""COMPUTED_VALUE"""),261.8)</f>
        <v>261.8</v>
      </c>
      <c r="D824" s="1">
        <f ca="1">IFERROR(__xludf.DUMMYFUNCTION("""COMPUTED_VALUE"""),245.93)</f>
        <v>245.93</v>
      </c>
      <c r="E824" s="1">
        <f ca="1">IFERROR(__xludf.DUMMYFUNCTION("""COMPUTED_VALUE"""),252.35)</f>
        <v>252.35</v>
      </c>
      <c r="F824" s="1">
        <f ca="1">IFERROR(__xludf.DUMMYFUNCTION("""COMPUTED_VALUE"""),100135241)</f>
        <v>100135241</v>
      </c>
    </row>
    <row r="825" spans="1:6" ht="12.6">
      <c r="A825" s="2">
        <f ca="1">IFERROR(__xludf.DUMMYFUNCTION("""COMPUTED_VALUE"""),45762.6666666666)</f>
        <v>45762.666666666599</v>
      </c>
      <c r="B825" s="1">
        <f ca="1">IFERROR(__xludf.DUMMYFUNCTION("""COMPUTED_VALUE"""),249.91)</f>
        <v>249.91</v>
      </c>
      <c r="C825" s="1">
        <f ca="1">IFERROR(__xludf.DUMMYFUNCTION("""COMPUTED_VALUE"""),258.75)</f>
        <v>258.75</v>
      </c>
      <c r="D825" s="1">
        <f ca="1">IFERROR(__xludf.DUMMYFUNCTION("""COMPUTED_VALUE"""),247.54)</f>
        <v>247.54</v>
      </c>
      <c r="E825" s="1">
        <f ca="1">IFERROR(__xludf.DUMMYFUNCTION("""COMPUTED_VALUE"""),254.11)</f>
        <v>254.11</v>
      </c>
      <c r="F825" s="1">
        <f ca="1">IFERROR(__xludf.DUMMYFUNCTION("""COMPUTED_VALUE"""),79594318)</f>
        <v>79594318</v>
      </c>
    </row>
    <row r="826" spans="1:6" ht="12.6">
      <c r="A826" s="2">
        <f ca="1">IFERROR(__xludf.DUMMYFUNCTION("""COMPUTED_VALUE"""),45763.6666666666)</f>
        <v>45763.666666666599</v>
      </c>
      <c r="B826" s="1">
        <f ca="1">IFERROR(__xludf.DUMMYFUNCTION("""COMPUTED_VALUE"""),247.61)</f>
        <v>247.61</v>
      </c>
      <c r="C826" s="1">
        <f ca="1">IFERROR(__xludf.DUMMYFUNCTION("""COMPUTED_VALUE"""),251.97)</f>
        <v>251.97</v>
      </c>
      <c r="D826" s="1">
        <f ca="1">IFERROR(__xludf.DUMMYFUNCTION("""COMPUTED_VALUE"""),233.89)</f>
        <v>233.89</v>
      </c>
      <c r="E826" s="1">
        <f ca="1">IFERROR(__xludf.DUMMYFUNCTION("""COMPUTED_VALUE"""),241.55)</f>
        <v>241.55</v>
      </c>
      <c r="F826" s="1">
        <f ca="1">IFERROR(__xludf.DUMMYFUNCTION("""COMPUTED_VALUE"""),112378737)</f>
        <v>112378737</v>
      </c>
    </row>
    <row r="827" spans="1:6" ht="12.6">
      <c r="A827" s="2">
        <f ca="1">IFERROR(__xludf.DUMMYFUNCTION("""COMPUTED_VALUE"""),45764.6666666666)</f>
        <v>45764.666666666599</v>
      </c>
      <c r="B827" s="1">
        <f ca="1">IFERROR(__xludf.DUMMYFUNCTION("""COMPUTED_VALUE"""),243.47)</f>
        <v>243.47</v>
      </c>
      <c r="C827" s="1">
        <f ca="1">IFERROR(__xludf.DUMMYFUNCTION("""COMPUTED_VALUE"""),244.34)</f>
        <v>244.34</v>
      </c>
      <c r="D827" s="1">
        <f ca="1">IFERROR(__xludf.DUMMYFUNCTION("""COMPUTED_VALUE"""),237.68)</f>
        <v>237.68</v>
      </c>
      <c r="E827" s="1">
        <f ca="1">IFERROR(__xludf.DUMMYFUNCTION("""COMPUTED_VALUE"""),241.37)</f>
        <v>241.37</v>
      </c>
      <c r="F827" s="1">
        <f ca="1">IFERROR(__xludf.DUMMYFUNCTION("""COMPUTED_VALUE"""),83404775)</f>
        <v>83404775</v>
      </c>
    </row>
    <row r="828" spans="1:6" ht="12.6">
      <c r="A828" s="2">
        <f ca="1">IFERROR(__xludf.DUMMYFUNCTION("""COMPUTED_VALUE"""),45768.6666666666)</f>
        <v>45768.666666666599</v>
      </c>
      <c r="B828" s="1">
        <f ca="1">IFERROR(__xludf.DUMMYFUNCTION("""COMPUTED_VALUE"""),230.26)</f>
        <v>230.26</v>
      </c>
      <c r="C828" s="1">
        <f ca="1">IFERROR(__xludf.DUMMYFUNCTION("""COMPUTED_VALUE"""),232.21)</f>
        <v>232.21</v>
      </c>
      <c r="D828" s="1">
        <f ca="1">IFERROR(__xludf.DUMMYFUNCTION("""COMPUTED_VALUE"""),222.79)</f>
        <v>222.79</v>
      </c>
      <c r="E828" s="1">
        <f ca="1">IFERROR(__xludf.DUMMYFUNCTION("""COMPUTED_VALUE"""),227.5)</f>
        <v>227.5</v>
      </c>
      <c r="F828" s="1">
        <f ca="1">IFERROR(__xludf.DUMMYFUNCTION("""COMPUTED_VALUE"""),97768007)</f>
        <v>97768007</v>
      </c>
    </row>
    <row r="829" spans="1:6" ht="12.6">
      <c r="A829" s="2">
        <f ca="1">IFERROR(__xludf.DUMMYFUNCTION("""COMPUTED_VALUE"""),45769.6666666666)</f>
        <v>45769.666666666599</v>
      </c>
      <c r="B829" s="1">
        <f ca="1">IFERROR(__xludf.DUMMYFUNCTION("""COMPUTED_VALUE"""),230.96)</f>
        <v>230.96</v>
      </c>
      <c r="C829" s="1">
        <f ca="1">IFERROR(__xludf.DUMMYFUNCTION("""COMPUTED_VALUE"""),242.79)</f>
        <v>242.79</v>
      </c>
      <c r="D829" s="1">
        <f ca="1">IFERROR(__xludf.DUMMYFUNCTION("""COMPUTED_VALUE"""),229.85)</f>
        <v>229.85</v>
      </c>
      <c r="E829" s="1">
        <f ca="1">IFERROR(__xludf.DUMMYFUNCTION("""COMPUTED_VALUE"""),237.97)</f>
        <v>237.97</v>
      </c>
      <c r="F829" s="1">
        <f ca="1">IFERROR(__xludf.DUMMYFUNCTION("""COMPUTED_VALUE"""),120858452)</f>
        <v>120858452</v>
      </c>
    </row>
    <row r="830" spans="1:6" ht="12.6">
      <c r="A830" s="2">
        <f ca="1">IFERROR(__xludf.DUMMYFUNCTION("""COMPUTED_VALUE"""),45770.6666666666)</f>
        <v>45770.666666666599</v>
      </c>
      <c r="B830" s="1">
        <f ca="1">IFERROR(__xludf.DUMMYFUNCTION("""COMPUTED_VALUE"""),254.86)</f>
        <v>254.86</v>
      </c>
      <c r="C830" s="1">
        <f ca="1">IFERROR(__xludf.DUMMYFUNCTION("""COMPUTED_VALUE"""),259.45)</f>
        <v>259.45</v>
      </c>
      <c r="D830" s="1">
        <f ca="1">IFERROR(__xludf.DUMMYFUNCTION("""COMPUTED_VALUE"""),244.43)</f>
        <v>244.43</v>
      </c>
      <c r="E830" s="1">
        <f ca="1">IFERROR(__xludf.DUMMYFUNCTION("""COMPUTED_VALUE"""),250.74)</f>
        <v>250.74</v>
      </c>
      <c r="F830" s="1">
        <f ca="1">IFERROR(__xludf.DUMMYFUNCTION("""COMPUTED_VALUE"""),150381903)</f>
        <v>150381903</v>
      </c>
    </row>
    <row r="831" spans="1:6" ht="12.6">
      <c r="A831" s="2">
        <f ca="1">IFERROR(__xludf.DUMMYFUNCTION("""COMPUTED_VALUE"""),45771.6666666666)</f>
        <v>45771.666666666599</v>
      </c>
      <c r="B831" s="1">
        <f ca="1">IFERROR(__xludf.DUMMYFUNCTION("""COMPUTED_VALUE"""),250.5)</f>
        <v>250.5</v>
      </c>
      <c r="C831" s="1">
        <f ca="1">IFERROR(__xludf.DUMMYFUNCTION("""COMPUTED_VALUE"""),259.54)</f>
        <v>259.54000000000002</v>
      </c>
      <c r="D831" s="1">
        <f ca="1">IFERROR(__xludf.DUMMYFUNCTION("""COMPUTED_VALUE"""),249.2)</f>
        <v>249.2</v>
      </c>
      <c r="E831" s="1">
        <f ca="1">IFERROR(__xludf.DUMMYFUNCTION("""COMPUTED_VALUE"""),259.51)</f>
        <v>259.51</v>
      </c>
      <c r="F831" s="1">
        <f ca="1">IFERROR(__xludf.DUMMYFUNCTION("""COMPUTED_VALUE"""),94464195)</f>
        <v>94464195</v>
      </c>
    </row>
    <row r="832" spans="1:6" ht="12.6">
      <c r="A832" s="2">
        <f ca="1">IFERROR(__xludf.DUMMYFUNCTION("""COMPUTED_VALUE"""),45772.6666666666)</f>
        <v>45772.666666666599</v>
      </c>
      <c r="B832" s="1">
        <f ca="1">IFERROR(__xludf.DUMMYFUNCTION("""COMPUTED_VALUE"""),261.69)</f>
        <v>261.69</v>
      </c>
      <c r="C832" s="1">
        <f ca="1">IFERROR(__xludf.DUMMYFUNCTION("""COMPUTED_VALUE"""),286.85)</f>
        <v>286.85000000000002</v>
      </c>
      <c r="D832" s="1">
        <f ca="1">IFERROR(__xludf.DUMMYFUNCTION("""COMPUTED_VALUE"""),259.63)</f>
        <v>259.63</v>
      </c>
      <c r="E832" s="1">
        <f ca="1">IFERROR(__xludf.DUMMYFUNCTION("""COMPUTED_VALUE"""),284.95)</f>
        <v>284.95</v>
      </c>
      <c r="F832" s="1">
        <f ca="1">IFERROR(__xludf.DUMMYFUNCTION("""COMPUTED_VALUE"""),167560688)</f>
        <v>167560688</v>
      </c>
    </row>
    <row r="833" spans="1:6" ht="12.6">
      <c r="A833" s="2">
        <f ca="1">IFERROR(__xludf.DUMMYFUNCTION("""COMPUTED_VALUE"""),45775.6666666666)</f>
        <v>45775.666666666599</v>
      </c>
      <c r="B833" s="1">
        <f ca="1">IFERROR(__xludf.DUMMYFUNCTION("""COMPUTED_VALUE"""),288.98)</f>
        <v>288.98</v>
      </c>
      <c r="C833" s="1">
        <f ca="1">IFERROR(__xludf.DUMMYFUNCTION("""COMPUTED_VALUE"""),294.86)</f>
        <v>294.86</v>
      </c>
      <c r="D833" s="1">
        <f ca="1">IFERROR(__xludf.DUMMYFUNCTION("""COMPUTED_VALUE"""),272.42)</f>
        <v>272.42</v>
      </c>
      <c r="E833" s="1">
        <f ca="1">IFERROR(__xludf.DUMMYFUNCTION("""COMPUTED_VALUE"""),285.88)</f>
        <v>285.88</v>
      </c>
      <c r="F833" s="1">
        <f ca="1">IFERROR(__xludf.DUMMYFUNCTION("""COMPUTED_VALUE"""),151731771)</f>
        <v>151731771</v>
      </c>
    </row>
    <row r="834" spans="1:6" ht="12.6">
      <c r="A834" s="2">
        <f ca="1">IFERROR(__xludf.DUMMYFUNCTION("""COMPUTED_VALUE"""),45776.6666666666)</f>
        <v>45776.666666666599</v>
      </c>
      <c r="B834" s="1">
        <f ca="1">IFERROR(__xludf.DUMMYFUNCTION("""COMPUTED_VALUE"""),285.5)</f>
        <v>285.5</v>
      </c>
      <c r="C834" s="1">
        <f ca="1">IFERROR(__xludf.DUMMYFUNCTION("""COMPUTED_VALUE"""),293.32)</f>
        <v>293.32</v>
      </c>
      <c r="D834" s="1">
        <f ca="1">IFERROR(__xludf.DUMMYFUNCTION("""COMPUTED_VALUE"""),279.47)</f>
        <v>279.47000000000003</v>
      </c>
      <c r="E834" s="1">
        <f ca="1">IFERROR(__xludf.DUMMYFUNCTION("""COMPUTED_VALUE"""),292.03)</f>
        <v>292.02999999999997</v>
      </c>
      <c r="F834" s="1">
        <f ca="1">IFERROR(__xludf.DUMMYFUNCTION("""COMPUTED_VALUE"""),108906553)</f>
        <v>108906553</v>
      </c>
    </row>
    <row r="835" spans="1:6" ht="12.6">
      <c r="A835" s="2">
        <f ca="1">IFERROR(__xludf.DUMMYFUNCTION("""COMPUTED_VALUE"""),45777.6666666666)</f>
        <v>45777.666666666599</v>
      </c>
      <c r="B835" s="1">
        <f ca="1">IFERROR(__xludf.DUMMYFUNCTION("""COMPUTED_VALUE"""),279.9)</f>
        <v>279.89999999999998</v>
      </c>
      <c r="C835" s="1">
        <f ca="1">IFERROR(__xludf.DUMMYFUNCTION("""COMPUTED_VALUE"""),284.45)</f>
        <v>284.45</v>
      </c>
      <c r="D835" s="1">
        <f ca="1">IFERROR(__xludf.DUMMYFUNCTION("""COMPUTED_VALUE"""),270.78)</f>
        <v>270.77999999999997</v>
      </c>
      <c r="E835" s="1">
        <f ca="1">IFERROR(__xludf.DUMMYFUNCTION("""COMPUTED_VALUE"""),282.16)</f>
        <v>282.16000000000003</v>
      </c>
      <c r="F835" s="1">
        <f ca="1">IFERROR(__xludf.DUMMYFUNCTION("""COMPUTED_VALUE"""),128961057)</f>
        <v>128961057</v>
      </c>
    </row>
    <row r="836" spans="1:6" ht="12.6">
      <c r="A836" s="2">
        <f ca="1">IFERROR(__xludf.DUMMYFUNCTION("""COMPUTED_VALUE"""),45778.6666666666)</f>
        <v>45778.666666666599</v>
      </c>
      <c r="B836" s="1">
        <f ca="1">IFERROR(__xludf.DUMMYFUNCTION("""COMPUTED_VALUE"""),280.01)</f>
        <v>280.01</v>
      </c>
      <c r="C836" s="1">
        <f ca="1">IFERROR(__xludf.DUMMYFUNCTION("""COMPUTED_VALUE"""),290.87)</f>
        <v>290.87</v>
      </c>
      <c r="D836" s="1">
        <f ca="1">IFERROR(__xludf.DUMMYFUNCTION("""COMPUTED_VALUE"""),279.81)</f>
        <v>279.81</v>
      </c>
      <c r="E836" s="1">
        <f ca="1">IFERROR(__xludf.DUMMYFUNCTION("""COMPUTED_VALUE"""),280.52)</f>
        <v>280.52</v>
      </c>
      <c r="F836" s="1">
        <f ca="1">IFERROR(__xludf.DUMMYFUNCTION("""COMPUTED_VALUE"""),99658974)</f>
        <v>99658974</v>
      </c>
    </row>
    <row r="837" spans="1:6" ht="12.6">
      <c r="A837" s="2">
        <f ca="1">IFERROR(__xludf.DUMMYFUNCTION("""COMPUTED_VALUE"""),45779.6666666666)</f>
        <v>45779.666666666599</v>
      </c>
      <c r="B837" s="1">
        <f ca="1">IFERROR(__xludf.DUMMYFUNCTION("""COMPUTED_VALUE"""),284.9)</f>
        <v>284.89999999999998</v>
      </c>
      <c r="C837" s="1">
        <f ca="1">IFERROR(__xludf.DUMMYFUNCTION("""COMPUTED_VALUE"""),294.78)</f>
        <v>294.77999999999997</v>
      </c>
      <c r="D837" s="1">
        <f ca="1">IFERROR(__xludf.DUMMYFUNCTION("""COMPUTED_VALUE"""),279.81)</f>
        <v>279.81</v>
      </c>
      <c r="E837" s="1">
        <f ca="1">IFERROR(__xludf.DUMMYFUNCTION("""COMPUTED_VALUE"""),287.21)</f>
        <v>287.20999999999998</v>
      </c>
      <c r="F837" s="1">
        <f ca="1">IFERROR(__xludf.DUMMYFUNCTION("""COMPUTED_VALUE"""),114454683)</f>
        <v>114454683</v>
      </c>
    </row>
    <row r="838" spans="1:6" ht="12.6">
      <c r="A838" s="2">
        <f ca="1">IFERROR(__xludf.DUMMYFUNCTION("""COMPUTED_VALUE"""),45782.6666666666)</f>
        <v>45782.666666666599</v>
      </c>
      <c r="B838" s="1">
        <f ca="1">IFERROR(__xludf.DUMMYFUNCTION("""COMPUTED_VALUE"""),284.57)</f>
        <v>284.57</v>
      </c>
      <c r="C838" s="1">
        <f ca="1">IFERROR(__xludf.DUMMYFUNCTION("""COMPUTED_VALUE"""),284.85)</f>
        <v>284.85000000000002</v>
      </c>
      <c r="D838" s="1">
        <f ca="1">IFERROR(__xludf.DUMMYFUNCTION("""COMPUTED_VALUE"""),274.4)</f>
        <v>274.39999999999998</v>
      </c>
      <c r="E838" s="1">
        <f ca="1">IFERROR(__xludf.DUMMYFUNCTION("""COMPUTED_VALUE"""),280.26)</f>
        <v>280.26</v>
      </c>
      <c r="F838" s="1">
        <f ca="1">IFERROR(__xludf.DUMMYFUNCTION("""COMPUTED_VALUE"""),94618882)</f>
        <v>94618882</v>
      </c>
    </row>
    <row r="839" spans="1:6" ht="12.6">
      <c r="A839" s="2">
        <f ca="1">IFERROR(__xludf.DUMMYFUNCTION("""COMPUTED_VALUE"""),45783.6666666666)</f>
        <v>45783.666666666599</v>
      </c>
      <c r="B839" s="1">
        <f ca="1">IFERROR(__xludf.DUMMYFUNCTION("""COMPUTED_VALUE"""),273.11)</f>
        <v>273.11</v>
      </c>
      <c r="C839" s="1">
        <f ca="1">IFERROR(__xludf.DUMMYFUNCTION("""COMPUTED_VALUE"""),277.73)</f>
        <v>277.73</v>
      </c>
      <c r="D839" s="1">
        <f ca="1">IFERROR(__xludf.DUMMYFUNCTION("""COMPUTED_VALUE"""),271.35)</f>
        <v>271.35000000000002</v>
      </c>
      <c r="E839" s="1">
        <f ca="1">IFERROR(__xludf.DUMMYFUNCTION("""COMPUTED_VALUE"""),275.35)</f>
        <v>275.35000000000002</v>
      </c>
      <c r="F839" s="1">
        <f ca="1">IFERROR(__xludf.DUMMYFUNCTION("""COMPUTED_VALUE"""),76715792)</f>
        <v>76715792</v>
      </c>
    </row>
    <row r="840" spans="1:6" ht="12.6">
      <c r="A840" s="2">
        <f ca="1">IFERROR(__xludf.DUMMYFUNCTION("""COMPUTED_VALUE"""),45784.6666666666)</f>
        <v>45784.666666666599</v>
      </c>
      <c r="B840" s="1">
        <f ca="1">IFERROR(__xludf.DUMMYFUNCTION("""COMPUTED_VALUE"""),276.88)</f>
        <v>276.88</v>
      </c>
      <c r="C840" s="1">
        <f ca="1">IFERROR(__xludf.DUMMYFUNCTION("""COMPUTED_VALUE"""),277.92)</f>
        <v>277.92</v>
      </c>
      <c r="D840" s="1">
        <f ca="1">IFERROR(__xludf.DUMMYFUNCTION("""COMPUTED_VALUE"""),271)</f>
        <v>271</v>
      </c>
      <c r="E840" s="1">
        <f ca="1">IFERROR(__xludf.DUMMYFUNCTION("""COMPUTED_VALUE"""),276.22)</f>
        <v>276.22000000000003</v>
      </c>
      <c r="F840" s="1">
        <f ca="1">IFERROR(__xludf.DUMMYFUNCTION("""COMPUTED_VALUE"""),71882408)</f>
        <v>71882408</v>
      </c>
    </row>
    <row r="841" spans="1:6" ht="12.6">
      <c r="A841" s="2">
        <f ca="1">IFERROR(__xludf.DUMMYFUNCTION("""COMPUTED_VALUE"""),45785.6666666666)</f>
        <v>45785.666666666599</v>
      </c>
      <c r="B841" s="1">
        <f ca="1">IFERROR(__xludf.DUMMYFUNCTION("""COMPUTED_VALUE"""),279.63)</f>
        <v>279.63</v>
      </c>
      <c r="C841" s="1">
        <f ca="1">IFERROR(__xludf.DUMMYFUNCTION("""COMPUTED_VALUE"""),289.8)</f>
        <v>289.8</v>
      </c>
      <c r="D841" s="1">
        <f ca="1">IFERROR(__xludf.DUMMYFUNCTION("""COMPUTED_VALUE"""),279.41)</f>
        <v>279.41000000000003</v>
      </c>
      <c r="E841" s="1">
        <f ca="1">IFERROR(__xludf.DUMMYFUNCTION("""COMPUTED_VALUE"""),284.82)</f>
        <v>284.82</v>
      </c>
      <c r="F841" s="1">
        <f ca="1">IFERROR(__xludf.DUMMYFUNCTION("""COMPUTED_VALUE"""),97539448)</f>
        <v>97539448</v>
      </c>
    </row>
    <row r="842" spans="1:6" ht="12.6">
      <c r="A842" s="2">
        <f ca="1">IFERROR(__xludf.DUMMYFUNCTION("""COMPUTED_VALUE"""),45786.6666666666)</f>
        <v>45786.666666666599</v>
      </c>
      <c r="B842" s="1">
        <f ca="1">IFERROR(__xludf.DUMMYFUNCTION("""COMPUTED_VALUE"""),290.21)</f>
        <v>290.20999999999998</v>
      </c>
      <c r="C842" s="1">
        <f ca="1">IFERROR(__xludf.DUMMYFUNCTION("""COMPUTED_VALUE"""),307.04)</f>
        <v>307.04000000000002</v>
      </c>
      <c r="D842" s="1">
        <f ca="1">IFERROR(__xludf.DUMMYFUNCTION("""COMPUTED_VALUE"""),290)</f>
        <v>290</v>
      </c>
      <c r="E842" s="1">
        <f ca="1">IFERROR(__xludf.DUMMYFUNCTION("""COMPUTED_VALUE"""),298.26)</f>
        <v>298.26</v>
      </c>
      <c r="F842" s="1">
        <f ca="1">IFERROR(__xludf.DUMMYFUNCTION("""COMPUTED_VALUE"""),132387835)</f>
        <v>132387835</v>
      </c>
    </row>
    <row r="843" spans="1:6" ht="12.6">
      <c r="A843" s="2">
        <f ca="1">IFERROR(__xludf.DUMMYFUNCTION("""COMPUTED_VALUE"""),45789.6666666666)</f>
        <v>45789.666666666599</v>
      </c>
      <c r="B843" s="1">
        <f ca="1">IFERROR(__xludf.DUMMYFUNCTION("""COMPUTED_VALUE"""),321.99)</f>
        <v>321.99</v>
      </c>
      <c r="C843" s="1">
        <f ca="1">IFERROR(__xludf.DUMMYFUNCTION("""COMPUTED_VALUE"""),322.21)</f>
        <v>322.20999999999998</v>
      </c>
      <c r="D843" s="1">
        <f ca="1">IFERROR(__xludf.DUMMYFUNCTION("""COMPUTED_VALUE"""),311.5)</f>
        <v>311.5</v>
      </c>
      <c r="E843" s="1">
        <f ca="1">IFERROR(__xludf.DUMMYFUNCTION("""COMPUTED_VALUE"""),318.38)</f>
        <v>318.38</v>
      </c>
      <c r="F843" s="1">
        <f ca="1">IFERROR(__xludf.DUMMYFUNCTION("""COMPUTED_VALUE"""),112826661)</f>
        <v>112826661</v>
      </c>
    </row>
    <row r="844" spans="1:6" ht="12.6">
      <c r="A844" s="2">
        <f ca="1">IFERROR(__xludf.DUMMYFUNCTION("""COMPUTED_VALUE"""),45790.6666666666)</f>
        <v>45790.666666666599</v>
      </c>
      <c r="B844" s="1">
        <f ca="1">IFERROR(__xludf.DUMMYFUNCTION("""COMPUTED_VALUE"""),320)</f>
        <v>320</v>
      </c>
      <c r="C844" s="1">
        <f ca="1">IFERROR(__xludf.DUMMYFUNCTION("""COMPUTED_VALUE"""),337.59)</f>
        <v>337.59</v>
      </c>
      <c r="D844" s="1">
        <f ca="1">IFERROR(__xludf.DUMMYFUNCTION("""COMPUTED_VALUE"""),316.8)</f>
        <v>316.8</v>
      </c>
      <c r="E844" s="1">
        <f ca="1">IFERROR(__xludf.DUMMYFUNCTION("""COMPUTED_VALUE"""),334.07)</f>
        <v>334.07</v>
      </c>
      <c r="F844" s="1">
        <f ca="1">IFERROR(__xludf.DUMMYFUNCTION("""COMPUTED_VALUE"""),136992574)</f>
        <v>136992574</v>
      </c>
    </row>
    <row r="845" spans="1:6" ht="12.6">
      <c r="A845" s="2">
        <f ca="1">IFERROR(__xludf.DUMMYFUNCTION("""COMPUTED_VALUE"""),45791.6666666666)</f>
        <v>45791.666666666599</v>
      </c>
      <c r="B845" s="1">
        <f ca="1">IFERROR(__xludf.DUMMYFUNCTION("""COMPUTED_VALUE"""),342.5)</f>
        <v>342.5</v>
      </c>
      <c r="C845" s="1">
        <f ca="1">IFERROR(__xludf.DUMMYFUNCTION("""COMPUTED_VALUE"""),350)</f>
        <v>350</v>
      </c>
      <c r="D845" s="1">
        <f ca="1">IFERROR(__xludf.DUMMYFUNCTION("""COMPUTED_VALUE"""),337)</f>
        <v>337</v>
      </c>
      <c r="E845" s="1">
        <f ca="1">IFERROR(__xludf.DUMMYFUNCTION("""COMPUTED_VALUE"""),347.68)</f>
        <v>347.68</v>
      </c>
      <c r="F845" s="1">
        <f ca="1">IFERROR(__xludf.DUMMYFUNCTION("""COMPUTED_VALUE"""),136997264)</f>
        <v>136997264</v>
      </c>
    </row>
    <row r="846" spans="1:6" ht="12.6">
      <c r="A846" s="2">
        <f ca="1">IFERROR(__xludf.DUMMYFUNCTION("""COMPUTED_VALUE"""),45792.6666666666)</f>
        <v>45792.666666666599</v>
      </c>
      <c r="B846" s="1">
        <f ca="1">IFERROR(__xludf.DUMMYFUNCTION("""COMPUTED_VALUE"""),340.34)</f>
        <v>340.34</v>
      </c>
      <c r="C846" s="1">
        <f ca="1">IFERROR(__xludf.DUMMYFUNCTION("""COMPUTED_VALUE"""),346.14)</f>
        <v>346.14</v>
      </c>
      <c r="D846" s="1">
        <f ca="1">IFERROR(__xludf.DUMMYFUNCTION("""COMPUTED_VALUE"""),334.72)</f>
        <v>334.72</v>
      </c>
      <c r="E846" s="1">
        <f ca="1">IFERROR(__xludf.DUMMYFUNCTION("""COMPUTED_VALUE"""),342.82)</f>
        <v>342.82</v>
      </c>
      <c r="F846" s="1">
        <f ca="1">IFERROR(__xludf.DUMMYFUNCTION("""COMPUTED_VALUE"""),97882596)</f>
        <v>97882596</v>
      </c>
    </row>
    <row r="847" spans="1:6" ht="12.6">
      <c r="A847" s="2">
        <f ca="1">IFERROR(__xludf.DUMMYFUNCTION("""COMPUTED_VALUE"""),45793.6666666666)</f>
        <v>45793.666666666599</v>
      </c>
      <c r="B847" s="1">
        <f ca="1">IFERROR(__xludf.DUMMYFUNCTION("""COMPUTED_VALUE"""),346.24)</f>
        <v>346.24</v>
      </c>
      <c r="C847" s="1">
        <f ca="1">IFERROR(__xludf.DUMMYFUNCTION("""COMPUTED_VALUE"""),351.62)</f>
        <v>351.62</v>
      </c>
      <c r="D847" s="1">
        <f ca="1">IFERROR(__xludf.DUMMYFUNCTION("""COMPUTED_VALUE"""),342.33)</f>
        <v>342.33</v>
      </c>
      <c r="E847" s="1">
        <f ca="1">IFERROR(__xludf.DUMMYFUNCTION("""COMPUTED_VALUE"""),349.98)</f>
        <v>349.98</v>
      </c>
      <c r="F847" s="1">
        <f ca="1">IFERROR(__xludf.DUMMYFUNCTION("""COMPUTED_VALUE"""),95895665)</f>
        <v>95895665</v>
      </c>
    </row>
    <row r="848" spans="1:6" ht="12.6">
      <c r="A848" s="2">
        <f ca="1">IFERROR(__xludf.DUMMYFUNCTION("""COMPUTED_VALUE"""),45796.6666666666)</f>
        <v>45796.666666666599</v>
      </c>
      <c r="B848" s="1">
        <f ca="1">IFERROR(__xludf.DUMMYFUNCTION("""COMPUTED_VALUE"""),336.3)</f>
        <v>336.3</v>
      </c>
      <c r="C848" s="1">
        <f ca="1">IFERROR(__xludf.DUMMYFUNCTION("""COMPUTED_VALUE"""),343)</f>
        <v>343</v>
      </c>
      <c r="D848" s="1">
        <f ca="1">IFERROR(__xludf.DUMMYFUNCTION("""COMPUTED_VALUE"""),333.37)</f>
        <v>333.37</v>
      </c>
      <c r="E848" s="1">
        <f ca="1">IFERROR(__xludf.DUMMYFUNCTION("""COMPUTED_VALUE"""),342.09)</f>
        <v>342.09</v>
      </c>
      <c r="F848" s="1">
        <f ca="1">IFERROR(__xludf.DUMMYFUNCTION("""COMPUTED_VALUE"""),88869853)</f>
        <v>88869853</v>
      </c>
    </row>
    <row r="849" spans="1:6" ht="12.6">
      <c r="A849" s="2">
        <f ca="1">IFERROR(__xludf.DUMMYFUNCTION("""COMPUTED_VALUE"""),45797.6666666666)</f>
        <v>45797.666666666599</v>
      </c>
      <c r="B849" s="1">
        <f ca="1">IFERROR(__xludf.DUMMYFUNCTION("""COMPUTED_VALUE"""),347.87)</f>
        <v>347.87</v>
      </c>
      <c r="C849" s="1">
        <f ca="1">IFERROR(__xludf.DUMMYFUNCTION("""COMPUTED_VALUE"""),354.99)</f>
        <v>354.99</v>
      </c>
      <c r="D849" s="1">
        <f ca="1">IFERROR(__xludf.DUMMYFUNCTION("""COMPUTED_VALUE"""),341.63)</f>
        <v>341.63</v>
      </c>
      <c r="E849" s="1">
        <f ca="1">IFERROR(__xludf.DUMMYFUNCTION("""COMPUTED_VALUE"""),343.82)</f>
        <v>343.82</v>
      </c>
      <c r="F849" s="1">
        <f ca="1">IFERROR(__xludf.DUMMYFUNCTION("""COMPUTED_VALUE"""),131715548)</f>
        <v>131715548</v>
      </c>
    </row>
    <row r="850" spans="1:6" ht="12.6">
      <c r="A850" s="2">
        <f ca="1">IFERROR(__xludf.DUMMYFUNCTION("""COMPUTED_VALUE"""),45798.6666666666)</f>
        <v>45798.666666666599</v>
      </c>
      <c r="B850" s="1">
        <f ca="1">IFERROR(__xludf.DUMMYFUNCTION("""COMPUTED_VALUE"""),344.43)</f>
        <v>344.43</v>
      </c>
      <c r="C850" s="1">
        <f ca="1">IFERROR(__xludf.DUMMYFUNCTION("""COMPUTED_VALUE"""),347.35)</f>
        <v>347.35</v>
      </c>
      <c r="D850" s="1">
        <f ca="1">IFERROR(__xludf.DUMMYFUNCTION("""COMPUTED_VALUE"""),332.2)</f>
        <v>332.2</v>
      </c>
      <c r="E850" s="1">
        <f ca="1">IFERROR(__xludf.DUMMYFUNCTION("""COMPUTED_VALUE"""),334.62)</f>
        <v>334.62</v>
      </c>
      <c r="F850" s="1">
        <f ca="1">IFERROR(__xludf.DUMMYFUNCTION("""COMPUTED_VALUE"""),102354844)</f>
        <v>102354844</v>
      </c>
    </row>
    <row r="851" spans="1:6" ht="12.6">
      <c r="A851" s="2">
        <f ca="1">IFERROR(__xludf.DUMMYFUNCTION("""COMPUTED_VALUE"""),45799.6666666666)</f>
        <v>45799.666666666599</v>
      </c>
      <c r="B851" s="1">
        <f ca="1">IFERROR(__xludf.DUMMYFUNCTION("""COMPUTED_VALUE"""),344.43)</f>
        <v>344.43</v>
      </c>
      <c r="C851" s="1">
        <f ca="1">IFERROR(__xludf.DUMMYFUNCTION("""COMPUTED_VALUE"""),347.35)</f>
        <v>347.35</v>
      </c>
      <c r="D851" s="1">
        <f ca="1">IFERROR(__xludf.DUMMYFUNCTION("""COMPUTED_VALUE"""),332.2)</f>
        <v>332.2</v>
      </c>
      <c r="E851" s="1">
        <f ca="1">IFERROR(__xludf.DUMMYFUNCTION("""COMPUTED_VALUE"""),334.62)</f>
        <v>334.62</v>
      </c>
      <c r="F851" s="1">
        <f ca="1">IFERROR(__xludf.DUMMYFUNCTION("""COMPUTED_VALUE"""),5462213)</f>
        <v>5462213</v>
      </c>
    </row>
    <row r="852" spans="1:6" ht="12.6">
      <c r="A852" s="2">
        <f ca="1">IFERROR(__xludf.DUMMYFUNCTION("""COMPUTED_VALUE"""),45800.6666666666)</f>
        <v>45800.666666666599</v>
      </c>
      <c r="B852" s="1">
        <f ca="1">IFERROR(__xludf.DUMMYFUNCTION("""COMPUTED_VALUE"""),337.92)</f>
        <v>337.92</v>
      </c>
      <c r="C852" s="1">
        <f ca="1">IFERROR(__xludf.DUMMYFUNCTION("""COMPUTED_VALUE"""),343.18)</f>
        <v>343.18</v>
      </c>
      <c r="D852" s="1">
        <f ca="1">IFERROR(__xludf.DUMMYFUNCTION("""COMPUTED_VALUE"""),333.21)</f>
        <v>333.21</v>
      </c>
      <c r="E852" s="1">
        <f ca="1">IFERROR(__xludf.DUMMYFUNCTION("""COMPUTED_VALUE"""),339.34)</f>
        <v>339.34</v>
      </c>
      <c r="F852" s="1">
        <f ca="1">IFERROR(__xludf.DUMMYFUNCTION("""COMPUTED_VALUE"""),84654818)</f>
        <v>84654818</v>
      </c>
    </row>
    <row r="853" spans="1:6" ht="12.6">
      <c r="A853" s="2">
        <f ca="1">IFERROR(__xludf.DUMMYFUNCTION("""COMPUTED_VALUE"""),45804.6666666666)</f>
        <v>45804.666666666599</v>
      </c>
      <c r="B853" s="1">
        <f ca="1">IFERROR(__xludf.DUMMYFUNCTION("""COMPUTED_VALUE"""),347.35)</f>
        <v>347.35</v>
      </c>
      <c r="C853" s="1">
        <f ca="1">IFERROR(__xludf.DUMMYFUNCTION("""COMPUTED_VALUE"""),363.79)</f>
        <v>363.79</v>
      </c>
      <c r="D853" s="1">
        <f ca="1">IFERROR(__xludf.DUMMYFUNCTION("""COMPUTED_VALUE"""),347.32)</f>
        <v>347.32</v>
      </c>
      <c r="E853" s="1">
        <f ca="1">IFERROR(__xludf.DUMMYFUNCTION("""COMPUTED_VALUE"""),362.89)</f>
        <v>362.89</v>
      </c>
      <c r="F853" s="1">
        <f ca="1">IFERROR(__xludf.DUMMYFUNCTION("""COMPUTED_VALUE"""),120146414)</f>
        <v>120146414</v>
      </c>
    </row>
    <row r="854" spans="1:6" ht="12.6">
      <c r="A854" s="2">
        <f ca="1">IFERROR(__xludf.DUMMYFUNCTION("""COMPUTED_VALUE"""),45805.6666666666)</f>
        <v>45805.666666666599</v>
      </c>
      <c r="B854" s="1">
        <f ca="1">IFERROR(__xludf.DUMMYFUNCTION("""COMPUTED_VALUE"""),364.84)</f>
        <v>364.84</v>
      </c>
      <c r="C854" s="1">
        <f ca="1">IFERROR(__xludf.DUMMYFUNCTION("""COMPUTED_VALUE"""),365)</f>
        <v>365</v>
      </c>
      <c r="D854" s="1">
        <f ca="1">IFERROR(__xludf.DUMMYFUNCTION("""COMPUTED_VALUE"""),355.91)</f>
        <v>355.91</v>
      </c>
      <c r="E854" s="1">
        <f ca="1">IFERROR(__xludf.DUMMYFUNCTION("""COMPUTED_VALUE"""),356.9)</f>
        <v>356.9</v>
      </c>
      <c r="F854" s="1">
        <f ca="1">IFERROR(__xludf.DUMMYFUNCTION("""COMPUTED_VALUE"""),91404309)</f>
        <v>91404309</v>
      </c>
    </row>
    <row r="855" spans="1:6" ht="12.6">
      <c r="A855" s="2">
        <f ca="1">IFERROR(__xludf.DUMMYFUNCTION("""COMPUTED_VALUE"""),45806.6666666666)</f>
        <v>45806.666666666599</v>
      </c>
      <c r="B855" s="1">
        <f ca="1">IFERROR(__xludf.DUMMYFUNCTION("""COMPUTED_VALUE"""),365.29)</f>
        <v>365.29</v>
      </c>
      <c r="C855" s="1">
        <f ca="1">IFERROR(__xludf.DUMMYFUNCTION("""COMPUTED_VALUE"""),367.71)</f>
        <v>367.71</v>
      </c>
      <c r="D855" s="1">
        <f ca="1">IFERROR(__xludf.DUMMYFUNCTION("""COMPUTED_VALUE"""),356)</f>
        <v>356</v>
      </c>
      <c r="E855" s="1">
        <f ca="1">IFERROR(__xludf.DUMMYFUNCTION("""COMPUTED_VALUE"""),358.43)</f>
        <v>358.43</v>
      </c>
      <c r="F855" s="1">
        <f ca="1">IFERROR(__xludf.DUMMYFUNCTION("""COMPUTED_VALUE"""),88545666)</f>
        <v>88545666</v>
      </c>
    </row>
    <row r="856" spans="1:6" ht="12.6">
      <c r="A856" s="2">
        <f ca="1">IFERROR(__xludf.DUMMYFUNCTION("""COMPUTED_VALUE"""),45807.6666666666)</f>
        <v>45807.666666666599</v>
      </c>
      <c r="B856" s="1">
        <f ca="1">IFERROR(__xludf.DUMMYFUNCTION("""COMPUTED_VALUE"""),355.52)</f>
        <v>355.52</v>
      </c>
      <c r="C856" s="1">
        <f ca="1">IFERROR(__xludf.DUMMYFUNCTION("""COMPUTED_VALUE"""),363.68)</f>
        <v>363.68</v>
      </c>
      <c r="D856" s="1">
        <f ca="1">IFERROR(__xludf.DUMMYFUNCTION("""COMPUTED_VALUE"""),345.29)</f>
        <v>345.29</v>
      </c>
      <c r="E856" s="1">
        <f ca="1">IFERROR(__xludf.DUMMYFUNCTION("""COMPUTED_VALUE"""),346.46)</f>
        <v>346.46</v>
      </c>
      <c r="F856" s="1">
        <f ca="1">IFERROR(__xludf.DUMMYFUNCTION("""COMPUTED_VALUE"""),123474938)</f>
        <v>123474938</v>
      </c>
    </row>
    <row r="857" spans="1:6" ht="12.6">
      <c r="A857" s="2">
        <f ca="1">IFERROR(__xludf.DUMMYFUNCTION("""COMPUTED_VALUE"""),45810.6666666666)</f>
        <v>45810.666666666599</v>
      </c>
      <c r="B857" s="1">
        <f ca="1">IFERROR(__xludf.DUMMYFUNCTION("""COMPUTED_VALUE"""),343.5)</f>
        <v>343.5</v>
      </c>
      <c r="C857" s="1">
        <f ca="1">IFERROR(__xludf.DUMMYFUNCTION("""COMPUTED_VALUE"""),348.02)</f>
        <v>348.02</v>
      </c>
      <c r="D857" s="1">
        <f ca="1">IFERROR(__xludf.DUMMYFUNCTION("""COMPUTED_VALUE"""),333.33)</f>
        <v>333.33</v>
      </c>
      <c r="E857" s="1">
        <f ca="1">IFERROR(__xludf.DUMMYFUNCTION("""COMPUTED_VALUE"""),342.69)</f>
        <v>342.69</v>
      </c>
      <c r="F857" s="1">
        <f ca="1">IFERROR(__xludf.DUMMYFUNCTION("""COMPUTED_VALUE"""),81873829)</f>
        <v>81873829</v>
      </c>
    </row>
    <row r="858" spans="1:6" ht="12.6">
      <c r="A858" s="2">
        <f ca="1">IFERROR(__xludf.DUMMYFUNCTION("""COMPUTED_VALUE"""),45811.6666666666)</f>
        <v>45811.666666666599</v>
      </c>
      <c r="B858" s="1">
        <f ca="1">IFERROR(__xludf.DUMMYFUNCTION("""COMPUTED_VALUE"""),346.6)</f>
        <v>346.6</v>
      </c>
      <c r="C858" s="1">
        <f ca="1">IFERROR(__xludf.DUMMYFUNCTION("""COMPUTED_VALUE"""),355.4)</f>
        <v>355.4</v>
      </c>
      <c r="D858" s="1">
        <f ca="1">IFERROR(__xludf.DUMMYFUNCTION("""COMPUTED_VALUE"""),343.04)</f>
        <v>343.04</v>
      </c>
      <c r="E858" s="1">
        <f ca="1">IFERROR(__xludf.DUMMYFUNCTION("""COMPUTED_VALUE"""),344.27)</f>
        <v>344.27</v>
      </c>
      <c r="F858" s="1">
        <f ca="1">IFERROR(__xludf.DUMMYFUNCTION("""COMPUTED_VALUE"""),99324544)</f>
        <v>99324544</v>
      </c>
    </row>
    <row r="859" spans="1:6" ht="12.6">
      <c r="A859" s="2">
        <f ca="1">IFERROR(__xludf.DUMMYFUNCTION("""COMPUTED_VALUE"""),45812.6666666666)</f>
        <v>45812.666666666599</v>
      </c>
      <c r="B859" s="1">
        <f ca="1">IFERROR(__xludf.DUMMYFUNCTION("""COMPUTED_VALUE"""),345.1)</f>
        <v>345.1</v>
      </c>
      <c r="C859" s="1">
        <f ca="1">IFERROR(__xludf.DUMMYFUNCTION("""COMPUTED_VALUE"""),345.6)</f>
        <v>345.6</v>
      </c>
      <c r="D859" s="1">
        <f ca="1">IFERROR(__xludf.DUMMYFUNCTION("""COMPUTED_VALUE"""),327.33)</f>
        <v>327.33</v>
      </c>
      <c r="E859" s="1">
        <f ca="1">IFERROR(__xludf.DUMMYFUNCTION("""COMPUTED_VALUE"""),332.05)</f>
        <v>332.05</v>
      </c>
      <c r="F859" s="1">
        <f ca="1">IFERROR(__xludf.DUMMYFUNCTION("""COMPUTED_VALUE"""),98912075)</f>
        <v>98912075</v>
      </c>
    </row>
    <row r="860" spans="1:6" ht="12.6">
      <c r="A860" s="2">
        <f ca="1">IFERROR(__xludf.DUMMYFUNCTION("""COMPUTED_VALUE"""),45813.6666666666)</f>
        <v>45813.666666666599</v>
      </c>
      <c r="B860" s="1">
        <f ca="1">IFERROR(__xludf.DUMMYFUNCTION("""COMPUTED_VALUE"""),322.49)</f>
        <v>322.49</v>
      </c>
      <c r="C860" s="1">
        <f ca="1">IFERROR(__xludf.DUMMYFUNCTION("""COMPUTED_VALUE"""),324.55)</f>
        <v>324.55</v>
      </c>
      <c r="D860" s="1">
        <f ca="1">IFERROR(__xludf.DUMMYFUNCTION("""COMPUTED_VALUE"""),273.21)</f>
        <v>273.20999999999998</v>
      </c>
      <c r="E860" s="1">
        <f ca="1">IFERROR(__xludf.DUMMYFUNCTION("""COMPUTED_VALUE"""),284.7)</f>
        <v>284.7</v>
      </c>
      <c r="F860" s="1">
        <f ca="1">IFERROR(__xludf.DUMMYFUNCTION("""COMPUTED_VALUE"""),292818655)</f>
        <v>292818655</v>
      </c>
    </row>
    <row r="861" spans="1:6" ht="12.6">
      <c r="A861" s="2">
        <f ca="1">IFERROR(__xludf.DUMMYFUNCTION("""COMPUTED_VALUE"""),45814.6666666666)</f>
        <v>45814.666666666599</v>
      </c>
      <c r="B861" s="1">
        <f ca="1">IFERROR(__xludf.DUMMYFUNCTION("""COMPUTED_VALUE"""),298.83)</f>
        <v>298.83</v>
      </c>
      <c r="C861" s="1">
        <f ca="1">IFERROR(__xludf.DUMMYFUNCTION("""COMPUTED_VALUE"""),305.5)</f>
        <v>305.5</v>
      </c>
      <c r="D861" s="1">
        <f ca="1">IFERROR(__xludf.DUMMYFUNCTION("""COMPUTED_VALUE"""),291.14)</f>
        <v>291.14</v>
      </c>
      <c r="E861" s="1">
        <f ca="1">IFERROR(__xludf.DUMMYFUNCTION("""COMPUTED_VALUE"""),295.14)</f>
        <v>295.14</v>
      </c>
      <c r="F861" s="1">
        <f ca="1">IFERROR(__xludf.DUMMYFUNCTION("""COMPUTED_VALUE"""),164747685)</f>
        <v>164747685</v>
      </c>
    </row>
    <row r="862" spans="1:6" ht="12.6">
      <c r="A862" s="2">
        <f ca="1">IFERROR(__xludf.DUMMYFUNCTION("""COMPUTED_VALUE"""),45817.6666666666)</f>
        <v>45817.666666666599</v>
      </c>
      <c r="B862" s="1">
        <f ca="1">IFERROR(__xludf.DUMMYFUNCTION("""COMPUTED_VALUE"""),285.96)</f>
        <v>285.95999999999998</v>
      </c>
      <c r="C862" s="1">
        <f ca="1">IFERROR(__xludf.DUMMYFUNCTION("""COMPUTED_VALUE"""),309.83)</f>
        <v>309.83</v>
      </c>
      <c r="D862" s="1">
        <f ca="1">IFERROR(__xludf.DUMMYFUNCTION("""COMPUTED_VALUE"""),281.85)</f>
        <v>281.85000000000002</v>
      </c>
      <c r="E862" s="1">
        <f ca="1">IFERROR(__xludf.DUMMYFUNCTION("""COMPUTED_VALUE"""),308.58)</f>
        <v>308.58</v>
      </c>
      <c r="F862" s="1">
        <f ca="1">IFERROR(__xludf.DUMMYFUNCTION("""COMPUTED_VALUE"""),140908876)</f>
        <v>140908876</v>
      </c>
    </row>
    <row r="863" spans="1:6" ht="12.6">
      <c r="A863" s="2">
        <f ca="1">IFERROR(__xludf.DUMMYFUNCTION("""COMPUTED_VALUE"""),45818.6666666666)</f>
        <v>45818.666666666599</v>
      </c>
      <c r="B863" s="1">
        <f ca="1">IFERROR(__xludf.DUMMYFUNCTION("""COMPUTED_VALUE"""),314.94)</f>
        <v>314.94</v>
      </c>
      <c r="C863" s="1">
        <f ca="1">IFERROR(__xludf.DUMMYFUNCTION("""COMPUTED_VALUE"""),327.83)</f>
        <v>327.83</v>
      </c>
      <c r="D863" s="1">
        <f ca="1">IFERROR(__xludf.DUMMYFUNCTION("""COMPUTED_VALUE"""),310.67)</f>
        <v>310.67</v>
      </c>
      <c r="E863" s="1">
        <f ca="1">IFERROR(__xludf.DUMMYFUNCTION("""COMPUTED_VALUE"""),326.09)</f>
        <v>326.08999999999997</v>
      </c>
      <c r="F863" s="1">
        <f ca="1">IFERROR(__xludf.DUMMYFUNCTION("""COMPUTED_VALUE"""),151256520)</f>
        <v>151256520</v>
      </c>
    </row>
    <row r="864" spans="1:6" ht="12.6">
      <c r="A864" s="2">
        <f ca="1">IFERROR(__xludf.DUMMYFUNCTION("""COMPUTED_VALUE"""),45819.6666666666)</f>
        <v>45819.666666666599</v>
      </c>
      <c r="B864" s="1">
        <f ca="1">IFERROR(__xludf.DUMMYFUNCTION("""COMPUTED_VALUE"""),334.4)</f>
        <v>334.4</v>
      </c>
      <c r="C864" s="1">
        <f ca="1">IFERROR(__xludf.DUMMYFUNCTION("""COMPUTED_VALUE"""),335.5)</f>
        <v>335.5</v>
      </c>
      <c r="D864" s="1">
        <f ca="1">IFERROR(__xludf.DUMMYFUNCTION("""COMPUTED_VALUE"""),322.5)</f>
        <v>322.5</v>
      </c>
      <c r="E864" s="1">
        <f ca="1">IFERROR(__xludf.DUMMYFUNCTION("""COMPUTED_VALUE"""),326.43)</f>
        <v>326.43</v>
      </c>
      <c r="F864" s="1">
        <f ca="1">IFERROR(__xludf.DUMMYFUNCTION("""COMPUTED_VALUE"""),122611360)</f>
        <v>122611360</v>
      </c>
    </row>
    <row r="865" spans="1:6" ht="12.6">
      <c r="A865" s="2">
        <f ca="1">IFERROR(__xludf.DUMMYFUNCTION("""COMPUTED_VALUE"""),45820.6666666666)</f>
        <v>45820.666666666599</v>
      </c>
      <c r="B865" s="1">
        <f ca="1">IFERROR(__xludf.DUMMYFUNCTION("""COMPUTED_VALUE"""),323.08)</f>
        <v>323.08</v>
      </c>
      <c r="C865" s="1">
        <f ca="1">IFERROR(__xludf.DUMMYFUNCTION("""COMPUTED_VALUE"""),332.56)</f>
        <v>332.56</v>
      </c>
      <c r="D865" s="1">
        <f ca="1">IFERROR(__xludf.DUMMYFUNCTION("""COMPUTED_VALUE"""),316.86)</f>
        <v>316.86</v>
      </c>
      <c r="E865" s="1">
        <f ca="1">IFERROR(__xludf.DUMMYFUNCTION("""COMPUTED_VALUE"""),319.11)</f>
        <v>319.11</v>
      </c>
      <c r="F865" s="1">
        <f ca="1">IFERROR(__xludf.DUMMYFUNCTION("""COMPUTED_VALUE"""),105127536)</f>
        <v>105127536</v>
      </c>
    </row>
    <row r="866" spans="1:6" ht="12.6">
      <c r="A866" s="2">
        <f ca="1">IFERROR(__xludf.DUMMYFUNCTION("""COMPUTED_VALUE"""),45821.6666666666)</f>
        <v>45821.666666666599</v>
      </c>
      <c r="B866" s="1">
        <f ca="1">IFERROR(__xludf.DUMMYFUNCTION("""COMPUTED_VALUE"""),313.97)</f>
        <v>313.97000000000003</v>
      </c>
      <c r="C866" s="1">
        <f ca="1">IFERROR(__xludf.DUMMYFUNCTION("""COMPUTED_VALUE"""),332.99)</f>
        <v>332.99</v>
      </c>
      <c r="D866" s="1">
        <f ca="1">IFERROR(__xludf.DUMMYFUNCTION("""COMPUTED_VALUE"""),313.3)</f>
        <v>313.3</v>
      </c>
      <c r="E866" s="1">
        <f ca="1">IFERROR(__xludf.DUMMYFUNCTION("""COMPUTED_VALUE"""),325.31)</f>
        <v>325.31</v>
      </c>
      <c r="F866" s="1">
        <f ca="1">IFERROR(__xludf.DUMMYFUNCTION("""COMPUTED_VALUE"""),128964279)</f>
        <v>128964279</v>
      </c>
    </row>
    <row r="867" spans="1:6" ht="12.6">
      <c r="A867" s="2">
        <f ca="1">IFERROR(__xludf.DUMMYFUNCTION("""COMPUTED_VALUE"""),45824.6666666666)</f>
        <v>45824.666666666599</v>
      </c>
      <c r="B867" s="1">
        <f ca="1">IFERROR(__xludf.DUMMYFUNCTION("""COMPUTED_VALUE"""),331.29)</f>
        <v>331.29</v>
      </c>
      <c r="C867" s="1">
        <f ca="1">IFERROR(__xludf.DUMMYFUNCTION("""COMPUTED_VALUE"""),332.05)</f>
        <v>332.05</v>
      </c>
      <c r="D867" s="1">
        <f ca="1">IFERROR(__xludf.DUMMYFUNCTION("""COMPUTED_VALUE"""),326.41)</f>
        <v>326.41000000000003</v>
      </c>
      <c r="E867" s="1">
        <f ca="1">IFERROR(__xludf.DUMMYFUNCTION("""COMPUTED_VALUE"""),329.13)</f>
        <v>329.13</v>
      </c>
      <c r="F867" s="1">
        <f ca="1">IFERROR(__xludf.DUMMYFUNCTION("""COMPUTED_VALUE"""),83925858)</f>
        <v>83925858</v>
      </c>
    </row>
    <row r="868" spans="1:6" ht="12.6">
      <c r="A868" s="2">
        <f ca="1">IFERROR(__xludf.DUMMYFUNCTION("""COMPUTED_VALUE"""),45825.6666666666)</f>
        <v>45825.666666666599</v>
      </c>
      <c r="B868" s="1">
        <f ca="1">IFERROR(__xludf.DUMMYFUNCTION("""COMPUTED_VALUE"""),326.09)</f>
        <v>326.08999999999997</v>
      </c>
      <c r="C868" s="1">
        <f ca="1">IFERROR(__xludf.DUMMYFUNCTION("""COMPUTED_VALUE"""),327.26)</f>
        <v>327.26</v>
      </c>
      <c r="D868" s="1">
        <f ca="1">IFERROR(__xludf.DUMMYFUNCTION("""COMPUTED_VALUE"""),314.74)</f>
        <v>314.74</v>
      </c>
      <c r="E868" s="1">
        <f ca="1">IFERROR(__xludf.DUMMYFUNCTION("""COMPUTED_VALUE"""),316.35)</f>
        <v>316.35000000000002</v>
      </c>
      <c r="F868" s="1">
        <f ca="1">IFERROR(__xludf.DUMMYFUNCTION("""COMPUTED_VALUE"""),88282669)</f>
        <v>88282669</v>
      </c>
    </row>
    <row r="869" spans="1:6" ht="12.6">
      <c r="A869" s="2">
        <f ca="1">IFERROR(__xludf.DUMMYFUNCTION("""COMPUTED_VALUE"""),45826.6666666666)</f>
        <v>45826.666666666599</v>
      </c>
      <c r="B869" s="1">
        <f ca="1">IFERROR(__xludf.DUMMYFUNCTION("""COMPUTED_VALUE"""),317.31)</f>
        <v>317.31</v>
      </c>
      <c r="C869" s="1">
        <f ca="1">IFERROR(__xludf.DUMMYFUNCTION("""COMPUTED_VALUE"""),329.32)</f>
        <v>329.32</v>
      </c>
      <c r="D869" s="1">
        <f ca="1">IFERROR(__xludf.DUMMYFUNCTION("""COMPUTED_VALUE"""),315.45)</f>
        <v>315.45</v>
      </c>
      <c r="E869" s="1">
        <f ca="1">IFERROR(__xludf.DUMMYFUNCTION("""COMPUTED_VALUE"""),322.05)</f>
        <v>322.05</v>
      </c>
      <c r="F869" s="1">
        <f ca="1">IFERROR(__xludf.DUMMYFUNCTION("""COMPUTED_VALUE"""),95137686)</f>
        <v>95137686</v>
      </c>
    </row>
    <row r="870" spans="1:6" ht="12.6">
      <c r="A870" s="2">
        <f ca="1">IFERROR(__xludf.DUMMYFUNCTION("""COMPUTED_VALUE"""),45828.6666666666)</f>
        <v>45828.666666666599</v>
      </c>
      <c r="B870" s="1">
        <f ca="1">IFERROR(__xludf.DUMMYFUNCTION("""COMPUTED_VALUE"""),327.95)</f>
        <v>327.95</v>
      </c>
      <c r="C870" s="1">
        <f ca="1">IFERROR(__xludf.DUMMYFUNCTION("""COMPUTED_VALUE"""),332.36)</f>
        <v>332.36</v>
      </c>
      <c r="D870" s="1">
        <f ca="1">IFERROR(__xludf.DUMMYFUNCTION("""COMPUTED_VALUE"""),317.78)</f>
        <v>317.77999999999997</v>
      </c>
      <c r="E870" s="1">
        <f ca="1">IFERROR(__xludf.DUMMYFUNCTION("""COMPUTED_VALUE"""),322.16)</f>
        <v>322.16000000000003</v>
      </c>
      <c r="F870" s="1">
        <f ca="1">IFERROR(__xludf.DUMMYFUNCTION("""COMPUTED_VALUE"""),108688008)</f>
        <v>108688008</v>
      </c>
    </row>
    <row r="871" spans="1:6" ht="12.6">
      <c r="A871" s="2">
        <f ca="1">IFERROR(__xludf.DUMMYFUNCTION("""COMPUTED_VALUE"""),45831.6666666666)</f>
        <v>45831.666666666599</v>
      </c>
      <c r="B871" s="1">
        <f ca="1">IFERROR(__xludf.DUMMYFUNCTION("""COMPUTED_VALUE"""),327.54)</f>
        <v>327.54000000000002</v>
      </c>
      <c r="C871" s="1">
        <f ca="1">IFERROR(__xludf.DUMMYFUNCTION("""COMPUTED_VALUE"""),357.54)</f>
        <v>357.54</v>
      </c>
      <c r="D871" s="1">
        <f ca="1">IFERROR(__xludf.DUMMYFUNCTION("""COMPUTED_VALUE"""),327.48)</f>
        <v>327.48</v>
      </c>
      <c r="E871" s="1">
        <f ca="1">IFERROR(__xludf.DUMMYFUNCTION("""COMPUTED_VALUE"""),348.68)</f>
        <v>348.68</v>
      </c>
      <c r="F871" s="1">
        <f ca="1">IFERROR(__xludf.DUMMYFUNCTION("""COMPUTED_VALUE"""),190716815)</f>
        <v>190716815</v>
      </c>
    </row>
    <row r="872" spans="1:6" ht="12.6">
      <c r="A872" s="2">
        <f ca="1">IFERROR(__xludf.DUMMYFUNCTION("""COMPUTED_VALUE"""),45832.6666666666)</f>
        <v>45832.666666666599</v>
      </c>
      <c r="B872" s="1">
        <f ca="1">IFERROR(__xludf.DUMMYFUNCTION("""COMPUTED_VALUE"""),356.17)</f>
        <v>356.17</v>
      </c>
      <c r="C872" s="1">
        <f ca="1">IFERROR(__xludf.DUMMYFUNCTION("""COMPUTED_VALUE"""),356.26)</f>
        <v>356.26</v>
      </c>
      <c r="D872" s="1">
        <f ca="1">IFERROR(__xludf.DUMMYFUNCTION("""COMPUTED_VALUE"""),340.44)</f>
        <v>340.44</v>
      </c>
      <c r="E872" s="1">
        <f ca="1">IFERROR(__xludf.DUMMYFUNCTION("""COMPUTED_VALUE"""),340.47)</f>
        <v>340.47</v>
      </c>
      <c r="F872" s="1">
        <f ca="1">IFERROR(__xludf.DUMMYFUNCTION("""COMPUTED_VALUE"""),114736245)</f>
        <v>114736245</v>
      </c>
    </row>
    <row r="873" spans="1:6" ht="12.6">
      <c r="A873" s="2">
        <f ca="1">IFERROR(__xludf.DUMMYFUNCTION("""COMPUTED_VALUE"""),45833.6666666666)</f>
        <v>45833.666666666599</v>
      </c>
      <c r="B873" s="1">
        <f ca="1">IFERROR(__xludf.DUMMYFUNCTION("""COMPUTED_VALUE"""),342.7)</f>
        <v>342.7</v>
      </c>
      <c r="C873" s="1">
        <f ca="1">IFERROR(__xludf.DUMMYFUNCTION("""COMPUTED_VALUE"""),343)</f>
        <v>343</v>
      </c>
      <c r="D873" s="1">
        <f ca="1">IFERROR(__xludf.DUMMYFUNCTION("""COMPUTED_VALUE"""),320.4)</f>
        <v>320.39999999999998</v>
      </c>
      <c r="E873" s="1">
        <f ca="1">IFERROR(__xludf.DUMMYFUNCTION("""COMPUTED_VALUE"""),327.55)</f>
        <v>327.55</v>
      </c>
      <c r="F873" s="1">
        <f ca="1">IFERROR(__xludf.DUMMYFUNCTION("""COMPUTED_VALUE"""),119845050)</f>
        <v>119845050</v>
      </c>
    </row>
    <row r="874" spans="1:6" ht="12.6">
      <c r="A874" s="2">
        <f ca="1">IFERROR(__xludf.DUMMYFUNCTION("""COMPUTED_VALUE"""),45834.6666666666)</f>
        <v>45834.666666666599</v>
      </c>
      <c r="B874" s="1">
        <f ca="1">IFERROR(__xludf.DUMMYFUNCTION("""COMPUTED_VALUE"""),324.61)</f>
        <v>324.61</v>
      </c>
      <c r="C874" s="1">
        <f ca="1">IFERROR(__xludf.DUMMYFUNCTION("""COMPUTED_VALUE"""),331.05)</f>
        <v>331.05</v>
      </c>
      <c r="D874" s="1">
        <f ca="1">IFERROR(__xludf.DUMMYFUNCTION("""COMPUTED_VALUE"""),323.61)</f>
        <v>323.61</v>
      </c>
      <c r="E874" s="1">
        <f ca="1">IFERROR(__xludf.DUMMYFUNCTION("""COMPUTED_VALUE"""),325.78)</f>
        <v>325.77999999999997</v>
      </c>
      <c r="F874" s="1">
        <f ca="1">IFERROR(__xludf.DUMMYFUNCTION("""COMPUTED_VALUE"""),80440907)</f>
        <v>80440907</v>
      </c>
    </row>
    <row r="875" spans="1:6" ht="12.6">
      <c r="A875" s="2">
        <f ca="1">IFERROR(__xludf.DUMMYFUNCTION("""COMPUTED_VALUE"""),45835.6666666666)</f>
        <v>45835.666666666599</v>
      </c>
      <c r="B875" s="1">
        <f ca="1">IFERROR(__xludf.DUMMYFUNCTION("""COMPUTED_VALUE"""),324.51)</f>
        <v>324.51</v>
      </c>
      <c r="C875" s="1">
        <f ca="1">IFERROR(__xludf.DUMMYFUNCTION("""COMPUTED_VALUE"""),329.34)</f>
        <v>329.34</v>
      </c>
      <c r="D875" s="1">
        <f ca="1">IFERROR(__xludf.DUMMYFUNCTION("""COMPUTED_VALUE"""),317.5)</f>
        <v>317.5</v>
      </c>
      <c r="E875" s="1">
        <f ca="1">IFERROR(__xludf.DUMMYFUNCTION("""COMPUTED_VALUE"""),323.63)</f>
        <v>323.63</v>
      </c>
      <c r="F875" s="1">
        <f ca="1">IFERROR(__xludf.DUMMYFUNCTION("""COMPUTED_VALUE"""),89067049)</f>
        <v>89067049</v>
      </c>
    </row>
    <row r="876" spans="1:6" ht="12.6">
      <c r="A876" s="2">
        <f ca="1">IFERROR(__xludf.DUMMYFUNCTION("""COMPUTED_VALUE"""),45838.6666666666)</f>
        <v>45838.666666666599</v>
      </c>
      <c r="B876" s="1">
        <f ca="1">IFERROR(__xludf.DUMMYFUNCTION("""COMPUTED_VALUE"""),319.9)</f>
        <v>319.89999999999998</v>
      </c>
      <c r="C876" s="1">
        <f ca="1">IFERROR(__xludf.DUMMYFUNCTION("""COMPUTED_VALUE"""),325.58)</f>
        <v>325.58</v>
      </c>
      <c r="D876" s="1">
        <f ca="1">IFERROR(__xludf.DUMMYFUNCTION("""COMPUTED_VALUE"""),316.6)</f>
        <v>316.60000000000002</v>
      </c>
      <c r="E876" s="1">
        <f ca="1">IFERROR(__xludf.DUMMYFUNCTION("""COMPUTED_VALUE"""),317.66)</f>
        <v>317.66000000000003</v>
      </c>
      <c r="F876" s="1">
        <f ca="1">IFERROR(__xludf.DUMMYFUNCTION("""COMPUTED_VALUE"""),76695081)</f>
        <v>76695081</v>
      </c>
    </row>
    <row r="877" spans="1:6" ht="12.6">
      <c r="A877" s="2">
        <f ca="1">IFERROR(__xludf.DUMMYFUNCTION("""COMPUTED_VALUE"""),45839.6666666666)</f>
        <v>45839.666666666599</v>
      </c>
      <c r="B877" s="1">
        <f ca="1">IFERROR(__xludf.DUMMYFUNCTION("""COMPUTED_VALUE"""),298.46)</f>
        <v>298.45999999999998</v>
      </c>
      <c r="C877" s="1">
        <f ca="1">IFERROR(__xludf.DUMMYFUNCTION("""COMPUTED_VALUE"""),305.89)</f>
        <v>305.89</v>
      </c>
      <c r="D877" s="1">
        <f ca="1">IFERROR(__xludf.DUMMYFUNCTION("""COMPUTED_VALUE"""),293.21)</f>
        <v>293.20999999999998</v>
      </c>
      <c r="E877" s="1">
        <f ca="1">IFERROR(__xludf.DUMMYFUNCTION("""COMPUTED_VALUE"""),300.71)</f>
        <v>300.70999999999998</v>
      </c>
      <c r="F877" s="1">
        <f ca="1">IFERROR(__xludf.DUMMYFUNCTION("""COMPUTED_VALUE"""),145085665)</f>
        <v>145085665</v>
      </c>
    </row>
    <row r="878" spans="1:6" ht="12.6">
      <c r="A878" s="2">
        <f ca="1">IFERROR(__xludf.DUMMYFUNCTION("""COMPUTED_VALUE"""),45840.6666666666)</f>
        <v>45840.666666666599</v>
      </c>
      <c r="B878" s="1">
        <f ca="1">IFERROR(__xludf.DUMMYFUNCTION("""COMPUTED_VALUE"""),312.63)</f>
        <v>312.63</v>
      </c>
      <c r="C878" s="1">
        <f ca="1">IFERROR(__xludf.DUMMYFUNCTION("""COMPUTED_VALUE"""),316.83)</f>
        <v>316.83</v>
      </c>
      <c r="D878" s="1">
        <f ca="1">IFERROR(__xludf.DUMMYFUNCTION("""COMPUTED_VALUE"""),303.82)</f>
        <v>303.82</v>
      </c>
      <c r="E878" s="1">
        <f ca="1">IFERROR(__xludf.DUMMYFUNCTION("""COMPUTED_VALUE"""),315.65)</f>
        <v>315.64999999999998</v>
      </c>
      <c r="F878" s="1">
        <f ca="1">IFERROR(__xludf.DUMMYFUNCTION("""COMPUTED_VALUE"""),119483730)</f>
        <v>119483730</v>
      </c>
    </row>
    <row r="879" spans="1:6" ht="12.6">
      <c r="A879" s="2">
        <f ca="1">IFERROR(__xludf.DUMMYFUNCTION("""COMPUTED_VALUE"""),45841.5451388888)</f>
        <v>45841.545138888803</v>
      </c>
      <c r="B879" s="1">
        <f ca="1">IFERROR(__xludf.DUMMYFUNCTION("""COMPUTED_VALUE"""),317.99)</f>
        <v>317.99</v>
      </c>
      <c r="C879" s="1">
        <f ca="1">IFERROR(__xludf.DUMMYFUNCTION("""COMPUTED_VALUE"""),318.45)</f>
        <v>318.45</v>
      </c>
      <c r="D879" s="1">
        <f ca="1">IFERROR(__xludf.DUMMYFUNCTION("""COMPUTED_VALUE"""),312.76)</f>
        <v>312.76</v>
      </c>
      <c r="E879" s="1">
        <f ca="1">IFERROR(__xludf.DUMMYFUNCTION("""COMPUTED_VALUE"""),315.35)</f>
        <v>315.35000000000002</v>
      </c>
      <c r="F879" s="1">
        <f ca="1">IFERROR(__xludf.DUMMYFUNCTION("""COMPUTED_VALUE"""),58042302)</f>
        <v>58042302</v>
      </c>
    </row>
    <row r="880" spans="1:6" ht="12.6">
      <c r="A880" s="2">
        <f ca="1">IFERROR(__xludf.DUMMYFUNCTION("""COMPUTED_VALUE"""),45845.6666666666)</f>
        <v>45845.666666666599</v>
      </c>
      <c r="B880" s="1">
        <f ca="1">IFERROR(__xludf.DUMMYFUNCTION("""COMPUTED_VALUE"""),291.37)</f>
        <v>291.37</v>
      </c>
      <c r="C880" s="1">
        <f ca="1">IFERROR(__xludf.DUMMYFUNCTION("""COMPUTED_VALUE"""),296.15)</f>
        <v>296.14999999999998</v>
      </c>
      <c r="D880" s="1">
        <f ca="1">IFERROR(__xludf.DUMMYFUNCTION("""COMPUTED_VALUE"""),288.77)</f>
        <v>288.77</v>
      </c>
      <c r="E880" s="1">
        <f ca="1">IFERROR(__xludf.DUMMYFUNCTION("""COMPUTED_VALUE"""),293.94)</f>
        <v>293.94</v>
      </c>
      <c r="F880" s="1">
        <f ca="1">IFERROR(__xludf.DUMMYFUNCTION("""COMPUTED_VALUE"""),131177949)</f>
        <v>131177949</v>
      </c>
    </row>
    <row r="881" spans="1:6" ht="12.6">
      <c r="A881" s="2">
        <f ca="1">IFERROR(__xludf.DUMMYFUNCTION("""COMPUTED_VALUE"""),45846.6666666666)</f>
        <v>45846.666666666599</v>
      </c>
      <c r="B881" s="1">
        <f ca="1">IFERROR(__xludf.DUMMYFUNCTION("""COMPUTED_VALUE"""),297)</f>
        <v>297</v>
      </c>
      <c r="C881" s="1">
        <f ca="1">IFERROR(__xludf.DUMMYFUNCTION("""COMPUTED_VALUE"""),304.05)</f>
        <v>304.05</v>
      </c>
      <c r="D881" s="1">
        <f ca="1">IFERROR(__xludf.DUMMYFUNCTION("""COMPUTED_VALUE"""),294.35)</f>
        <v>294.35000000000002</v>
      </c>
      <c r="E881" s="1">
        <f ca="1">IFERROR(__xludf.DUMMYFUNCTION("""COMPUTED_VALUE"""),297.81)</f>
        <v>297.81</v>
      </c>
      <c r="F881" s="1">
        <f ca="1">IFERROR(__xludf.DUMMYFUNCTION("""COMPUTED_VALUE"""),103246742)</f>
        <v>103246742</v>
      </c>
    </row>
    <row r="882" spans="1:6" ht="12.6">
      <c r="A882" s="2">
        <f ca="1">IFERROR(__xludf.DUMMYFUNCTION("""COMPUTED_VALUE"""),45847.6666666666)</f>
        <v>45847.666666666599</v>
      </c>
      <c r="B882" s="1">
        <f ca="1">IFERROR(__xludf.DUMMYFUNCTION("""COMPUTED_VALUE"""),297.55)</f>
        <v>297.55</v>
      </c>
      <c r="C882" s="1">
        <f ca="1">IFERROR(__xludf.DUMMYFUNCTION("""COMPUTED_VALUE"""),300.15)</f>
        <v>300.14999999999998</v>
      </c>
      <c r="D882" s="1">
        <f ca="1">IFERROR(__xludf.DUMMYFUNCTION("""COMPUTED_VALUE"""),293.55)</f>
        <v>293.55</v>
      </c>
      <c r="E882" s="1">
        <f ca="1">IFERROR(__xludf.DUMMYFUNCTION("""COMPUTED_VALUE"""),295.88)</f>
        <v>295.88</v>
      </c>
      <c r="F882" s="1">
        <f ca="1">IFERROR(__xludf.DUMMYFUNCTION("""COMPUTED_VALUE"""),75586771)</f>
        <v>75586771</v>
      </c>
    </row>
    <row r="883" spans="1:6" ht="12.6">
      <c r="A883" s="2">
        <f ca="1">IFERROR(__xludf.DUMMYFUNCTION("""COMPUTED_VALUE"""),45848.6666666666)</f>
        <v>45848.666666666599</v>
      </c>
      <c r="B883" s="1">
        <f ca="1">IFERROR(__xludf.DUMMYFUNCTION("""COMPUTED_VALUE"""),300.05)</f>
        <v>300.05</v>
      </c>
      <c r="C883" s="1">
        <f ca="1">IFERROR(__xludf.DUMMYFUNCTION("""COMPUTED_VALUE"""),310.48)</f>
        <v>310.48</v>
      </c>
      <c r="D883" s="1">
        <f ca="1">IFERROR(__xludf.DUMMYFUNCTION("""COMPUTED_VALUE"""),300)</f>
        <v>300</v>
      </c>
      <c r="E883" s="1">
        <f ca="1">IFERROR(__xludf.DUMMYFUNCTION("""COMPUTED_VALUE"""),309.87)</f>
        <v>309.87</v>
      </c>
      <c r="F883" s="1">
        <f ca="1">IFERROR(__xludf.DUMMYFUNCTION("""COMPUTED_VALUE"""),104365271)</f>
        <v>104365271</v>
      </c>
    </row>
    <row r="884" spans="1:6" ht="12.6">
      <c r="A884" s="2">
        <f ca="1">IFERROR(__xludf.DUMMYFUNCTION("""COMPUTED_VALUE"""),45849.6666666666)</f>
        <v>45849.666666666599</v>
      </c>
      <c r="B884" s="1">
        <f ca="1">IFERROR(__xludf.DUMMYFUNCTION("""COMPUTED_VALUE"""),307.89)</f>
        <v>307.89</v>
      </c>
      <c r="C884" s="1">
        <f ca="1">IFERROR(__xludf.DUMMYFUNCTION("""COMPUTED_VALUE"""),314.09)</f>
        <v>314.08999999999997</v>
      </c>
      <c r="D884" s="1">
        <f ca="1">IFERROR(__xludf.DUMMYFUNCTION("""COMPUTED_VALUE"""),305.65)</f>
        <v>305.64999999999998</v>
      </c>
      <c r="E884" s="1">
        <f ca="1">IFERROR(__xludf.DUMMYFUNCTION("""COMPUTED_VALUE"""),313.51)</f>
        <v>313.51</v>
      </c>
      <c r="F884" s="1">
        <f ca="1">IFERROR(__xludf.DUMMYFUNCTION("""COMPUTED_VALUE"""),79236442)</f>
        <v>79236442</v>
      </c>
    </row>
    <row r="885" spans="1:6" ht="12.6">
      <c r="A885" s="2">
        <f ca="1">IFERROR(__xludf.DUMMYFUNCTION("""COMPUTED_VALUE"""),45852.6666666666)</f>
        <v>45852.666666666599</v>
      </c>
      <c r="B885" s="1">
        <f ca="1">IFERROR(__xludf.DUMMYFUNCTION("""COMPUTED_VALUE"""),317.73)</f>
        <v>317.73</v>
      </c>
      <c r="C885" s="1">
        <f ca="1">IFERROR(__xludf.DUMMYFUNCTION("""COMPUTED_VALUE"""),322.6)</f>
        <v>322.60000000000002</v>
      </c>
      <c r="D885" s="1">
        <f ca="1">IFERROR(__xludf.DUMMYFUNCTION("""COMPUTED_VALUE"""),312.67)</f>
        <v>312.67</v>
      </c>
      <c r="E885" s="1">
        <f ca="1">IFERROR(__xludf.DUMMYFUNCTION("""COMPUTED_VALUE"""),316.9)</f>
        <v>316.89999999999998</v>
      </c>
      <c r="F885" s="1">
        <f ca="1">IFERROR(__xludf.DUMMYFUNCTION("""COMPUTED_VALUE"""),78043430)</f>
        <v>78043430</v>
      </c>
    </row>
    <row r="886" spans="1:6" ht="12.6">
      <c r="A886" s="2">
        <f ca="1">IFERROR(__xludf.DUMMYFUNCTION("""COMPUTED_VALUE"""),45853.6666666666)</f>
        <v>45853.666666666599</v>
      </c>
      <c r="B886" s="1">
        <f ca="1">IFERROR(__xludf.DUMMYFUNCTION("""COMPUTED_VALUE"""),319.68)</f>
        <v>319.68</v>
      </c>
      <c r="C886" s="1">
        <f ca="1">IFERROR(__xludf.DUMMYFUNCTION("""COMPUTED_VALUE"""),321.2)</f>
        <v>321.2</v>
      </c>
      <c r="D886" s="1">
        <f ca="1">IFERROR(__xludf.DUMMYFUNCTION("""COMPUTED_VALUE"""),310.5)</f>
        <v>310.5</v>
      </c>
      <c r="E886" s="1">
        <f ca="1">IFERROR(__xludf.DUMMYFUNCTION("""COMPUTED_VALUE"""),310.78)</f>
        <v>310.77999999999997</v>
      </c>
      <c r="F886" s="1">
        <f ca="1">IFERROR(__xludf.DUMMYFUNCTION("""COMPUTED_VALUE"""),77556346)</f>
        <v>77556346</v>
      </c>
    </row>
    <row r="887" spans="1:6" ht="12.6">
      <c r="A887" s="2">
        <f ca="1">IFERROR(__xludf.DUMMYFUNCTION("""COMPUTED_VALUE"""),45854.6666666666)</f>
        <v>45854.666666666599</v>
      </c>
      <c r="B887" s="1">
        <f ca="1">IFERROR(__xludf.DUMMYFUNCTION("""COMPUTED_VALUE"""),312.8)</f>
        <v>312.8</v>
      </c>
      <c r="C887" s="1">
        <f ca="1">IFERROR(__xludf.DUMMYFUNCTION("""COMPUTED_VALUE"""),323.5)</f>
        <v>323.5</v>
      </c>
      <c r="D887" s="1">
        <f ca="1">IFERROR(__xludf.DUMMYFUNCTION("""COMPUTED_VALUE"""),312.62)</f>
        <v>312.62</v>
      </c>
      <c r="E887" s="1">
        <f ca="1">IFERROR(__xludf.DUMMYFUNCTION("""COMPUTED_VALUE"""),321.67)</f>
        <v>321.67</v>
      </c>
      <c r="F887" s="1">
        <f ca="1">IFERROR(__xludf.DUMMYFUNCTION("""COMPUTED_VALUE"""),97284786)</f>
        <v>97284786</v>
      </c>
    </row>
    <row r="888" spans="1:6" ht="12.6">
      <c r="A888" s="2">
        <f ca="1">IFERROR(__xludf.DUMMYFUNCTION("""COMPUTED_VALUE"""),45855.6666666666)</f>
        <v>45855.666666666599</v>
      </c>
      <c r="B888" s="1">
        <f ca="1">IFERROR(__xludf.DUMMYFUNCTION("""COMPUTED_VALUE"""),323.15)</f>
        <v>323.14999999999998</v>
      </c>
      <c r="C888" s="1">
        <f ca="1">IFERROR(__xludf.DUMMYFUNCTION("""COMPUTED_VALUE"""),324.34)</f>
        <v>324.33999999999997</v>
      </c>
      <c r="D888" s="1">
        <f ca="1">IFERROR(__xludf.DUMMYFUNCTION("""COMPUTED_VALUE"""),317.06)</f>
        <v>317.06</v>
      </c>
      <c r="E888" s="1">
        <f ca="1">IFERROR(__xludf.DUMMYFUNCTION("""COMPUTED_VALUE"""),319.41)</f>
        <v>319.41000000000003</v>
      </c>
      <c r="F888" s="1">
        <f ca="1">IFERROR(__xludf.DUMMYFUNCTION("""COMPUTED_VALUE"""),73922870)</f>
        <v>73922870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888"/>
  <sheetViews>
    <sheetView workbookViewId="0"/>
  </sheetViews>
  <sheetFormatPr defaultColWidth="12.5703125" defaultRowHeight="15.75" customHeight="1"/>
  <sheetData>
    <row r="1" spans="1:6" ht="15.75" customHeight="1">
      <c r="A1" s="1" t="str">
        <f ca="1">IFERROR(__xludf.DUMMYFUNCTION("GOOGLEFINANCE(""META"",""all"",DATE(2022,1,1),today())"),"Date")</f>
        <v>Date</v>
      </c>
      <c r="B1" s="1" t="str">
        <f ca="1">IFERROR(__xludf.DUMMYFUNCTION("""COMPUTED_VALUE"""),"Open")</f>
        <v>Open</v>
      </c>
      <c r="C1" s="1" t="str">
        <f ca="1">IFERROR(__xludf.DUMMYFUNCTION("""COMPUTED_VALUE"""),"High")</f>
        <v>High</v>
      </c>
      <c r="D1" s="1" t="str">
        <f ca="1">IFERROR(__xludf.DUMMYFUNCTION("""COMPUTED_VALUE"""),"Low")</f>
        <v>Low</v>
      </c>
      <c r="E1" s="1" t="str">
        <f ca="1">IFERROR(__xludf.DUMMYFUNCTION("""COMPUTED_VALUE"""),"Close")</f>
        <v>Close</v>
      </c>
      <c r="F1" s="1" t="str">
        <f ca="1">IFERROR(__xludf.DUMMYFUNCTION("""COMPUTED_VALUE"""),"Volume")</f>
        <v>Volume</v>
      </c>
    </row>
    <row r="2" spans="1:6" ht="15.75" customHeight="1">
      <c r="A2" s="2">
        <f ca="1">IFERROR(__xludf.DUMMYFUNCTION("""COMPUTED_VALUE"""),44564.6666666666)</f>
        <v>44564.666666666599</v>
      </c>
      <c r="B2" s="1">
        <f ca="1">IFERROR(__xludf.DUMMYFUNCTION("""COMPUTED_VALUE"""),338.3)</f>
        <v>338.3</v>
      </c>
      <c r="C2" s="1">
        <f ca="1">IFERROR(__xludf.DUMMYFUNCTION("""COMPUTED_VALUE"""),341.08)</f>
        <v>341.08</v>
      </c>
      <c r="D2" s="1">
        <f ca="1">IFERROR(__xludf.DUMMYFUNCTION("""COMPUTED_VALUE"""),337.19)</f>
        <v>337.19</v>
      </c>
      <c r="E2" s="1">
        <f ca="1">IFERROR(__xludf.DUMMYFUNCTION("""COMPUTED_VALUE"""),338.54)</f>
        <v>338.54</v>
      </c>
      <c r="F2" s="1">
        <f ca="1">IFERROR(__xludf.DUMMYFUNCTION("""COMPUTED_VALUE"""),14562849)</f>
        <v>14562849</v>
      </c>
    </row>
    <row r="3" spans="1:6" ht="15.75" customHeight="1">
      <c r="A3" s="2">
        <f ca="1">IFERROR(__xludf.DUMMYFUNCTION("""COMPUTED_VALUE"""),44565.6666666666)</f>
        <v>44565.666666666599</v>
      </c>
      <c r="B3" s="1">
        <f ca="1">IFERROR(__xludf.DUMMYFUNCTION("""COMPUTED_VALUE"""),339.95)</f>
        <v>339.95</v>
      </c>
      <c r="C3" s="1">
        <f ca="1">IFERROR(__xludf.DUMMYFUNCTION("""COMPUTED_VALUE"""),343.09)</f>
        <v>343.09</v>
      </c>
      <c r="D3" s="1">
        <f ca="1">IFERROR(__xludf.DUMMYFUNCTION("""COMPUTED_VALUE"""),331.87)</f>
        <v>331.87</v>
      </c>
      <c r="E3" s="1">
        <f ca="1">IFERROR(__xludf.DUMMYFUNCTION("""COMPUTED_VALUE"""),336.53)</f>
        <v>336.53</v>
      </c>
      <c r="F3" s="1">
        <f ca="1">IFERROR(__xludf.DUMMYFUNCTION("""COMPUTED_VALUE"""),15997974)</f>
        <v>15997974</v>
      </c>
    </row>
    <row r="4" spans="1:6" ht="15.75" customHeight="1">
      <c r="A4" s="2">
        <f ca="1">IFERROR(__xludf.DUMMYFUNCTION("""COMPUTED_VALUE"""),44566.6666666666)</f>
        <v>44566.666666666599</v>
      </c>
      <c r="B4" s="1">
        <f ca="1">IFERROR(__xludf.DUMMYFUNCTION("""COMPUTED_VALUE"""),333.02)</f>
        <v>333.02</v>
      </c>
      <c r="C4" s="1">
        <f ca="1">IFERROR(__xludf.DUMMYFUNCTION("""COMPUTED_VALUE"""),335.76)</f>
        <v>335.76</v>
      </c>
      <c r="D4" s="1">
        <f ca="1">IFERROR(__xludf.DUMMYFUNCTION("""COMPUTED_VALUE"""),323.84)</f>
        <v>323.83999999999997</v>
      </c>
      <c r="E4" s="1">
        <f ca="1">IFERROR(__xludf.DUMMYFUNCTION("""COMPUTED_VALUE"""),324.17)</f>
        <v>324.17</v>
      </c>
      <c r="F4" s="1">
        <f ca="1">IFERROR(__xludf.DUMMYFUNCTION("""COMPUTED_VALUE"""),20564521)</f>
        <v>20564521</v>
      </c>
    </row>
    <row r="5" spans="1:6" ht="15.75" customHeight="1">
      <c r="A5" s="2">
        <f ca="1">IFERROR(__xludf.DUMMYFUNCTION("""COMPUTED_VALUE"""),44567.6666666666)</f>
        <v>44567.666666666599</v>
      </c>
      <c r="B5" s="1">
        <f ca="1">IFERROR(__xludf.DUMMYFUNCTION("""COMPUTED_VALUE"""),322.82)</f>
        <v>322.82</v>
      </c>
      <c r="C5" s="1">
        <f ca="1">IFERROR(__xludf.DUMMYFUNCTION("""COMPUTED_VALUE"""),339.17)</f>
        <v>339.17</v>
      </c>
      <c r="D5" s="1">
        <f ca="1">IFERROR(__xludf.DUMMYFUNCTION("""COMPUTED_VALUE"""),322.72)</f>
        <v>322.72000000000003</v>
      </c>
      <c r="E5" s="1">
        <f ca="1">IFERROR(__xludf.DUMMYFUNCTION("""COMPUTED_VALUE"""),332.46)</f>
        <v>332.46</v>
      </c>
      <c r="F5" s="1">
        <f ca="1">IFERROR(__xludf.DUMMYFUNCTION("""COMPUTED_VALUE"""),27962809)</f>
        <v>27962809</v>
      </c>
    </row>
    <row r="6" spans="1:6" ht="15.75" customHeight="1">
      <c r="A6" s="2">
        <f ca="1">IFERROR(__xludf.DUMMYFUNCTION("""COMPUTED_VALUE"""),44568.6666666666)</f>
        <v>44568.666666666599</v>
      </c>
      <c r="B6" s="1">
        <f ca="1">IFERROR(__xludf.DUMMYFUNCTION("""COMPUTED_VALUE"""),332.74)</f>
        <v>332.74</v>
      </c>
      <c r="C6" s="1">
        <f ca="1">IFERROR(__xludf.DUMMYFUNCTION("""COMPUTED_VALUE"""),337)</f>
        <v>337</v>
      </c>
      <c r="D6" s="1">
        <f ca="1">IFERROR(__xludf.DUMMYFUNCTION("""COMPUTED_VALUE"""),328.88)</f>
        <v>328.88</v>
      </c>
      <c r="E6" s="1">
        <f ca="1">IFERROR(__xludf.DUMMYFUNCTION("""COMPUTED_VALUE"""),331.79)</f>
        <v>331.79</v>
      </c>
      <c r="F6" s="1">
        <f ca="1">IFERROR(__xludf.DUMMYFUNCTION("""COMPUTED_VALUE"""),14722020)</f>
        <v>14722020</v>
      </c>
    </row>
    <row r="7" spans="1:6" ht="15.75" customHeight="1">
      <c r="A7" s="2">
        <f ca="1">IFERROR(__xludf.DUMMYFUNCTION("""COMPUTED_VALUE"""),44571.6666666666)</f>
        <v>44571.666666666599</v>
      </c>
      <c r="B7" s="1">
        <f ca="1">IFERROR(__xludf.DUMMYFUNCTION("""COMPUTED_VALUE"""),325.31)</f>
        <v>325.31</v>
      </c>
      <c r="C7" s="1">
        <f ca="1">IFERROR(__xludf.DUMMYFUNCTION("""COMPUTED_VALUE"""),328.34)</f>
        <v>328.34</v>
      </c>
      <c r="D7" s="1">
        <f ca="1">IFERROR(__xludf.DUMMYFUNCTION("""COMPUTED_VALUE"""),315.43)</f>
        <v>315.43</v>
      </c>
      <c r="E7" s="1">
        <f ca="1">IFERROR(__xludf.DUMMYFUNCTION("""COMPUTED_VALUE"""),328.07)</f>
        <v>328.07</v>
      </c>
      <c r="F7" s="1">
        <f ca="1">IFERROR(__xludf.DUMMYFUNCTION("""COMPUTED_VALUE"""),24942383)</f>
        <v>24942383</v>
      </c>
    </row>
    <row r="8" spans="1:6" ht="15.75" customHeight="1">
      <c r="A8" s="2">
        <f ca="1">IFERROR(__xludf.DUMMYFUNCTION("""COMPUTED_VALUE"""),44572.6666666666)</f>
        <v>44572.666666666599</v>
      </c>
      <c r="B8" s="1">
        <f ca="1">IFERROR(__xludf.DUMMYFUNCTION("""COMPUTED_VALUE"""),326.78)</f>
        <v>326.77999999999997</v>
      </c>
      <c r="C8" s="1">
        <f ca="1">IFERROR(__xludf.DUMMYFUNCTION("""COMPUTED_VALUE"""),334.63)</f>
        <v>334.63</v>
      </c>
      <c r="D8" s="1">
        <f ca="1">IFERROR(__xludf.DUMMYFUNCTION("""COMPUTED_VALUE"""),325.28)</f>
        <v>325.27999999999997</v>
      </c>
      <c r="E8" s="1">
        <f ca="1">IFERROR(__xludf.DUMMYFUNCTION("""COMPUTED_VALUE"""),334.37)</f>
        <v>334.37</v>
      </c>
      <c r="F8" s="1">
        <f ca="1">IFERROR(__xludf.DUMMYFUNCTION("""COMPUTED_VALUE"""),16226847)</f>
        <v>16226847</v>
      </c>
    </row>
    <row r="9" spans="1:6" ht="15.75" customHeight="1">
      <c r="A9" s="2">
        <f ca="1">IFERROR(__xludf.DUMMYFUNCTION("""COMPUTED_VALUE"""),44573.6666666666)</f>
        <v>44573.666666666599</v>
      </c>
      <c r="B9" s="1">
        <f ca="1">IFERROR(__xludf.DUMMYFUNCTION("""COMPUTED_VALUE"""),335.18)</f>
        <v>335.18</v>
      </c>
      <c r="C9" s="1">
        <f ca="1">IFERROR(__xludf.DUMMYFUNCTION("""COMPUTED_VALUE"""),336.37)</f>
        <v>336.37</v>
      </c>
      <c r="D9" s="1">
        <f ca="1">IFERROR(__xludf.DUMMYFUNCTION("""COMPUTED_VALUE"""),330.03)</f>
        <v>330.03</v>
      </c>
      <c r="E9" s="1">
        <f ca="1">IFERROR(__xludf.DUMMYFUNCTION("""COMPUTED_VALUE"""),333.26)</f>
        <v>333.26</v>
      </c>
      <c r="F9" s="1">
        <f ca="1">IFERROR(__xludf.DUMMYFUNCTION("""COMPUTED_VALUE"""),14104858)</f>
        <v>14104858</v>
      </c>
    </row>
    <row r="10" spans="1:6" ht="15.75" customHeight="1">
      <c r="A10" s="2">
        <f ca="1">IFERROR(__xludf.DUMMYFUNCTION("""COMPUTED_VALUE"""),44574.6666666666)</f>
        <v>44574.666666666599</v>
      </c>
      <c r="B10" s="1">
        <f ca="1">IFERROR(__xludf.DUMMYFUNCTION("""COMPUTED_VALUE"""),334.98)</f>
        <v>334.98</v>
      </c>
      <c r="C10" s="1">
        <f ca="1">IFERROR(__xludf.DUMMYFUNCTION("""COMPUTED_VALUE"""),335.63)</f>
        <v>335.63</v>
      </c>
      <c r="D10" s="1">
        <f ca="1">IFERROR(__xludf.DUMMYFUNCTION("""COMPUTED_VALUE"""),325.76)</f>
        <v>325.76</v>
      </c>
      <c r="E10" s="1">
        <f ca="1">IFERROR(__xludf.DUMMYFUNCTION("""COMPUTED_VALUE"""),326.48)</f>
        <v>326.48</v>
      </c>
      <c r="F10" s="1">
        <f ca="1">IFERROR(__xludf.DUMMYFUNCTION("""COMPUTED_VALUE"""),14797109)</f>
        <v>14797109</v>
      </c>
    </row>
    <row r="11" spans="1:6" ht="15.75" customHeight="1">
      <c r="A11" s="2">
        <f ca="1">IFERROR(__xludf.DUMMYFUNCTION("""COMPUTED_VALUE"""),44575.6666666666)</f>
        <v>44575.666666666599</v>
      </c>
      <c r="B11" s="1">
        <f ca="1">IFERROR(__xludf.DUMMYFUNCTION("""COMPUTED_VALUE"""),321.79)</f>
        <v>321.79000000000002</v>
      </c>
      <c r="C11" s="1">
        <f ca="1">IFERROR(__xludf.DUMMYFUNCTION("""COMPUTED_VALUE"""),332.73)</f>
        <v>332.73</v>
      </c>
      <c r="D11" s="1">
        <f ca="1">IFERROR(__xludf.DUMMYFUNCTION("""COMPUTED_VALUE"""),321.21)</f>
        <v>321.20999999999998</v>
      </c>
      <c r="E11" s="1">
        <f ca="1">IFERROR(__xludf.DUMMYFUNCTION("""COMPUTED_VALUE"""),331.9)</f>
        <v>331.9</v>
      </c>
      <c r="F11" s="1">
        <f ca="1">IFERROR(__xludf.DUMMYFUNCTION("""COMPUTED_VALUE"""),16868497)</f>
        <v>16868497</v>
      </c>
    </row>
    <row r="12" spans="1:6" ht="15.75" customHeight="1">
      <c r="A12" s="2">
        <f ca="1">IFERROR(__xludf.DUMMYFUNCTION("""COMPUTED_VALUE"""),44579.6666666666)</f>
        <v>44579.666666666599</v>
      </c>
      <c r="B12" s="1">
        <f ca="1">IFERROR(__xludf.DUMMYFUNCTION("""COMPUTED_VALUE"""),323.29)</f>
        <v>323.29000000000002</v>
      </c>
      <c r="C12" s="1">
        <f ca="1">IFERROR(__xludf.DUMMYFUNCTION("""COMPUTED_VALUE"""),324.21)</f>
        <v>324.20999999999998</v>
      </c>
      <c r="D12" s="1">
        <f ca="1">IFERROR(__xludf.DUMMYFUNCTION("""COMPUTED_VALUE"""),317.64)</f>
        <v>317.64</v>
      </c>
      <c r="E12" s="1">
        <f ca="1">IFERROR(__xludf.DUMMYFUNCTION("""COMPUTED_VALUE"""),318.15)</f>
        <v>318.14999999999998</v>
      </c>
      <c r="F12" s="1">
        <f ca="1">IFERROR(__xludf.DUMMYFUNCTION("""COMPUTED_VALUE"""),22677332)</f>
        <v>22677332</v>
      </c>
    </row>
    <row r="13" spans="1:6" ht="15.75" customHeight="1">
      <c r="A13" s="2">
        <f ca="1">IFERROR(__xludf.DUMMYFUNCTION("""COMPUTED_VALUE"""),44580.6666666666)</f>
        <v>44580.666666666599</v>
      </c>
      <c r="B13" s="1">
        <f ca="1">IFERROR(__xludf.DUMMYFUNCTION("""COMPUTED_VALUE"""),319.58)</f>
        <v>319.58</v>
      </c>
      <c r="C13" s="1">
        <f ca="1">IFERROR(__xludf.DUMMYFUNCTION("""COMPUTED_VALUE"""),327.1)</f>
        <v>327.10000000000002</v>
      </c>
      <c r="D13" s="1">
        <f ca="1">IFERROR(__xludf.DUMMYFUNCTION("""COMPUTED_VALUE"""),319.33)</f>
        <v>319.33</v>
      </c>
      <c r="E13" s="1">
        <f ca="1">IFERROR(__xludf.DUMMYFUNCTION("""COMPUTED_VALUE"""),319.59)</f>
        <v>319.58999999999997</v>
      </c>
      <c r="F13" s="1">
        <f ca="1">IFERROR(__xludf.DUMMYFUNCTION("""COMPUTED_VALUE"""),20814740)</f>
        <v>20814740</v>
      </c>
    </row>
    <row r="14" spans="1:6" ht="15.75" customHeight="1">
      <c r="A14" s="2">
        <f ca="1">IFERROR(__xludf.DUMMYFUNCTION("""COMPUTED_VALUE"""),44581.6666666666)</f>
        <v>44581.666666666599</v>
      </c>
      <c r="B14" s="1">
        <f ca="1">IFERROR(__xludf.DUMMYFUNCTION("""COMPUTED_VALUE"""),323.9)</f>
        <v>323.89999999999998</v>
      </c>
      <c r="C14" s="1">
        <f ca="1">IFERROR(__xludf.DUMMYFUNCTION("""COMPUTED_VALUE"""),327.82)</f>
        <v>327.82</v>
      </c>
      <c r="D14" s="1">
        <f ca="1">IFERROR(__xludf.DUMMYFUNCTION("""COMPUTED_VALUE"""),315.98)</f>
        <v>315.98</v>
      </c>
      <c r="E14" s="1">
        <f ca="1">IFERROR(__xludf.DUMMYFUNCTION("""COMPUTED_VALUE"""),316.56)</f>
        <v>316.56</v>
      </c>
      <c r="F14" s="1">
        <f ca="1">IFERROR(__xludf.DUMMYFUNCTION("""COMPUTED_VALUE"""),16925030)</f>
        <v>16925030</v>
      </c>
    </row>
    <row r="15" spans="1:6" ht="15.75" customHeight="1">
      <c r="A15" s="2">
        <f ca="1">IFERROR(__xludf.DUMMYFUNCTION("""COMPUTED_VALUE"""),44582.6666666666)</f>
        <v>44582.666666666599</v>
      </c>
      <c r="B15" s="1">
        <f ca="1">IFERROR(__xludf.DUMMYFUNCTION("""COMPUTED_VALUE"""),314.81)</f>
        <v>314.81</v>
      </c>
      <c r="C15" s="1">
        <f ca="1">IFERROR(__xludf.DUMMYFUNCTION("""COMPUTED_VALUE"""),318.31)</f>
        <v>318.31</v>
      </c>
      <c r="D15" s="1">
        <f ca="1">IFERROR(__xludf.DUMMYFUNCTION("""COMPUTED_VALUE"""),303.04)</f>
        <v>303.04000000000002</v>
      </c>
      <c r="E15" s="1">
        <f ca="1">IFERROR(__xludf.DUMMYFUNCTION("""COMPUTED_VALUE"""),303.17)</f>
        <v>303.17</v>
      </c>
      <c r="F15" s="1">
        <f ca="1">IFERROR(__xludf.DUMMYFUNCTION("""COMPUTED_VALUE"""),28710717)</f>
        <v>28710717</v>
      </c>
    </row>
    <row r="16" spans="1:6" ht="15.75" customHeight="1">
      <c r="A16" s="2">
        <f ca="1">IFERROR(__xludf.DUMMYFUNCTION("""COMPUTED_VALUE"""),44585.6666666666)</f>
        <v>44585.666666666599</v>
      </c>
      <c r="B16" s="1">
        <f ca="1">IFERROR(__xludf.DUMMYFUNCTION("""COMPUTED_VALUE"""),297.84)</f>
        <v>297.83999999999997</v>
      </c>
      <c r="C16" s="1">
        <f ca="1">IFERROR(__xludf.DUMMYFUNCTION("""COMPUTED_VALUE"""),309.53)</f>
        <v>309.52999999999997</v>
      </c>
      <c r="D16" s="1">
        <f ca="1">IFERROR(__xludf.DUMMYFUNCTION("""COMPUTED_VALUE"""),289.01)</f>
        <v>289.01</v>
      </c>
      <c r="E16" s="1">
        <f ca="1">IFERROR(__xludf.DUMMYFUNCTION("""COMPUTED_VALUE"""),308.71)</f>
        <v>308.70999999999998</v>
      </c>
      <c r="F16" s="1">
        <f ca="1">IFERROR(__xludf.DUMMYFUNCTION("""COMPUTED_VALUE"""),38936901)</f>
        <v>38936901</v>
      </c>
    </row>
    <row r="17" spans="1:6" ht="15.75" customHeight="1">
      <c r="A17" s="2">
        <f ca="1">IFERROR(__xludf.DUMMYFUNCTION("""COMPUTED_VALUE"""),44586.6666666666)</f>
        <v>44586.666666666599</v>
      </c>
      <c r="B17" s="1">
        <f ca="1">IFERROR(__xludf.DUMMYFUNCTION("""COMPUTED_VALUE"""),299.95)</f>
        <v>299.95</v>
      </c>
      <c r="C17" s="1">
        <f ca="1">IFERROR(__xludf.DUMMYFUNCTION("""COMPUTED_VALUE"""),306.23)</f>
        <v>306.23</v>
      </c>
      <c r="D17" s="1">
        <f ca="1">IFERROR(__xludf.DUMMYFUNCTION("""COMPUTED_VALUE"""),297.58)</f>
        <v>297.58</v>
      </c>
      <c r="E17" s="1">
        <f ca="1">IFERROR(__xludf.DUMMYFUNCTION("""COMPUTED_VALUE"""),300.15)</f>
        <v>300.14999999999998</v>
      </c>
      <c r="F17" s="1">
        <f ca="1">IFERROR(__xludf.DUMMYFUNCTION("""COMPUTED_VALUE"""),25108454)</f>
        <v>25108454</v>
      </c>
    </row>
    <row r="18" spans="1:6" ht="15.75" customHeight="1">
      <c r="A18" s="2">
        <f ca="1">IFERROR(__xludf.DUMMYFUNCTION("""COMPUTED_VALUE"""),44587.6666666666)</f>
        <v>44587.666666666599</v>
      </c>
      <c r="B18" s="1">
        <f ca="1">IFERROR(__xludf.DUMMYFUNCTION("""COMPUTED_VALUE"""),307.01)</f>
        <v>307.01</v>
      </c>
      <c r="C18" s="1">
        <f ca="1">IFERROR(__xludf.DUMMYFUNCTION("""COMPUTED_VALUE"""),307.51)</f>
        <v>307.51</v>
      </c>
      <c r="D18" s="1">
        <f ca="1">IFERROR(__xludf.DUMMYFUNCTION("""COMPUTED_VALUE"""),290.85)</f>
        <v>290.85000000000002</v>
      </c>
      <c r="E18" s="1">
        <f ca="1">IFERROR(__xludf.DUMMYFUNCTION("""COMPUTED_VALUE"""),294.63)</f>
        <v>294.63</v>
      </c>
      <c r="F18" s="1">
        <f ca="1">IFERROR(__xludf.DUMMYFUNCTION("""COMPUTED_VALUE"""),28348801)</f>
        <v>28348801</v>
      </c>
    </row>
    <row r="19" spans="1:6" ht="15.75" customHeight="1">
      <c r="A19" s="2">
        <f ca="1">IFERROR(__xludf.DUMMYFUNCTION("""COMPUTED_VALUE"""),44588.6666666666)</f>
        <v>44588.666666666599</v>
      </c>
      <c r="B19" s="1">
        <f ca="1">IFERROR(__xludf.DUMMYFUNCTION("""COMPUTED_VALUE"""),297.75)</f>
        <v>297.75</v>
      </c>
      <c r="C19" s="1">
        <f ca="1">IFERROR(__xludf.DUMMYFUNCTION("""COMPUTED_VALUE"""),301.71)</f>
        <v>301.70999999999998</v>
      </c>
      <c r="D19" s="1">
        <f ca="1">IFERROR(__xludf.DUMMYFUNCTION("""COMPUTED_VALUE"""),294.26)</f>
        <v>294.26</v>
      </c>
      <c r="E19" s="1">
        <f ca="1">IFERROR(__xludf.DUMMYFUNCTION("""COMPUTED_VALUE"""),294.64)</f>
        <v>294.64</v>
      </c>
      <c r="F19" s="1">
        <f ca="1">IFERROR(__xludf.DUMMYFUNCTION("""COMPUTED_VALUE"""),21629922)</f>
        <v>21629922</v>
      </c>
    </row>
    <row r="20" spans="1:6" ht="15.75" customHeight="1">
      <c r="A20" s="2">
        <f ca="1">IFERROR(__xludf.DUMMYFUNCTION("""COMPUTED_VALUE"""),44589.6666666666)</f>
        <v>44589.666666666599</v>
      </c>
      <c r="B20" s="1">
        <f ca="1">IFERROR(__xludf.DUMMYFUNCTION("""COMPUTED_VALUE"""),295.62)</f>
        <v>295.62</v>
      </c>
      <c r="C20" s="1">
        <f ca="1">IFERROR(__xludf.DUMMYFUNCTION("""COMPUTED_VALUE"""),301.9)</f>
        <v>301.89999999999998</v>
      </c>
      <c r="D20" s="1">
        <f ca="1">IFERROR(__xludf.DUMMYFUNCTION("""COMPUTED_VALUE"""),293.03)</f>
        <v>293.02999999999997</v>
      </c>
      <c r="E20" s="1">
        <f ca="1">IFERROR(__xludf.DUMMYFUNCTION("""COMPUTED_VALUE"""),301.71)</f>
        <v>301.70999999999998</v>
      </c>
      <c r="F20" s="1">
        <f ca="1">IFERROR(__xludf.DUMMYFUNCTION("""COMPUTED_VALUE"""),21871620)</f>
        <v>21871620</v>
      </c>
    </row>
    <row r="21" spans="1:6" ht="15.75" customHeight="1">
      <c r="A21" s="2">
        <f ca="1">IFERROR(__xludf.DUMMYFUNCTION("""COMPUTED_VALUE"""),44592.6666666666)</f>
        <v>44592.666666666599</v>
      </c>
      <c r="B21" s="1">
        <f ca="1">IFERROR(__xludf.DUMMYFUNCTION("""COMPUTED_VALUE"""),300.68)</f>
        <v>300.68</v>
      </c>
      <c r="C21" s="1">
        <f ca="1">IFERROR(__xludf.DUMMYFUNCTION("""COMPUTED_VALUE"""),313.79)</f>
        <v>313.79000000000002</v>
      </c>
      <c r="D21" s="1">
        <f ca="1">IFERROR(__xludf.DUMMYFUNCTION("""COMPUTED_VALUE"""),299.32)</f>
        <v>299.32</v>
      </c>
      <c r="E21" s="1">
        <f ca="1">IFERROR(__xludf.DUMMYFUNCTION("""COMPUTED_VALUE"""),313.26)</f>
        <v>313.26</v>
      </c>
      <c r="F21" s="1">
        <f ca="1">IFERROR(__xludf.DUMMYFUNCTION("""COMPUTED_VALUE"""),21579474)</f>
        <v>21579474</v>
      </c>
    </row>
    <row r="22" spans="1:6" ht="15.75" customHeight="1">
      <c r="A22" s="2">
        <f ca="1">IFERROR(__xludf.DUMMYFUNCTION("""COMPUTED_VALUE"""),44593.6666666666)</f>
        <v>44593.666666666599</v>
      </c>
      <c r="B22" s="1">
        <f ca="1">IFERROR(__xludf.DUMMYFUNCTION("""COMPUTED_VALUE"""),314.56)</f>
        <v>314.56</v>
      </c>
      <c r="C22" s="1">
        <f ca="1">IFERROR(__xludf.DUMMYFUNCTION("""COMPUTED_VALUE"""),319.66)</f>
        <v>319.66000000000003</v>
      </c>
      <c r="D22" s="1">
        <f ca="1">IFERROR(__xludf.DUMMYFUNCTION("""COMPUTED_VALUE"""),312.12)</f>
        <v>312.12</v>
      </c>
      <c r="E22" s="1">
        <f ca="1">IFERROR(__xludf.DUMMYFUNCTION("""COMPUTED_VALUE"""),319)</f>
        <v>319</v>
      </c>
      <c r="F22" s="1">
        <f ca="1">IFERROR(__xludf.DUMMYFUNCTION("""COMPUTED_VALUE"""),18023796)</f>
        <v>18023796</v>
      </c>
    </row>
    <row r="23" spans="1:6" ht="15.75" customHeight="1">
      <c r="A23" s="2">
        <f ca="1">IFERROR(__xludf.DUMMYFUNCTION("""COMPUTED_VALUE"""),44594.6666666666)</f>
        <v>44594.666666666599</v>
      </c>
      <c r="B23" s="1">
        <f ca="1">IFERROR(__xludf.DUMMYFUNCTION("""COMPUTED_VALUE"""),327.82)</f>
        <v>327.82</v>
      </c>
      <c r="C23" s="1">
        <f ca="1">IFERROR(__xludf.DUMMYFUNCTION("""COMPUTED_VALUE"""),328)</f>
        <v>328</v>
      </c>
      <c r="D23" s="1">
        <f ca="1">IFERROR(__xludf.DUMMYFUNCTION("""COMPUTED_VALUE"""),316.87)</f>
        <v>316.87</v>
      </c>
      <c r="E23" s="1">
        <f ca="1">IFERROR(__xludf.DUMMYFUNCTION("""COMPUTED_VALUE"""),323)</f>
        <v>323</v>
      </c>
      <c r="F23" s="1">
        <f ca="1">IFERROR(__xludf.DUMMYFUNCTION("""COMPUTED_VALUE"""),58458280)</f>
        <v>58458280</v>
      </c>
    </row>
    <row r="24" spans="1:6" ht="15.75" customHeight="1">
      <c r="A24" s="2">
        <f ca="1">IFERROR(__xludf.DUMMYFUNCTION("""COMPUTED_VALUE"""),44595.6666666666)</f>
        <v>44595.666666666599</v>
      </c>
      <c r="B24" s="1">
        <f ca="1">IFERROR(__xludf.DUMMYFUNCTION("""COMPUTED_VALUE"""),244.65)</f>
        <v>244.65</v>
      </c>
      <c r="C24" s="1">
        <f ca="1">IFERROR(__xludf.DUMMYFUNCTION("""COMPUTED_VALUE"""),248)</f>
        <v>248</v>
      </c>
      <c r="D24" s="1">
        <f ca="1">IFERROR(__xludf.DUMMYFUNCTION("""COMPUTED_VALUE"""),235.75)</f>
        <v>235.75</v>
      </c>
      <c r="E24" s="1">
        <f ca="1">IFERROR(__xludf.DUMMYFUNCTION("""COMPUTED_VALUE"""),237.76)</f>
        <v>237.76</v>
      </c>
      <c r="F24" s="1">
        <f ca="1">IFERROR(__xludf.DUMMYFUNCTION("""COMPUTED_VALUE"""),188119925)</f>
        <v>188119925</v>
      </c>
    </row>
    <row r="25" spans="1:6" ht="15.75" customHeight="1">
      <c r="A25" s="2">
        <f ca="1">IFERROR(__xludf.DUMMYFUNCTION("""COMPUTED_VALUE"""),44596.6666666666)</f>
        <v>44596.666666666599</v>
      </c>
      <c r="B25" s="1">
        <f ca="1">IFERROR(__xludf.DUMMYFUNCTION("""COMPUTED_VALUE"""),234.97)</f>
        <v>234.97</v>
      </c>
      <c r="C25" s="1">
        <f ca="1">IFERROR(__xludf.DUMMYFUNCTION("""COMPUTED_VALUE"""),242.61)</f>
        <v>242.61</v>
      </c>
      <c r="D25" s="1">
        <f ca="1">IFERROR(__xludf.DUMMYFUNCTION("""COMPUTED_VALUE"""),230.11)</f>
        <v>230.11</v>
      </c>
      <c r="E25" s="1">
        <f ca="1">IFERROR(__xludf.DUMMYFUNCTION("""COMPUTED_VALUE"""),237.09)</f>
        <v>237.09</v>
      </c>
      <c r="F25" s="1">
        <f ca="1">IFERROR(__xludf.DUMMYFUNCTION("""COMPUTED_VALUE"""),89342247)</f>
        <v>89342247</v>
      </c>
    </row>
    <row r="26" spans="1:6" ht="15.75" customHeight="1">
      <c r="A26" s="2">
        <f ca="1">IFERROR(__xludf.DUMMYFUNCTION("""COMPUTED_VALUE"""),44599.6666666666)</f>
        <v>44599.666666666599</v>
      </c>
      <c r="B26" s="1">
        <f ca="1">IFERROR(__xludf.DUMMYFUNCTION("""COMPUTED_VALUE"""),237.7)</f>
        <v>237.7</v>
      </c>
      <c r="C26" s="1">
        <f ca="1">IFERROR(__xludf.DUMMYFUNCTION("""COMPUTED_VALUE"""),238.3)</f>
        <v>238.3</v>
      </c>
      <c r="D26" s="1">
        <f ca="1">IFERROR(__xludf.DUMMYFUNCTION("""COMPUTED_VALUE"""),224.01)</f>
        <v>224.01</v>
      </c>
      <c r="E26" s="1">
        <f ca="1">IFERROR(__xludf.DUMMYFUNCTION("""COMPUTED_VALUE"""),224.91)</f>
        <v>224.91</v>
      </c>
      <c r="F26" s="1">
        <f ca="1">IFERROR(__xludf.DUMMYFUNCTION("""COMPUTED_VALUE"""),88613826)</f>
        <v>88613826</v>
      </c>
    </row>
    <row r="27" spans="1:6" ht="15.75" customHeight="1">
      <c r="A27" s="2">
        <f ca="1">IFERROR(__xludf.DUMMYFUNCTION("""COMPUTED_VALUE"""),44600.6666666666)</f>
        <v>44600.666666666599</v>
      </c>
      <c r="B27" s="1">
        <f ca="1">IFERROR(__xludf.DUMMYFUNCTION("""COMPUTED_VALUE"""),220.85)</f>
        <v>220.85</v>
      </c>
      <c r="C27" s="1">
        <f ca="1">IFERROR(__xludf.DUMMYFUNCTION("""COMPUTED_VALUE"""),225.77)</f>
        <v>225.77</v>
      </c>
      <c r="D27" s="1">
        <f ca="1">IFERROR(__xludf.DUMMYFUNCTION("""COMPUTED_VALUE"""),216.15)</f>
        <v>216.15</v>
      </c>
      <c r="E27" s="1">
        <f ca="1">IFERROR(__xludf.DUMMYFUNCTION("""COMPUTED_VALUE"""),220.18)</f>
        <v>220.18</v>
      </c>
      <c r="F27" s="1">
        <f ca="1">IFERROR(__xludf.DUMMYFUNCTION("""COMPUTED_VALUE"""),94729672)</f>
        <v>94729672</v>
      </c>
    </row>
    <row r="28" spans="1:6" ht="15.75" customHeight="1">
      <c r="A28" s="2">
        <f ca="1">IFERROR(__xludf.DUMMYFUNCTION("""COMPUTED_VALUE"""),44601.6666666666)</f>
        <v>44601.666666666599</v>
      </c>
      <c r="B28" s="1">
        <f ca="1">IFERROR(__xludf.DUMMYFUNCTION("""COMPUTED_VALUE"""),224.2)</f>
        <v>224.2</v>
      </c>
      <c r="C28" s="1">
        <f ca="1">IFERROR(__xludf.DUMMYFUNCTION("""COMPUTED_VALUE"""),233.37)</f>
        <v>233.37</v>
      </c>
      <c r="D28" s="1">
        <f ca="1">IFERROR(__xludf.DUMMYFUNCTION("""COMPUTED_VALUE"""),222.21)</f>
        <v>222.21</v>
      </c>
      <c r="E28" s="1">
        <f ca="1">IFERROR(__xludf.DUMMYFUNCTION("""COMPUTED_VALUE"""),232)</f>
        <v>232</v>
      </c>
      <c r="F28" s="1">
        <f ca="1">IFERROR(__xludf.DUMMYFUNCTION("""COMPUTED_VALUE"""),86563275)</f>
        <v>86563275</v>
      </c>
    </row>
    <row r="29" spans="1:6" ht="15.75" customHeight="1">
      <c r="A29" s="2">
        <f ca="1">IFERROR(__xludf.DUMMYFUNCTION("""COMPUTED_VALUE"""),44602.6666666666)</f>
        <v>44602.666666666599</v>
      </c>
      <c r="B29" s="1">
        <f ca="1">IFERROR(__xludf.DUMMYFUNCTION("""COMPUTED_VALUE"""),228.27)</f>
        <v>228.27</v>
      </c>
      <c r="C29" s="1">
        <f ca="1">IFERROR(__xludf.DUMMYFUNCTION("""COMPUTED_VALUE"""),235)</f>
        <v>235</v>
      </c>
      <c r="D29" s="1">
        <f ca="1">IFERROR(__xludf.DUMMYFUNCTION("""COMPUTED_VALUE"""),226.7)</f>
        <v>226.7</v>
      </c>
      <c r="E29" s="1">
        <f ca="1">IFERROR(__xludf.DUMMYFUNCTION("""COMPUTED_VALUE"""),228.07)</f>
        <v>228.07</v>
      </c>
      <c r="F29" s="1">
        <f ca="1">IFERROR(__xludf.DUMMYFUNCTION("""COMPUTED_VALUE"""),49310356)</f>
        <v>49310356</v>
      </c>
    </row>
    <row r="30" spans="1:6" ht="15.75" customHeight="1">
      <c r="A30" s="2">
        <f ca="1">IFERROR(__xludf.DUMMYFUNCTION("""COMPUTED_VALUE"""),44603.6666666666)</f>
        <v>44603.666666666599</v>
      </c>
      <c r="B30" s="1">
        <f ca="1">IFERROR(__xludf.DUMMYFUNCTION("""COMPUTED_VALUE"""),228.46)</f>
        <v>228.46</v>
      </c>
      <c r="C30" s="1">
        <f ca="1">IFERROR(__xludf.DUMMYFUNCTION("""COMPUTED_VALUE"""),230.42)</f>
        <v>230.42</v>
      </c>
      <c r="D30" s="1">
        <f ca="1">IFERROR(__xludf.DUMMYFUNCTION("""COMPUTED_VALUE"""),218.77)</f>
        <v>218.77</v>
      </c>
      <c r="E30" s="1">
        <f ca="1">IFERROR(__xludf.DUMMYFUNCTION("""COMPUTED_VALUE"""),219.55)</f>
        <v>219.55</v>
      </c>
      <c r="F30" s="1">
        <f ca="1">IFERROR(__xludf.DUMMYFUNCTION("""COMPUTED_VALUE"""),46156943)</f>
        <v>46156943</v>
      </c>
    </row>
    <row r="31" spans="1:6" ht="15.75" customHeight="1">
      <c r="A31" s="2">
        <f ca="1">IFERROR(__xludf.DUMMYFUNCTION("""COMPUTED_VALUE"""),44606.6666666666)</f>
        <v>44606.666666666599</v>
      </c>
      <c r="B31" s="1">
        <f ca="1">IFERROR(__xludf.DUMMYFUNCTION("""COMPUTED_VALUE"""),219.31)</f>
        <v>219.31</v>
      </c>
      <c r="C31" s="1">
        <f ca="1">IFERROR(__xludf.DUMMYFUNCTION("""COMPUTED_VALUE"""),221)</f>
        <v>221</v>
      </c>
      <c r="D31" s="1">
        <f ca="1">IFERROR(__xludf.DUMMYFUNCTION("""COMPUTED_VALUE"""),214.78)</f>
        <v>214.78</v>
      </c>
      <c r="E31" s="1">
        <f ca="1">IFERROR(__xludf.DUMMYFUNCTION("""COMPUTED_VALUE"""),217.7)</f>
        <v>217.7</v>
      </c>
      <c r="F31" s="1">
        <f ca="1">IFERROR(__xludf.DUMMYFUNCTION("""COMPUTED_VALUE"""),38184035)</f>
        <v>38184035</v>
      </c>
    </row>
    <row r="32" spans="1:6" ht="15.75" customHeight="1">
      <c r="A32" s="2">
        <f ca="1">IFERROR(__xludf.DUMMYFUNCTION("""COMPUTED_VALUE"""),44607.6666666666)</f>
        <v>44607.666666666599</v>
      </c>
      <c r="B32" s="1">
        <f ca="1">IFERROR(__xludf.DUMMYFUNCTION("""COMPUTED_VALUE"""),220.47)</f>
        <v>220.47</v>
      </c>
      <c r="C32" s="1">
        <f ca="1">IFERROR(__xludf.DUMMYFUNCTION("""COMPUTED_VALUE"""),221.15)</f>
        <v>221.15</v>
      </c>
      <c r="D32" s="1">
        <f ca="1">IFERROR(__xludf.DUMMYFUNCTION("""COMPUTED_VALUE"""),215.06)</f>
        <v>215.06</v>
      </c>
      <c r="E32" s="1">
        <f ca="1">IFERROR(__xludf.DUMMYFUNCTION("""COMPUTED_VALUE"""),221)</f>
        <v>221</v>
      </c>
      <c r="F32" s="1">
        <f ca="1">IFERROR(__xludf.DUMMYFUNCTION("""COMPUTED_VALUE"""),42685473)</f>
        <v>42685473</v>
      </c>
    </row>
    <row r="33" spans="1:6" ht="15.75" customHeight="1">
      <c r="A33" s="2">
        <f ca="1">IFERROR(__xludf.DUMMYFUNCTION("""COMPUTED_VALUE"""),44608.6666666666)</f>
        <v>44608.666666666599</v>
      </c>
      <c r="B33" s="1">
        <f ca="1">IFERROR(__xludf.DUMMYFUNCTION("""COMPUTED_VALUE"""),212.41)</f>
        <v>212.41</v>
      </c>
      <c r="C33" s="1">
        <f ca="1">IFERROR(__xludf.DUMMYFUNCTION("""COMPUTED_VALUE"""),217.46)</f>
        <v>217.46</v>
      </c>
      <c r="D33" s="1">
        <f ca="1">IFERROR(__xludf.DUMMYFUNCTION("""COMPUTED_VALUE"""),212.36)</f>
        <v>212.36</v>
      </c>
      <c r="E33" s="1">
        <f ca="1">IFERROR(__xludf.DUMMYFUNCTION("""COMPUTED_VALUE"""),216.54)</f>
        <v>216.54</v>
      </c>
      <c r="F33" s="1">
        <f ca="1">IFERROR(__xludf.DUMMYFUNCTION("""COMPUTED_VALUE"""),45817457)</f>
        <v>45817457</v>
      </c>
    </row>
    <row r="34" spans="1:6" ht="15.75" customHeight="1">
      <c r="A34" s="2">
        <f ca="1">IFERROR(__xludf.DUMMYFUNCTION("""COMPUTED_VALUE"""),44609.6666666666)</f>
        <v>44609.666666666599</v>
      </c>
      <c r="B34" s="1">
        <f ca="1">IFERROR(__xludf.DUMMYFUNCTION("""COMPUTED_VALUE"""),214.02)</f>
        <v>214.02</v>
      </c>
      <c r="C34" s="1">
        <f ca="1">IFERROR(__xludf.DUMMYFUNCTION("""COMPUTED_VALUE"""),217.5)</f>
        <v>217.5</v>
      </c>
      <c r="D34" s="1">
        <f ca="1">IFERROR(__xludf.DUMMYFUNCTION("""COMPUTED_VALUE"""),207.16)</f>
        <v>207.16</v>
      </c>
      <c r="E34" s="1">
        <f ca="1">IFERROR(__xludf.DUMMYFUNCTION("""COMPUTED_VALUE"""),207.71)</f>
        <v>207.71</v>
      </c>
      <c r="F34" s="1">
        <f ca="1">IFERROR(__xludf.DUMMYFUNCTION("""COMPUTED_VALUE"""),38747533)</f>
        <v>38747533</v>
      </c>
    </row>
    <row r="35" spans="1:6" ht="15.75" customHeight="1">
      <c r="A35" s="2">
        <f ca="1">IFERROR(__xludf.DUMMYFUNCTION("""COMPUTED_VALUE"""),44610.6666666666)</f>
        <v>44610.666666666599</v>
      </c>
      <c r="B35" s="1">
        <f ca="1">IFERROR(__xludf.DUMMYFUNCTION("""COMPUTED_VALUE"""),209.39)</f>
        <v>209.39</v>
      </c>
      <c r="C35" s="1">
        <f ca="1">IFERROR(__xludf.DUMMYFUNCTION("""COMPUTED_VALUE"""),210.75)</f>
        <v>210.75</v>
      </c>
      <c r="D35" s="1">
        <f ca="1">IFERROR(__xludf.DUMMYFUNCTION("""COMPUTED_VALUE"""),205.18)</f>
        <v>205.18</v>
      </c>
      <c r="E35" s="1">
        <f ca="1">IFERROR(__xludf.DUMMYFUNCTION("""COMPUTED_VALUE"""),206.16)</f>
        <v>206.16</v>
      </c>
      <c r="F35" s="1">
        <f ca="1">IFERROR(__xludf.DUMMYFUNCTION("""COMPUTED_VALUE"""),37128438)</f>
        <v>37128438</v>
      </c>
    </row>
    <row r="36" spans="1:6" ht="15.75" customHeight="1">
      <c r="A36" s="2">
        <f ca="1">IFERROR(__xludf.DUMMYFUNCTION("""COMPUTED_VALUE"""),44614.6666666666)</f>
        <v>44614.666666666599</v>
      </c>
      <c r="B36" s="1">
        <f ca="1">IFERROR(__xludf.DUMMYFUNCTION("""COMPUTED_VALUE"""),202.34)</f>
        <v>202.34</v>
      </c>
      <c r="C36" s="1">
        <f ca="1">IFERROR(__xludf.DUMMYFUNCTION("""COMPUTED_VALUE"""),207.48)</f>
        <v>207.48</v>
      </c>
      <c r="D36" s="1">
        <f ca="1">IFERROR(__xludf.DUMMYFUNCTION("""COMPUTED_VALUE"""),200.06)</f>
        <v>200.06</v>
      </c>
      <c r="E36" s="1">
        <f ca="1">IFERROR(__xludf.DUMMYFUNCTION("""COMPUTED_VALUE"""),202.08)</f>
        <v>202.08</v>
      </c>
      <c r="F36" s="1">
        <f ca="1">IFERROR(__xludf.DUMMYFUNCTION("""COMPUTED_VALUE"""),39852391)</f>
        <v>39852391</v>
      </c>
    </row>
    <row r="37" spans="1:6" ht="12.6">
      <c r="A37" s="2">
        <f ca="1">IFERROR(__xludf.DUMMYFUNCTION("""COMPUTED_VALUE"""),44615.6666666666)</f>
        <v>44615.666666666599</v>
      </c>
      <c r="B37" s="1">
        <f ca="1">IFERROR(__xludf.DUMMYFUNCTION("""COMPUTED_VALUE"""),204.16)</f>
        <v>204.16</v>
      </c>
      <c r="C37" s="1">
        <f ca="1">IFERROR(__xludf.DUMMYFUNCTION("""COMPUTED_VALUE"""),206.94)</f>
        <v>206.94</v>
      </c>
      <c r="D37" s="1">
        <f ca="1">IFERROR(__xludf.DUMMYFUNCTION("""COMPUTED_VALUE"""),198.05)</f>
        <v>198.05</v>
      </c>
      <c r="E37" s="1">
        <f ca="1">IFERROR(__xludf.DUMMYFUNCTION("""COMPUTED_VALUE"""),198.45)</f>
        <v>198.45</v>
      </c>
      <c r="F37" s="1">
        <f ca="1">IFERROR(__xludf.DUMMYFUNCTION("""COMPUTED_VALUE"""),44481359)</f>
        <v>44481359</v>
      </c>
    </row>
    <row r="38" spans="1:6" ht="12.6">
      <c r="A38" s="2">
        <f ca="1">IFERROR(__xludf.DUMMYFUNCTION("""COMPUTED_VALUE"""),44616.6666666666)</f>
        <v>44616.666666666599</v>
      </c>
      <c r="B38" s="1">
        <f ca="1">IFERROR(__xludf.DUMMYFUNCTION("""COMPUTED_VALUE"""),191.06)</f>
        <v>191.06</v>
      </c>
      <c r="C38" s="1">
        <f ca="1">IFERROR(__xludf.DUMMYFUNCTION("""COMPUTED_VALUE"""),208.35)</f>
        <v>208.35</v>
      </c>
      <c r="D38" s="1">
        <f ca="1">IFERROR(__xludf.DUMMYFUNCTION("""COMPUTED_VALUE"""),190.22)</f>
        <v>190.22</v>
      </c>
      <c r="E38" s="1">
        <f ca="1">IFERROR(__xludf.DUMMYFUNCTION("""COMPUTED_VALUE"""),207.6)</f>
        <v>207.6</v>
      </c>
      <c r="F38" s="1">
        <f ca="1">IFERROR(__xludf.DUMMYFUNCTION("""COMPUTED_VALUE"""),49957167)</f>
        <v>49957167</v>
      </c>
    </row>
    <row r="39" spans="1:6" ht="12.6">
      <c r="A39" s="2">
        <f ca="1">IFERROR(__xludf.DUMMYFUNCTION("""COMPUTED_VALUE"""),44617.6666666666)</f>
        <v>44617.666666666599</v>
      </c>
      <c r="B39" s="1">
        <f ca="1">IFERROR(__xludf.DUMMYFUNCTION("""COMPUTED_VALUE"""),204.94)</f>
        <v>204.94</v>
      </c>
      <c r="C39" s="1">
        <f ca="1">IFERROR(__xludf.DUMMYFUNCTION("""COMPUTED_VALUE"""),211.32)</f>
        <v>211.32</v>
      </c>
      <c r="D39" s="1">
        <f ca="1">IFERROR(__xludf.DUMMYFUNCTION("""COMPUTED_VALUE"""),203.18)</f>
        <v>203.18</v>
      </c>
      <c r="E39" s="1">
        <f ca="1">IFERROR(__xludf.DUMMYFUNCTION("""COMPUTED_VALUE"""),210.48)</f>
        <v>210.48</v>
      </c>
      <c r="F39" s="1">
        <f ca="1">IFERROR(__xludf.DUMMYFUNCTION("""COMPUTED_VALUE"""),37627551)</f>
        <v>37627551</v>
      </c>
    </row>
    <row r="40" spans="1:6" ht="12.6">
      <c r="A40" s="2">
        <f ca="1">IFERROR(__xludf.DUMMYFUNCTION("""COMPUTED_VALUE"""),44620.6666666666)</f>
        <v>44620.666666666599</v>
      </c>
      <c r="B40" s="1">
        <f ca="1">IFERROR(__xludf.DUMMYFUNCTION("""COMPUTED_VALUE"""),207.68)</f>
        <v>207.68</v>
      </c>
      <c r="C40" s="1">
        <f ca="1">IFERROR(__xludf.DUMMYFUNCTION("""COMPUTED_VALUE"""),213.15)</f>
        <v>213.15</v>
      </c>
      <c r="D40" s="1">
        <f ca="1">IFERROR(__xludf.DUMMYFUNCTION("""COMPUTED_VALUE"""),206.83)</f>
        <v>206.83</v>
      </c>
      <c r="E40" s="1">
        <f ca="1">IFERROR(__xludf.DUMMYFUNCTION("""COMPUTED_VALUE"""),211.03)</f>
        <v>211.03</v>
      </c>
      <c r="F40" s="1">
        <f ca="1">IFERROR(__xludf.DUMMYFUNCTION("""COMPUTED_VALUE"""),34239803)</f>
        <v>34239803</v>
      </c>
    </row>
    <row r="41" spans="1:6" ht="12.6">
      <c r="A41" s="2">
        <f ca="1">IFERROR(__xludf.DUMMYFUNCTION("""COMPUTED_VALUE"""),44621.6666666666)</f>
        <v>44621.666666666599</v>
      </c>
      <c r="B41" s="1">
        <f ca="1">IFERROR(__xludf.DUMMYFUNCTION("""COMPUTED_VALUE"""),209.87)</f>
        <v>209.87</v>
      </c>
      <c r="C41" s="1">
        <f ca="1">IFERROR(__xludf.DUMMYFUNCTION("""COMPUTED_VALUE"""),211.75)</f>
        <v>211.75</v>
      </c>
      <c r="D41" s="1">
        <f ca="1">IFERROR(__xludf.DUMMYFUNCTION("""COMPUTED_VALUE"""),202.22)</f>
        <v>202.22</v>
      </c>
      <c r="E41" s="1">
        <f ca="1">IFERROR(__xludf.DUMMYFUNCTION("""COMPUTED_VALUE"""),203.49)</f>
        <v>203.49</v>
      </c>
      <c r="F41" s="1">
        <f ca="1">IFERROR(__xludf.DUMMYFUNCTION("""COMPUTED_VALUE"""),27094902)</f>
        <v>27094902</v>
      </c>
    </row>
    <row r="42" spans="1:6" ht="12.6">
      <c r="A42" s="2">
        <f ca="1">IFERROR(__xludf.DUMMYFUNCTION("""COMPUTED_VALUE"""),44622.6666666666)</f>
        <v>44622.666666666599</v>
      </c>
      <c r="B42" s="1">
        <f ca="1">IFERROR(__xludf.DUMMYFUNCTION("""COMPUTED_VALUE"""),204.78)</f>
        <v>204.78</v>
      </c>
      <c r="C42" s="1">
        <f ca="1">IFERROR(__xludf.DUMMYFUNCTION("""COMPUTED_VALUE"""),209.15)</f>
        <v>209.15</v>
      </c>
      <c r="D42" s="1">
        <f ca="1">IFERROR(__xludf.DUMMYFUNCTION("""COMPUTED_VALUE"""),202.02)</f>
        <v>202.02</v>
      </c>
      <c r="E42" s="1">
        <f ca="1">IFERROR(__xludf.DUMMYFUNCTION("""COMPUTED_VALUE"""),208.11)</f>
        <v>208.11</v>
      </c>
      <c r="F42" s="1">
        <f ca="1">IFERROR(__xludf.DUMMYFUNCTION("""COMPUTED_VALUE"""),29452147)</f>
        <v>29452147</v>
      </c>
    </row>
    <row r="43" spans="1:6" ht="12.6">
      <c r="A43" s="2">
        <f ca="1">IFERROR(__xludf.DUMMYFUNCTION("""COMPUTED_VALUE"""),44623.6666666666)</f>
        <v>44623.666666666599</v>
      </c>
      <c r="B43" s="1">
        <f ca="1">IFERROR(__xludf.DUMMYFUNCTION("""COMPUTED_VALUE"""),209.02)</f>
        <v>209.02</v>
      </c>
      <c r="C43" s="1">
        <f ca="1">IFERROR(__xludf.DUMMYFUNCTION("""COMPUTED_VALUE"""),209.08)</f>
        <v>209.08</v>
      </c>
      <c r="D43" s="1">
        <f ca="1">IFERROR(__xludf.DUMMYFUNCTION("""COMPUTED_VALUE"""),201.42)</f>
        <v>201.42</v>
      </c>
      <c r="E43" s="1">
        <f ca="1">IFERROR(__xludf.DUMMYFUNCTION("""COMPUTED_VALUE"""),202.97)</f>
        <v>202.97</v>
      </c>
      <c r="F43" s="1">
        <f ca="1">IFERROR(__xludf.DUMMYFUNCTION("""COMPUTED_VALUE"""),27263524)</f>
        <v>27263524</v>
      </c>
    </row>
    <row r="44" spans="1:6" ht="12.6">
      <c r="A44" s="2">
        <f ca="1">IFERROR(__xludf.DUMMYFUNCTION("""COMPUTED_VALUE"""),44624.6666666666)</f>
        <v>44624.666666666599</v>
      </c>
      <c r="B44" s="1">
        <f ca="1">IFERROR(__xludf.DUMMYFUNCTION("""COMPUTED_VALUE"""),202.37)</f>
        <v>202.37</v>
      </c>
      <c r="C44" s="1">
        <f ca="1">IFERROR(__xludf.DUMMYFUNCTION("""COMPUTED_VALUE"""),205.89)</f>
        <v>205.89</v>
      </c>
      <c r="D44" s="1">
        <f ca="1">IFERROR(__xludf.DUMMYFUNCTION("""COMPUTED_VALUE"""),198.79)</f>
        <v>198.79</v>
      </c>
      <c r="E44" s="1">
        <f ca="1">IFERROR(__xludf.DUMMYFUNCTION("""COMPUTED_VALUE"""),200.06)</f>
        <v>200.06</v>
      </c>
      <c r="F44" s="1">
        <f ca="1">IFERROR(__xludf.DUMMYFUNCTION("""COMPUTED_VALUE"""),32146264)</f>
        <v>32146264</v>
      </c>
    </row>
    <row r="45" spans="1:6" ht="12.6">
      <c r="A45" s="2">
        <f ca="1">IFERROR(__xludf.DUMMYFUNCTION("""COMPUTED_VALUE"""),44627.6666666666)</f>
        <v>44627.666666666599</v>
      </c>
      <c r="B45" s="1">
        <f ca="1">IFERROR(__xludf.DUMMYFUNCTION("""COMPUTED_VALUE"""),200.79)</f>
        <v>200.79</v>
      </c>
      <c r="C45" s="1">
        <f ca="1">IFERROR(__xludf.DUMMYFUNCTION("""COMPUTED_VALUE"""),200.89)</f>
        <v>200.89</v>
      </c>
      <c r="D45" s="1">
        <f ca="1">IFERROR(__xludf.DUMMYFUNCTION("""COMPUTED_VALUE"""),187.28)</f>
        <v>187.28</v>
      </c>
      <c r="E45" s="1">
        <f ca="1">IFERROR(__xludf.DUMMYFUNCTION("""COMPUTED_VALUE"""),187.47)</f>
        <v>187.47</v>
      </c>
      <c r="F45" s="1">
        <f ca="1">IFERROR(__xludf.DUMMYFUNCTION("""COMPUTED_VALUE"""),38560609)</f>
        <v>38560609</v>
      </c>
    </row>
    <row r="46" spans="1:6" ht="12.6">
      <c r="A46" s="2">
        <f ca="1">IFERROR(__xludf.DUMMYFUNCTION("""COMPUTED_VALUE"""),44628.6666666666)</f>
        <v>44628.666666666599</v>
      </c>
      <c r="B46" s="1">
        <f ca="1">IFERROR(__xludf.DUMMYFUNCTION("""COMPUTED_VALUE"""),187.85)</f>
        <v>187.85</v>
      </c>
      <c r="C46" s="1">
        <f ca="1">IFERROR(__xludf.DUMMYFUNCTION("""COMPUTED_VALUE"""),196.7)</f>
        <v>196.7</v>
      </c>
      <c r="D46" s="1">
        <f ca="1">IFERROR(__xludf.DUMMYFUNCTION("""COMPUTED_VALUE"""),186.11)</f>
        <v>186.11</v>
      </c>
      <c r="E46" s="1">
        <f ca="1">IFERROR(__xludf.DUMMYFUNCTION("""COMPUTED_VALUE"""),190.29)</f>
        <v>190.29</v>
      </c>
      <c r="F46" s="1">
        <f ca="1">IFERROR(__xludf.DUMMYFUNCTION("""COMPUTED_VALUE"""),37508149)</f>
        <v>37508149</v>
      </c>
    </row>
    <row r="47" spans="1:6" ht="12.6">
      <c r="A47" s="2">
        <f ca="1">IFERROR(__xludf.DUMMYFUNCTION("""COMPUTED_VALUE"""),44629.6666666666)</f>
        <v>44629.666666666599</v>
      </c>
      <c r="B47" s="1">
        <f ca="1">IFERROR(__xludf.DUMMYFUNCTION("""COMPUTED_VALUE"""),195.74)</f>
        <v>195.74</v>
      </c>
      <c r="C47" s="1">
        <f ca="1">IFERROR(__xludf.DUMMYFUNCTION("""COMPUTED_VALUE"""),199.1)</f>
        <v>199.1</v>
      </c>
      <c r="D47" s="1">
        <f ca="1">IFERROR(__xludf.DUMMYFUNCTION("""COMPUTED_VALUE"""),193.92)</f>
        <v>193.92</v>
      </c>
      <c r="E47" s="1">
        <f ca="1">IFERROR(__xludf.DUMMYFUNCTION("""COMPUTED_VALUE"""),198.5)</f>
        <v>198.5</v>
      </c>
      <c r="F47" s="1">
        <f ca="1">IFERROR(__xludf.DUMMYFUNCTION("""COMPUTED_VALUE"""),31894695)</f>
        <v>31894695</v>
      </c>
    </row>
    <row r="48" spans="1:6" ht="12.6">
      <c r="A48" s="2">
        <f ca="1">IFERROR(__xludf.DUMMYFUNCTION("""COMPUTED_VALUE"""),44630.6666666666)</f>
        <v>44630.666666666599</v>
      </c>
      <c r="B48" s="1">
        <f ca="1">IFERROR(__xludf.DUMMYFUNCTION("""COMPUTED_VALUE"""),194.84)</f>
        <v>194.84</v>
      </c>
      <c r="C48" s="1">
        <f ca="1">IFERROR(__xludf.DUMMYFUNCTION("""COMPUTED_VALUE"""),196.28)</f>
        <v>196.28</v>
      </c>
      <c r="D48" s="1">
        <f ca="1">IFERROR(__xludf.DUMMYFUNCTION("""COMPUTED_VALUE"""),191.07)</f>
        <v>191.07</v>
      </c>
      <c r="E48" s="1">
        <f ca="1">IFERROR(__xludf.DUMMYFUNCTION("""COMPUTED_VALUE"""),195.21)</f>
        <v>195.21</v>
      </c>
      <c r="F48" s="1">
        <f ca="1">IFERROR(__xludf.DUMMYFUNCTION("""COMPUTED_VALUE"""),24852975)</f>
        <v>24852975</v>
      </c>
    </row>
    <row r="49" spans="1:6" ht="12.6">
      <c r="A49" s="2">
        <f ca="1">IFERROR(__xludf.DUMMYFUNCTION("""COMPUTED_VALUE"""),44631.6666666666)</f>
        <v>44631.666666666599</v>
      </c>
      <c r="B49" s="1">
        <f ca="1">IFERROR(__xludf.DUMMYFUNCTION("""COMPUTED_VALUE"""),192.64)</f>
        <v>192.64</v>
      </c>
      <c r="C49" s="1">
        <f ca="1">IFERROR(__xludf.DUMMYFUNCTION("""COMPUTED_VALUE"""),193.56)</f>
        <v>193.56</v>
      </c>
      <c r="D49" s="1">
        <f ca="1">IFERROR(__xludf.DUMMYFUNCTION("""COMPUTED_VALUE"""),186.67)</f>
        <v>186.67</v>
      </c>
      <c r="E49" s="1">
        <f ca="1">IFERROR(__xludf.DUMMYFUNCTION("""COMPUTED_VALUE"""),187.61)</f>
        <v>187.61</v>
      </c>
      <c r="F49" s="1">
        <f ca="1">IFERROR(__xludf.DUMMYFUNCTION("""COMPUTED_VALUE"""),34694534)</f>
        <v>34694534</v>
      </c>
    </row>
    <row r="50" spans="1:6" ht="12.6">
      <c r="A50" s="2">
        <f ca="1">IFERROR(__xludf.DUMMYFUNCTION("""COMPUTED_VALUE"""),44634.6666666666)</f>
        <v>44634.666666666599</v>
      </c>
      <c r="B50" s="1">
        <f ca="1">IFERROR(__xludf.DUMMYFUNCTION("""COMPUTED_VALUE"""),187.03)</f>
        <v>187.03</v>
      </c>
      <c r="C50" s="1">
        <f ca="1">IFERROR(__xludf.DUMMYFUNCTION("""COMPUTED_VALUE"""),192.29)</f>
        <v>192.29</v>
      </c>
      <c r="D50" s="1">
        <f ca="1">IFERROR(__xludf.DUMMYFUNCTION("""COMPUTED_VALUE"""),185.82)</f>
        <v>185.82</v>
      </c>
      <c r="E50" s="1">
        <f ca="1">IFERROR(__xludf.DUMMYFUNCTION("""COMPUTED_VALUE"""),186.63)</f>
        <v>186.63</v>
      </c>
      <c r="F50" s="1">
        <f ca="1">IFERROR(__xludf.DUMMYFUNCTION("""COMPUTED_VALUE"""),31010462)</f>
        <v>31010462</v>
      </c>
    </row>
    <row r="51" spans="1:6" ht="12.6">
      <c r="A51" s="2">
        <f ca="1">IFERROR(__xludf.DUMMYFUNCTION("""COMPUTED_VALUE"""),44635.6666666666)</f>
        <v>44635.666666666599</v>
      </c>
      <c r="B51" s="1">
        <f ca="1">IFERROR(__xludf.DUMMYFUNCTION("""COMPUTED_VALUE"""),190.8)</f>
        <v>190.8</v>
      </c>
      <c r="C51" s="1">
        <f ca="1">IFERROR(__xludf.DUMMYFUNCTION("""COMPUTED_VALUE"""),192.28)</f>
        <v>192.28</v>
      </c>
      <c r="D51" s="1">
        <f ca="1">IFERROR(__xludf.DUMMYFUNCTION("""COMPUTED_VALUE"""),185.91)</f>
        <v>185.91</v>
      </c>
      <c r="E51" s="1">
        <f ca="1">IFERROR(__xludf.DUMMYFUNCTION("""COMPUTED_VALUE"""),192.03)</f>
        <v>192.03</v>
      </c>
      <c r="F51" s="1">
        <f ca="1">IFERROR(__xludf.DUMMYFUNCTION("""COMPUTED_VALUE"""),31721682)</f>
        <v>31721682</v>
      </c>
    </row>
    <row r="52" spans="1:6" ht="12.6">
      <c r="A52" s="2">
        <f ca="1">IFERROR(__xludf.DUMMYFUNCTION("""COMPUTED_VALUE"""),44636.6666666666)</f>
        <v>44636.666666666599</v>
      </c>
      <c r="B52" s="1">
        <f ca="1">IFERROR(__xludf.DUMMYFUNCTION("""COMPUTED_VALUE"""),194.7)</f>
        <v>194.7</v>
      </c>
      <c r="C52" s="1">
        <f ca="1">IFERROR(__xludf.DUMMYFUNCTION("""COMPUTED_VALUE"""),203.73)</f>
        <v>203.73</v>
      </c>
      <c r="D52" s="1">
        <f ca="1">IFERROR(__xludf.DUMMYFUNCTION("""COMPUTED_VALUE"""),194.52)</f>
        <v>194.52</v>
      </c>
      <c r="E52" s="1">
        <f ca="1">IFERROR(__xludf.DUMMYFUNCTION("""COMPUTED_VALUE"""),203.63)</f>
        <v>203.63</v>
      </c>
      <c r="F52" s="1">
        <f ca="1">IFERROR(__xludf.DUMMYFUNCTION("""COMPUTED_VALUE"""),40640264)</f>
        <v>40640264</v>
      </c>
    </row>
    <row r="53" spans="1:6" ht="12.6">
      <c r="A53" s="2">
        <f ca="1">IFERROR(__xludf.DUMMYFUNCTION("""COMPUTED_VALUE"""),44637.6666666666)</f>
        <v>44637.666666666599</v>
      </c>
      <c r="B53" s="1">
        <f ca="1">IFERROR(__xludf.DUMMYFUNCTION("""COMPUTED_VALUE"""),201.7)</f>
        <v>201.7</v>
      </c>
      <c r="C53" s="1">
        <f ca="1">IFERROR(__xludf.DUMMYFUNCTION("""COMPUTED_VALUE"""),208.04)</f>
        <v>208.04</v>
      </c>
      <c r="D53" s="1">
        <f ca="1">IFERROR(__xludf.DUMMYFUNCTION("""COMPUTED_VALUE"""),201.11)</f>
        <v>201.11</v>
      </c>
      <c r="E53" s="1">
        <f ca="1">IFERROR(__xludf.DUMMYFUNCTION("""COMPUTED_VALUE"""),207.84)</f>
        <v>207.84</v>
      </c>
      <c r="F53" s="1">
        <f ca="1">IFERROR(__xludf.DUMMYFUNCTION("""COMPUTED_VALUE"""),29499681)</f>
        <v>29499681</v>
      </c>
    </row>
    <row r="54" spans="1:6" ht="12.6">
      <c r="A54" s="2">
        <f ca="1">IFERROR(__xludf.DUMMYFUNCTION("""COMPUTED_VALUE"""),44638.6666666666)</f>
        <v>44638.666666666599</v>
      </c>
      <c r="B54" s="1">
        <f ca="1">IFERROR(__xludf.DUMMYFUNCTION("""COMPUTED_VALUE"""),206.7)</f>
        <v>206.7</v>
      </c>
      <c r="C54" s="1">
        <f ca="1">IFERROR(__xludf.DUMMYFUNCTION("""COMPUTED_VALUE"""),216.8)</f>
        <v>216.8</v>
      </c>
      <c r="D54" s="1">
        <f ca="1">IFERROR(__xludf.DUMMYFUNCTION("""COMPUTED_VALUE"""),206)</f>
        <v>206</v>
      </c>
      <c r="E54" s="1">
        <f ca="1">IFERROR(__xludf.DUMMYFUNCTION("""COMPUTED_VALUE"""),216.49)</f>
        <v>216.49</v>
      </c>
      <c r="F54" s="1">
        <f ca="1">IFERROR(__xludf.DUMMYFUNCTION("""COMPUTED_VALUE"""),52127982)</f>
        <v>52127982</v>
      </c>
    </row>
    <row r="55" spans="1:6" ht="12.6">
      <c r="A55" s="2">
        <f ca="1">IFERROR(__xludf.DUMMYFUNCTION("""COMPUTED_VALUE"""),44641.6666666666)</f>
        <v>44641.666666666599</v>
      </c>
      <c r="B55" s="1">
        <f ca="1">IFERROR(__xludf.DUMMYFUNCTION("""COMPUTED_VALUE"""),214.5)</f>
        <v>214.5</v>
      </c>
      <c r="C55" s="1">
        <f ca="1">IFERROR(__xludf.DUMMYFUNCTION("""COMPUTED_VALUE"""),214.71)</f>
        <v>214.71</v>
      </c>
      <c r="D55" s="1">
        <f ca="1">IFERROR(__xludf.DUMMYFUNCTION("""COMPUTED_VALUE"""),207.63)</f>
        <v>207.63</v>
      </c>
      <c r="E55" s="1">
        <f ca="1">IFERROR(__xludf.DUMMYFUNCTION("""COMPUTED_VALUE"""),211.49)</f>
        <v>211.49</v>
      </c>
      <c r="F55" s="1">
        <f ca="1">IFERROR(__xludf.DUMMYFUNCTION("""COMPUTED_VALUE"""),30142338)</f>
        <v>30142338</v>
      </c>
    </row>
    <row r="56" spans="1:6" ht="12.6">
      <c r="A56" s="2">
        <f ca="1">IFERROR(__xludf.DUMMYFUNCTION("""COMPUTED_VALUE"""),44642.6666666666)</f>
        <v>44642.666666666599</v>
      </c>
      <c r="B56" s="1">
        <f ca="1">IFERROR(__xludf.DUMMYFUNCTION("""COMPUTED_VALUE"""),211.37)</f>
        <v>211.37</v>
      </c>
      <c r="C56" s="1">
        <f ca="1">IFERROR(__xludf.DUMMYFUNCTION("""COMPUTED_VALUE"""),219.46)</f>
        <v>219.46</v>
      </c>
      <c r="D56" s="1">
        <f ca="1">IFERROR(__xludf.DUMMYFUNCTION("""COMPUTED_VALUE"""),210.18)</f>
        <v>210.18</v>
      </c>
      <c r="E56" s="1">
        <f ca="1">IFERROR(__xludf.DUMMYFUNCTION("""COMPUTED_VALUE"""),216.65)</f>
        <v>216.65</v>
      </c>
      <c r="F56" s="1">
        <f ca="1">IFERROR(__xludf.DUMMYFUNCTION("""COMPUTED_VALUE"""),31998799)</f>
        <v>31998799</v>
      </c>
    </row>
    <row r="57" spans="1:6" ht="12.6">
      <c r="A57" s="2">
        <f ca="1">IFERROR(__xludf.DUMMYFUNCTION("""COMPUTED_VALUE"""),44643.6666666666)</f>
        <v>44643.666666666599</v>
      </c>
      <c r="B57" s="1">
        <f ca="1">IFERROR(__xludf.DUMMYFUNCTION("""COMPUTED_VALUE"""),213.33)</f>
        <v>213.33</v>
      </c>
      <c r="C57" s="1">
        <f ca="1">IFERROR(__xludf.DUMMYFUNCTION("""COMPUTED_VALUE"""),216.8)</f>
        <v>216.8</v>
      </c>
      <c r="D57" s="1">
        <f ca="1">IFERROR(__xludf.DUMMYFUNCTION("""COMPUTED_VALUE"""),212.16)</f>
        <v>212.16</v>
      </c>
      <c r="E57" s="1">
        <f ca="1">IFERROR(__xludf.DUMMYFUNCTION("""COMPUTED_VALUE"""),213.46)</f>
        <v>213.46</v>
      </c>
      <c r="F57" s="1">
        <f ca="1">IFERROR(__xludf.DUMMYFUNCTION("""COMPUTED_VALUE"""),23717321)</f>
        <v>23717321</v>
      </c>
    </row>
    <row r="58" spans="1:6" ht="12.6">
      <c r="A58" s="2">
        <f ca="1">IFERROR(__xludf.DUMMYFUNCTION("""COMPUTED_VALUE"""),44644.6666666666)</f>
        <v>44644.666666666599</v>
      </c>
      <c r="B58" s="1">
        <f ca="1">IFERROR(__xludf.DUMMYFUNCTION("""COMPUTED_VALUE"""),215)</f>
        <v>215</v>
      </c>
      <c r="C58" s="1">
        <f ca="1">IFERROR(__xludf.DUMMYFUNCTION("""COMPUTED_VALUE"""),220.67)</f>
        <v>220.67</v>
      </c>
      <c r="D58" s="1">
        <f ca="1">IFERROR(__xludf.DUMMYFUNCTION("""COMPUTED_VALUE"""),214.79)</f>
        <v>214.79</v>
      </c>
      <c r="E58" s="1">
        <f ca="1">IFERROR(__xludf.DUMMYFUNCTION("""COMPUTED_VALUE"""),219.57)</f>
        <v>219.57</v>
      </c>
      <c r="F58" s="1">
        <f ca="1">IFERROR(__xludf.DUMMYFUNCTION("""COMPUTED_VALUE"""),31502314)</f>
        <v>31502314</v>
      </c>
    </row>
    <row r="59" spans="1:6" ht="12.6">
      <c r="A59" s="2">
        <f ca="1">IFERROR(__xludf.DUMMYFUNCTION("""COMPUTED_VALUE"""),44645.6666666666)</f>
        <v>44645.666666666599</v>
      </c>
      <c r="B59" s="1">
        <f ca="1">IFERROR(__xludf.DUMMYFUNCTION("""COMPUTED_VALUE"""),220.51)</f>
        <v>220.51</v>
      </c>
      <c r="C59" s="1">
        <f ca="1">IFERROR(__xludf.DUMMYFUNCTION("""COMPUTED_VALUE"""),225.5)</f>
        <v>225.5</v>
      </c>
      <c r="D59" s="1">
        <f ca="1">IFERROR(__xludf.DUMMYFUNCTION("""COMPUTED_VALUE"""),218.89)</f>
        <v>218.89</v>
      </c>
      <c r="E59" s="1">
        <f ca="1">IFERROR(__xludf.DUMMYFUNCTION("""COMPUTED_VALUE"""),221.82)</f>
        <v>221.82</v>
      </c>
      <c r="F59" s="1">
        <f ca="1">IFERROR(__xludf.DUMMYFUNCTION("""COMPUTED_VALUE"""),40039026)</f>
        <v>40039026</v>
      </c>
    </row>
    <row r="60" spans="1:6" ht="12.6">
      <c r="A60" s="2">
        <f ca="1">IFERROR(__xludf.DUMMYFUNCTION("""COMPUTED_VALUE"""),44648.6666666666)</f>
        <v>44648.666666666599</v>
      </c>
      <c r="B60" s="1">
        <f ca="1">IFERROR(__xludf.DUMMYFUNCTION("""COMPUTED_VALUE"""),222.13)</f>
        <v>222.13</v>
      </c>
      <c r="C60" s="1">
        <f ca="1">IFERROR(__xludf.DUMMYFUNCTION("""COMPUTED_VALUE"""),224.04)</f>
        <v>224.04</v>
      </c>
      <c r="D60" s="1">
        <f ca="1">IFERROR(__xludf.DUMMYFUNCTION("""COMPUTED_VALUE"""),219.54)</f>
        <v>219.54</v>
      </c>
      <c r="E60" s="1">
        <f ca="1">IFERROR(__xludf.DUMMYFUNCTION("""COMPUTED_VALUE"""),223.59)</f>
        <v>223.59</v>
      </c>
      <c r="F60" s="1">
        <f ca="1">IFERROR(__xludf.DUMMYFUNCTION("""COMPUTED_VALUE"""),26224141)</f>
        <v>26224141</v>
      </c>
    </row>
    <row r="61" spans="1:6" ht="12.6">
      <c r="A61" s="2">
        <f ca="1">IFERROR(__xludf.DUMMYFUNCTION("""COMPUTED_VALUE"""),44649.6666666666)</f>
        <v>44649.666666666599</v>
      </c>
      <c r="B61" s="1">
        <f ca="1">IFERROR(__xludf.DUMMYFUNCTION("""COMPUTED_VALUE"""),226.07)</f>
        <v>226.07</v>
      </c>
      <c r="C61" s="1">
        <f ca="1">IFERROR(__xludf.DUMMYFUNCTION("""COMPUTED_VALUE"""),230.89)</f>
        <v>230.89</v>
      </c>
      <c r="D61" s="1">
        <f ca="1">IFERROR(__xludf.DUMMYFUNCTION("""COMPUTED_VALUE"""),225.29)</f>
        <v>225.29</v>
      </c>
      <c r="E61" s="1">
        <f ca="1">IFERROR(__xludf.DUMMYFUNCTION("""COMPUTED_VALUE"""),229.86)</f>
        <v>229.86</v>
      </c>
      <c r="F61" s="1">
        <f ca="1">IFERROR(__xludf.DUMMYFUNCTION("""COMPUTED_VALUE"""),31417857)</f>
        <v>31417857</v>
      </c>
    </row>
    <row r="62" spans="1:6" ht="12.6">
      <c r="A62" s="2">
        <f ca="1">IFERROR(__xludf.DUMMYFUNCTION("""COMPUTED_VALUE"""),44650.6666666666)</f>
        <v>44650.666666666599</v>
      </c>
      <c r="B62" s="1">
        <f ca="1">IFERROR(__xludf.DUMMYFUNCTION("""COMPUTED_VALUE"""),228.91)</f>
        <v>228.91</v>
      </c>
      <c r="C62" s="1">
        <f ca="1">IFERROR(__xludf.DUMMYFUNCTION("""COMPUTED_VALUE"""),231.15)</f>
        <v>231.15</v>
      </c>
      <c r="D62" s="1">
        <f ca="1">IFERROR(__xludf.DUMMYFUNCTION("""COMPUTED_VALUE"""),226.71)</f>
        <v>226.71</v>
      </c>
      <c r="E62" s="1">
        <f ca="1">IFERROR(__xludf.DUMMYFUNCTION("""COMPUTED_VALUE"""),227.85)</f>
        <v>227.85</v>
      </c>
      <c r="F62" s="1">
        <f ca="1">IFERROR(__xludf.DUMMYFUNCTION("""COMPUTED_VALUE"""),25588046)</f>
        <v>25588046</v>
      </c>
    </row>
    <row r="63" spans="1:6" ht="12.6">
      <c r="A63" s="2">
        <f ca="1">IFERROR(__xludf.DUMMYFUNCTION("""COMPUTED_VALUE"""),44651.6666666666)</f>
        <v>44651.666666666599</v>
      </c>
      <c r="B63" s="1">
        <f ca="1">IFERROR(__xludf.DUMMYFUNCTION("""COMPUTED_VALUE"""),228.45)</f>
        <v>228.45</v>
      </c>
      <c r="C63" s="1">
        <f ca="1">IFERROR(__xludf.DUMMYFUNCTION("""COMPUTED_VALUE"""),228.49)</f>
        <v>228.49</v>
      </c>
      <c r="D63" s="1">
        <f ca="1">IFERROR(__xludf.DUMMYFUNCTION("""COMPUTED_VALUE"""),222.26)</f>
        <v>222.26</v>
      </c>
      <c r="E63" s="1">
        <f ca="1">IFERROR(__xludf.DUMMYFUNCTION("""COMPUTED_VALUE"""),222.36)</f>
        <v>222.36</v>
      </c>
      <c r="F63" s="1">
        <f ca="1">IFERROR(__xludf.DUMMYFUNCTION("""COMPUTED_VALUE"""),24192266)</f>
        <v>24192266</v>
      </c>
    </row>
    <row r="64" spans="1:6" ht="12.6">
      <c r="A64" s="2">
        <f ca="1">IFERROR(__xludf.DUMMYFUNCTION("""COMPUTED_VALUE"""),44652.6666666666)</f>
        <v>44652.666666666599</v>
      </c>
      <c r="B64" s="1">
        <f ca="1">IFERROR(__xludf.DUMMYFUNCTION("""COMPUTED_VALUE"""),224.55)</f>
        <v>224.55</v>
      </c>
      <c r="C64" s="1">
        <f ca="1">IFERROR(__xludf.DUMMYFUNCTION("""COMPUTED_VALUE"""),227.28)</f>
        <v>227.28</v>
      </c>
      <c r="D64" s="1">
        <f ca="1">IFERROR(__xludf.DUMMYFUNCTION("""COMPUTED_VALUE"""),222.7)</f>
        <v>222.7</v>
      </c>
      <c r="E64" s="1">
        <f ca="1">IFERROR(__xludf.DUMMYFUNCTION("""COMPUTED_VALUE"""),224.85)</f>
        <v>224.85</v>
      </c>
      <c r="F64" s="1">
        <f ca="1">IFERROR(__xludf.DUMMYFUNCTION("""COMPUTED_VALUE"""),19544758)</f>
        <v>19544758</v>
      </c>
    </row>
    <row r="65" spans="1:6" ht="12.6">
      <c r="A65" s="2">
        <f ca="1">IFERROR(__xludf.DUMMYFUNCTION("""COMPUTED_VALUE"""),44655.6666666666)</f>
        <v>44655.666666666599</v>
      </c>
      <c r="B65" s="1">
        <f ca="1">IFERROR(__xludf.DUMMYFUNCTION("""COMPUTED_VALUE"""),225.98)</f>
        <v>225.98</v>
      </c>
      <c r="C65" s="1">
        <f ca="1">IFERROR(__xludf.DUMMYFUNCTION("""COMPUTED_VALUE"""),234.35)</f>
        <v>234.35</v>
      </c>
      <c r="D65" s="1">
        <f ca="1">IFERROR(__xludf.DUMMYFUNCTION("""COMPUTED_VALUE"""),225.86)</f>
        <v>225.86</v>
      </c>
      <c r="E65" s="1">
        <f ca="1">IFERROR(__xludf.DUMMYFUNCTION("""COMPUTED_VALUE"""),233.89)</f>
        <v>233.89</v>
      </c>
      <c r="F65" s="1">
        <f ca="1">IFERROR(__xludf.DUMMYFUNCTION("""COMPUTED_VALUE"""),28100826)</f>
        <v>28100826</v>
      </c>
    </row>
    <row r="66" spans="1:6" ht="12.6">
      <c r="A66" s="2">
        <f ca="1">IFERROR(__xludf.DUMMYFUNCTION("""COMPUTED_VALUE"""),44656.6666666666)</f>
        <v>44656.666666666599</v>
      </c>
      <c r="B66" s="1">
        <f ca="1">IFERROR(__xludf.DUMMYFUNCTION("""COMPUTED_VALUE"""),234.08)</f>
        <v>234.08</v>
      </c>
      <c r="C66" s="1">
        <f ca="1">IFERROR(__xludf.DUMMYFUNCTION("""COMPUTED_VALUE"""),236.86)</f>
        <v>236.86</v>
      </c>
      <c r="D66" s="1">
        <f ca="1">IFERROR(__xludf.DUMMYFUNCTION("""COMPUTED_VALUE"""),231.02)</f>
        <v>231.02</v>
      </c>
      <c r="E66" s="1">
        <f ca="1">IFERROR(__xludf.DUMMYFUNCTION("""COMPUTED_VALUE"""),231.84)</f>
        <v>231.84</v>
      </c>
      <c r="F66" s="1">
        <f ca="1">IFERROR(__xludf.DUMMYFUNCTION("""COMPUTED_VALUE"""),29727181)</f>
        <v>29727181</v>
      </c>
    </row>
    <row r="67" spans="1:6" ht="12.6">
      <c r="A67" s="2">
        <f ca="1">IFERROR(__xludf.DUMMYFUNCTION("""COMPUTED_VALUE"""),44657.6666666666)</f>
        <v>44657.666666666599</v>
      </c>
      <c r="B67" s="1">
        <f ca="1">IFERROR(__xludf.DUMMYFUNCTION("""COMPUTED_VALUE"""),226.91)</f>
        <v>226.91</v>
      </c>
      <c r="C67" s="1">
        <f ca="1">IFERROR(__xludf.DUMMYFUNCTION("""COMPUTED_VALUE"""),228.99)</f>
        <v>228.99</v>
      </c>
      <c r="D67" s="1">
        <f ca="1">IFERROR(__xludf.DUMMYFUNCTION("""COMPUTED_VALUE"""),221.41)</f>
        <v>221.41</v>
      </c>
      <c r="E67" s="1">
        <f ca="1">IFERROR(__xludf.DUMMYFUNCTION("""COMPUTED_VALUE"""),223.3)</f>
        <v>223.3</v>
      </c>
      <c r="F67" s="1">
        <f ca="1">IFERROR(__xludf.DUMMYFUNCTION("""COMPUTED_VALUE"""),28995080)</f>
        <v>28995080</v>
      </c>
    </row>
    <row r="68" spans="1:6" ht="12.6">
      <c r="A68" s="2">
        <f ca="1">IFERROR(__xludf.DUMMYFUNCTION("""COMPUTED_VALUE"""),44658.6666666666)</f>
        <v>44658.666666666599</v>
      </c>
      <c r="B68" s="1">
        <f ca="1">IFERROR(__xludf.DUMMYFUNCTION("""COMPUTED_VALUE"""),223.93)</f>
        <v>223.93</v>
      </c>
      <c r="C68" s="1">
        <f ca="1">IFERROR(__xludf.DUMMYFUNCTION("""COMPUTED_VALUE"""),225.52)</f>
        <v>225.52</v>
      </c>
      <c r="D68" s="1">
        <f ca="1">IFERROR(__xludf.DUMMYFUNCTION("""COMPUTED_VALUE"""),218.56)</f>
        <v>218.56</v>
      </c>
      <c r="E68" s="1">
        <f ca="1">IFERROR(__xludf.DUMMYFUNCTION("""COMPUTED_VALUE"""),222.95)</f>
        <v>222.95</v>
      </c>
      <c r="F68" s="1">
        <f ca="1">IFERROR(__xludf.DUMMYFUNCTION("""COMPUTED_VALUE"""),21037187)</f>
        <v>21037187</v>
      </c>
    </row>
    <row r="69" spans="1:6" ht="12.6">
      <c r="A69" s="2">
        <f ca="1">IFERROR(__xludf.DUMMYFUNCTION("""COMPUTED_VALUE"""),44659.6666666666)</f>
        <v>44659.666666666599</v>
      </c>
      <c r="B69" s="1">
        <f ca="1">IFERROR(__xludf.DUMMYFUNCTION("""COMPUTED_VALUE"""),222.38)</f>
        <v>222.38</v>
      </c>
      <c r="C69" s="1">
        <f ca="1">IFERROR(__xludf.DUMMYFUNCTION("""COMPUTED_VALUE"""),225.13)</f>
        <v>225.13</v>
      </c>
      <c r="D69" s="1">
        <f ca="1">IFERROR(__xludf.DUMMYFUNCTION("""COMPUTED_VALUE"""),220.03)</f>
        <v>220.03</v>
      </c>
      <c r="E69" s="1">
        <f ca="1">IFERROR(__xludf.DUMMYFUNCTION("""COMPUTED_VALUE"""),222.33)</f>
        <v>222.33</v>
      </c>
      <c r="F69" s="1">
        <f ca="1">IFERROR(__xludf.DUMMYFUNCTION("""COMPUTED_VALUE"""),18375711)</f>
        <v>18375711</v>
      </c>
    </row>
    <row r="70" spans="1:6" ht="12.6">
      <c r="A70" s="2">
        <f ca="1">IFERROR(__xludf.DUMMYFUNCTION("""COMPUTED_VALUE"""),44662.6666666666)</f>
        <v>44662.666666666599</v>
      </c>
      <c r="B70" s="1">
        <f ca="1">IFERROR(__xludf.DUMMYFUNCTION("""COMPUTED_VALUE"""),218.42)</f>
        <v>218.42</v>
      </c>
      <c r="C70" s="1">
        <f ca="1">IFERROR(__xludf.DUMMYFUNCTION("""COMPUTED_VALUE"""),220.61)</f>
        <v>220.61</v>
      </c>
      <c r="D70" s="1">
        <f ca="1">IFERROR(__xludf.DUMMYFUNCTION("""COMPUTED_VALUE"""),215.22)</f>
        <v>215.22</v>
      </c>
      <c r="E70" s="1">
        <f ca="1">IFERROR(__xludf.DUMMYFUNCTION("""COMPUTED_VALUE"""),216.46)</f>
        <v>216.46</v>
      </c>
      <c r="F70" s="1">
        <f ca="1">IFERROR(__xludf.DUMMYFUNCTION("""COMPUTED_VALUE"""),20516586)</f>
        <v>20516586</v>
      </c>
    </row>
    <row r="71" spans="1:6" ht="12.6">
      <c r="A71" s="2">
        <f ca="1">IFERROR(__xludf.DUMMYFUNCTION("""COMPUTED_VALUE"""),44663.6666666666)</f>
        <v>44663.666666666599</v>
      </c>
      <c r="B71" s="1">
        <f ca="1">IFERROR(__xludf.DUMMYFUNCTION("""COMPUTED_VALUE"""),220.24)</f>
        <v>220.24</v>
      </c>
      <c r="C71" s="1">
        <f ca="1">IFERROR(__xludf.DUMMYFUNCTION("""COMPUTED_VALUE"""),222.03)</f>
        <v>222.03</v>
      </c>
      <c r="D71" s="1">
        <f ca="1">IFERROR(__xludf.DUMMYFUNCTION("""COMPUTED_VALUE"""),213.13)</f>
        <v>213.13</v>
      </c>
      <c r="E71" s="1">
        <f ca="1">IFERROR(__xludf.DUMMYFUNCTION("""COMPUTED_VALUE"""),214.14)</f>
        <v>214.14</v>
      </c>
      <c r="F71" s="1">
        <f ca="1">IFERROR(__xludf.DUMMYFUNCTION("""COMPUTED_VALUE"""),20128827)</f>
        <v>20128827</v>
      </c>
    </row>
    <row r="72" spans="1:6" ht="12.6">
      <c r="A72" s="2">
        <f ca="1">IFERROR(__xludf.DUMMYFUNCTION("""COMPUTED_VALUE"""),44664.6666666666)</f>
        <v>44664.666666666599</v>
      </c>
      <c r="B72" s="1">
        <f ca="1">IFERROR(__xludf.DUMMYFUNCTION("""COMPUTED_VALUE"""),211.82)</f>
        <v>211.82</v>
      </c>
      <c r="C72" s="1">
        <f ca="1">IFERROR(__xludf.DUMMYFUNCTION("""COMPUTED_VALUE"""),216.61)</f>
        <v>216.61</v>
      </c>
      <c r="D72" s="1">
        <f ca="1">IFERROR(__xludf.DUMMYFUNCTION("""COMPUTED_VALUE"""),211.33)</f>
        <v>211.33</v>
      </c>
      <c r="E72" s="1">
        <f ca="1">IFERROR(__xludf.DUMMYFUNCTION("""COMPUTED_VALUE"""),214.99)</f>
        <v>214.99</v>
      </c>
      <c r="F72" s="1">
        <f ca="1">IFERROR(__xludf.DUMMYFUNCTION("""COMPUTED_VALUE"""),19231816)</f>
        <v>19231816</v>
      </c>
    </row>
    <row r="73" spans="1:6" ht="12.6">
      <c r="A73" s="2">
        <f ca="1">IFERROR(__xludf.DUMMYFUNCTION("""COMPUTED_VALUE"""),44665.6666666666)</f>
        <v>44665.666666666599</v>
      </c>
      <c r="B73" s="1">
        <f ca="1">IFERROR(__xludf.DUMMYFUNCTION("""COMPUTED_VALUE"""),214.89)</f>
        <v>214.89</v>
      </c>
      <c r="C73" s="1">
        <f ca="1">IFERROR(__xludf.DUMMYFUNCTION("""COMPUTED_VALUE"""),214.99)</f>
        <v>214.99</v>
      </c>
      <c r="D73" s="1">
        <f ca="1">IFERROR(__xludf.DUMMYFUNCTION("""COMPUTED_VALUE"""),210)</f>
        <v>210</v>
      </c>
      <c r="E73" s="1">
        <f ca="1">IFERROR(__xludf.DUMMYFUNCTION("""COMPUTED_VALUE"""),210.18)</f>
        <v>210.18</v>
      </c>
      <c r="F73" s="1">
        <f ca="1">IFERROR(__xludf.DUMMYFUNCTION("""COMPUTED_VALUE"""),18379455)</f>
        <v>18379455</v>
      </c>
    </row>
    <row r="74" spans="1:6" ht="12.6">
      <c r="A74" s="2">
        <f ca="1">IFERROR(__xludf.DUMMYFUNCTION("""COMPUTED_VALUE"""),44669.6666666666)</f>
        <v>44669.666666666599</v>
      </c>
      <c r="B74" s="1">
        <f ca="1">IFERROR(__xludf.DUMMYFUNCTION("""COMPUTED_VALUE"""),210)</f>
        <v>210</v>
      </c>
      <c r="C74" s="1">
        <f ca="1">IFERROR(__xludf.DUMMYFUNCTION("""COMPUTED_VALUE"""),213.38)</f>
        <v>213.38</v>
      </c>
      <c r="D74" s="1">
        <f ca="1">IFERROR(__xludf.DUMMYFUNCTION("""COMPUTED_VALUE"""),208.3)</f>
        <v>208.3</v>
      </c>
      <c r="E74" s="1">
        <f ca="1">IFERROR(__xludf.DUMMYFUNCTION("""COMPUTED_VALUE"""),210.77)</f>
        <v>210.77</v>
      </c>
      <c r="F74" s="1">
        <f ca="1">IFERROR(__xludf.DUMMYFUNCTION("""COMPUTED_VALUE"""),16580792)</f>
        <v>16580792</v>
      </c>
    </row>
    <row r="75" spans="1:6" ht="12.6">
      <c r="A75" s="2">
        <f ca="1">IFERROR(__xludf.DUMMYFUNCTION("""COMPUTED_VALUE"""),44670.6666666666)</f>
        <v>44670.666666666599</v>
      </c>
      <c r="B75" s="1">
        <f ca="1">IFERROR(__xludf.DUMMYFUNCTION("""COMPUTED_VALUE"""),210.52)</f>
        <v>210.52</v>
      </c>
      <c r="C75" s="1">
        <f ca="1">IFERROR(__xludf.DUMMYFUNCTION("""COMPUTED_VALUE"""),218.43)</f>
        <v>218.43</v>
      </c>
      <c r="D75" s="1">
        <f ca="1">IFERROR(__xludf.DUMMYFUNCTION("""COMPUTED_VALUE"""),209)</f>
        <v>209</v>
      </c>
      <c r="E75" s="1">
        <f ca="1">IFERROR(__xludf.DUMMYFUNCTION("""COMPUTED_VALUE"""),217.31)</f>
        <v>217.31</v>
      </c>
      <c r="F75" s="1">
        <f ca="1">IFERROR(__xludf.DUMMYFUNCTION("""COMPUTED_VALUE"""),20089871)</f>
        <v>20089871</v>
      </c>
    </row>
    <row r="76" spans="1:6" ht="12.6">
      <c r="A76" s="2">
        <f ca="1">IFERROR(__xludf.DUMMYFUNCTION("""COMPUTED_VALUE"""),44671.6666666666)</f>
        <v>44671.666666666599</v>
      </c>
      <c r="B76" s="1">
        <f ca="1">IFERROR(__xludf.DUMMYFUNCTION("""COMPUTED_VALUE"""),213.61)</f>
        <v>213.61</v>
      </c>
      <c r="C76" s="1">
        <f ca="1">IFERROR(__xludf.DUMMYFUNCTION("""COMPUTED_VALUE"""),214.16)</f>
        <v>214.16</v>
      </c>
      <c r="D76" s="1">
        <f ca="1">IFERROR(__xludf.DUMMYFUNCTION("""COMPUTED_VALUE"""),198.92)</f>
        <v>198.92</v>
      </c>
      <c r="E76" s="1">
        <f ca="1">IFERROR(__xludf.DUMMYFUNCTION("""COMPUTED_VALUE"""),200.42)</f>
        <v>200.42</v>
      </c>
      <c r="F76" s="1">
        <f ca="1">IFERROR(__xludf.DUMMYFUNCTION("""COMPUTED_VALUE"""),43036528)</f>
        <v>43036528</v>
      </c>
    </row>
    <row r="77" spans="1:6" ht="12.6">
      <c r="A77" s="2">
        <f ca="1">IFERROR(__xludf.DUMMYFUNCTION("""COMPUTED_VALUE"""),44672.6666666666)</f>
        <v>44672.666666666599</v>
      </c>
      <c r="B77" s="1">
        <f ca="1">IFERROR(__xludf.DUMMYFUNCTION("""COMPUTED_VALUE"""),201.6)</f>
        <v>201.6</v>
      </c>
      <c r="C77" s="1">
        <f ca="1">IFERROR(__xludf.DUMMYFUNCTION("""COMPUTED_VALUE"""),202.97)</f>
        <v>202.97</v>
      </c>
      <c r="D77" s="1">
        <f ca="1">IFERROR(__xludf.DUMMYFUNCTION("""COMPUTED_VALUE"""),185.58)</f>
        <v>185.58</v>
      </c>
      <c r="E77" s="1">
        <f ca="1">IFERROR(__xludf.DUMMYFUNCTION("""COMPUTED_VALUE"""),188.07)</f>
        <v>188.07</v>
      </c>
      <c r="F77" s="1">
        <f ca="1">IFERROR(__xludf.DUMMYFUNCTION("""COMPUTED_VALUE"""),49954078)</f>
        <v>49954078</v>
      </c>
    </row>
    <row r="78" spans="1:6" ht="12.6">
      <c r="A78" s="2">
        <f ca="1">IFERROR(__xludf.DUMMYFUNCTION("""COMPUTED_VALUE"""),44673.6666666666)</f>
        <v>44673.666666666599</v>
      </c>
      <c r="B78" s="1">
        <f ca="1">IFERROR(__xludf.DUMMYFUNCTION("""COMPUTED_VALUE"""),190.37)</f>
        <v>190.37</v>
      </c>
      <c r="C78" s="1">
        <f ca="1">IFERROR(__xludf.DUMMYFUNCTION("""COMPUTED_VALUE"""),192.72)</f>
        <v>192.72</v>
      </c>
      <c r="D78" s="1">
        <f ca="1">IFERROR(__xludf.DUMMYFUNCTION("""COMPUTED_VALUE"""),183.27)</f>
        <v>183.27</v>
      </c>
      <c r="E78" s="1">
        <f ca="1">IFERROR(__xludf.DUMMYFUNCTION("""COMPUTED_VALUE"""),184.11)</f>
        <v>184.11</v>
      </c>
      <c r="F78" s="1">
        <f ca="1">IFERROR(__xludf.DUMMYFUNCTION("""COMPUTED_VALUE"""),36426769)</f>
        <v>36426769</v>
      </c>
    </row>
    <row r="79" spans="1:6" ht="12.6">
      <c r="A79" s="2">
        <f ca="1">IFERROR(__xludf.DUMMYFUNCTION("""COMPUTED_VALUE"""),44676.6666666666)</f>
        <v>44676.666666666599</v>
      </c>
      <c r="B79" s="1">
        <f ca="1">IFERROR(__xludf.DUMMYFUNCTION("""COMPUTED_VALUE"""),182.73)</f>
        <v>182.73</v>
      </c>
      <c r="C79" s="1">
        <f ca="1">IFERROR(__xludf.DUMMYFUNCTION("""COMPUTED_VALUE"""),187.18)</f>
        <v>187.18</v>
      </c>
      <c r="D79" s="1">
        <f ca="1">IFERROR(__xludf.DUMMYFUNCTION("""COMPUTED_VALUE"""),181.66)</f>
        <v>181.66</v>
      </c>
      <c r="E79" s="1">
        <f ca="1">IFERROR(__xludf.DUMMYFUNCTION("""COMPUTED_VALUE"""),186.99)</f>
        <v>186.99</v>
      </c>
      <c r="F79" s="1">
        <f ca="1">IFERROR(__xludf.DUMMYFUNCTION("""COMPUTED_VALUE"""),29281060)</f>
        <v>29281060</v>
      </c>
    </row>
    <row r="80" spans="1:6" ht="12.6">
      <c r="A80" s="2">
        <f ca="1">IFERROR(__xludf.DUMMYFUNCTION("""COMPUTED_VALUE"""),44677.6666666666)</f>
        <v>44677.666666666599</v>
      </c>
      <c r="B80" s="1">
        <f ca="1">IFERROR(__xludf.DUMMYFUNCTION("""COMPUTED_VALUE"""),186.63)</f>
        <v>186.63</v>
      </c>
      <c r="C80" s="1">
        <f ca="1">IFERROR(__xludf.DUMMYFUNCTION("""COMPUTED_VALUE"""),187.19)</f>
        <v>187.19</v>
      </c>
      <c r="D80" s="1">
        <f ca="1">IFERROR(__xludf.DUMMYFUNCTION("""COMPUTED_VALUE"""),179.5)</f>
        <v>179.5</v>
      </c>
      <c r="E80" s="1">
        <f ca="1">IFERROR(__xludf.DUMMYFUNCTION("""COMPUTED_VALUE"""),180.95)</f>
        <v>180.95</v>
      </c>
      <c r="F80" s="1">
        <f ca="1">IFERROR(__xludf.DUMMYFUNCTION("""COMPUTED_VALUE"""),31747434)</f>
        <v>31747434</v>
      </c>
    </row>
    <row r="81" spans="1:6" ht="12.6">
      <c r="A81" s="2">
        <f ca="1">IFERROR(__xludf.DUMMYFUNCTION("""COMPUTED_VALUE"""),44678.6666666666)</f>
        <v>44678.666666666599</v>
      </c>
      <c r="B81" s="1">
        <f ca="1">IFERROR(__xludf.DUMMYFUNCTION("""COMPUTED_VALUE"""),174.43)</f>
        <v>174.43</v>
      </c>
      <c r="C81" s="1">
        <f ca="1">IFERROR(__xludf.DUMMYFUNCTION("""COMPUTED_VALUE"""),181.21)</f>
        <v>181.21</v>
      </c>
      <c r="D81" s="1">
        <f ca="1">IFERROR(__xludf.DUMMYFUNCTION("""COMPUTED_VALUE"""),169)</f>
        <v>169</v>
      </c>
      <c r="E81" s="1">
        <f ca="1">IFERROR(__xludf.DUMMYFUNCTION("""COMPUTED_VALUE"""),174.95)</f>
        <v>174.95</v>
      </c>
      <c r="F81" s="1">
        <f ca="1">IFERROR(__xludf.DUMMYFUNCTION("""COMPUTED_VALUE"""),71062886)</f>
        <v>71062886</v>
      </c>
    </row>
    <row r="82" spans="1:6" ht="12.6">
      <c r="A82" s="2">
        <f ca="1">IFERROR(__xludf.DUMMYFUNCTION("""COMPUTED_VALUE"""),44679.6666666666)</f>
        <v>44679.666666666599</v>
      </c>
      <c r="B82" s="1">
        <f ca="1">IFERROR(__xludf.DUMMYFUNCTION("""COMPUTED_VALUE"""),202.92)</f>
        <v>202.92</v>
      </c>
      <c r="C82" s="1">
        <f ca="1">IFERROR(__xludf.DUMMYFUNCTION("""COMPUTED_VALUE"""),208.53)</f>
        <v>208.53</v>
      </c>
      <c r="D82" s="1">
        <f ca="1">IFERROR(__xludf.DUMMYFUNCTION("""COMPUTED_VALUE"""),192.9)</f>
        <v>192.9</v>
      </c>
      <c r="E82" s="1">
        <f ca="1">IFERROR(__xludf.DUMMYFUNCTION("""COMPUTED_VALUE"""),205.73)</f>
        <v>205.73</v>
      </c>
      <c r="F82" s="1">
        <f ca="1">IFERROR(__xludf.DUMMYFUNCTION("""COMPUTED_VALUE"""),100890551)</f>
        <v>100890551</v>
      </c>
    </row>
    <row r="83" spans="1:6" ht="12.6">
      <c r="A83" s="2">
        <f ca="1">IFERROR(__xludf.DUMMYFUNCTION("""COMPUTED_VALUE"""),44680.6666666666)</f>
        <v>44680.666666666599</v>
      </c>
      <c r="B83" s="1">
        <f ca="1">IFERROR(__xludf.DUMMYFUNCTION("""COMPUTED_VALUE"""),204.46)</f>
        <v>204.46</v>
      </c>
      <c r="C83" s="1">
        <f ca="1">IFERROR(__xludf.DUMMYFUNCTION("""COMPUTED_VALUE"""),212.48)</f>
        <v>212.48</v>
      </c>
      <c r="D83" s="1">
        <f ca="1">IFERROR(__xludf.DUMMYFUNCTION("""COMPUTED_VALUE"""),199.9)</f>
        <v>199.9</v>
      </c>
      <c r="E83" s="1">
        <f ca="1">IFERROR(__xludf.DUMMYFUNCTION("""COMPUTED_VALUE"""),200.47)</f>
        <v>200.47</v>
      </c>
      <c r="F83" s="1">
        <f ca="1">IFERROR(__xludf.DUMMYFUNCTION("""COMPUTED_VALUE"""),49193434)</f>
        <v>49193434</v>
      </c>
    </row>
    <row r="84" spans="1:6" ht="12.6">
      <c r="A84" s="2">
        <f ca="1">IFERROR(__xludf.DUMMYFUNCTION("""COMPUTED_VALUE"""),44683.6666666666)</f>
        <v>44683.666666666599</v>
      </c>
      <c r="B84" s="1">
        <f ca="1">IFERROR(__xludf.DUMMYFUNCTION("""COMPUTED_VALUE"""),201.17)</f>
        <v>201.17</v>
      </c>
      <c r="C84" s="1">
        <f ca="1">IFERROR(__xludf.DUMMYFUNCTION("""COMPUTED_VALUE"""),211.88)</f>
        <v>211.88</v>
      </c>
      <c r="D84" s="1">
        <f ca="1">IFERROR(__xludf.DUMMYFUNCTION("""COMPUTED_VALUE"""),200.99)</f>
        <v>200.99</v>
      </c>
      <c r="E84" s="1">
        <f ca="1">IFERROR(__xludf.DUMMYFUNCTION("""COMPUTED_VALUE"""),211.13)</f>
        <v>211.13</v>
      </c>
      <c r="F84" s="1">
        <f ca="1">IFERROR(__xludf.DUMMYFUNCTION("""COMPUTED_VALUE"""),49915289)</f>
        <v>49915289</v>
      </c>
    </row>
    <row r="85" spans="1:6" ht="12.6">
      <c r="A85" s="2">
        <f ca="1">IFERROR(__xludf.DUMMYFUNCTION("""COMPUTED_VALUE"""),44684.6666666666)</f>
        <v>44684.666666666599</v>
      </c>
      <c r="B85" s="1">
        <f ca="1">IFERROR(__xludf.DUMMYFUNCTION("""COMPUTED_VALUE"""),210.45)</f>
        <v>210.45</v>
      </c>
      <c r="C85" s="1">
        <f ca="1">IFERROR(__xludf.DUMMYFUNCTION("""COMPUTED_VALUE"""),214.9)</f>
        <v>214.9</v>
      </c>
      <c r="D85" s="1">
        <f ca="1">IFERROR(__xludf.DUMMYFUNCTION("""COMPUTED_VALUE"""),208.09)</f>
        <v>208.09</v>
      </c>
      <c r="E85" s="1">
        <f ca="1">IFERROR(__xludf.DUMMYFUNCTION("""COMPUTED_VALUE"""),212.03)</f>
        <v>212.03</v>
      </c>
      <c r="F85" s="1">
        <f ca="1">IFERROR(__xludf.DUMMYFUNCTION("""COMPUTED_VALUE"""),41556267)</f>
        <v>41556267</v>
      </c>
    </row>
    <row r="86" spans="1:6" ht="12.6">
      <c r="A86" s="2">
        <f ca="1">IFERROR(__xludf.DUMMYFUNCTION("""COMPUTED_VALUE"""),44685.6666666666)</f>
        <v>44685.666666666599</v>
      </c>
      <c r="B86" s="1">
        <f ca="1">IFERROR(__xludf.DUMMYFUNCTION("""COMPUTED_VALUE"""),210.65)</f>
        <v>210.65</v>
      </c>
      <c r="C86" s="1">
        <f ca="1">IFERROR(__xludf.DUMMYFUNCTION("""COMPUTED_VALUE"""),224.3)</f>
        <v>224.3</v>
      </c>
      <c r="D86" s="1">
        <f ca="1">IFERROR(__xludf.DUMMYFUNCTION("""COMPUTED_VALUE"""),206.96)</f>
        <v>206.96</v>
      </c>
      <c r="E86" s="1">
        <f ca="1">IFERROR(__xludf.DUMMYFUNCTION("""COMPUTED_VALUE"""),223.41)</f>
        <v>223.41</v>
      </c>
      <c r="F86" s="1">
        <f ca="1">IFERROR(__xludf.DUMMYFUNCTION("""COMPUTED_VALUE"""),41375881)</f>
        <v>41375881</v>
      </c>
    </row>
    <row r="87" spans="1:6" ht="12.6">
      <c r="A87" s="2">
        <f ca="1">IFERROR(__xludf.DUMMYFUNCTION("""COMPUTED_VALUE"""),44686.6666666666)</f>
        <v>44686.666666666599</v>
      </c>
      <c r="B87" s="1">
        <f ca="1">IFERROR(__xludf.DUMMYFUNCTION("""COMPUTED_VALUE"""),218.74)</f>
        <v>218.74</v>
      </c>
      <c r="C87" s="1">
        <f ca="1">IFERROR(__xludf.DUMMYFUNCTION("""COMPUTED_VALUE"""),220.17)</f>
        <v>220.17</v>
      </c>
      <c r="D87" s="1">
        <f ca="1">IFERROR(__xludf.DUMMYFUNCTION("""COMPUTED_VALUE"""),206.16)</f>
        <v>206.16</v>
      </c>
      <c r="E87" s="1">
        <f ca="1">IFERROR(__xludf.DUMMYFUNCTION("""COMPUTED_VALUE"""),208.28)</f>
        <v>208.28</v>
      </c>
      <c r="F87" s="1">
        <f ca="1">IFERROR(__xludf.DUMMYFUNCTION("""COMPUTED_VALUE"""),41129192)</f>
        <v>41129192</v>
      </c>
    </row>
    <row r="88" spans="1:6" ht="12.6">
      <c r="A88" s="2">
        <f ca="1">IFERROR(__xludf.DUMMYFUNCTION("""COMPUTED_VALUE"""),44687.6666666666)</f>
        <v>44687.666666666599</v>
      </c>
      <c r="B88" s="1">
        <f ca="1">IFERROR(__xludf.DUMMYFUNCTION("""COMPUTED_VALUE"""),207.34)</f>
        <v>207.34</v>
      </c>
      <c r="C88" s="1">
        <f ca="1">IFERROR(__xludf.DUMMYFUNCTION("""COMPUTED_VALUE"""),209.38)</f>
        <v>209.38</v>
      </c>
      <c r="D88" s="1">
        <f ca="1">IFERROR(__xludf.DUMMYFUNCTION("""COMPUTED_VALUE"""),201.02)</f>
        <v>201.02</v>
      </c>
      <c r="E88" s="1">
        <f ca="1">IFERROR(__xludf.DUMMYFUNCTION("""COMPUTED_VALUE"""),203.77)</f>
        <v>203.77</v>
      </c>
      <c r="F88" s="1">
        <f ca="1">IFERROR(__xludf.DUMMYFUNCTION("""COMPUTED_VALUE"""),34747158)</f>
        <v>34747158</v>
      </c>
    </row>
    <row r="89" spans="1:6" ht="12.6">
      <c r="A89" s="2">
        <f ca="1">IFERROR(__xludf.DUMMYFUNCTION("""COMPUTED_VALUE"""),44690.6666666666)</f>
        <v>44690.666666666599</v>
      </c>
      <c r="B89" s="1">
        <f ca="1">IFERROR(__xludf.DUMMYFUNCTION("""COMPUTED_VALUE"""),199.84)</f>
        <v>199.84</v>
      </c>
      <c r="C89" s="1">
        <f ca="1">IFERROR(__xludf.DUMMYFUNCTION("""COMPUTED_VALUE"""),202.57)</f>
        <v>202.57</v>
      </c>
      <c r="D89" s="1">
        <f ca="1">IFERROR(__xludf.DUMMYFUNCTION("""COMPUTED_VALUE"""),195.58)</f>
        <v>195.58</v>
      </c>
      <c r="E89" s="1">
        <f ca="1">IFERROR(__xludf.DUMMYFUNCTION("""COMPUTED_VALUE"""),196.21)</f>
        <v>196.21</v>
      </c>
      <c r="F89" s="1">
        <f ca="1">IFERROR(__xludf.DUMMYFUNCTION("""COMPUTED_VALUE"""),36303200)</f>
        <v>36303200</v>
      </c>
    </row>
    <row r="90" spans="1:6" ht="12.6">
      <c r="A90" s="2">
        <f ca="1">IFERROR(__xludf.DUMMYFUNCTION("""COMPUTED_VALUE"""),44691.6666666666)</f>
        <v>44691.666666666599</v>
      </c>
      <c r="B90" s="1">
        <f ca="1">IFERROR(__xludf.DUMMYFUNCTION("""COMPUTED_VALUE"""),199.51)</f>
        <v>199.51</v>
      </c>
      <c r="C90" s="1">
        <f ca="1">IFERROR(__xludf.DUMMYFUNCTION("""COMPUTED_VALUE"""),202.96)</f>
        <v>202.96</v>
      </c>
      <c r="D90" s="1">
        <f ca="1">IFERROR(__xludf.DUMMYFUNCTION("""COMPUTED_VALUE"""),194.19)</f>
        <v>194.19</v>
      </c>
      <c r="E90" s="1">
        <f ca="1">IFERROR(__xludf.DUMMYFUNCTION("""COMPUTED_VALUE"""),197.65)</f>
        <v>197.65</v>
      </c>
      <c r="F90" s="1">
        <f ca="1">IFERROR(__xludf.DUMMYFUNCTION("""COMPUTED_VALUE"""),34452491)</f>
        <v>34452491</v>
      </c>
    </row>
    <row r="91" spans="1:6" ht="12.6">
      <c r="A91" s="2">
        <f ca="1">IFERROR(__xludf.DUMMYFUNCTION("""COMPUTED_VALUE"""),44692.6666666666)</f>
        <v>44692.666666666599</v>
      </c>
      <c r="B91" s="1">
        <f ca="1">IFERROR(__xludf.DUMMYFUNCTION("""COMPUTED_VALUE"""),196.33)</f>
        <v>196.33</v>
      </c>
      <c r="C91" s="1">
        <f ca="1">IFERROR(__xludf.DUMMYFUNCTION("""COMPUTED_VALUE"""),200.67)</f>
        <v>200.67</v>
      </c>
      <c r="D91" s="1">
        <f ca="1">IFERROR(__xludf.DUMMYFUNCTION("""COMPUTED_VALUE"""),188.27)</f>
        <v>188.27</v>
      </c>
      <c r="E91" s="1">
        <f ca="1">IFERROR(__xludf.DUMMYFUNCTION("""COMPUTED_VALUE"""),188.74)</f>
        <v>188.74</v>
      </c>
      <c r="F91" s="1">
        <f ca="1">IFERROR(__xludf.DUMMYFUNCTION("""COMPUTED_VALUE"""),31153383)</f>
        <v>31153383</v>
      </c>
    </row>
    <row r="92" spans="1:6" ht="12.6">
      <c r="A92" s="2">
        <f ca="1">IFERROR(__xludf.DUMMYFUNCTION("""COMPUTED_VALUE"""),44693.6666666666)</f>
        <v>44693.666666666599</v>
      </c>
      <c r="B92" s="1">
        <f ca="1">IFERROR(__xludf.DUMMYFUNCTION("""COMPUTED_VALUE"""),187.06)</f>
        <v>187.06</v>
      </c>
      <c r="C92" s="1">
        <f ca="1">IFERROR(__xludf.DUMMYFUNCTION("""COMPUTED_VALUE"""),198.05)</f>
        <v>198.05</v>
      </c>
      <c r="D92" s="1">
        <f ca="1">IFERROR(__xludf.DUMMYFUNCTION("""COMPUTED_VALUE"""),184.78)</f>
        <v>184.78</v>
      </c>
      <c r="E92" s="1">
        <f ca="1">IFERROR(__xludf.DUMMYFUNCTION("""COMPUTED_VALUE"""),191.24)</f>
        <v>191.24</v>
      </c>
      <c r="F92" s="1">
        <f ca="1">IFERROR(__xludf.DUMMYFUNCTION("""COMPUTED_VALUE"""),38262226)</f>
        <v>38262226</v>
      </c>
    </row>
    <row r="93" spans="1:6" ht="12.6">
      <c r="A93" s="2">
        <f ca="1">IFERROR(__xludf.DUMMYFUNCTION("""COMPUTED_VALUE"""),44694.6666666666)</f>
        <v>44694.666666666599</v>
      </c>
      <c r="B93" s="1">
        <f ca="1">IFERROR(__xludf.DUMMYFUNCTION("""COMPUTED_VALUE"""),192.58)</f>
        <v>192.58</v>
      </c>
      <c r="C93" s="1">
        <f ca="1">IFERROR(__xludf.DUMMYFUNCTION("""COMPUTED_VALUE"""),199.89)</f>
        <v>199.89</v>
      </c>
      <c r="D93" s="1">
        <f ca="1">IFERROR(__xludf.DUMMYFUNCTION("""COMPUTED_VALUE"""),191.28)</f>
        <v>191.28</v>
      </c>
      <c r="E93" s="1">
        <f ca="1">IFERROR(__xludf.DUMMYFUNCTION("""COMPUTED_VALUE"""),198.62)</f>
        <v>198.62</v>
      </c>
      <c r="F93" s="1">
        <f ca="1">IFERROR(__xludf.DUMMYFUNCTION("""COMPUTED_VALUE"""),24549844)</f>
        <v>24549844</v>
      </c>
    </row>
    <row r="94" spans="1:6" ht="12.6">
      <c r="A94" s="2">
        <f ca="1">IFERROR(__xludf.DUMMYFUNCTION("""COMPUTED_VALUE"""),44697.6666666666)</f>
        <v>44697.666666666599</v>
      </c>
      <c r="B94" s="1">
        <f ca="1">IFERROR(__xludf.DUMMYFUNCTION("""COMPUTED_VALUE"""),197.05)</f>
        <v>197.05</v>
      </c>
      <c r="C94" s="1">
        <f ca="1">IFERROR(__xludf.DUMMYFUNCTION("""COMPUTED_VALUE"""),205.37)</f>
        <v>205.37</v>
      </c>
      <c r="D94" s="1">
        <f ca="1">IFERROR(__xludf.DUMMYFUNCTION("""COMPUTED_VALUE"""),195.93)</f>
        <v>195.93</v>
      </c>
      <c r="E94" s="1">
        <f ca="1">IFERROR(__xludf.DUMMYFUNCTION("""COMPUTED_VALUE"""),200.04)</f>
        <v>200.04</v>
      </c>
      <c r="F94" s="1">
        <f ca="1">IFERROR(__xludf.DUMMYFUNCTION("""COMPUTED_VALUE"""),27112595)</f>
        <v>27112595</v>
      </c>
    </row>
    <row r="95" spans="1:6" ht="12.6">
      <c r="A95" s="2">
        <f ca="1">IFERROR(__xludf.DUMMYFUNCTION("""COMPUTED_VALUE"""),44698.6666666666)</f>
        <v>44698.666666666599</v>
      </c>
      <c r="B95" s="1">
        <f ca="1">IFERROR(__xludf.DUMMYFUNCTION("""COMPUTED_VALUE"""),202.12)</f>
        <v>202.12</v>
      </c>
      <c r="C95" s="1">
        <f ca="1">IFERROR(__xludf.DUMMYFUNCTION("""COMPUTED_VALUE"""),205.46)</f>
        <v>205.46</v>
      </c>
      <c r="D95" s="1">
        <f ca="1">IFERROR(__xludf.DUMMYFUNCTION("""COMPUTED_VALUE"""),198.36)</f>
        <v>198.36</v>
      </c>
      <c r="E95" s="1">
        <f ca="1">IFERROR(__xludf.DUMMYFUNCTION("""COMPUTED_VALUE"""),202.62)</f>
        <v>202.62</v>
      </c>
      <c r="F95" s="1">
        <f ca="1">IFERROR(__xludf.DUMMYFUNCTION("""COMPUTED_VALUE"""),24872729)</f>
        <v>24872729</v>
      </c>
    </row>
    <row r="96" spans="1:6" ht="12.6">
      <c r="A96" s="2">
        <f ca="1">IFERROR(__xludf.DUMMYFUNCTION("""COMPUTED_VALUE"""),44699.6666666666)</f>
        <v>44699.666666666599</v>
      </c>
      <c r="B96" s="1">
        <f ca="1">IFERROR(__xludf.DUMMYFUNCTION("""COMPUTED_VALUE"""),200)</f>
        <v>200</v>
      </c>
      <c r="C96" s="1">
        <f ca="1">IFERROR(__xludf.DUMMYFUNCTION("""COMPUTED_VALUE"""),201)</f>
        <v>201</v>
      </c>
      <c r="D96" s="1">
        <f ca="1">IFERROR(__xludf.DUMMYFUNCTION("""COMPUTED_VALUE"""),191.63)</f>
        <v>191.63</v>
      </c>
      <c r="E96" s="1">
        <f ca="1">IFERROR(__xludf.DUMMYFUNCTION("""COMPUTED_VALUE"""),192.24)</f>
        <v>192.24</v>
      </c>
      <c r="F96" s="1">
        <f ca="1">IFERROR(__xludf.DUMMYFUNCTION("""COMPUTED_VALUE"""),23959966)</f>
        <v>23959966</v>
      </c>
    </row>
    <row r="97" spans="1:6" ht="12.6">
      <c r="A97" s="2">
        <f ca="1">IFERROR(__xludf.DUMMYFUNCTION("""COMPUTED_VALUE"""),44700.6666666666)</f>
        <v>44700.666666666599</v>
      </c>
      <c r="B97" s="1">
        <f ca="1">IFERROR(__xludf.DUMMYFUNCTION("""COMPUTED_VALUE"""),191.2)</f>
        <v>191.2</v>
      </c>
      <c r="C97" s="1">
        <f ca="1">IFERROR(__xludf.DUMMYFUNCTION("""COMPUTED_VALUE"""),195.29)</f>
        <v>195.29</v>
      </c>
      <c r="D97" s="1">
        <f ca="1">IFERROR(__xludf.DUMMYFUNCTION("""COMPUTED_VALUE"""),189.6)</f>
        <v>189.6</v>
      </c>
      <c r="E97" s="1">
        <f ca="1">IFERROR(__xludf.DUMMYFUNCTION("""COMPUTED_VALUE"""),191.29)</f>
        <v>191.29</v>
      </c>
      <c r="F97" s="1">
        <f ca="1">IFERROR(__xludf.DUMMYFUNCTION("""COMPUTED_VALUE"""),24446938)</f>
        <v>24446938</v>
      </c>
    </row>
    <row r="98" spans="1:6" ht="12.6">
      <c r="A98" s="2">
        <f ca="1">IFERROR(__xludf.DUMMYFUNCTION("""COMPUTED_VALUE"""),44701.6666666666)</f>
        <v>44701.666666666599</v>
      </c>
      <c r="B98" s="1">
        <f ca="1">IFERROR(__xludf.DUMMYFUNCTION("""COMPUTED_VALUE"""),194.97)</f>
        <v>194.97</v>
      </c>
      <c r="C98" s="1">
        <f ca="1">IFERROR(__xludf.DUMMYFUNCTION("""COMPUTED_VALUE"""),197.91)</f>
        <v>197.91</v>
      </c>
      <c r="D98" s="1">
        <f ca="1">IFERROR(__xludf.DUMMYFUNCTION("""COMPUTED_VALUE"""),187.87)</f>
        <v>187.87</v>
      </c>
      <c r="E98" s="1">
        <f ca="1">IFERROR(__xludf.DUMMYFUNCTION("""COMPUTED_VALUE"""),193.54)</f>
        <v>193.54</v>
      </c>
      <c r="F98" s="1">
        <f ca="1">IFERROR(__xludf.DUMMYFUNCTION("""COMPUTED_VALUE"""),31465570)</f>
        <v>31465570</v>
      </c>
    </row>
    <row r="99" spans="1:6" ht="12.6">
      <c r="A99" s="2">
        <f ca="1">IFERROR(__xludf.DUMMYFUNCTION("""COMPUTED_VALUE"""),44704.6666666666)</f>
        <v>44704.666666666599</v>
      </c>
      <c r="B99" s="1">
        <f ca="1">IFERROR(__xludf.DUMMYFUNCTION("""COMPUTED_VALUE"""),195.19)</f>
        <v>195.19</v>
      </c>
      <c r="C99" s="1">
        <f ca="1">IFERROR(__xludf.DUMMYFUNCTION("""COMPUTED_VALUE"""),196.99)</f>
        <v>196.99</v>
      </c>
      <c r="D99" s="1">
        <f ca="1">IFERROR(__xludf.DUMMYFUNCTION("""COMPUTED_VALUE"""),191.24)</f>
        <v>191.24</v>
      </c>
      <c r="E99" s="1">
        <f ca="1">IFERROR(__xludf.DUMMYFUNCTION("""COMPUTED_VALUE"""),196.23)</f>
        <v>196.23</v>
      </c>
      <c r="F99" s="1">
        <f ca="1">IFERROR(__xludf.DUMMYFUNCTION("""COMPUTED_VALUE"""),25059161)</f>
        <v>25059161</v>
      </c>
    </row>
    <row r="100" spans="1:6" ht="12.6">
      <c r="A100" s="2">
        <f ca="1">IFERROR(__xludf.DUMMYFUNCTION("""COMPUTED_VALUE"""),44705.6666666666)</f>
        <v>44705.666666666599</v>
      </c>
      <c r="B100" s="1">
        <f ca="1">IFERROR(__xludf.DUMMYFUNCTION("""COMPUTED_VALUE"""),180.55)</f>
        <v>180.55</v>
      </c>
      <c r="C100" s="1">
        <f ca="1">IFERROR(__xludf.DUMMYFUNCTION("""COMPUTED_VALUE"""),183.68)</f>
        <v>183.68</v>
      </c>
      <c r="D100" s="1">
        <f ca="1">IFERROR(__xludf.DUMMYFUNCTION("""COMPUTED_VALUE"""),176.11)</f>
        <v>176.11</v>
      </c>
      <c r="E100" s="1">
        <f ca="1">IFERROR(__xludf.DUMMYFUNCTION("""COMPUTED_VALUE"""),181.28)</f>
        <v>181.28</v>
      </c>
      <c r="F100" s="1">
        <f ca="1">IFERROR(__xludf.DUMMYFUNCTION("""COMPUTED_VALUE"""),50406273)</f>
        <v>50406273</v>
      </c>
    </row>
    <row r="101" spans="1:6" ht="12.6">
      <c r="A101" s="2">
        <f ca="1">IFERROR(__xludf.DUMMYFUNCTION("""COMPUTED_VALUE"""),44706.6666666666)</f>
        <v>44706.666666666599</v>
      </c>
      <c r="B101" s="1">
        <f ca="1">IFERROR(__xludf.DUMMYFUNCTION("""COMPUTED_VALUE"""),180.4)</f>
        <v>180.4</v>
      </c>
      <c r="C101" s="1">
        <f ca="1">IFERROR(__xludf.DUMMYFUNCTION("""COMPUTED_VALUE"""),185.45)</f>
        <v>185.45</v>
      </c>
      <c r="D101" s="1">
        <f ca="1">IFERROR(__xludf.DUMMYFUNCTION("""COMPUTED_VALUE"""),179.32)</f>
        <v>179.32</v>
      </c>
      <c r="E101" s="1">
        <f ca="1">IFERROR(__xludf.DUMMYFUNCTION("""COMPUTED_VALUE"""),183.83)</f>
        <v>183.83</v>
      </c>
      <c r="F101" s="1">
        <f ca="1">IFERROR(__xludf.DUMMYFUNCTION("""COMPUTED_VALUE"""),28030194)</f>
        <v>28030194</v>
      </c>
    </row>
    <row r="102" spans="1:6" ht="12.6">
      <c r="A102" s="2">
        <f ca="1">IFERROR(__xludf.DUMMYFUNCTION("""COMPUTED_VALUE"""),44707.6666666666)</f>
        <v>44707.666666666599</v>
      </c>
      <c r="B102" s="1">
        <f ca="1">IFERROR(__xludf.DUMMYFUNCTION("""COMPUTED_VALUE"""),182.88)</f>
        <v>182.88</v>
      </c>
      <c r="C102" s="1">
        <f ca="1">IFERROR(__xludf.DUMMYFUNCTION("""COMPUTED_VALUE"""),192.83)</f>
        <v>192.83</v>
      </c>
      <c r="D102" s="1">
        <f ca="1">IFERROR(__xludf.DUMMYFUNCTION("""COMPUTED_VALUE"""),182.26)</f>
        <v>182.26</v>
      </c>
      <c r="E102" s="1">
        <f ca="1">IFERROR(__xludf.DUMMYFUNCTION("""COMPUTED_VALUE"""),191.63)</f>
        <v>191.63</v>
      </c>
      <c r="F102" s="1">
        <f ca="1">IFERROR(__xludf.DUMMYFUNCTION("""COMPUTED_VALUE"""),23056455)</f>
        <v>23056455</v>
      </c>
    </row>
    <row r="103" spans="1:6" ht="12.6">
      <c r="A103" s="2">
        <f ca="1">IFERROR(__xludf.DUMMYFUNCTION("""COMPUTED_VALUE"""),44708.6666666666)</f>
        <v>44708.666666666599</v>
      </c>
      <c r="B103" s="1">
        <f ca="1">IFERROR(__xludf.DUMMYFUNCTION("""COMPUTED_VALUE"""),191.36)</f>
        <v>191.36</v>
      </c>
      <c r="C103" s="1">
        <f ca="1">IFERROR(__xludf.DUMMYFUNCTION("""COMPUTED_VALUE"""),195.33)</f>
        <v>195.33</v>
      </c>
      <c r="D103" s="1">
        <f ca="1">IFERROR(__xludf.DUMMYFUNCTION("""COMPUTED_VALUE"""),189.8)</f>
        <v>189.8</v>
      </c>
      <c r="E103" s="1">
        <f ca="1">IFERROR(__xludf.DUMMYFUNCTION("""COMPUTED_VALUE"""),195.13)</f>
        <v>195.13</v>
      </c>
      <c r="F103" s="1">
        <f ca="1">IFERROR(__xludf.DUMMYFUNCTION("""COMPUTED_VALUE"""),22562727)</f>
        <v>22562727</v>
      </c>
    </row>
    <row r="104" spans="1:6" ht="12.6">
      <c r="A104" s="2">
        <f ca="1">IFERROR(__xludf.DUMMYFUNCTION("""COMPUTED_VALUE"""),44712.6666666666)</f>
        <v>44712.666666666599</v>
      </c>
      <c r="B104" s="1">
        <f ca="1">IFERROR(__xludf.DUMMYFUNCTION("""COMPUTED_VALUE"""),194.89)</f>
        <v>194.89</v>
      </c>
      <c r="C104" s="1">
        <f ca="1">IFERROR(__xludf.DUMMYFUNCTION("""COMPUTED_VALUE"""),197.6)</f>
        <v>197.6</v>
      </c>
      <c r="D104" s="1">
        <f ca="1">IFERROR(__xludf.DUMMYFUNCTION("""COMPUTED_VALUE"""),192.01)</f>
        <v>192.01</v>
      </c>
      <c r="E104" s="1">
        <f ca="1">IFERROR(__xludf.DUMMYFUNCTION("""COMPUTED_VALUE"""),193.64)</f>
        <v>193.64</v>
      </c>
      <c r="F104" s="1">
        <f ca="1">IFERROR(__xludf.DUMMYFUNCTION("""COMPUTED_VALUE"""),26131103)</f>
        <v>26131103</v>
      </c>
    </row>
    <row r="105" spans="1:6" ht="12.6">
      <c r="A105" s="2">
        <f ca="1">IFERROR(__xludf.DUMMYFUNCTION("""COMPUTED_VALUE"""),44713.6666666666)</f>
        <v>44713.666666666599</v>
      </c>
      <c r="B105" s="1">
        <f ca="1">IFERROR(__xludf.DUMMYFUNCTION("""COMPUTED_VALUE"""),196.51)</f>
        <v>196.51</v>
      </c>
      <c r="C105" s="1">
        <f ca="1">IFERROR(__xludf.DUMMYFUNCTION("""COMPUTED_VALUE"""),199.53)</f>
        <v>199.53</v>
      </c>
      <c r="D105" s="1">
        <f ca="1">IFERROR(__xludf.DUMMYFUNCTION("""COMPUTED_VALUE"""),185)</f>
        <v>185</v>
      </c>
      <c r="E105" s="1">
        <f ca="1">IFERROR(__xludf.DUMMYFUNCTION("""COMPUTED_VALUE"""),188.64)</f>
        <v>188.64</v>
      </c>
      <c r="F105" s="1">
        <f ca="1">IFERROR(__xludf.DUMMYFUNCTION("""COMPUTED_VALUE"""),36623495)</f>
        <v>36623495</v>
      </c>
    </row>
    <row r="106" spans="1:6" ht="12.6">
      <c r="A106" s="2">
        <f ca="1">IFERROR(__xludf.DUMMYFUNCTION("""COMPUTED_VALUE"""),44714.6666666666)</f>
        <v>44714.666666666599</v>
      </c>
      <c r="B106" s="1">
        <f ca="1">IFERROR(__xludf.DUMMYFUNCTION("""COMPUTED_VALUE"""),188.45)</f>
        <v>188.45</v>
      </c>
      <c r="C106" s="1">
        <f ca="1">IFERROR(__xludf.DUMMYFUNCTION("""COMPUTED_VALUE"""),200.94)</f>
        <v>200.94</v>
      </c>
      <c r="D106" s="1">
        <f ca="1">IFERROR(__xludf.DUMMYFUNCTION("""COMPUTED_VALUE"""),187.73)</f>
        <v>187.73</v>
      </c>
      <c r="E106" s="1">
        <f ca="1">IFERROR(__xludf.DUMMYFUNCTION("""COMPUTED_VALUE"""),198.86)</f>
        <v>198.86</v>
      </c>
      <c r="F106" s="1">
        <f ca="1">IFERROR(__xludf.DUMMYFUNCTION("""COMPUTED_VALUE"""),31951582)</f>
        <v>31951582</v>
      </c>
    </row>
    <row r="107" spans="1:6" ht="12.6">
      <c r="A107" s="2">
        <f ca="1">IFERROR(__xludf.DUMMYFUNCTION("""COMPUTED_VALUE"""),44715.6666666666)</f>
        <v>44715.666666666599</v>
      </c>
      <c r="B107" s="1">
        <f ca="1">IFERROR(__xludf.DUMMYFUNCTION("""COMPUTED_VALUE"""),195.98)</f>
        <v>195.98</v>
      </c>
      <c r="C107" s="1">
        <f ca="1">IFERROR(__xludf.DUMMYFUNCTION("""COMPUTED_VALUE"""),196.61)</f>
        <v>196.61</v>
      </c>
      <c r="D107" s="1">
        <f ca="1">IFERROR(__xludf.DUMMYFUNCTION("""COMPUTED_VALUE"""),189.78)</f>
        <v>189.78</v>
      </c>
      <c r="E107" s="1">
        <f ca="1">IFERROR(__xludf.DUMMYFUNCTION("""COMPUTED_VALUE"""),190.78)</f>
        <v>190.78</v>
      </c>
      <c r="F107" s="1">
        <f ca="1">IFERROR(__xludf.DUMMYFUNCTION("""COMPUTED_VALUE"""),19464993)</f>
        <v>19464993</v>
      </c>
    </row>
    <row r="108" spans="1:6" ht="12.6">
      <c r="A108" s="2">
        <f ca="1">IFERROR(__xludf.DUMMYFUNCTION("""COMPUTED_VALUE"""),44718.6666666666)</f>
        <v>44718.666666666599</v>
      </c>
      <c r="B108" s="1">
        <f ca="1">IFERROR(__xludf.DUMMYFUNCTION("""COMPUTED_VALUE"""),193.99)</f>
        <v>193.99</v>
      </c>
      <c r="C108" s="1">
        <f ca="1">IFERROR(__xludf.DUMMYFUNCTION("""COMPUTED_VALUE"""),196.92)</f>
        <v>196.92</v>
      </c>
      <c r="D108" s="1">
        <f ca="1">IFERROR(__xludf.DUMMYFUNCTION("""COMPUTED_VALUE"""),188.4)</f>
        <v>188.4</v>
      </c>
      <c r="E108" s="1">
        <f ca="1">IFERROR(__xludf.DUMMYFUNCTION("""COMPUTED_VALUE"""),194.25)</f>
        <v>194.25</v>
      </c>
      <c r="F108" s="1">
        <f ca="1">IFERROR(__xludf.DUMMYFUNCTION("""COMPUTED_VALUE"""),30574242)</f>
        <v>30574242</v>
      </c>
    </row>
    <row r="109" spans="1:6" ht="12.6">
      <c r="A109" s="2">
        <f ca="1">IFERROR(__xludf.DUMMYFUNCTION("""COMPUTED_VALUE"""),44719.6666666666)</f>
        <v>44719.666666666599</v>
      </c>
      <c r="B109" s="1">
        <f ca="1">IFERROR(__xludf.DUMMYFUNCTION("""COMPUTED_VALUE"""),191.93)</f>
        <v>191.93</v>
      </c>
      <c r="C109" s="1">
        <f ca="1">IFERROR(__xludf.DUMMYFUNCTION("""COMPUTED_VALUE"""),196.53)</f>
        <v>196.53</v>
      </c>
      <c r="D109" s="1">
        <f ca="1">IFERROR(__xludf.DUMMYFUNCTION("""COMPUTED_VALUE"""),191.49)</f>
        <v>191.49</v>
      </c>
      <c r="E109" s="1">
        <f ca="1">IFERROR(__xludf.DUMMYFUNCTION("""COMPUTED_VALUE"""),195.65)</f>
        <v>195.65</v>
      </c>
      <c r="F109" s="1">
        <f ca="1">IFERROR(__xludf.DUMMYFUNCTION("""COMPUTED_VALUE"""),18828687)</f>
        <v>18828687</v>
      </c>
    </row>
    <row r="110" spans="1:6" ht="12.6">
      <c r="A110" s="2">
        <f ca="1">IFERROR(__xludf.DUMMYFUNCTION("""COMPUTED_VALUE"""),44720.6666666666)</f>
        <v>44720.666666666599</v>
      </c>
      <c r="B110" s="1">
        <f ca="1">IFERROR(__xludf.DUMMYFUNCTION("""COMPUTED_VALUE"""),194.67)</f>
        <v>194.67</v>
      </c>
      <c r="C110" s="1">
        <f ca="1">IFERROR(__xludf.DUMMYFUNCTION("""COMPUTED_VALUE"""),202.03)</f>
        <v>202.03</v>
      </c>
      <c r="D110" s="1">
        <f ca="1">IFERROR(__xludf.DUMMYFUNCTION("""COMPUTED_VALUE"""),194.41)</f>
        <v>194.41</v>
      </c>
      <c r="E110" s="1">
        <f ca="1">IFERROR(__xludf.DUMMYFUNCTION("""COMPUTED_VALUE"""),196.64)</f>
        <v>196.64</v>
      </c>
      <c r="F110" s="1">
        <f ca="1">IFERROR(__xludf.DUMMYFUNCTION("""COMPUTED_VALUE"""),22267154)</f>
        <v>22267154</v>
      </c>
    </row>
    <row r="111" spans="1:6" ht="12.6">
      <c r="A111" s="2">
        <f ca="1">IFERROR(__xludf.DUMMYFUNCTION("""COMPUTED_VALUE"""),44721.6666666666)</f>
        <v>44721.666666666599</v>
      </c>
      <c r="B111" s="1">
        <f ca="1">IFERROR(__xludf.DUMMYFUNCTION("""COMPUTED_VALUE"""),194.28)</f>
        <v>194.28</v>
      </c>
      <c r="C111" s="1">
        <f ca="1">IFERROR(__xludf.DUMMYFUNCTION("""COMPUTED_VALUE"""),199.45)</f>
        <v>199.45</v>
      </c>
      <c r="D111" s="1">
        <f ca="1">IFERROR(__xludf.DUMMYFUNCTION("""COMPUTED_VALUE"""),183.68)</f>
        <v>183.68</v>
      </c>
      <c r="E111" s="1">
        <f ca="1">IFERROR(__xludf.DUMMYFUNCTION("""COMPUTED_VALUE"""),184)</f>
        <v>184</v>
      </c>
      <c r="F111" s="1">
        <f ca="1">IFERROR(__xludf.DUMMYFUNCTION("""COMPUTED_VALUE"""),23501579)</f>
        <v>23501579</v>
      </c>
    </row>
    <row r="112" spans="1:6" ht="12.6">
      <c r="A112" s="2">
        <f ca="1">IFERROR(__xludf.DUMMYFUNCTION("""COMPUTED_VALUE"""),44722.6666666666)</f>
        <v>44722.666666666599</v>
      </c>
      <c r="B112" s="1">
        <f ca="1">IFERROR(__xludf.DUMMYFUNCTION("""COMPUTED_VALUE"""),183.04)</f>
        <v>183.04</v>
      </c>
      <c r="C112" s="1">
        <f ca="1">IFERROR(__xludf.DUMMYFUNCTION("""COMPUTED_VALUE"""),183.1)</f>
        <v>183.1</v>
      </c>
      <c r="D112" s="1">
        <f ca="1">IFERROR(__xludf.DUMMYFUNCTION("""COMPUTED_VALUE"""),175.02)</f>
        <v>175.02</v>
      </c>
      <c r="E112" s="1">
        <f ca="1">IFERROR(__xludf.DUMMYFUNCTION("""COMPUTED_VALUE"""),175.57)</f>
        <v>175.57</v>
      </c>
      <c r="F112" s="1">
        <f ca="1">IFERROR(__xludf.DUMMYFUNCTION("""COMPUTED_VALUE"""),27478354)</f>
        <v>27478354</v>
      </c>
    </row>
    <row r="113" spans="1:6" ht="12.6">
      <c r="A113" s="2">
        <f ca="1">IFERROR(__xludf.DUMMYFUNCTION("""COMPUTED_VALUE"""),44725.6666666666)</f>
        <v>44725.666666666599</v>
      </c>
      <c r="B113" s="1">
        <f ca="1">IFERROR(__xludf.DUMMYFUNCTION("""COMPUTED_VALUE"""),170.59)</f>
        <v>170.59</v>
      </c>
      <c r="C113" s="1">
        <f ca="1">IFERROR(__xludf.DUMMYFUNCTION("""COMPUTED_VALUE"""),172.58)</f>
        <v>172.58</v>
      </c>
      <c r="D113" s="1">
        <f ca="1">IFERROR(__xludf.DUMMYFUNCTION("""COMPUTED_VALUE"""),164.03)</f>
        <v>164.03</v>
      </c>
      <c r="E113" s="1">
        <f ca="1">IFERROR(__xludf.DUMMYFUNCTION("""COMPUTED_VALUE"""),164.26)</f>
        <v>164.26</v>
      </c>
      <c r="F113" s="1">
        <f ca="1">IFERROR(__xludf.DUMMYFUNCTION("""COMPUTED_VALUE"""),31749304)</f>
        <v>31749304</v>
      </c>
    </row>
    <row r="114" spans="1:6" ht="12.6">
      <c r="A114" s="2">
        <f ca="1">IFERROR(__xludf.DUMMYFUNCTION("""COMPUTED_VALUE"""),44726.6666666666)</f>
        <v>44726.666666666599</v>
      </c>
      <c r="B114" s="1">
        <f ca="1">IFERROR(__xludf.DUMMYFUNCTION("""COMPUTED_VALUE"""),166.03)</f>
        <v>166.03</v>
      </c>
      <c r="C114" s="1">
        <f ca="1">IFERROR(__xludf.DUMMYFUNCTION("""COMPUTED_VALUE"""),166.75)</f>
        <v>166.75</v>
      </c>
      <c r="D114" s="1">
        <f ca="1">IFERROR(__xludf.DUMMYFUNCTION("""COMPUTED_VALUE"""),161.36)</f>
        <v>161.36000000000001</v>
      </c>
      <c r="E114" s="1">
        <f ca="1">IFERROR(__xludf.DUMMYFUNCTION("""COMPUTED_VALUE"""),163.73)</f>
        <v>163.72999999999999</v>
      </c>
      <c r="F114" s="1">
        <f ca="1">IFERROR(__xludf.DUMMYFUNCTION("""COMPUTED_VALUE"""),27244274)</f>
        <v>27244274</v>
      </c>
    </row>
    <row r="115" spans="1:6" ht="12.6">
      <c r="A115" s="2">
        <f ca="1">IFERROR(__xludf.DUMMYFUNCTION("""COMPUTED_VALUE"""),44727.6666666666)</f>
        <v>44727.666666666599</v>
      </c>
      <c r="B115" s="1">
        <f ca="1">IFERROR(__xludf.DUMMYFUNCTION("""COMPUTED_VALUE"""),167.2)</f>
        <v>167.2</v>
      </c>
      <c r="C115" s="1">
        <f ca="1">IFERROR(__xludf.DUMMYFUNCTION("""COMPUTED_VALUE"""),172.16)</f>
        <v>172.16</v>
      </c>
      <c r="D115" s="1">
        <f ca="1">IFERROR(__xludf.DUMMYFUNCTION("""COMPUTED_VALUE"""),163.98)</f>
        <v>163.98</v>
      </c>
      <c r="E115" s="1">
        <f ca="1">IFERROR(__xludf.DUMMYFUNCTION("""COMPUTED_VALUE"""),169.35)</f>
        <v>169.35</v>
      </c>
      <c r="F115" s="1">
        <f ca="1">IFERROR(__xludf.DUMMYFUNCTION("""COMPUTED_VALUE"""),30008251)</f>
        <v>30008251</v>
      </c>
    </row>
    <row r="116" spans="1:6" ht="12.6">
      <c r="A116" s="2">
        <f ca="1">IFERROR(__xludf.DUMMYFUNCTION("""COMPUTED_VALUE"""),44728.6666666666)</f>
        <v>44728.666666666599</v>
      </c>
      <c r="B116" s="1">
        <f ca="1">IFERROR(__xludf.DUMMYFUNCTION("""COMPUTED_VALUE"""),163.72)</f>
        <v>163.72</v>
      </c>
      <c r="C116" s="1">
        <f ca="1">IFERROR(__xludf.DUMMYFUNCTION("""COMPUTED_VALUE"""),165.08)</f>
        <v>165.08</v>
      </c>
      <c r="D116" s="1">
        <f ca="1">IFERROR(__xludf.DUMMYFUNCTION("""COMPUTED_VALUE"""),159.61)</f>
        <v>159.61000000000001</v>
      </c>
      <c r="E116" s="1">
        <f ca="1">IFERROR(__xludf.DUMMYFUNCTION("""COMPUTED_VALUE"""),160.87)</f>
        <v>160.87</v>
      </c>
      <c r="F116" s="1">
        <f ca="1">IFERROR(__xludf.DUMMYFUNCTION("""COMPUTED_VALUE"""),26944143)</f>
        <v>26944143</v>
      </c>
    </row>
    <row r="117" spans="1:6" ht="12.6">
      <c r="A117" s="2">
        <f ca="1">IFERROR(__xludf.DUMMYFUNCTION("""COMPUTED_VALUE"""),44729.6666666666)</f>
        <v>44729.666666666599</v>
      </c>
      <c r="B117" s="1">
        <f ca="1">IFERROR(__xludf.DUMMYFUNCTION("""COMPUTED_VALUE"""),161.68)</f>
        <v>161.68</v>
      </c>
      <c r="C117" s="1">
        <f ca="1">IFERROR(__xludf.DUMMYFUNCTION("""COMPUTED_VALUE"""),165.9)</f>
        <v>165.9</v>
      </c>
      <c r="D117" s="1">
        <f ca="1">IFERROR(__xludf.DUMMYFUNCTION("""COMPUTED_VALUE"""),159.9)</f>
        <v>159.9</v>
      </c>
      <c r="E117" s="1">
        <f ca="1">IFERROR(__xludf.DUMMYFUNCTION("""COMPUTED_VALUE"""),163.74)</f>
        <v>163.74</v>
      </c>
      <c r="F117" s="1">
        <f ca="1">IFERROR(__xludf.DUMMYFUNCTION("""COMPUTED_VALUE"""),31374215)</f>
        <v>31374215</v>
      </c>
    </row>
    <row r="118" spans="1:6" ht="12.6">
      <c r="A118" s="2">
        <f ca="1">IFERROR(__xludf.DUMMYFUNCTION("""COMPUTED_VALUE"""),44733.6666666666)</f>
        <v>44733.666666666599</v>
      </c>
      <c r="B118" s="1">
        <f ca="1">IFERROR(__xludf.DUMMYFUNCTION("""COMPUTED_VALUE"""),165.93)</f>
        <v>165.93</v>
      </c>
      <c r="C118" s="1">
        <f ca="1">IFERROR(__xludf.DUMMYFUNCTION("""COMPUTED_VALUE"""),167.76)</f>
        <v>167.76</v>
      </c>
      <c r="D118" s="1">
        <f ca="1">IFERROR(__xludf.DUMMYFUNCTION("""COMPUTED_VALUE"""),155.97)</f>
        <v>155.97</v>
      </c>
      <c r="E118" s="1">
        <f ca="1">IFERROR(__xludf.DUMMYFUNCTION("""COMPUTED_VALUE"""),157.05)</f>
        <v>157.05000000000001</v>
      </c>
      <c r="F118" s="1">
        <f ca="1">IFERROR(__xludf.DUMMYFUNCTION("""COMPUTED_VALUE"""),50724899)</f>
        <v>50724899</v>
      </c>
    </row>
    <row r="119" spans="1:6" ht="12.6">
      <c r="A119" s="2">
        <f ca="1">IFERROR(__xludf.DUMMYFUNCTION("""COMPUTED_VALUE"""),44734.6666666666)</f>
        <v>44734.666666666599</v>
      </c>
      <c r="B119" s="1">
        <f ca="1">IFERROR(__xludf.DUMMYFUNCTION("""COMPUTED_VALUE"""),158.38)</f>
        <v>158.38</v>
      </c>
      <c r="C119" s="1">
        <f ca="1">IFERROR(__xludf.DUMMYFUNCTION("""COMPUTED_VALUE"""),160.79)</f>
        <v>160.79</v>
      </c>
      <c r="D119" s="1">
        <f ca="1">IFERROR(__xludf.DUMMYFUNCTION("""COMPUTED_VALUE"""),155.44)</f>
        <v>155.44</v>
      </c>
      <c r="E119" s="1">
        <f ca="1">IFERROR(__xludf.DUMMYFUNCTION("""COMPUTED_VALUE"""),155.85)</f>
        <v>155.85</v>
      </c>
      <c r="F119" s="1">
        <f ca="1">IFERROR(__xludf.DUMMYFUNCTION("""COMPUTED_VALUE"""),47596820)</f>
        <v>47596820</v>
      </c>
    </row>
    <row r="120" spans="1:6" ht="12.6">
      <c r="A120" s="2">
        <f ca="1">IFERROR(__xludf.DUMMYFUNCTION("""COMPUTED_VALUE"""),44735.6666666666)</f>
        <v>44735.666666666599</v>
      </c>
      <c r="B120" s="1">
        <f ca="1">IFERROR(__xludf.DUMMYFUNCTION("""COMPUTED_VALUE"""),156.27)</f>
        <v>156.27000000000001</v>
      </c>
      <c r="C120" s="1">
        <f ca="1">IFERROR(__xludf.DUMMYFUNCTION("""COMPUTED_VALUE"""),159.75)</f>
        <v>159.75</v>
      </c>
      <c r="D120" s="1">
        <f ca="1">IFERROR(__xludf.DUMMYFUNCTION("""COMPUTED_VALUE"""),154.25)</f>
        <v>154.25</v>
      </c>
      <c r="E120" s="1">
        <f ca="1">IFERROR(__xludf.DUMMYFUNCTION("""COMPUTED_VALUE"""),158.75)</f>
        <v>158.75</v>
      </c>
      <c r="F120" s="1">
        <f ca="1">IFERROR(__xludf.DUMMYFUNCTION("""COMPUTED_VALUE"""),40499198)</f>
        <v>40499198</v>
      </c>
    </row>
    <row r="121" spans="1:6" ht="12.6">
      <c r="A121" s="2">
        <f ca="1">IFERROR(__xludf.DUMMYFUNCTION("""COMPUTED_VALUE"""),44736.6666666666)</f>
        <v>44736.666666666599</v>
      </c>
      <c r="B121" s="1">
        <f ca="1">IFERROR(__xludf.DUMMYFUNCTION("""COMPUTED_VALUE"""),161.73)</f>
        <v>161.72999999999999</v>
      </c>
      <c r="C121" s="1">
        <f ca="1">IFERROR(__xludf.DUMMYFUNCTION("""COMPUTED_VALUE"""),170.25)</f>
        <v>170.25</v>
      </c>
      <c r="D121" s="1">
        <f ca="1">IFERROR(__xludf.DUMMYFUNCTION("""COMPUTED_VALUE"""),161.3)</f>
        <v>161.30000000000001</v>
      </c>
      <c r="E121" s="1">
        <f ca="1">IFERROR(__xludf.DUMMYFUNCTION("""COMPUTED_VALUE"""),170.16)</f>
        <v>170.16</v>
      </c>
      <c r="F121" s="1">
        <f ca="1">IFERROR(__xludf.DUMMYFUNCTION("""COMPUTED_VALUE"""),68736009)</f>
        <v>68736009</v>
      </c>
    </row>
    <row r="122" spans="1:6" ht="12.6">
      <c r="A122" s="2">
        <f ca="1">IFERROR(__xludf.DUMMYFUNCTION("""COMPUTED_VALUE"""),44739.6666666666)</f>
        <v>44739.666666666599</v>
      </c>
      <c r="B122" s="1">
        <f ca="1">IFERROR(__xludf.DUMMYFUNCTION("""COMPUTED_VALUE"""),171.32)</f>
        <v>171.32</v>
      </c>
      <c r="C122" s="1">
        <f ca="1">IFERROR(__xludf.DUMMYFUNCTION("""COMPUTED_VALUE"""),171.75)</f>
        <v>171.75</v>
      </c>
      <c r="D122" s="1">
        <f ca="1">IFERROR(__xludf.DUMMYFUNCTION("""COMPUTED_VALUE"""),168.01)</f>
        <v>168.01</v>
      </c>
      <c r="E122" s="1">
        <f ca="1">IFERROR(__xludf.DUMMYFUNCTION("""COMPUTED_VALUE"""),169.49)</f>
        <v>169.49</v>
      </c>
      <c r="F122" s="1">
        <f ca="1">IFERROR(__xludf.DUMMYFUNCTION("""COMPUTED_VALUE"""),29174559)</f>
        <v>29174559</v>
      </c>
    </row>
    <row r="123" spans="1:6" ht="12.6">
      <c r="A123" s="2">
        <f ca="1">IFERROR(__xludf.DUMMYFUNCTION("""COMPUTED_VALUE"""),44740.6666666666)</f>
        <v>44740.666666666599</v>
      </c>
      <c r="B123" s="1">
        <f ca="1">IFERROR(__xludf.DUMMYFUNCTION("""COMPUTED_VALUE"""),169.9)</f>
        <v>169.9</v>
      </c>
      <c r="C123" s="1">
        <f ca="1">IFERROR(__xludf.DUMMYFUNCTION("""COMPUTED_VALUE"""),171.3)</f>
        <v>171.3</v>
      </c>
      <c r="D123" s="1">
        <f ca="1">IFERROR(__xludf.DUMMYFUNCTION("""COMPUTED_VALUE"""),160.61)</f>
        <v>160.61000000000001</v>
      </c>
      <c r="E123" s="1">
        <f ca="1">IFERROR(__xludf.DUMMYFUNCTION("""COMPUTED_VALUE"""),160.68)</f>
        <v>160.68</v>
      </c>
      <c r="F123" s="1">
        <f ca="1">IFERROR(__xludf.DUMMYFUNCTION("""COMPUTED_VALUE"""),27788725)</f>
        <v>27788725</v>
      </c>
    </row>
    <row r="124" spans="1:6" ht="12.6">
      <c r="A124" s="2">
        <f ca="1">IFERROR(__xludf.DUMMYFUNCTION("""COMPUTED_VALUE"""),44741.6666666666)</f>
        <v>44741.666666666599</v>
      </c>
      <c r="B124" s="1">
        <f ca="1">IFERROR(__xludf.DUMMYFUNCTION("""COMPUTED_VALUE"""),163.57)</f>
        <v>163.57</v>
      </c>
      <c r="C124" s="1">
        <f ca="1">IFERROR(__xludf.DUMMYFUNCTION("""COMPUTED_VALUE"""),166.33)</f>
        <v>166.33</v>
      </c>
      <c r="D124" s="1">
        <f ca="1">IFERROR(__xludf.DUMMYFUNCTION("""COMPUTED_VALUE"""),160.32)</f>
        <v>160.32</v>
      </c>
      <c r="E124" s="1">
        <f ca="1">IFERROR(__xludf.DUMMYFUNCTION("""COMPUTED_VALUE"""),163.94)</f>
        <v>163.94</v>
      </c>
      <c r="F124" s="1">
        <f ca="1">IFERROR(__xludf.DUMMYFUNCTION("""COMPUTED_VALUE"""),28595236)</f>
        <v>28595236</v>
      </c>
    </row>
    <row r="125" spans="1:6" ht="12.6">
      <c r="A125" s="2">
        <f ca="1">IFERROR(__xludf.DUMMYFUNCTION("""COMPUTED_VALUE"""),44742.6666666666)</f>
        <v>44742.666666666599</v>
      </c>
      <c r="B125" s="1">
        <f ca="1">IFERROR(__xludf.DUMMYFUNCTION("""COMPUTED_VALUE"""),162.15)</f>
        <v>162.15</v>
      </c>
      <c r="C125" s="1">
        <f ca="1">IFERROR(__xludf.DUMMYFUNCTION("""COMPUTED_VALUE"""),165.23)</f>
        <v>165.23</v>
      </c>
      <c r="D125" s="1">
        <f ca="1">IFERROR(__xludf.DUMMYFUNCTION("""COMPUTED_VALUE"""),158.49)</f>
        <v>158.49</v>
      </c>
      <c r="E125" s="1">
        <f ca="1">IFERROR(__xludf.DUMMYFUNCTION("""COMPUTED_VALUE"""),161.25)</f>
        <v>161.25</v>
      </c>
      <c r="F125" s="1">
        <f ca="1">IFERROR(__xludf.DUMMYFUNCTION("""COMPUTED_VALUE"""),35250605)</f>
        <v>35250605</v>
      </c>
    </row>
    <row r="126" spans="1:6" ht="12.6">
      <c r="A126" s="2">
        <f ca="1">IFERROR(__xludf.DUMMYFUNCTION("""COMPUTED_VALUE"""),44743.6666666666)</f>
        <v>44743.666666666599</v>
      </c>
      <c r="B126" s="1">
        <f ca="1">IFERROR(__xludf.DUMMYFUNCTION("""COMPUTED_VALUE"""),160.31)</f>
        <v>160.31</v>
      </c>
      <c r="C126" s="1">
        <f ca="1">IFERROR(__xludf.DUMMYFUNCTION("""COMPUTED_VALUE"""),160.62)</f>
        <v>160.62</v>
      </c>
      <c r="D126" s="1">
        <f ca="1">IFERROR(__xludf.DUMMYFUNCTION("""COMPUTED_VALUE"""),155)</f>
        <v>155</v>
      </c>
      <c r="E126" s="1">
        <f ca="1">IFERROR(__xludf.DUMMYFUNCTION("""COMPUTED_VALUE"""),160.03)</f>
        <v>160.03</v>
      </c>
      <c r="F126" s="1">
        <f ca="1">IFERROR(__xludf.DUMMYFUNCTION("""COMPUTED_VALUE"""),31423933)</f>
        <v>31423933</v>
      </c>
    </row>
    <row r="127" spans="1:6" ht="12.6">
      <c r="A127" s="2">
        <f ca="1">IFERROR(__xludf.DUMMYFUNCTION("""COMPUTED_VALUE"""),44747.6666666666)</f>
        <v>44747.666666666599</v>
      </c>
      <c r="B127" s="1">
        <f ca="1">IFERROR(__xludf.DUMMYFUNCTION("""COMPUTED_VALUE"""),158.14)</f>
        <v>158.13999999999999</v>
      </c>
      <c r="C127" s="1">
        <f ca="1">IFERROR(__xludf.DUMMYFUNCTION("""COMPUTED_VALUE"""),168.25)</f>
        <v>168.25</v>
      </c>
      <c r="D127" s="1">
        <f ca="1">IFERROR(__xludf.DUMMYFUNCTION("""COMPUTED_VALUE"""),157.02)</f>
        <v>157.02000000000001</v>
      </c>
      <c r="E127" s="1">
        <f ca="1">IFERROR(__xludf.DUMMYFUNCTION("""COMPUTED_VALUE"""),168.19)</f>
        <v>168.19</v>
      </c>
      <c r="F127" s="1">
        <f ca="1">IFERROR(__xludf.DUMMYFUNCTION("""COMPUTED_VALUE"""),28664799)</f>
        <v>28664799</v>
      </c>
    </row>
    <row r="128" spans="1:6" ht="12.6">
      <c r="A128" s="2">
        <f ca="1">IFERROR(__xludf.DUMMYFUNCTION("""COMPUTED_VALUE"""),44748.6666666666)</f>
        <v>44748.666666666599</v>
      </c>
      <c r="B128" s="1">
        <f ca="1">IFERROR(__xludf.DUMMYFUNCTION("""COMPUTED_VALUE"""),168.2)</f>
        <v>168.2</v>
      </c>
      <c r="C128" s="1">
        <f ca="1">IFERROR(__xludf.DUMMYFUNCTION("""COMPUTED_VALUE"""),171.59)</f>
        <v>171.59</v>
      </c>
      <c r="D128" s="1">
        <f ca="1">IFERROR(__xludf.DUMMYFUNCTION("""COMPUTED_VALUE"""),165.46)</f>
        <v>165.46</v>
      </c>
      <c r="E128" s="1">
        <f ca="1">IFERROR(__xludf.DUMMYFUNCTION("""COMPUTED_VALUE"""),169.77)</f>
        <v>169.77</v>
      </c>
      <c r="F128" s="1">
        <f ca="1">IFERROR(__xludf.DUMMYFUNCTION("""COMPUTED_VALUE"""),23085921)</f>
        <v>23085921</v>
      </c>
    </row>
    <row r="129" spans="1:6" ht="12.6">
      <c r="A129" s="2">
        <f ca="1">IFERROR(__xludf.DUMMYFUNCTION("""COMPUTED_VALUE"""),44749.6666666666)</f>
        <v>44749.666666666599</v>
      </c>
      <c r="B129" s="1">
        <f ca="1">IFERROR(__xludf.DUMMYFUNCTION("""COMPUTED_VALUE"""),169.45)</f>
        <v>169.45</v>
      </c>
      <c r="C129" s="1">
        <f ca="1">IFERROR(__xludf.DUMMYFUNCTION("""COMPUTED_VALUE"""),172.72)</f>
        <v>172.72</v>
      </c>
      <c r="D129" s="1">
        <f ca="1">IFERROR(__xludf.DUMMYFUNCTION("""COMPUTED_VALUE"""),167.78)</f>
        <v>167.78</v>
      </c>
      <c r="E129" s="1">
        <f ca="1">IFERROR(__xludf.DUMMYFUNCTION("""COMPUTED_VALUE"""),172.19)</f>
        <v>172.19</v>
      </c>
      <c r="F129" s="1">
        <f ca="1">IFERROR(__xludf.DUMMYFUNCTION("""COMPUTED_VALUE"""),24083368)</f>
        <v>24083368</v>
      </c>
    </row>
    <row r="130" spans="1:6" ht="12.6">
      <c r="A130" s="2">
        <f ca="1">IFERROR(__xludf.DUMMYFUNCTION("""COMPUTED_VALUE"""),44750.6666666666)</f>
        <v>44750.666666666599</v>
      </c>
      <c r="B130" s="1">
        <f ca="1">IFERROR(__xludf.DUMMYFUNCTION("""COMPUTED_VALUE"""),169.98)</f>
        <v>169.98</v>
      </c>
      <c r="C130" s="1">
        <f ca="1">IFERROR(__xludf.DUMMYFUNCTION("""COMPUTED_VALUE"""),172.4)</f>
        <v>172.4</v>
      </c>
      <c r="D130" s="1">
        <f ca="1">IFERROR(__xludf.DUMMYFUNCTION("""COMPUTED_VALUE"""),168.15)</f>
        <v>168.15</v>
      </c>
      <c r="E130" s="1">
        <f ca="1">IFERROR(__xludf.DUMMYFUNCTION("""COMPUTED_VALUE"""),170.88)</f>
        <v>170.88</v>
      </c>
      <c r="F130" s="1">
        <f ca="1">IFERROR(__xludf.DUMMYFUNCTION("""COMPUTED_VALUE"""),19249243)</f>
        <v>19249243</v>
      </c>
    </row>
    <row r="131" spans="1:6" ht="12.6">
      <c r="A131" s="2">
        <f ca="1">IFERROR(__xludf.DUMMYFUNCTION("""COMPUTED_VALUE"""),44753.6666666666)</f>
        <v>44753.666666666599</v>
      </c>
      <c r="B131" s="1">
        <f ca="1">IFERROR(__xludf.DUMMYFUNCTION("""COMPUTED_VALUE"""),167.07)</f>
        <v>167.07</v>
      </c>
      <c r="C131" s="1">
        <f ca="1">IFERROR(__xludf.DUMMYFUNCTION("""COMPUTED_VALUE"""),167.49)</f>
        <v>167.49</v>
      </c>
      <c r="D131" s="1">
        <f ca="1">IFERROR(__xludf.DUMMYFUNCTION("""COMPUTED_VALUE"""),161.91)</f>
        <v>161.91</v>
      </c>
      <c r="E131" s="1">
        <f ca="1">IFERROR(__xludf.DUMMYFUNCTION("""COMPUTED_VALUE"""),162.88)</f>
        <v>162.88</v>
      </c>
      <c r="F131" s="1">
        <f ca="1">IFERROR(__xludf.DUMMYFUNCTION("""COMPUTED_VALUE"""),21905133)</f>
        <v>21905133</v>
      </c>
    </row>
    <row r="132" spans="1:6" ht="12.6">
      <c r="A132" s="2">
        <f ca="1">IFERROR(__xludf.DUMMYFUNCTION("""COMPUTED_VALUE"""),44754.6666666666)</f>
        <v>44754.666666666599</v>
      </c>
      <c r="B132" s="1">
        <f ca="1">IFERROR(__xludf.DUMMYFUNCTION("""COMPUTED_VALUE"""),164.8)</f>
        <v>164.8</v>
      </c>
      <c r="C132" s="1">
        <f ca="1">IFERROR(__xludf.DUMMYFUNCTION("""COMPUTED_VALUE"""),165.91)</f>
        <v>165.91</v>
      </c>
      <c r="D132" s="1">
        <f ca="1">IFERROR(__xludf.DUMMYFUNCTION("""COMPUTED_VALUE"""),162.1)</f>
        <v>162.1</v>
      </c>
      <c r="E132" s="1">
        <f ca="1">IFERROR(__xludf.DUMMYFUNCTION("""COMPUTED_VALUE"""),163.27)</f>
        <v>163.27000000000001</v>
      </c>
      <c r="F132" s="1">
        <f ca="1">IFERROR(__xludf.DUMMYFUNCTION("""COMPUTED_VALUE"""),16639659)</f>
        <v>16639659</v>
      </c>
    </row>
    <row r="133" spans="1:6" ht="12.6">
      <c r="A133" s="2">
        <f ca="1">IFERROR(__xludf.DUMMYFUNCTION("""COMPUTED_VALUE"""),44755.6666666666)</f>
        <v>44755.666666666599</v>
      </c>
      <c r="B133" s="1">
        <f ca="1">IFERROR(__xludf.DUMMYFUNCTION("""COMPUTED_VALUE"""),160.16)</f>
        <v>160.16</v>
      </c>
      <c r="C133" s="1">
        <f ca="1">IFERROR(__xludf.DUMMYFUNCTION("""COMPUTED_VALUE"""),164.98)</f>
        <v>164.98</v>
      </c>
      <c r="D133" s="1">
        <f ca="1">IFERROR(__xludf.DUMMYFUNCTION("""COMPUTED_VALUE"""),159.61)</f>
        <v>159.61000000000001</v>
      </c>
      <c r="E133" s="1">
        <f ca="1">IFERROR(__xludf.DUMMYFUNCTION("""COMPUTED_VALUE"""),163.49)</f>
        <v>163.49</v>
      </c>
      <c r="F133" s="1">
        <f ca="1">IFERROR(__xludf.DUMMYFUNCTION("""COMPUTED_VALUE"""),16555138)</f>
        <v>16555138</v>
      </c>
    </row>
    <row r="134" spans="1:6" ht="12.6">
      <c r="A134" s="2">
        <f ca="1">IFERROR(__xludf.DUMMYFUNCTION("""COMPUTED_VALUE"""),44756.6666666666)</f>
        <v>44756.666666666599</v>
      </c>
      <c r="B134" s="1">
        <f ca="1">IFERROR(__xludf.DUMMYFUNCTION("""COMPUTED_VALUE"""),161.22)</f>
        <v>161.22</v>
      </c>
      <c r="C134" s="1">
        <f ca="1">IFERROR(__xludf.DUMMYFUNCTION("""COMPUTED_VALUE"""),162.59)</f>
        <v>162.59</v>
      </c>
      <c r="D134" s="1">
        <f ca="1">IFERROR(__xludf.DUMMYFUNCTION("""COMPUTED_VALUE"""),157.28)</f>
        <v>157.28</v>
      </c>
      <c r="E134" s="1">
        <f ca="1">IFERROR(__xludf.DUMMYFUNCTION("""COMPUTED_VALUE"""),158.05)</f>
        <v>158.05000000000001</v>
      </c>
      <c r="F134" s="1">
        <f ca="1">IFERROR(__xludf.DUMMYFUNCTION("""COMPUTED_VALUE"""),23765168)</f>
        <v>23765168</v>
      </c>
    </row>
    <row r="135" spans="1:6" ht="12.6">
      <c r="A135" s="2">
        <f ca="1">IFERROR(__xludf.DUMMYFUNCTION("""COMPUTED_VALUE"""),44757.6666666666)</f>
        <v>44757.666666666599</v>
      </c>
      <c r="B135" s="1">
        <f ca="1">IFERROR(__xludf.DUMMYFUNCTION("""COMPUTED_VALUE"""),160.54)</f>
        <v>160.54</v>
      </c>
      <c r="C135" s="1">
        <f ca="1">IFERROR(__xludf.DUMMYFUNCTION("""COMPUTED_VALUE"""),164.98)</f>
        <v>164.98</v>
      </c>
      <c r="D135" s="1">
        <f ca="1">IFERROR(__xludf.DUMMYFUNCTION("""COMPUTED_VALUE"""),159.82)</f>
        <v>159.82</v>
      </c>
      <c r="E135" s="1">
        <f ca="1">IFERROR(__xludf.DUMMYFUNCTION("""COMPUTED_VALUE"""),164.7)</f>
        <v>164.7</v>
      </c>
      <c r="F135" s="1">
        <f ca="1">IFERROR(__xludf.DUMMYFUNCTION("""COMPUTED_VALUE"""),23342807)</f>
        <v>23342807</v>
      </c>
    </row>
    <row r="136" spans="1:6" ht="12.6">
      <c r="A136" s="2">
        <f ca="1">IFERROR(__xludf.DUMMYFUNCTION("""COMPUTED_VALUE"""),44760.6666666666)</f>
        <v>44760.666666666599</v>
      </c>
      <c r="B136" s="1">
        <f ca="1">IFERROR(__xludf.DUMMYFUNCTION("""COMPUTED_VALUE"""),166.75)</f>
        <v>166.75</v>
      </c>
      <c r="C136" s="1">
        <f ca="1">IFERROR(__xludf.DUMMYFUNCTION("""COMPUTED_VALUE"""),171.69)</f>
        <v>171.69</v>
      </c>
      <c r="D136" s="1">
        <f ca="1">IFERROR(__xludf.DUMMYFUNCTION("""COMPUTED_VALUE"""),165.64)</f>
        <v>165.64</v>
      </c>
      <c r="E136" s="1">
        <f ca="1">IFERROR(__xludf.DUMMYFUNCTION("""COMPUTED_VALUE"""),167.23)</f>
        <v>167.23</v>
      </c>
      <c r="F136" s="1">
        <f ca="1">IFERROR(__xludf.DUMMYFUNCTION("""COMPUTED_VALUE"""),23574337)</f>
        <v>23574337</v>
      </c>
    </row>
    <row r="137" spans="1:6" ht="12.6">
      <c r="A137" s="2">
        <f ca="1">IFERROR(__xludf.DUMMYFUNCTION("""COMPUTED_VALUE"""),44761.6666666666)</f>
        <v>44761.666666666599</v>
      </c>
      <c r="B137" s="1">
        <f ca="1">IFERROR(__xludf.DUMMYFUNCTION("""COMPUTED_VALUE"""),170.37)</f>
        <v>170.37</v>
      </c>
      <c r="C137" s="1">
        <f ca="1">IFERROR(__xludf.DUMMYFUNCTION("""COMPUTED_VALUE"""),176.49)</f>
        <v>176.49</v>
      </c>
      <c r="D137" s="1">
        <f ca="1">IFERROR(__xludf.DUMMYFUNCTION("""COMPUTED_VALUE"""),169.51)</f>
        <v>169.51</v>
      </c>
      <c r="E137" s="1">
        <f ca="1">IFERROR(__xludf.DUMMYFUNCTION("""COMPUTED_VALUE"""),175.78)</f>
        <v>175.78</v>
      </c>
      <c r="F137" s="1">
        <f ca="1">IFERROR(__xludf.DUMMYFUNCTION("""COMPUTED_VALUE"""),25933679)</f>
        <v>25933679</v>
      </c>
    </row>
    <row r="138" spans="1:6" ht="12.6">
      <c r="A138" s="2">
        <f ca="1">IFERROR(__xludf.DUMMYFUNCTION("""COMPUTED_VALUE"""),44762.6666666666)</f>
        <v>44762.666666666599</v>
      </c>
      <c r="B138" s="1">
        <f ca="1">IFERROR(__xludf.DUMMYFUNCTION("""COMPUTED_VALUE"""),177.49)</f>
        <v>177.49</v>
      </c>
      <c r="C138" s="1">
        <f ca="1">IFERROR(__xludf.DUMMYFUNCTION("""COMPUTED_VALUE"""),183.6)</f>
        <v>183.6</v>
      </c>
      <c r="D138" s="1">
        <f ca="1">IFERROR(__xludf.DUMMYFUNCTION("""COMPUTED_VALUE"""),176.7)</f>
        <v>176.7</v>
      </c>
      <c r="E138" s="1">
        <f ca="1">IFERROR(__xludf.DUMMYFUNCTION("""COMPUTED_VALUE"""),183.09)</f>
        <v>183.09</v>
      </c>
      <c r="F138" s="1">
        <f ca="1">IFERROR(__xludf.DUMMYFUNCTION("""COMPUTED_VALUE"""),24784274)</f>
        <v>24784274</v>
      </c>
    </row>
    <row r="139" spans="1:6" ht="12.6">
      <c r="A139" s="2">
        <f ca="1">IFERROR(__xludf.DUMMYFUNCTION("""COMPUTED_VALUE"""),44763.6666666666)</f>
        <v>44763.666666666599</v>
      </c>
      <c r="B139" s="1">
        <f ca="1">IFERROR(__xludf.DUMMYFUNCTION("""COMPUTED_VALUE"""),180.63)</f>
        <v>180.63</v>
      </c>
      <c r="C139" s="1">
        <f ca="1">IFERROR(__xludf.DUMMYFUNCTION("""COMPUTED_VALUE"""),183.85)</f>
        <v>183.85</v>
      </c>
      <c r="D139" s="1">
        <f ca="1">IFERROR(__xludf.DUMMYFUNCTION("""COMPUTED_VALUE"""),178.87)</f>
        <v>178.87</v>
      </c>
      <c r="E139" s="1">
        <f ca="1">IFERROR(__xludf.DUMMYFUNCTION("""COMPUTED_VALUE"""),183.17)</f>
        <v>183.17</v>
      </c>
      <c r="F139" s="1">
        <f ca="1">IFERROR(__xludf.DUMMYFUNCTION("""COMPUTED_VALUE"""),27195815)</f>
        <v>27195815</v>
      </c>
    </row>
    <row r="140" spans="1:6" ht="12.6">
      <c r="A140" s="2">
        <f ca="1">IFERROR(__xludf.DUMMYFUNCTION("""COMPUTED_VALUE"""),44764.6666666666)</f>
        <v>44764.666666666599</v>
      </c>
      <c r="B140" s="1">
        <f ca="1">IFERROR(__xludf.DUMMYFUNCTION("""COMPUTED_VALUE"""),173.07)</f>
        <v>173.07</v>
      </c>
      <c r="C140" s="1">
        <f ca="1">IFERROR(__xludf.DUMMYFUNCTION("""COMPUTED_VALUE"""),175.6)</f>
        <v>175.6</v>
      </c>
      <c r="D140" s="1">
        <f ca="1">IFERROR(__xludf.DUMMYFUNCTION("""COMPUTED_VALUE"""),168.41)</f>
        <v>168.41</v>
      </c>
      <c r="E140" s="1">
        <f ca="1">IFERROR(__xludf.DUMMYFUNCTION("""COMPUTED_VALUE"""),169.27)</f>
        <v>169.27</v>
      </c>
      <c r="F140" s="1">
        <f ca="1">IFERROR(__xludf.DUMMYFUNCTION("""COMPUTED_VALUE"""),42583916)</f>
        <v>42583916</v>
      </c>
    </row>
    <row r="141" spans="1:6" ht="12.6">
      <c r="A141" s="2">
        <f ca="1">IFERROR(__xludf.DUMMYFUNCTION("""COMPUTED_VALUE"""),44767.6666666666)</f>
        <v>44767.666666666599</v>
      </c>
      <c r="B141" s="1">
        <f ca="1">IFERROR(__xludf.DUMMYFUNCTION("""COMPUTED_VALUE"""),169)</f>
        <v>169</v>
      </c>
      <c r="C141" s="1">
        <f ca="1">IFERROR(__xludf.DUMMYFUNCTION("""COMPUTED_VALUE"""),170.57)</f>
        <v>170.57</v>
      </c>
      <c r="D141" s="1">
        <f ca="1">IFERROR(__xludf.DUMMYFUNCTION("""COMPUTED_VALUE"""),164.81)</f>
        <v>164.81</v>
      </c>
      <c r="E141" s="1">
        <f ca="1">IFERROR(__xludf.DUMMYFUNCTION("""COMPUTED_VALUE"""),166.65)</f>
        <v>166.65</v>
      </c>
      <c r="F141" s="1">
        <f ca="1">IFERROR(__xludf.DUMMYFUNCTION("""COMPUTED_VALUE"""),26166326)</f>
        <v>26166326</v>
      </c>
    </row>
    <row r="142" spans="1:6" ht="12.6">
      <c r="A142" s="2">
        <f ca="1">IFERROR(__xludf.DUMMYFUNCTION("""COMPUTED_VALUE"""),44768.6666666666)</f>
        <v>44768.666666666599</v>
      </c>
      <c r="B142" s="1">
        <f ca="1">IFERROR(__xludf.DUMMYFUNCTION("""COMPUTED_VALUE"""),165.94)</f>
        <v>165.94</v>
      </c>
      <c r="C142" s="1">
        <f ca="1">IFERROR(__xludf.DUMMYFUNCTION("""COMPUTED_VALUE"""),166)</f>
        <v>166</v>
      </c>
      <c r="D142" s="1">
        <f ca="1">IFERROR(__xludf.DUMMYFUNCTION("""COMPUTED_VALUE"""),157.95)</f>
        <v>157.94999999999999</v>
      </c>
      <c r="E142" s="1">
        <f ca="1">IFERROR(__xludf.DUMMYFUNCTION("""COMPUTED_VALUE"""),159.15)</f>
        <v>159.15</v>
      </c>
      <c r="F142" s="1">
        <f ca="1">IFERROR(__xludf.DUMMYFUNCTION("""COMPUTED_VALUE"""),28468424)</f>
        <v>28468424</v>
      </c>
    </row>
    <row r="143" spans="1:6" ht="12.6">
      <c r="A143" s="2">
        <f ca="1">IFERROR(__xludf.DUMMYFUNCTION("""COMPUTED_VALUE"""),44769.6666666666)</f>
        <v>44769.666666666599</v>
      </c>
      <c r="B143" s="1">
        <f ca="1">IFERROR(__xludf.DUMMYFUNCTION("""COMPUTED_VALUE"""),162.59)</f>
        <v>162.59</v>
      </c>
      <c r="C143" s="1">
        <f ca="1">IFERROR(__xludf.DUMMYFUNCTION("""COMPUTED_VALUE"""),170.87)</f>
        <v>170.87</v>
      </c>
      <c r="D143" s="1">
        <f ca="1">IFERROR(__xludf.DUMMYFUNCTION("""COMPUTED_VALUE"""),162.02)</f>
        <v>162.02000000000001</v>
      </c>
      <c r="E143" s="1">
        <f ca="1">IFERROR(__xludf.DUMMYFUNCTION("""COMPUTED_VALUE"""),169.58)</f>
        <v>169.58</v>
      </c>
      <c r="F143" s="1">
        <f ca="1">IFERROR(__xludf.DUMMYFUNCTION("""COMPUTED_VALUE"""),43846557)</f>
        <v>43846557</v>
      </c>
    </row>
    <row r="144" spans="1:6" ht="12.6">
      <c r="A144" s="2">
        <f ca="1">IFERROR(__xludf.DUMMYFUNCTION("""COMPUTED_VALUE"""),44770.6666666666)</f>
        <v>44770.666666666599</v>
      </c>
      <c r="B144" s="1">
        <f ca="1">IFERROR(__xludf.DUMMYFUNCTION("""COMPUTED_VALUE"""),161.06)</f>
        <v>161.06</v>
      </c>
      <c r="C144" s="1">
        <f ca="1">IFERROR(__xludf.DUMMYFUNCTION("""COMPUTED_VALUE"""),161.51)</f>
        <v>161.51</v>
      </c>
      <c r="D144" s="1">
        <f ca="1">IFERROR(__xludf.DUMMYFUNCTION("""COMPUTED_VALUE"""),154.85)</f>
        <v>154.85</v>
      </c>
      <c r="E144" s="1">
        <f ca="1">IFERROR(__xludf.DUMMYFUNCTION("""COMPUTED_VALUE"""),160.72)</f>
        <v>160.72</v>
      </c>
      <c r="F144" s="1">
        <f ca="1">IFERROR(__xludf.DUMMYFUNCTION("""COMPUTED_VALUE"""),73214326)</f>
        <v>73214326</v>
      </c>
    </row>
    <row r="145" spans="1:6" ht="12.6">
      <c r="A145" s="2">
        <f ca="1">IFERROR(__xludf.DUMMYFUNCTION("""COMPUTED_VALUE"""),44771.6666666666)</f>
        <v>44771.666666666599</v>
      </c>
      <c r="B145" s="1">
        <f ca="1">IFERROR(__xludf.DUMMYFUNCTION("""COMPUTED_VALUE"""),157.69)</f>
        <v>157.69</v>
      </c>
      <c r="C145" s="1">
        <f ca="1">IFERROR(__xludf.DUMMYFUNCTION("""COMPUTED_VALUE"""),160.14)</f>
        <v>160.13999999999999</v>
      </c>
      <c r="D145" s="1">
        <f ca="1">IFERROR(__xludf.DUMMYFUNCTION("""COMPUTED_VALUE"""),155.17)</f>
        <v>155.16999999999999</v>
      </c>
      <c r="E145" s="1">
        <f ca="1">IFERROR(__xludf.DUMMYFUNCTION("""COMPUTED_VALUE"""),159.1)</f>
        <v>159.1</v>
      </c>
      <c r="F145" s="1">
        <f ca="1">IFERROR(__xludf.DUMMYFUNCTION("""COMPUTED_VALUE"""),42065395)</f>
        <v>42065395</v>
      </c>
    </row>
    <row r="146" spans="1:6" ht="12.6">
      <c r="A146" s="2">
        <f ca="1">IFERROR(__xludf.DUMMYFUNCTION("""COMPUTED_VALUE"""),44774.6666666666)</f>
        <v>44774.666666666599</v>
      </c>
      <c r="B146" s="1">
        <f ca="1">IFERROR(__xludf.DUMMYFUNCTION("""COMPUTED_VALUE"""),157.25)</f>
        <v>157.25</v>
      </c>
      <c r="C146" s="1">
        <f ca="1">IFERROR(__xludf.DUMMYFUNCTION("""COMPUTED_VALUE"""),165.19)</f>
        <v>165.19</v>
      </c>
      <c r="D146" s="1">
        <f ca="1">IFERROR(__xludf.DUMMYFUNCTION("""COMPUTED_VALUE"""),155.23)</f>
        <v>155.22999999999999</v>
      </c>
      <c r="E146" s="1">
        <f ca="1">IFERROR(__xludf.DUMMYFUNCTION("""COMPUTED_VALUE"""),159.93)</f>
        <v>159.93</v>
      </c>
      <c r="F146" s="1">
        <f ca="1">IFERROR(__xludf.DUMMYFUNCTION("""COMPUTED_VALUE"""),40596702)</f>
        <v>40596702</v>
      </c>
    </row>
    <row r="147" spans="1:6" ht="12.6">
      <c r="A147" s="2">
        <f ca="1">IFERROR(__xludf.DUMMYFUNCTION("""COMPUTED_VALUE"""),44775.6666666666)</f>
        <v>44775.666666666599</v>
      </c>
      <c r="B147" s="1">
        <f ca="1">IFERROR(__xludf.DUMMYFUNCTION("""COMPUTED_VALUE"""),158.31)</f>
        <v>158.31</v>
      </c>
      <c r="C147" s="1">
        <f ca="1">IFERROR(__xludf.DUMMYFUNCTION("""COMPUTED_VALUE"""),162.24)</f>
        <v>162.24</v>
      </c>
      <c r="D147" s="1">
        <f ca="1">IFERROR(__xludf.DUMMYFUNCTION("""COMPUTED_VALUE"""),158.01)</f>
        <v>158.01</v>
      </c>
      <c r="E147" s="1">
        <f ca="1">IFERROR(__xludf.DUMMYFUNCTION("""COMPUTED_VALUE"""),160.19)</f>
        <v>160.19</v>
      </c>
      <c r="F147" s="1">
        <f ca="1">IFERROR(__xludf.DUMMYFUNCTION("""COMPUTED_VALUE"""),27374516)</f>
        <v>27374516</v>
      </c>
    </row>
    <row r="148" spans="1:6" ht="12.6">
      <c r="A148" s="2">
        <f ca="1">IFERROR(__xludf.DUMMYFUNCTION("""COMPUTED_VALUE"""),44776.6666666666)</f>
        <v>44776.666666666599</v>
      </c>
      <c r="B148" s="1">
        <f ca="1">IFERROR(__xludf.DUMMYFUNCTION("""COMPUTED_VALUE"""),162.69)</f>
        <v>162.69</v>
      </c>
      <c r="C148" s="1">
        <f ca="1">IFERROR(__xludf.DUMMYFUNCTION("""COMPUTED_VALUE"""),169.54)</f>
        <v>169.54</v>
      </c>
      <c r="D148" s="1">
        <f ca="1">IFERROR(__xludf.DUMMYFUNCTION("""COMPUTED_VALUE"""),161.57)</f>
        <v>161.57</v>
      </c>
      <c r="E148" s="1">
        <f ca="1">IFERROR(__xludf.DUMMYFUNCTION("""COMPUTED_VALUE"""),168.8)</f>
        <v>168.8</v>
      </c>
      <c r="F148" s="1">
        <f ca="1">IFERROR(__xludf.DUMMYFUNCTION("""COMPUTED_VALUE"""),31717527)</f>
        <v>31717527</v>
      </c>
    </row>
    <row r="149" spans="1:6" ht="12.6">
      <c r="A149" s="2">
        <f ca="1">IFERROR(__xludf.DUMMYFUNCTION("""COMPUTED_VALUE"""),44777.6666666666)</f>
        <v>44777.666666666599</v>
      </c>
      <c r="B149" s="1">
        <f ca="1">IFERROR(__xludf.DUMMYFUNCTION("""COMPUTED_VALUE"""),168.3)</f>
        <v>168.3</v>
      </c>
      <c r="C149" s="1">
        <f ca="1">IFERROR(__xludf.DUMMYFUNCTION("""COMPUTED_VALUE"""),172.15)</f>
        <v>172.15</v>
      </c>
      <c r="D149" s="1">
        <f ca="1">IFERROR(__xludf.DUMMYFUNCTION("""COMPUTED_VALUE"""),166.8)</f>
        <v>166.8</v>
      </c>
      <c r="E149" s="1">
        <f ca="1">IFERROR(__xludf.DUMMYFUNCTION("""COMPUTED_VALUE"""),170.57)</f>
        <v>170.57</v>
      </c>
      <c r="F149" s="1">
        <f ca="1">IFERROR(__xludf.DUMMYFUNCTION("""COMPUTED_VALUE"""),23938212)</f>
        <v>23938212</v>
      </c>
    </row>
    <row r="150" spans="1:6" ht="12.6">
      <c r="A150" s="2">
        <f ca="1">IFERROR(__xludf.DUMMYFUNCTION("""COMPUTED_VALUE"""),44778.6666666666)</f>
        <v>44778.666666666599</v>
      </c>
      <c r="B150" s="1">
        <f ca="1">IFERROR(__xludf.DUMMYFUNCTION("""COMPUTED_VALUE"""),166.99)</f>
        <v>166.99</v>
      </c>
      <c r="C150" s="1">
        <f ca="1">IFERROR(__xludf.DUMMYFUNCTION("""COMPUTED_VALUE"""),171.61)</f>
        <v>171.61</v>
      </c>
      <c r="D150" s="1">
        <f ca="1">IFERROR(__xludf.DUMMYFUNCTION("""COMPUTED_VALUE"""),165.8)</f>
        <v>165.8</v>
      </c>
      <c r="E150" s="1">
        <f ca="1">IFERROR(__xludf.DUMMYFUNCTION("""COMPUTED_VALUE"""),167.11)</f>
        <v>167.11</v>
      </c>
      <c r="F150" s="1">
        <f ca="1">IFERROR(__xludf.DUMMYFUNCTION("""COMPUTED_VALUE"""),25832701)</f>
        <v>25832701</v>
      </c>
    </row>
    <row r="151" spans="1:6" ht="12.6">
      <c r="A151" s="2">
        <f ca="1">IFERROR(__xludf.DUMMYFUNCTION("""COMPUTED_VALUE"""),44781.6666666666)</f>
        <v>44781.666666666599</v>
      </c>
      <c r="B151" s="1">
        <f ca="1">IFERROR(__xludf.DUMMYFUNCTION("""COMPUTED_VALUE"""),168)</f>
        <v>168</v>
      </c>
      <c r="C151" s="1">
        <f ca="1">IFERROR(__xludf.DUMMYFUNCTION("""COMPUTED_VALUE"""),177.51)</f>
        <v>177.51</v>
      </c>
      <c r="D151" s="1">
        <f ca="1">IFERROR(__xludf.DUMMYFUNCTION("""COMPUTED_VALUE"""),167.13)</f>
        <v>167.13</v>
      </c>
      <c r="E151" s="1">
        <f ca="1">IFERROR(__xludf.DUMMYFUNCTION("""COMPUTED_VALUE"""),170.25)</f>
        <v>170.25</v>
      </c>
      <c r="F151" s="1">
        <f ca="1">IFERROR(__xludf.DUMMYFUNCTION("""COMPUTED_VALUE"""),27299113)</f>
        <v>27299113</v>
      </c>
    </row>
    <row r="152" spans="1:6" ht="12.6">
      <c r="A152" s="2">
        <f ca="1">IFERROR(__xludf.DUMMYFUNCTION("""COMPUTED_VALUE"""),44782.6666666666)</f>
        <v>44782.666666666599</v>
      </c>
      <c r="B152" s="1">
        <f ca="1">IFERROR(__xludf.DUMMYFUNCTION("""COMPUTED_VALUE"""),168.95)</f>
        <v>168.95</v>
      </c>
      <c r="C152" s="1">
        <f ca="1">IFERROR(__xludf.DUMMYFUNCTION("""COMPUTED_VALUE"""),169.53)</f>
        <v>169.53</v>
      </c>
      <c r="D152" s="1">
        <f ca="1">IFERROR(__xludf.DUMMYFUNCTION("""COMPUTED_VALUE"""),166.6)</f>
        <v>166.6</v>
      </c>
      <c r="E152" s="1">
        <f ca="1">IFERROR(__xludf.DUMMYFUNCTION("""COMPUTED_VALUE"""),168.53)</f>
        <v>168.53</v>
      </c>
      <c r="F152" s="1">
        <f ca="1">IFERROR(__xludf.DUMMYFUNCTION("""COMPUTED_VALUE"""),18655056)</f>
        <v>18655056</v>
      </c>
    </row>
    <row r="153" spans="1:6" ht="12.6">
      <c r="A153" s="2">
        <f ca="1">IFERROR(__xludf.DUMMYFUNCTION("""COMPUTED_VALUE"""),44783.6666666666)</f>
        <v>44783.666666666599</v>
      </c>
      <c r="B153" s="1">
        <f ca="1">IFERROR(__xludf.DUMMYFUNCTION("""COMPUTED_VALUE"""),175.99)</f>
        <v>175.99</v>
      </c>
      <c r="C153" s="1">
        <f ca="1">IFERROR(__xludf.DUMMYFUNCTION("""COMPUTED_VALUE"""),180.48)</f>
        <v>180.48</v>
      </c>
      <c r="D153" s="1">
        <f ca="1">IFERROR(__xludf.DUMMYFUNCTION("""COMPUTED_VALUE"""),173.95)</f>
        <v>173.95</v>
      </c>
      <c r="E153" s="1">
        <f ca="1">IFERROR(__xludf.DUMMYFUNCTION("""COMPUTED_VALUE"""),178.34)</f>
        <v>178.34</v>
      </c>
      <c r="F153" s="1">
        <f ca="1">IFERROR(__xludf.DUMMYFUNCTION("""COMPUTED_VALUE"""),30262132)</f>
        <v>30262132</v>
      </c>
    </row>
    <row r="154" spans="1:6" ht="12.6">
      <c r="A154" s="2">
        <f ca="1">IFERROR(__xludf.DUMMYFUNCTION("""COMPUTED_VALUE"""),44784.6666666666)</f>
        <v>44784.666666666599</v>
      </c>
      <c r="B154" s="1">
        <f ca="1">IFERROR(__xludf.DUMMYFUNCTION("""COMPUTED_VALUE"""),179.71)</f>
        <v>179.71</v>
      </c>
      <c r="C154" s="1">
        <f ca="1">IFERROR(__xludf.DUMMYFUNCTION("""COMPUTED_VALUE"""),183.1)</f>
        <v>183.1</v>
      </c>
      <c r="D154" s="1">
        <f ca="1">IFERROR(__xludf.DUMMYFUNCTION("""COMPUTED_VALUE"""),176.37)</f>
        <v>176.37</v>
      </c>
      <c r="E154" s="1">
        <f ca="1">IFERROR(__xludf.DUMMYFUNCTION("""COMPUTED_VALUE"""),177.49)</f>
        <v>177.49</v>
      </c>
      <c r="F154" s="1">
        <f ca="1">IFERROR(__xludf.DUMMYFUNCTION("""COMPUTED_VALUE"""),24079062)</f>
        <v>24079062</v>
      </c>
    </row>
    <row r="155" spans="1:6" ht="12.6">
      <c r="A155" s="2">
        <f ca="1">IFERROR(__xludf.DUMMYFUNCTION("""COMPUTED_VALUE"""),44785.6666666666)</f>
        <v>44785.666666666599</v>
      </c>
      <c r="B155" s="1">
        <f ca="1">IFERROR(__xludf.DUMMYFUNCTION("""COMPUTED_VALUE"""),180.81)</f>
        <v>180.81</v>
      </c>
      <c r="C155" s="1">
        <f ca="1">IFERROR(__xludf.DUMMYFUNCTION("""COMPUTED_VALUE"""),181.46)</f>
        <v>181.46</v>
      </c>
      <c r="D155" s="1">
        <f ca="1">IFERROR(__xludf.DUMMYFUNCTION("""COMPUTED_VALUE"""),178.91)</f>
        <v>178.91</v>
      </c>
      <c r="E155" s="1">
        <f ca="1">IFERROR(__xludf.DUMMYFUNCTION("""COMPUTED_VALUE"""),180.5)</f>
        <v>180.5</v>
      </c>
      <c r="F155" s="1">
        <f ca="1">IFERROR(__xludf.DUMMYFUNCTION("""COMPUTED_VALUE"""),21274046)</f>
        <v>21274046</v>
      </c>
    </row>
    <row r="156" spans="1:6" ht="12.6">
      <c r="A156" s="2">
        <f ca="1">IFERROR(__xludf.DUMMYFUNCTION("""COMPUTED_VALUE"""),44788.6666666666)</f>
        <v>44788.666666666599</v>
      </c>
      <c r="B156" s="1">
        <f ca="1">IFERROR(__xludf.DUMMYFUNCTION("""COMPUTED_VALUE"""),178.96)</f>
        <v>178.96</v>
      </c>
      <c r="C156" s="1">
        <f ca="1">IFERROR(__xludf.DUMMYFUNCTION("""COMPUTED_VALUE"""),181.44)</f>
        <v>181.44</v>
      </c>
      <c r="D156" s="1">
        <f ca="1">IFERROR(__xludf.DUMMYFUNCTION("""COMPUTED_VALUE"""),178.2)</f>
        <v>178.2</v>
      </c>
      <c r="E156" s="1">
        <f ca="1">IFERROR(__xludf.DUMMYFUNCTION("""COMPUTED_VALUE"""),180.89)</f>
        <v>180.89</v>
      </c>
      <c r="F156" s="1">
        <f ca="1">IFERROR(__xludf.DUMMYFUNCTION("""COMPUTED_VALUE"""),15878671)</f>
        <v>15878671</v>
      </c>
    </row>
    <row r="157" spans="1:6" ht="12.6">
      <c r="A157" s="2">
        <f ca="1">IFERROR(__xludf.DUMMYFUNCTION("""COMPUTED_VALUE"""),44789.6666666666)</f>
        <v>44789.666666666599</v>
      </c>
      <c r="B157" s="1">
        <f ca="1">IFERROR(__xludf.DUMMYFUNCTION("""COMPUTED_VALUE"""),179.44)</f>
        <v>179.44</v>
      </c>
      <c r="C157" s="1">
        <f ca="1">IFERROR(__xludf.DUMMYFUNCTION("""COMPUTED_VALUE"""),180.99)</f>
        <v>180.99</v>
      </c>
      <c r="D157" s="1">
        <f ca="1">IFERROR(__xludf.DUMMYFUNCTION("""COMPUTED_VALUE"""),177.04)</f>
        <v>177.04</v>
      </c>
      <c r="E157" s="1">
        <f ca="1">IFERROR(__xludf.DUMMYFUNCTION("""COMPUTED_VALUE"""),179.47)</f>
        <v>179.47</v>
      </c>
      <c r="F157" s="1">
        <f ca="1">IFERROR(__xludf.DUMMYFUNCTION("""COMPUTED_VALUE"""),21156710)</f>
        <v>21156710</v>
      </c>
    </row>
    <row r="158" spans="1:6" ht="12.6">
      <c r="A158" s="2">
        <f ca="1">IFERROR(__xludf.DUMMYFUNCTION("""COMPUTED_VALUE"""),44790.6666666666)</f>
        <v>44790.666666666599</v>
      </c>
      <c r="B158" s="1">
        <f ca="1">IFERROR(__xludf.DUMMYFUNCTION("""COMPUTED_VALUE"""),176.76)</f>
        <v>176.76</v>
      </c>
      <c r="C158" s="1">
        <f ca="1">IFERROR(__xludf.DUMMYFUNCTION("""COMPUTED_VALUE"""),178.14)</f>
        <v>178.14</v>
      </c>
      <c r="D158" s="1">
        <f ca="1">IFERROR(__xludf.DUMMYFUNCTION("""COMPUTED_VALUE"""),174.17)</f>
        <v>174.17</v>
      </c>
      <c r="E158" s="1">
        <f ca="1">IFERROR(__xludf.DUMMYFUNCTION("""COMPUTED_VALUE"""),174.85)</f>
        <v>174.85</v>
      </c>
      <c r="F158" s="1">
        <f ca="1">IFERROR(__xludf.DUMMYFUNCTION("""COMPUTED_VALUE"""),20118133)</f>
        <v>20118133</v>
      </c>
    </row>
    <row r="159" spans="1:6" ht="12.6">
      <c r="A159" s="2">
        <f ca="1">IFERROR(__xludf.DUMMYFUNCTION("""COMPUTED_VALUE"""),44791.6666666666)</f>
        <v>44791.666666666599</v>
      </c>
      <c r="B159" s="1">
        <f ca="1">IFERROR(__xludf.DUMMYFUNCTION("""COMPUTED_VALUE"""),174.34)</f>
        <v>174.34</v>
      </c>
      <c r="C159" s="1">
        <f ca="1">IFERROR(__xludf.DUMMYFUNCTION("""COMPUTED_VALUE"""),175.76)</f>
        <v>175.76</v>
      </c>
      <c r="D159" s="1">
        <f ca="1">IFERROR(__xludf.DUMMYFUNCTION("""COMPUTED_VALUE"""),171.86)</f>
        <v>171.86</v>
      </c>
      <c r="E159" s="1">
        <f ca="1">IFERROR(__xludf.DUMMYFUNCTION("""COMPUTED_VALUE"""),174.66)</f>
        <v>174.66</v>
      </c>
      <c r="F159" s="1">
        <f ca="1">IFERROR(__xludf.DUMMYFUNCTION("""COMPUTED_VALUE"""),18844451)</f>
        <v>18844451</v>
      </c>
    </row>
    <row r="160" spans="1:6" ht="12.6">
      <c r="A160" s="2">
        <f ca="1">IFERROR(__xludf.DUMMYFUNCTION("""COMPUTED_VALUE"""),44792.6666666666)</f>
        <v>44792.666666666599</v>
      </c>
      <c r="B160" s="1">
        <f ca="1">IFERROR(__xludf.DUMMYFUNCTION("""COMPUTED_VALUE"""),170.2)</f>
        <v>170.2</v>
      </c>
      <c r="C160" s="1">
        <f ca="1">IFERROR(__xludf.DUMMYFUNCTION("""COMPUTED_VALUE"""),172.32)</f>
        <v>172.32</v>
      </c>
      <c r="D160" s="1">
        <f ca="1">IFERROR(__xludf.DUMMYFUNCTION("""COMPUTED_VALUE"""),167.05)</f>
        <v>167.05</v>
      </c>
      <c r="E160" s="1">
        <f ca="1">IFERROR(__xludf.DUMMYFUNCTION("""COMPUTED_VALUE"""),167.96)</f>
        <v>167.96</v>
      </c>
      <c r="F160" s="1">
        <f ca="1">IFERROR(__xludf.DUMMYFUNCTION("""COMPUTED_VALUE"""),26240799)</f>
        <v>26240799</v>
      </c>
    </row>
    <row r="161" spans="1:6" ht="12.6">
      <c r="A161" s="2">
        <f ca="1">IFERROR(__xludf.DUMMYFUNCTION("""COMPUTED_VALUE"""),44795.6666666666)</f>
        <v>44795.666666666599</v>
      </c>
      <c r="B161" s="1">
        <f ca="1">IFERROR(__xludf.DUMMYFUNCTION("""COMPUTED_VALUE"""),165.49)</f>
        <v>165.49</v>
      </c>
      <c r="C161" s="1">
        <f ca="1">IFERROR(__xludf.DUMMYFUNCTION("""COMPUTED_VALUE"""),165.49)</f>
        <v>165.49</v>
      </c>
      <c r="D161" s="1">
        <f ca="1">IFERROR(__xludf.DUMMYFUNCTION("""COMPUTED_VALUE"""),162.26)</f>
        <v>162.26</v>
      </c>
      <c r="E161" s="1">
        <f ca="1">IFERROR(__xludf.DUMMYFUNCTION("""COMPUTED_VALUE"""),163.05)</f>
        <v>163.05000000000001</v>
      </c>
      <c r="F161" s="1">
        <f ca="1">IFERROR(__xludf.DUMMYFUNCTION("""COMPUTED_VALUE"""),19499711)</f>
        <v>19499711</v>
      </c>
    </row>
    <row r="162" spans="1:6" ht="12.6">
      <c r="A162" s="2">
        <f ca="1">IFERROR(__xludf.DUMMYFUNCTION("""COMPUTED_VALUE"""),44796.6666666666)</f>
        <v>44796.666666666599</v>
      </c>
      <c r="B162" s="1">
        <f ca="1">IFERROR(__xludf.DUMMYFUNCTION("""COMPUTED_VALUE"""),162.48)</f>
        <v>162.47999999999999</v>
      </c>
      <c r="C162" s="1">
        <f ca="1">IFERROR(__xludf.DUMMYFUNCTION("""COMPUTED_VALUE"""),165.05)</f>
        <v>165.05</v>
      </c>
      <c r="D162" s="1">
        <f ca="1">IFERROR(__xludf.DUMMYFUNCTION("""COMPUTED_VALUE"""),160.7)</f>
        <v>160.69999999999999</v>
      </c>
      <c r="E162" s="1">
        <f ca="1">IFERROR(__xludf.DUMMYFUNCTION("""COMPUTED_VALUE"""),161.11)</f>
        <v>161.11000000000001</v>
      </c>
      <c r="F162" s="1">
        <f ca="1">IFERROR(__xludf.DUMMYFUNCTION("""COMPUTED_VALUE"""),18111777)</f>
        <v>18111777</v>
      </c>
    </row>
    <row r="163" spans="1:6" ht="12.6">
      <c r="A163" s="2">
        <f ca="1">IFERROR(__xludf.DUMMYFUNCTION("""COMPUTED_VALUE"""),44797.6666666666)</f>
        <v>44797.666666666599</v>
      </c>
      <c r="B163" s="1">
        <f ca="1">IFERROR(__xludf.DUMMYFUNCTION("""COMPUTED_VALUE"""),160.6)</f>
        <v>160.6</v>
      </c>
      <c r="C163" s="1">
        <f ca="1">IFERROR(__xludf.DUMMYFUNCTION("""COMPUTED_VALUE"""),165.46)</f>
        <v>165.46</v>
      </c>
      <c r="D163" s="1">
        <f ca="1">IFERROR(__xludf.DUMMYFUNCTION("""COMPUTED_VALUE"""),159.77)</f>
        <v>159.77000000000001</v>
      </c>
      <c r="E163" s="1">
        <f ca="1">IFERROR(__xludf.DUMMYFUNCTION("""COMPUTED_VALUE"""),163.26)</f>
        <v>163.26</v>
      </c>
      <c r="F163" s="1">
        <f ca="1">IFERROR(__xludf.DUMMYFUNCTION("""COMPUTED_VALUE"""),20891481)</f>
        <v>20891481</v>
      </c>
    </row>
    <row r="164" spans="1:6" ht="12.6">
      <c r="A164" s="2">
        <f ca="1">IFERROR(__xludf.DUMMYFUNCTION("""COMPUTED_VALUE"""),44798.6666666666)</f>
        <v>44798.666666666599</v>
      </c>
      <c r="B164" s="1">
        <f ca="1">IFERROR(__xludf.DUMMYFUNCTION("""COMPUTED_VALUE"""),165.18)</f>
        <v>165.18</v>
      </c>
      <c r="C164" s="1">
        <f ca="1">IFERROR(__xludf.DUMMYFUNCTION("""COMPUTED_VALUE"""),168.88)</f>
        <v>168.88</v>
      </c>
      <c r="D164" s="1">
        <f ca="1">IFERROR(__xludf.DUMMYFUNCTION("""COMPUTED_VALUE"""),164.02)</f>
        <v>164.02</v>
      </c>
      <c r="E164" s="1">
        <f ca="1">IFERROR(__xludf.DUMMYFUNCTION("""COMPUTED_VALUE"""),168.78)</f>
        <v>168.78</v>
      </c>
      <c r="F164" s="1">
        <f ca="1">IFERROR(__xludf.DUMMYFUNCTION("""COMPUTED_VALUE"""),15550514)</f>
        <v>15550514</v>
      </c>
    </row>
    <row r="165" spans="1:6" ht="12.6">
      <c r="A165" s="2">
        <f ca="1">IFERROR(__xludf.DUMMYFUNCTION("""COMPUTED_VALUE"""),44799.6666666666)</f>
        <v>44799.666666666599</v>
      </c>
      <c r="B165" s="1">
        <f ca="1">IFERROR(__xludf.DUMMYFUNCTION("""COMPUTED_VALUE"""),168.48)</f>
        <v>168.48</v>
      </c>
      <c r="C165" s="1">
        <f ca="1">IFERROR(__xludf.DUMMYFUNCTION("""COMPUTED_VALUE"""),170.92)</f>
        <v>170.92</v>
      </c>
      <c r="D165" s="1">
        <f ca="1">IFERROR(__xludf.DUMMYFUNCTION("""COMPUTED_VALUE"""),161.67)</f>
        <v>161.66999999999999</v>
      </c>
      <c r="E165" s="1">
        <f ca="1">IFERROR(__xludf.DUMMYFUNCTION("""COMPUTED_VALUE"""),161.78)</f>
        <v>161.78</v>
      </c>
      <c r="F165" s="1">
        <f ca="1">IFERROR(__xludf.DUMMYFUNCTION("""COMPUTED_VALUE"""),24023633)</f>
        <v>24023633</v>
      </c>
    </row>
    <row r="166" spans="1:6" ht="12.6">
      <c r="A166" s="2">
        <f ca="1">IFERROR(__xludf.DUMMYFUNCTION("""COMPUTED_VALUE"""),44802.6666666666)</f>
        <v>44802.666666666599</v>
      </c>
      <c r="B166" s="1">
        <f ca="1">IFERROR(__xludf.DUMMYFUNCTION("""COMPUTED_VALUE"""),160.66)</f>
        <v>160.66</v>
      </c>
      <c r="C166" s="1">
        <f ca="1">IFERROR(__xludf.DUMMYFUNCTION("""COMPUTED_VALUE"""),163.05)</f>
        <v>163.05000000000001</v>
      </c>
      <c r="D166" s="1">
        <f ca="1">IFERROR(__xludf.DUMMYFUNCTION("""COMPUTED_VALUE"""),159.01)</f>
        <v>159.01</v>
      </c>
      <c r="E166" s="1">
        <f ca="1">IFERROR(__xludf.DUMMYFUNCTION("""COMPUTED_VALUE"""),159.17)</f>
        <v>159.16999999999999</v>
      </c>
      <c r="F166" s="1">
        <f ca="1">IFERROR(__xludf.DUMMYFUNCTION("""COMPUTED_VALUE"""),20052661)</f>
        <v>20052661</v>
      </c>
    </row>
    <row r="167" spans="1:6" ht="12.6">
      <c r="A167" s="2">
        <f ca="1">IFERROR(__xludf.DUMMYFUNCTION("""COMPUTED_VALUE"""),44803.6666666666)</f>
        <v>44803.666666666599</v>
      </c>
      <c r="B167" s="1">
        <f ca="1">IFERROR(__xludf.DUMMYFUNCTION("""COMPUTED_VALUE"""),160.35)</f>
        <v>160.35</v>
      </c>
      <c r="C167" s="1">
        <f ca="1">IFERROR(__xludf.DUMMYFUNCTION("""COMPUTED_VALUE"""),161.66)</f>
        <v>161.66</v>
      </c>
      <c r="D167" s="1">
        <f ca="1">IFERROR(__xludf.DUMMYFUNCTION("""COMPUTED_VALUE"""),155.91)</f>
        <v>155.91</v>
      </c>
      <c r="E167" s="1">
        <f ca="1">IFERROR(__xludf.DUMMYFUNCTION("""COMPUTED_VALUE"""),157.16)</f>
        <v>157.16</v>
      </c>
      <c r="F167" s="1">
        <f ca="1">IFERROR(__xludf.DUMMYFUNCTION("""COMPUTED_VALUE"""),19567948)</f>
        <v>19567948</v>
      </c>
    </row>
    <row r="168" spans="1:6" ht="12.6">
      <c r="A168" s="2">
        <f ca="1">IFERROR(__xludf.DUMMYFUNCTION("""COMPUTED_VALUE"""),44804.6666666666)</f>
        <v>44804.666666666599</v>
      </c>
      <c r="B168" s="1">
        <f ca="1">IFERROR(__xludf.DUMMYFUNCTION("""COMPUTED_VALUE"""),167.07)</f>
        <v>167.07</v>
      </c>
      <c r="C168" s="1">
        <f ca="1">IFERROR(__xludf.DUMMYFUNCTION("""COMPUTED_VALUE"""),167.84)</f>
        <v>167.84</v>
      </c>
      <c r="D168" s="1">
        <f ca="1">IFERROR(__xludf.DUMMYFUNCTION("""COMPUTED_VALUE"""),162.14)</f>
        <v>162.13999999999999</v>
      </c>
      <c r="E168" s="1">
        <f ca="1">IFERROR(__xludf.DUMMYFUNCTION("""COMPUTED_VALUE"""),162.93)</f>
        <v>162.93</v>
      </c>
      <c r="F168" s="1">
        <f ca="1">IFERROR(__xludf.DUMMYFUNCTION("""COMPUTED_VALUE"""),40952975)</f>
        <v>40952975</v>
      </c>
    </row>
    <row r="169" spans="1:6" ht="12.6">
      <c r="A169" s="2">
        <f ca="1">IFERROR(__xludf.DUMMYFUNCTION("""COMPUTED_VALUE"""),44805.6666666666)</f>
        <v>44805.666666666599</v>
      </c>
      <c r="B169" s="1">
        <f ca="1">IFERROR(__xludf.DUMMYFUNCTION("""COMPUTED_VALUE"""),163.58)</f>
        <v>163.58000000000001</v>
      </c>
      <c r="C169" s="1">
        <f ca="1">IFERROR(__xludf.DUMMYFUNCTION("""COMPUTED_VALUE"""),167.36)</f>
        <v>167.36</v>
      </c>
      <c r="D169" s="1">
        <f ca="1">IFERROR(__xludf.DUMMYFUNCTION("""COMPUTED_VALUE"""),160.35)</f>
        <v>160.35</v>
      </c>
      <c r="E169" s="1">
        <f ca="1">IFERROR(__xludf.DUMMYFUNCTION("""COMPUTED_VALUE"""),165.36)</f>
        <v>165.36</v>
      </c>
      <c r="F169" s="1">
        <f ca="1">IFERROR(__xludf.DUMMYFUNCTION("""COMPUTED_VALUE"""),30145683)</f>
        <v>30145683</v>
      </c>
    </row>
    <row r="170" spans="1:6" ht="12.6">
      <c r="A170" s="2">
        <f ca="1">IFERROR(__xludf.DUMMYFUNCTION("""COMPUTED_VALUE"""),44806.6666666666)</f>
        <v>44806.666666666599</v>
      </c>
      <c r="B170" s="1">
        <f ca="1">IFERROR(__xludf.DUMMYFUNCTION("""COMPUTED_VALUE"""),167.45)</f>
        <v>167.45</v>
      </c>
      <c r="C170" s="1">
        <f ca="1">IFERROR(__xludf.DUMMYFUNCTION("""COMPUTED_VALUE"""),167.93)</f>
        <v>167.93</v>
      </c>
      <c r="D170" s="1">
        <f ca="1">IFERROR(__xludf.DUMMYFUNCTION("""COMPUTED_VALUE"""),159.22)</f>
        <v>159.22</v>
      </c>
      <c r="E170" s="1">
        <f ca="1">IFERROR(__xludf.DUMMYFUNCTION("""COMPUTED_VALUE"""),160.32)</f>
        <v>160.32</v>
      </c>
      <c r="F170" s="1">
        <f ca="1">IFERROR(__xludf.DUMMYFUNCTION("""COMPUTED_VALUE"""),22634191)</f>
        <v>22634191</v>
      </c>
    </row>
    <row r="171" spans="1:6" ht="12.6">
      <c r="A171" s="2">
        <f ca="1">IFERROR(__xludf.DUMMYFUNCTION("""COMPUTED_VALUE"""),44810.6666666666)</f>
        <v>44810.666666666599</v>
      </c>
      <c r="B171" s="1">
        <f ca="1">IFERROR(__xludf.DUMMYFUNCTION("""COMPUTED_VALUE"""),160.1)</f>
        <v>160.1</v>
      </c>
      <c r="C171" s="1">
        <f ca="1">IFERROR(__xludf.DUMMYFUNCTION("""COMPUTED_VALUE"""),161.69)</f>
        <v>161.69</v>
      </c>
      <c r="D171" s="1">
        <f ca="1">IFERROR(__xludf.DUMMYFUNCTION("""COMPUTED_VALUE"""),157.69)</f>
        <v>157.69</v>
      </c>
      <c r="E171" s="1">
        <f ca="1">IFERROR(__xludf.DUMMYFUNCTION("""COMPUTED_VALUE"""),158.54)</f>
        <v>158.54</v>
      </c>
      <c r="F171" s="1">
        <f ca="1">IFERROR(__xludf.DUMMYFUNCTION("""COMPUTED_VALUE"""),19339781)</f>
        <v>19339781</v>
      </c>
    </row>
    <row r="172" spans="1:6" ht="12.6">
      <c r="A172" s="2">
        <f ca="1">IFERROR(__xludf.DUMMYFUNCTION("""COMPUTED_VALUE"""),44811.6666666666)</f>
        <v>44811.666666666599</v>
      </c>
      <c r="B172" s="1">
        <f ca="1">IFERROR(__xludf.DUMMYFUNCTION("""COMPUTED_VALUE"""),157.76)</f>
        <v>157.76</v>
      </c>
      <c r="C172" s="1">
        <f ca="1">IFERROR(__xludf.DUMMYFUNCTION("""COMPUTED_VALUE"""),160.96)</f>
        <v>160.96</v>
      </c>
      <c r="D172" s="1">
        <f ca="1">IFERROR(__xludf.DUMMYFUNCTION("""COMPUTED_VALUE"""),156.81)</f>
        <v>156.81</v>
      </c>
      <c r="E172" s="1">
        <f ca="1">IFERROR(__xludf.DUMMYFUNCTION("""COMPUTED_VALUE"""),160.39)</f>
        <v>160.38999999999999</v>
      </c>
      <c r="F172" s="1">
        <f ca="1">IFERROR(__xludf.DUMMYFUNCTION("""COMPUTED_VALUE"""),16831182)</f>
        <v>16831182</v>
      </c>
    </row>
    <row r="173" spans="1:6" ht="12.6">
      <c r="A173" s="2">
        <f ca="1">IFERROR(__xludf.DUMMYFUNCTION("""COMPUTED_VALUE"""),44812.6666666666)</f>
        <v>44812.666666666599</v>
      </c>
      <c r="B173" s="1">
        <f ca="1">IFERROR(__xludf.DUMMYFUNCTION("""COMPUTED_VALUE"""),158.71)</f>
        <v>158.71</v>
      </c>
      <c r="C173" s="1">
        <f ca="1">IFERROR(__xludf.DUMMYFUNCTION("""COMPUTED_VALUE"""),162.23)</f>
        <v>162.22999999999999</v>
      </c>
      <c r="D173" s="1">
        <f ca="1">IFERROR(__xludf.DUMMYFUNCTION("""COMPUTED_VALUE"""),157.74)</f>
        <v>157.74</v>
      </c>
      <c r="E173" s="1">
        <f ca="1">IFERROR(__xludf.DUMMYFUNCTION("""COMPUTED_VALUE"""),162.06)</f>
        <v>162.06</v>
      </c>
      <c r="F173" s="1">
        <f ca="1">IFERROR(__xludf.DUMMYFUNCTION("""COMPUTED_VALUE"""),22530785)</f>
        <v>22530785</v>
      </c>
    </row>
    <row r="174" spans="1:6" ht="12.6">
      <c r="A174" s="2">
        <f ca="1">IFERROR(__xludf.DUMMYFUNCTION("""COMPUTED_VALUE"""),44813.6666666666)</f>
        <v>44813.666666666599</v>
      </c>
      <c r="B174" s="1">
        <f ca="1">IFERROR(__xludf.DUMMYFUNCTION("""COMPUTED_VALUE"""),163.25)</f>
        <v>163.25</v>
      </c>
      <c r="C174" s="1">
        <f ca="1">IFERROR(__xludf.DUMMYFUNCTION("""COMPUTED_VALUE"""),169.54)</f>
        <v>169.54</v>
      </c>
      <c r="D174" s="1">
        <f ca="1">IFERROR(__xludf.DUMMYFUNCTION("""COMPUTED_VALUE"""),163.02)</f>
        <v>163.02000000000001</v>
      </c>
      <c r="E174" s="1">
        <f ca="1">IFERROR(__xludf.DUMMYFUNCTION("""COMPUTED_VALUE"""),169.15)</f>
        <v>169.15</v>
      </c>
      <c r="F174" s="1">
        <f ca="1">IFERROR(__xludf.DUMMYFUNCTION("""COMPUTED_VALUE"""),22129802)</f>
        <v>22129802</v>
      </c>
    </row>
    <row r="175" spans="1:6" ht="12.6">
      <c r="A175" s="2">
        <f ca="1">IFERROR(__xludf.DUMMYFUNCTION("""COMPUTED_VALUE"""),44816.6666666666)</f>
        <v>44816.666666666599</v>
      </c>
      <c r="B175" s="1">
        <f ca="1">IFERROR(__xludf.DUMMYFUNCTION("""COMPUTED_VALUE"""),167.39)</f>
        <v>167.39</v>
      </c>
      <c r="C175" s="1">
        <f ca="1">IFERROR(__xludf.DUMMYFUNCTION("""COMPUTED_VALUE"""),171.39)</f>
        <v>171.39</v>
      </c>
      <c r="D175" s="1">
        <f ca="1">IFERROR(__xludf.DUMMYFUNCTION("""COMPUTED_VALUE"""),167.28)</f>
        <v>167.28</v>
      </c>
      <c r="E175" s="1">
        <f ca="1">IFERROR(__xludf.DUMMYFUNCTION("""COMPUTED_VALUE"""),168.96)</f>
        <v>168.96</v>
      </c>
      <c r="F175" s="1">
        <f ca="1">IFERROR(__xludf.DUMMYFUNCTION("""COMPUTED_VALUE"""),23220405)</f>
        <v>23220405</v>
      </c>
    </row>
    <row r="176" spans="1:6" ht="12.6">
      <c r="A176" s="2">
        <f ca="1">IFERROR(__xludf.DUMMYFUNCTION("""COMPUTED_VALUE"""),44817.6666666666)</f>
        <v>44817.666666666599</v>
      </c>
      <c r="B176" s="1">
        <f ca="1">IFERROR(__xludf.DUMMYFUNCTION("""COMPUTED_VALUE"""),161.54)</f>
        <v>161.54</v>
      </c>
      <c r="C176" s="1">
        <f ca="1">IFERROR(__xludf.DUMMYFUNCTION("""COMPUTED_VALUE"""),161.63)</f>
        <v>161.63</v>
      </c>
      <c r="D176" s="1">
        <f ca="1">IFERROR(__xludf.DUMMYFUNCTION("""COMPUTED_VALUE"""),152.67)</f>
        <v>152.66999999999999</v>
      </c>
      <c r="E176" s="1">
        <f ca="1">IFERROR(__xludf.DUMMYFUNCTION("""COMPUTED_VALUE"""),153.13)</f>
        <v>153.13</v>
      </c>
      <c r="F176" s="1">
        <f ca="1">IFERROR(__xludf.DUMMYFUNCTION("""COMPUTED_VALUE"""),44444061)</f>
        <v>44444061</v>
      </c>
    </row>
    <row r="177" spans="1:6" ht="12.6">
      <c r="A177" s="2">
        <f ca="1">IFERROR(__xludf.DUMMYFUNCTION("""COMPUTED_VALUE"""),44818.6666666666)</f>
        <v>44818.666666666599</v>
      </c>
      <c r="B177" s="1">
        <f ca="1">IFERROR(__xludf.DUMMYFUNCTION("""COMPUTED_VALUE"""),153.33)</f>
        <v>153.33000000000001</v>
      </c>
      <c r="C177" s="1">
        <f ca="1">IFERROR(__xludf.DUMMYFUNCTION("""COMPUTED_VALUE"""),153.54)</f>
        <v>153.54</v>
      </c>
      <c r="D177" s="1">
        <f ca="1">IFERROR(__xludf.DUMMYFUNCTION("""COMPUTED_VALUE"""),149.05)</f>
        <v>149.05000000000001</v>
      </c>
      <c r="E177" s="1">
        <f ca="1">IFERROR(__xludf.DUMMYFUNCTION("""COMPUTED_VALUE"""),151.47)</f>
        <v>151.47</v>
      </c>
      <c r="F177" s="1">
        <f ca="1">IFERROR(__xludf.DUMMYFUNCTION("""COMPUTED_VALUE"""),43064195)</f>
        <v>43064195</v>
      </c>
    </row>
    <row r="178" spans="1:6" ht="12.6">
      <c r="A178" s="2">
        <f ca="1">IFERROR(__xludf.DUMMYFUNCTION("""COMPUTED_VALUE"""),44819.6666666666)</f>
        <v>44819.666666666599</v>
      </c>
      <c r="B178" s="1">
        <f ca="1">IFERROR(__xludf.DUMMYFUNCTION("""COMPUTED_VALUE"""),149.8)</f>
        <v>149.80000000000001</v>
      </c>
      <c r="C178" s="1">
        <f ca="1">IFERROR(__xludf.DUMMYFUNCTION("""COMPUTED_VALUE"""),154.2)</f>
        <v>154.19999999999999</v>
      </c>
      <c r="D178" s="1">
        <f ca="1">IFERROR(__xludf.DUMMYFUNCTION("""COMPUTED_VALUE"""),148.7)</f>
        <v>148.69999999999999</v>
      </c>
      <c r="E178" s="1">
        <f ca="1">IFERROR(__xludf.DUMMYFUNCTION("""COMPUTED_VALUE"""),149.55)</f>
        <v>149.55000000000001</v>
      </c>
      <c r="F178" s="1">
        <f ca="1">IFERROR(__xludf.DUMMYFUNCTION("""COMPUTED_VALUE"""),34606348)</f>
        <v>34606348</v>
      </c>
    </row>
    <row r="179" spans="1:6" ht="12.6">
      <c r="A179" s="2">
        <f ca="1">IFERROR(__xludf.DUMMYFUNCTION("""COMPUTED_VALUE"""),44820.6666666666)</f>
        <v>44820.666666666599</v>
      </c>
      <c r="B179" s="1">
        <f ca="1">IFERROR(__xludf.DUMMYFUNCTION("""COMPUTED_VALUE"""),148.05)</f>
        <v>148.05000000000001</v>
      </c>
      <c r="C179" s="1">
        <f ca="1">IFERROR(__xludf.DUMMYFUNCTION("""COMPUTED_VALUE"""),148.58)</f>
        <v>148.58000000000001</v>
      </c>
      <c r="D179" s="1">
        <f ca="1">IFERROR(__xludf.DUMMYFUNCTION("""COMPUTED_VALUE"""),144.29)</f>
        <v>144.29</v>
      </c>
      <c r="E179" s="1">
        <f ca="1">IFERROR(__xludf.DUMMYFUNCTION("""COMPUTED_VALUE"""),146.29)</f>
        <v>146.29</v>
      </c>
      <c r="F179" s="1">
        <f ca="1">IFERROR(__xludf.DUMMYFUNCTION("""COMPUTED_VALUE"""),40122824)</f>
        <v>40122824</v>
      </c>
    </row>
    <row r="180" spans="1:6" ht="12.6">
      <c r="A180" s="2">
        <f ca="1">IFERROR(__xludf.DUMMYFUNCTION("""COMPUTED_VALUE"""),44823.6666666666)</f>
        <v>44823.666666666599</v>
      </c>
      <c r="B180" s="1">
        <f ca="1">IFERROR(__xludf.DUMMYFUNCTION("""COMPUTED_VALUE"""),145.24)</f>
        <v>145.24</v>
      </c>
      <c r="C180" s="1">
        <f ca="1">IFERROR(__xludf.DUMMYFUNCTION("""COMPUTED_VALUE"""),148.58)</f>
        <v>148.58000000000001</v>
      </c>
      <c r="D180" s="1">
        <f ca="1">IFERROR(__xludf.DUMMYFUNCTION("""COMPUTED_VALUE"""),145.1)</f>
        <v>145.1</v>
      </c>
      <c r="E180" s="1">
        <f ca="1">IFERROR(__xludf.DUMMYFUNCTION("""COMPUTED_VALUE"""),148.02)</f>
        <v>148.02000000000001</v>
      </c>
      <c r="F180" s="1">
        <f ca="1">IFERROR(__xludf.DUMMYFUNCTION("""COMPUTED_VALUE"""),22169477)</f>
        <v>22169477</v>
      </c>
    </row>
    <row r="181" spans="1:6" ht="12.6">
      <c r="A181" s="2">
        <f ca="1">IFERROR(__xludf.DUMMYFUNCTION("""COMPUTED_VALUE"""),44824.6666666666)</f>
        <v>44824.666666666599</v>
      </c>
      <c r="B181" s="1">
        <f ca="1">IFERROR(__xludf.DUMMYFUNCTION("""COMPUTED_VALUE"""),145.78)</f>
        <v>145.78</v>
      </c>
      <c r="C181" s="1">
        <f ca="1">IFERROR(__xludf.DUMMYFUNCTION("""COMPUTED_VALUE"""),148.84)</f>
        <v>148.84</v>
      </c>
      <c r="D181" s="1">
        <f ca="1">IFERROR(__xludf.DUMMYFUNCTION("""COMPUTED_VALUE"""),145.22)</f>
        <v>145.22</v>
      </c>
      <c r="E181" s="1">
        <f ca="1">IFERROR(__xludf.DUMMYFUNCTION("""COMPUTED_VALUE"""),146.09)</f>
        <v>146.09</v>
      </c>
      <c r="F181" s="1">
        <f ca="1">IFERROR(__xludf.DUMMYFUNCTION("""COMPUTED_VALUE"""),23217350)</f>
        <v>23217350</v>
      </c>
    </row>
    <row r="182" spans="1:6" ht="12.6">
      <c r="A182" s="2">
        <f ca="1">IFERROR(__xludf.DUMMYFUNCTION("""COMPUTED_VALUE"""),44825.6666666666)</f>
        <v>44825.666666666599</v>
      </c>
      <c r="B182" s="1">
        <f ca="1">IFERROR(__xludf.DUMMYFUNCTION("""COMPUTED_VALUE"""),146.39)</f>
        <v>146.38999999999999</v>
      </c>
      <c r="C182" s="1">
        <f ca="1">IFERROR(__xludf.DUMMYFUNCTION("""COMPUTED_VALUE"""),149.6)</f>
        <v>149.6</v>
      </c>
      <c r="D182" s="1">
        <f ca="1">IFERROR(__xludf.DUMMYFUNCTION("""COMPUTED_VALUE"""),142)</f>
        <v>142</v>
      </c>
      <c r="E182" s="1">
        <f ca="1">IFERROR(__xludf.DUMMYFUNCTION("""COMPUTED_VALUE"""),142.12)</f>
        <v>142.12</v>
      </c>
      <c r="F182" s="1">
        <f ca="1">IFERROR(__xludf.DUMMYFUNCTION("""COMPUTED_VALUE"""),38338614)</f>
        <v>38338614</v>
      </c>
    </row>
    <row r="183" spans="1:6" ht="12.6">
      <c r="A183" s="2">
        <f ca="1">IFERROR(__xludf.DUMMYFUNCTION("""COMPUTED_VALUE"""),44826.6666666666)</f>
        <v>44826.666666666599</v>
      </c>
      <c r="B183" s="1">
        <f ca="1">IFERROR(__xludf.DUMMYFUNCTION("""COMPUTED_VALUE"""),141.55)</f>
        <v>141.55000000000001</v>
      </c>
      <c r="C183" s="1">
        <f ca="1">IFERROR(__xludf.DUMMYFUNCTION("""COMPUTED_VALUE"""),144.58)</f>
        <v>144.58000000000001</v>
      </c>
      <c r="D183" s="1">
        <f ca="1">IFERROR(__xludf.DUMMYFUNCTION("""COMPUTED_VALUE"""),140.87)</f>
        <v>140.87</v>
      </c>
      <c r="E183" s="1">
        <f ca="1">IFERROR(__xludf.DUMMYFUNCTION("""COMPUTED_VALUE"""),142.82)</f>
        <v>142.82</v>
      </c>
      <c r="F183" s="1">
        <f ca="1">IFERROR(__xludf.DUMMYFUNCTION("""COMPUTED_VALUE"""),34418521)</f>
        <v>34418521</v>
      </c>
    </row>
    <row r="184" spans="1:6" ht="12.6">
      <c r="A184" s="2">
        <f ca="1">IFERROR(__xludf.DUMMYFUNCTION("""COMPUTED_VALUE"""),44827.6666666666)</f>
        <v>44827.666666666599</v>
      </c>
      <c r="B184" s="1">
        <f ca="1">IFERROR(__xludf.DUMMYFUNCTION("""COMPUTED_VALUE"""),141.42)</f>
        <v>141.41999999999999</v>
      </c>
      <c r="C184" s="1">
        <f ca="1">IFERROR(__xludf.DUMMYFUNCTION("""COMPUTED_VALUE"""),142.62)</f>
        <v>142.62</v>
      </c>
      <c r="D184" s="1">
        <f ca="1">IFERROR(__xludf.DUMMYFUNCTION("""COMPUTED_VALUE"""),138.89)</f>
        <v>138.88999999999999</v>
      </c>
      <c r="E184" s="1">
        <f ca="1">IFERROR(__xludf.DUMMYFUNCTION("""COMPUTED_VALUE"""),140.41)</f>
        <v>140.41</v>
      </c>
      <c r="F184" s="1">
        <f ca="1">IFERROR(__xludf.DUMMYFUNCTION("""COMPUTED_VALUE"""),31710685)</f>
        <v>31710685</v>
      </c>
    </row>
    <row r="185" spans="1:6" ht="12.6">
      <c r="A185" s="2">
        <f ca="1">IFERROR(__xludf.DUMMYFUNCTION("""COMPUTED_VALUE"""),44830.6666666666)</f>
        <v>44830.666666666599</v>
      </c>
      <c r="B185" s="1">
        <f ca="1">IFERROR(__xludf.DUMMYFUNCTION("""COMPUTED_VALUE"""),140.12)</f>
        <v>140.12</v>
      </c>
      <c r="C185" s="1">
        <f ca="1">IFERROR(__xludf.DUMMYFUNCTION("""COMPUTED_VALUE"""),142.24)</f>
        <v>142.24</v>
      </c>
      <c r="D185" s="1">
        <f ca="1">IFERROR(__xludf.DUMMYFUNCTION("""COMPUTED_VALUE"""),136.19)</f>
        <v>136.19</v>
      </c>
      <c r="E185" s="1">
        <f ca="1">IFERROR(__xludf.DUMMYFUNCTION("""COMPUTED_VALUE"""),136.37)</f>
        <v>136.37</v>
      </c>
      <c r="F185" s="1">
        <f ca="1">IFERROR(__xludf.DUMMYFUNCTION("""COMPUTED_VALUE"""),30497021)</f>
        <v>30497021</v>
      </c>
    </row>
    <row r="186" spans="1:6" ht="12.6">
      <c r="A186" s="2">
        <f ca="1">IFERROR(__xludf.DUMMYFUNCTION("""COMPUTED_VALUE"""),44831.6666666666)</f>
        <v>44831.666666666599</v>
      </c>
      <c r="B186" s="1">
        <f ca="1">IFERROR(__xludf.DUMMYFUNCTION("""COMPUTED_VALUE"""),137.92)</f>
        <v>137.91999999999999</v>
      </c>
      <c r="C186" s="1">
        <f ca="1">IFERROR(__xludf.DUMMYFUNCTION("""COMPUTED_VALUE"""),139.42)</f>
        <v>139.41999999999999</v>
      </c>
      <c r="D186" s="1">
        <f ca="1">IFERROR(__xludf.DUMMYFUNCTION("""COMPUTED_VALUE"""),134.12)</f>
        <v>134.12</v>
      </c>
      <c r="E186" s="1">
        <f ca="1">IFERROR(__xludf.DUMMYFUNCTION("""COMPUTED_VALUE"""),134.4)</f>
        <v>134.4</v>
      </c>
      <c r="F186" s="1">
        <f ca="1">IFERROR(__xludf.DUMMYFUNCTION("""COMPUTED_VALUE"""),30826471)</f>
        <v>30826471</v>
      </c>
    </row>
    <row r="187" spans="1:6" ht="12.6">
      <c r="A187" s="2">
        <f ca="1">IFERROR(__xludf.DUMMYFUNCTION("""COMPUTED_VALUE"""),44832.6666666666)</f>
        <v>44832.666666666599</v>
      </c>
      <c r="B187" s="1">
        <f ca="1">IFERROR(__xludf.DUMMYFUNCTION("""COMPUTED_VALUE"""),134.62)</f>
        <v>134.62</v>
      </c>
      <c r="C187" s="1">
        <f ca="1">IFERROR(__xludf.DUMMYFUNCTION("""COMPUTED_VALUE"""),142.03)</f>
        <v>142.03</v>
      </c>
      <c r="D187" s="1">
        <f ca="1">IFERROR(__xludf.DUMMYFUNCTION("""COMPUTED_VALUE"""),134.27)</f>
        <v>134.27000000000001</v>
      </c>
      <c r="E187" s="1">
        <f ca="1">IFERROR(__xludf.DUMMYFUNCTION("""COMPUTED_VALUE"""),141.61)</f>
        <v>141.61000000000001</v>
      </c>
      <c r="F187" s="1">
        <f ca="1">IFERROR(__xludf.DUMMYFUNCTION("""COMPUTED_VALUE"""),32658478)</f>
        <v>32658478</v>
      </c>
    </row>
    <row r="188" spans="1:6" ht="12.6">
      <c r="A188" s="2">
        <f ca="1">IFERROR(__xludf.DUMMYFUNCTION("""COMPUTED_VALUE"""),44833.6666666666)</f>
        <v>44833.666666666599</v>
      </c>
      <c r="B188" s="1">
        <f ca="1">IFERROR(__xludf.DUMMYFUNCTION("""COMPUTED_VALUE"""),139.36)</f>
        <v>139.36000000000001</v>
      </c>
      <c r="C188" s="1">
        <f ca="1">IFERROR(__xludf.DUMMYFUNCTION("""COMPUTED_VALUE"""),139.84)</f>
        <v>139.84</v>
      </c>
      <c r="D188" s="1">
        <f ca="1">IFERROR(__xludf.DUMMYFUNCTION("""COMPUTED_VALUE"""),135.2)</f>
        <v>135.19999999999999</v>
      </c>
      <c r="E188" s="1">
        <f ca="1">IFERROR(__xludf.DUMMYFUNCTION("""COMPUTED_VALUE"""),136.41)</f>
        <v>136.41</v>
      </c>
      <c r="F188" s="1">
        <f ca="1">IFERROR(__xludf.DUMMYFUNCTION("""COMPUTED_VALUE"""),38985414)</f>
        <v>38985414</v>
      </c>
    </row>
    <row r="189" spans="1:6" ht="12.6">
      <c r="A189" s="2">
        <f ca="1">IFERROR(__xludf.DUMMYFUNCTION("""COMPUTED_VALUE"""),44834.6666666666)</f>
        <v>44834.666666666599</v>
      </c>
      <c r="B189" s="1">
        <f ca="1">IFERROR(__xludf.DUMMYFUNCTION("""COMPUTED_VALUE"""),136.05)</f>
        <v>136.05000000000001</v>
      </c>
      <c r="C189" s="1">
        <f ca="1">IFERROR(__xludf.DUMMYFUNCTION("""COMPUTED_VALUE"""),140.99)</f>
        <v>140.99</v>
      </c>
      <c r="D189" s="1">
        <f ca="1">IFERROR(__xludf.DUMMYFUNCTION("""COMPUTED_VALUE"""),135.5)</f>
        <v>135.5</v>
      </c>
      <c r="E189" s="1">
        <f ca="1">IFERROR(__xludf.DUMMYFUNCTION("""COMPUTED_VALUE"""),135.68)</f>
        <v>135.68</v>
      </c>
      <c r="F189" s="1">
        <f ca="1">IFERROR(__xludf.DUMMYFUNCTION("""COMPUTED_VALUE"""),33166393)</f>
        <v>33166393</v>
      </c>
    </row>
    <row r="190" spans="1:6" ht="12.6">
      <c r="A190" s="2">
        <f ca="1">IFERROR(__xludf.DUMMYFUNCTION("""COMPUTED_VALUE"""),44837.6666666666)</f>
        <v>44837.666666666599</v>
      </c>
      <c r="B190" s="1">
        <f ca="1">IFERROR(__xludf.DUMMYFUNCTION("""COMPUTED_VALUE"""),137.14)</f>
        <v>137.13999999999999</v>
      </c>
      <c r="C190" s="1">
        <f ca="1">IFERROR(__xludf.DUMMYFUNCTION("""COMPUTED_VALUE"""),139.62)</f>
        <v>139.62</v>
      </c>
      <c r="D190" s="1">
        <f ca="1">IFERROR(__xludf.DUMMYFUNCTION("""COMPUTED_VALUE"""),136.1)</f>
        <v>136.1</v>
      </c>
      <c r="E190" s="1">
        <f ca="1">IFERROR(__xludf.DUMMYFUNCTION("""COMPUTED_VALUE"""),138.61)</f>
        <v>138.61000000000001</v>
      </c>
      <c r="F190" s="1">
        <f ca="1">IFERROR(__xludf.DUMMYFUNCTION("""COMPUTED_VALUE"""),27723063)</f>
        <v>27723063</v>
      </c>
    </row>
    <row r="191" spans="1:6" ht="12.6">
      <c r="A191" s="2">
        <f ca="1">IFERROR(__xludf.DUMMYFUNCTION("""COMPUTED_VALUE"""),44838.6666666666)</f>
        <v>44838.666666666599</v>
      </c>
      <c r="B191" s="1">
        <f ca="1">IFERROR(__xludf.DUMMYFUNCTION("""COMPUTED_VALUE"""),140.49)</f>
        <v>140.49</v>
      </c>
      <c r="C191" s="1">
        <f ca="1">IFERROR(__xludf.DUMMYFUNCTION("""COMPUTED_VALUE"""),142.39)</f>
        <v>142.38999999999999</v>
      </c>
      <c r="D191" s="1">
        <f ca="1">IFERROR(__xludf.DUMMYFUNCTION("""COMPUTED_VALUE"""),139.34)</f>
        <v>139.34</v>
      </c>
      <c r="E191" s="1">
        <f ca="1">IFERROR(__xludf.DUMMYFUNCTION("""COMPUTED_VALUE"""),140.28)</f>
        <v>140.28</v>
      </c>
      <c r="F191" s="1">
        <f ca="1">IFERROR(__xludf.DUMMYFUNCTION("""COMPUTED_VALUE"""),34670729)</f>
        <v>34670729</v>
      </c>
    </row>
    <row r="192" spans="1:6" ht="12.6">
      <c r="A192" s="2">
        <f ca="1">IFERROR(__xludf.DUMMYFUNCTION("""COMPUTED_VALUE"""),44839.6666666666)</f>
        <v>44839.666666666599</v>
      </c>
      <c r="B192" s="1">
        <f ca="1">IFERROR(__xludf.DUMMYFUNCTION("""COMPUTED_VALUE"""),138.24)</f>
        <v>138.24</v>
      </c>
      <c r="C192" s="1">
        <f ca="1">IFERROR(__xludf.DUMMYFUNCTION("""COMPUTED_VALUE"""),140.21)</f>
        <v>140.21</v>
      </c>
      <c r="D192" s="1">
        <f ca="1">IFERROR(__xludf.DUMMYFUNCTION("""COMPUTED_VALUE"""),134.78)</f>
        <v>134.78</v>
      </c>
      <c r="E192" s="1">
        <f ca="1">IFERROR(__xludf.DUMMYFUNCTION("""COMPUTED_VALUE"""),138.98)</f>
        <v>138.97999999999999</v>
      </c>
      <c r="F192" s="1">
        <f ca="1">IFERROR(__xludf.DUMMYFUNCTION("""COMPUTED_VALUE"""),27979348)</f>
        <v>27979348</v>
      </c>
    </row>
    <row r="193" spans="1:6" ht="12.6">
      <c r="A193" s="2">
        <f ca="1">IFERROR(__xludf.DUMMYFUNCTION("""COMPUTED_VALUE"""),44840.6666666666)</f>
        <v>44840.666666666599</v>
      </c>
      <c r="B193" s="1">
        <f ca="1">IFERROR(__xludf.DUMMYFUNCTION("""COMPUTED_VALUE"""),137.72)</f>
        <v>137.72</v>
      </c>
      <c r="C193" s="1">
        <f ca="1">IFERROR(__xludf.DUMMYFUNCTION("""COMPUTED_VALUE"""),141.45)</f>
        <v>141.44999999999999</v>
      </c>
      <c r="D193" s="1">
        <f ca="1">IFERROR(__xludf.DUMMYFUNCTION("""COMPUTED_VALUE"""),136.6)</f>
        <v>136.6</v>
      </c>
      <c r="E193" s="1">
        <f ca="1">IFERROR(__xludf.DUMMYFUNCTION("""COMPUTED_VALUE"""),139.07)</f>
        <v>139.07</v>
      </c>
      <c r="F193" s="1">
        <f ca="1">IFERROR(__xludf.DUMMYFUNCTION("""COMPUTED_VALUE"""),36231056)</f>
        <v>36231056</v>
      </c>
    </row>
    <row r="194" spans="1:6" ht="12.6">
      <c r="A194" s="2">
        <f ca="1">IFERROR(__xludf.DUMMYFUNCTION("""COMPUTED_VALUE"""),44841.6666666666)</f>
        <v>44841.666666666599</v>
      </c>
      <c r="B194" s="1">
        <f ca="1">IFERROR(__xludf.DUMMYFUNCTION("""COMPUTED_VALUE"""),136.76)</f>
        <v>136.76</v>
      </c>
      <c r="C194" s="1">
        <f ca="1">IFERROR(__xludf.DUMMYFUNCTION("""COMPUTED_VALUE"""),138.29)</f>
        <v>138.29</v>
      </c>
      <c r="D194" s="1">
        <f ca="1">IFERROR(__xludf.DUMMYFUNCTION("""COMPUTED_VALUE"""),132.44)</f>
        <v>132.44</v>
      </c>
      <c r="E194" s="1">
        <f ca="1">IFERROR(__xludf.DUMMYFUNCTION("""COMPUTED_VALUE"""),133.45)</f>
        <v>133.44999999999999</v>
      </c>
      <c r="F194" s="1">
        <f ca="1">IFERROR(__xludf.DUMMYFUNCTION("""COMPUTED_VALUE"""),33214773)</f>
        <v>33214773</v>
      </c>
    </row>
    <row r="195" spans="1:6" ht="12.6">
      <c r="A195" s="2">
        <f ca="1">IFERROR(__xludf.DUMMYFUNCTION("""COMPUTED_VALUE"""),44844.6666666666)</f>
        <v>44844.666666666599</v>
      </c>
      <c r="B195" s="1">
        <f ca="1">IFERROR(__xludf.DUMMYFUNCTION("""COMPUTED_VALUE"""),133.55)</f>
        <v>133.55000000000001</v>
      </c>
      <c r="C195" s="1">
        <f ca="1">IFERROR(__xludf.DUMMYFUNCTION("""COMPUTED_VALUE"""),136.11)</f>
        <v>136.11000000000001</v>
      </c>
      <c r="D195" s="1">
        <f ca="1">IFERROR(__xludf.DUMMYFUNCTION("""COMPUTED_VALUE"""),131.87)</f>
        <v>131.87</v>
      </c>
      <c r="E195" s="1">
        <f ca="1">IFERROR(__xludf.DUMMYFUNCTION("""COMPUTED_VALUE"""),133.79)</f>
        <v>133.79</v>
      </c>
      <c r="F195" s="1">
        <f ca="1">IFERROR(__xludf.DUMMYFUNCTION("""COMPUTED_VALUE"""),24023982)</f>
        <v>24023982</v>
      </c>
    </row>
    <row r="196" spans="1:6" ht="12.6">
      <c r="A196" s="2">
        <f ca="1">IFERROR(__xludf.DUMMYFUNCTION("""COMPUTED_VALUE"""),44845.6666666666)</f>
        <v>44845.666666666599</v>
      </c>
      <c r="B196" s="1">
        <f ca="1">IFERROR(__xludf.DUMMYFUNCTION("""COMPUTED_VALUE"""),131.62)</f>
        <v>131.62</v>
      </c>
      <c r="C196" s="1">
        <f ca="1">IFERROR(__xludf.DUMMYFUNCTION("""COMPUTED_VALUE"""),132.66)</f>
        <v>132.66</v>
      </c>
      <c r="D196" s="1">
        <f ca="1">IFERROR(__xludf.DUMMYFUNCTION("""COMPUTED_VALUE"""),126.99)</f>
        <v>126.99</v>
      </c>
      <c r="E196" s="1">
        <f ca="1">IFERROR(__xludf.DUMMYFUNCTION("""COMPUTED_VALUE"""),128.54)</f>
        <v>128.54</v>
      </c>
      <c r="F196" s="1">
        <f ca="1">IFERROR(__xludf.DUMMYFUNCTION("""COMPUTED_VALUE"""),38481403)</f>
        <v>38481403</v>
      </c>
    </row>
    <row r="197" spans="1:6" ht="12.6">
      <c r="A197" s="2">
        <f ca="1">IFERROR(__xludf.DUMMYFUNCTION("""COMPUTED_VALUE"""),44846.6666666666)</f>
        <v>44846.666666666599</v>
      </c>
      <c r="B197" s="1">
        <f ca="1">IFERROR(__xludf.DUMMYFUNCTION("""COMPUTED_VALUE"""),128.32)</f>
        <v>128.32</v>
      </c>
      <c r="C197" s="1">
        <f ca="1">IFERROR(__xludf.DUMMYFUNCTION("""COMPUTED_VALUE"""),129.67)</f>
        <v>129.66999999999999</v>
      </c>
      <c r="D197" s="1">
        <f ca="1">IFERROR(__xludf.DUMMYFUNCTION("""COMPUTED_VALUE"""),126.25)</f>
        <v>126.25</v>
      </c>
      <c r="E197" s="1">
        <f ca="1">IFERROR(__xludf.DUMMYFUNCTION("""COMPUTED_VALUE"""),127.5)</f>
        <v>127.5</v>
      </c>
      <c r="F197" s="1">
        <f ca="1">IFERROR(__xludf.DUMMYFUNCTION("""COMPUTED_VALUE"""),34605245)</f>
        <v>34605245</v>
      </c>
    </row>
    <row r="198" spans="1:6" ht="12.6">
      <c r="A198" s="2">
        <f ca="1">IFERROR(__xludf.DUMMYFUNCTION("""COMPUTED_VALUE"""),44847.6666666666)</f>
        <v>44847.666666666599</v>
      </c>
      <c r="B198" s="1">
        <f ca="1">IFERROR(__xludf.DUMMYFUNCTION("""COMPUTED_VALUE"""),123.53)</f>
        <v>123.53</v>
      </c>
      <c r="C198" s="1">
        <f ca="1">IFERROR(__xludf.DUMMYFUNCTION("""COMPUTED_VALUE"""),131.14)</f>
        <v>131.13999999999999</v>
      </c>
      <c r="D198" s="1">
        <f ca="1">IFERROR(__xludf.DUMMYFUNCTION("""COMPUTED_VALUE"""),122.53)</f>
        <v>122.53</v>
      </c>
      <c r="E198" s="1">
        <f ca="1">IFERROR(__xludf.DUMMYFUNCTION("""COMPUTED_VALUE"""),130.29)</f>
        <v>130.29</v>
      </c>
      <c r="F198" s="1">
        <f ca="1">IFERROR(__xludf.DUMMYFUNCTION("""COMPUTED_VALUE"""),34325715)</f>
        <v>34325715</v>
      </c>
    </row>
    <row r="199" spans="1:6" ht="12.6">
      <c r="A199" s="2">
        <f ca="1">IFERROR(__xludf.DUMMYFUNCTION("""COMPUTED_VALUE"""),44848.6666666666)</f>
        <v>44848.666666666599</v>
      </c>
      <c r="B199" s="1">
        <f ca="1">IFERROR(__xludf.DUMMYFUNCTION("""COMPUTED_VALUE"""),131)</f>
        <v>131</v>
      </c>
      <c r="C199" s="1">
        <f ca="1">IFERROR(__xludf.DUMMYFUNCTION("""COMPUTED_VALUE"""),131.79)</f>
        <v>131.79</v>
      </c>
      <c r="D199" s="1">
        <f ca="1">IFERROR(__xludf.DUMMYFUNCTION("""COMPUTED_VALUE"""),126.52)</f>
        <v>126.52</v>
      </c>
      <c r="E199" s="1">
        <f ca="1">IFERROR(__xludf.DUMMYFUNCTION("""COMPUTED_VALUE"""),126.76)</f>
        <v>126.76</v>
      </c>
      <c r="F199" s="1">
        <f ca="1">IFERROR(__xludf.DUMMYFUNCTION("""COMPUTED_VALUE"""),23559407)</f>
        <v>23559407</v>
      </c>
    </row>
    <row r="200" spans="1:6" ht="12.6">
      <c r="A200" s="2">
        <f ca="1">IFERROR(__xludf.DUMMYFUNCTION("""COMPUTED_VALUE"""),44851.6666666666)</f>
        <v>44851.666666666599</v>
      </c>
      <c r="B200" s="1">
        <f ca="1">IFERROR(__xludf.DUMMYFUNCTION("""COMPUTED_VALUE"""),130.3)</f>
        <v>130.30000000000001</v>
      </c>
      <c r="C200" s="1">
        <f ca="1">IFERROR(__xludf.DUMMYFUNCTION("""COMPUTED_VALUE"""),134.79)</f>
        <v>134.79</v>
      </c>
      <c r="D200" s="1">
        <f ca="1">IFERROR(__xludf.DUMMYFUNCTION("""COMPUTED_VALUE"""),130.18)</f>
        <v>130.18</v>
      </c>
      <c r="E200" s="1">
        <f ca="1">IFERROR(__xludf.DUMMYFUNCTION("""COMPUTED_VALUE"""),134.04)</f>
        <v>134.04</v>
      </c>
      <c r="F200" s="1">
        <f ca="1">IFERROR(__xludf.DUMMYFUNCTION("""COMPUTED_VALUE"""),29612245)</f>
        <v>29612245</v>
      </c>
    </row>
    <row r="201" spans="1:6" ht="12.6">
      <c r="A201" s="2">
        <f ca="1">IFERROR(__xludf.DUMMYFUNCTION("""COMPUTED_VALUE"""),44852.6666666666)</f>
        <v>44852.666666666599</v>
      </c>
      <c r="B201" s="1">
        <f ca="1">IFERROR(__xludf.DUMMYFUNCTION("""COMPUTED_VALUE"""),137.09)</f>
        <v>137.09</v>
      </c>
      <c r="C201" s="1">
        <f ca="1">IFERROR(__xludf.DUMMYFUNCTION("""COMPUTED_VALUE"""),137.84)</f>
        <v>137.84</v>
      </c>
      <c r="D201" s="1">
        <f ca="1">IFERROR(__xludf.DUMMYFUNCTION("""COMPUTED_VALUE"""),131.4)</f>
        <v>131.4</v>
      </c>
      <c r="E201" s="1">
        <f ca="1">IFERROR(__xludf.DUMMYFUNCTION("""COMPUTED_VALUE"""),132.8)</f>
        <v>132.80000000000001</v>
      </c>
      <c r="F201" s="1">
        <f ca="1">IFERROR(__xludf.DUMMYFUNCTION("""COMPUTED_VALUE"""),25444979)</f>
        <v>25444979</v>
      </c>
    </row>
    <row r="202" spans="1:6" ht="12.6">
      <c r="A202" s="2">
        <f ca="1">IFERROR(__xludf.DUMMYFUNCTION("""COMPUTED_VALUE"""),44853.6666666666)</f>
        <v>44853.666666666599</v>
      </c>
      <c r="B202" s="1">
        <f ca="1">IFERROR(__xludf.DUMMYFUNCTION("""COMPUTED_VALUE"""),132.89)</f>
        <v>132.88999999999999</v>
      </c>
      <c r="C202" s="1">
        <f ca="1">IFERROR(__xludf.DUMMYFUNCTION("""COMPUTED_VALUE"""),137)</f>
        <v>137</v>
      </c>
      <c r="D202" s="1">
        <f ca="1">IFERROR(__xludf.DUMMYFUNCTION("""COMPUTED_VALUE"""),132.22)</f>
        <v>132.22</v>
      </c>
      <c r="E202" s="1">
        <f ca="1">IFERROR(__xludf.DUMMYFUNCTION("""COMPUTED_VALUE"""),133.23)</f>
        <v>133.22999999999999</v>
      </c>
      <c r="F202" s="1">
        <f ca="1">IFERROR(__xludf.DUMMYFUNCTION("""COMPUTED_VALUE"""),30691047)</f>
        <v>30691047</v>
      </c>
    </row>
    <row r="203" spans="1:6" ht="12.6">
      <c r="A203" s="2">
        <f ca="1">IFERROR(__xludf.DUMMYFUNCTION("""COMPUTED_VALUE"""),44854.6666666666)</f>
        <v>44854.666666666599</v>
      </c>
      <c r="B203" s="1">
        <f ca="1">IFERROR(__xludf.DUMMYFUNCTION("""COMPUTED_VALUE"""),132.93)</f>
        <v>132.93</v>
      </c>
      <c r="C203" s="1">
        <f ca="1">IFERROR(__xludf.DUMMYFUNCTION("""COMPUTED_VALUE"""),136.77)</f>
        <v>136.77000000000001</v>
      </c>
      <c r="D203" s="1">
        <f ca="1">IFERROR(__xludf.DUMMYFUNCTION("""COMPUTED_VALUE"""),131.31)</f>
        <v>131.31</v>
      </c>
      <c r="E203" s="1">
        <f ca="1">IFERROR(__xludf.DUMMYFUNCTION("""COMPUTED_VALUE"""),131.53)</f>
        <v>131.53</v>
      </c>
      <c r="F203" s="1">
        <f ca="1">IFERROR(__xludf.DUMMYFUNCTION("""COMPUTED_VALUE"""),26356276)</f>
        <v>26356276</v>
      </c>
    </row>
    <row r="204" spans="1:6" ht="12.6">
      <c r="A204" s="2">
        <f ca="1">IFERROR(__xludf.DUMMYFUNCTION("""COMPUTED_VALUE"""),44855.6666666666)</f>
        <v>44855.666666666599</v>
      </c>
      <c r="B204" s="1">
        <f ca="1">IFERROR(__xludf.DUMMYFUNCTION("""COMPUTED_VALUE"""),126.31)</f>
        <v>126.31</v>
      </c>
      <c r="C204" s="1">
        <f ca="1">IFERROR(__xludf.DUMMYFUNCTION("""COMPUTED_VALUE"""),130.12)</f>
        <v>130.12</v>
      </c>
      <c r="D204" s="1">
        <f ca="1">IFERROR(__xludf.DUMMYFUNCTION("""COMPUTED_VALUE"""),125.44)</f>
        <v>125.44</v>
      </c>
      <c r="E204" s="1">
        <f ca="1">IFERROR(__xludf.DUMMYFUNCTION("""COMPUTED_VALUE"""),130.01)</f>
        <v>130.01</v>
      </c>
      <c r="F204" s="1">
        <f ca="1">IFERROR(__xludf.DUMMYFUNCTION("""COMPUTED_VALUE"""),46348647)</f>
        <v>46348647</v>
      </c>
    </row>
    <row r="205" spans="1:6" ht="12.6">
      <c r="A205" s="2">
        <f ca="1">IFERROR(__xludf.DUMMYFUNCTION("""COMPUTED_VALUE"""),44858.6666666666)</f>
        <v>44858.666666666599</v>
      </c>
      <c r="B205" s="1">
        <f ca="1">IFERROR(__xludf.DUMMYFUNCTION("""COMPUTED_VALUE"""),127.25)</f>
        <v>127.25</v>
      </c>
      <c r="C205" s="1">
        <f ca="1">IFERROR(__xludf.DUMMYFUNCTION("""COMPUTED_VALUE"""),133.48)</f>
        <v>133.47999999999999</v>
      </c>
      <c r="D205" s="1">
        <f ca="1">IFERROR(__xludf.DUMMYFUNCTION("""COMPUTED_VALUE"""),124.57)</f>
        <v>124.57</v>
      </c>
      <c r="E205" s="1">
        <f ca="1">IFERROR(__xludf.DUMMYFUNCTION("""COMPUTED_VALUE"""),129.72)</f>
        <v>129.72</v>
      </c>
      <c r="F205" s="1">
        <f ca="1">IFERROR(__xludf.DUMMYFUNCTION("""COMPUTED_VALUE"""),63563447)</f>
        <v>63563447</v>
      </c>
    </row>
    <row r="206" spans="1:6" ht="12.6">
      <c r="A206" s="2">
        <f ca="1">IFERROR(__xludf.DUMMYFUNCTION("""COMPUTED_VALUE"""),44859.6666666666)</f>
        <v>44859.666666666599</v>
      </c>
      <c r="B206" s="1">
        <f ca="1">IFERROR(__xludf.DUMMYFUNCTION("""COMPUTED_VALUE"""),130.88)</f>
        <v>130.88</v>
      </c>
      <c r="C206" s="1">
        <f ca="1">IFERROR(__xludf.DUMMYFUNCTION("""COMPUTED_VALUE"""),138.35)</f>
        <v>138.35</v>
      </c>
      <c r="D206" s="1">
        <f ca="1">IFERROR(__xludf.DUMMYFUNCTION("""COMPUTED_VALUE"""),130.59)</f>
        <v>130.59</v>
      </c>
      <c r="E206" s="1">
        <f ca="1">IFERROR(__xludf.DUMMYFUNCTION("""COMPUTED_VALUE"""),137.51)</f>
        <v>137.51</v>
      </c>
      <c r="F206" s="1">
        <f ca="1">IFERROR(__xludf.DUMMYFUNCTION("""COMPUTED_VALUE"""),38433219)</f>
        <v>38433219</v>
      </c>
    </row>
    <row r="207" spans="1:6" ht="12.6">
      <c r="A207" s="2">
        <f ca="1">IFERROR(__xludf.DUMMYFUNCTION("""COMPUTED_VALUE"""),44860.6666666666)</f>
        <v>44860.666666666599</v>
      </c>
      <c r="B207" s="1">
        <f ca="1">IFERROR(__xludf.DUMMYFUNCTION("""COMPUTED_VALUE"""),131.68)</f>
        <v>131.68</v>
      </c>
      <c r="C207" s="1">
        <f ca="1">IFERROR(__xludf.DUMMYFUNCTION("""COMPUTED_VALUE"""),135.55)</f>
        <v>135.55000000000001</v>
      </c>
      <c r="D207" s="1">
        <f ca="1">IFERROR(__xludf.DUMMYFUNCTION("""COMPUTED_VALUE"""),128.53)</f>
        <v>128.53</v>
      </c>
      <c r="E207" s="1">
        <f ca="1">IFERROR(__xludf.DUMMYFUNCTION("""COMPUTED_VALUE"""),129.82)</f>
        <v>129.82</v>
      </c>
      <c r="F207" s="1">
        <f ca="1">IFERROR(__xludf.DUMMYFUNCTION("""COMPUTED_VALUE"""),89294679)</f>
        <v>89294679</v>
      </c>
    </row>
    <row r="208" spans="1:6" ht="12.6">
      <c r="A208" s="2">
        <f ca="1">IFERROR(__xludf.DUMMYFUNCTION("""COMPUTED_VALUE"""),44861.6666666666)</f>
        <v>44861.666666666599</v>
      </c>
      <c r="B208" s="1">
        <f ca="1">IFERROR(__xludf.DUMMYFUNCTION("""COMPUTED_VALUE"""),97.98)</f>
        <v>97.98</v>
      </c>
      <c r="C208" s="1">
        <f ca="1">IFERROR(__xludf.DUMMYFUNCTION("""COMPUTED_VALUE"""),102.5)</f>
        <v>102.5</v>
      </c>
      <c r="D208" s="1">
        <f ca="1">IFERROR(__xludf.DUMMYFUNCTION("""COMPUTED_VALUE"""),96.38)</f>
        <v>96.38</v>
      </c>
      <c r="E208" s="1">
        <f ca="1">IFERROR(__xludf.DUMMYFUNCTION("""COMPUTED_VALUE"""),97.94)</f>
        <v>97.94</v>
      </c>
      <c r="F208" s="1">
        <f ca="1">IFERROR(__xludf.DUMMYFUNCTION("""COMPUTED_VALUE"""),232316571)</f>
        <v>232316571</v>
      </c>
    </row>
    <row r="209" spans="1:6" ht="12.6">
      <c r="A209" s="2">
        <f ca="1">IFERROR(__xludf.DUMMYFUNCTION("""COMPUTED_VALUE"""),44862.6666666666)</f>
        <v>44862.666666666599</v>
      </c>
      <c r="B209" s="1">
        <f ca="1">IFERROR(__xludf.DUMMYFUNCTION("""COMPUTED_VALUE"""),99.58)</f>
        <v>99.58</v>
      </c>
      <c r="C209" s="1">
        <f ca="1">IFERROR(__xludf.DUMMYFUNCTION("""COMPUTED_VALUE"""),100.85)</f>
        <v>100.85</v>
      </c>
      <c r="D209" s="1">
        <f ca="1">IFERROR(__xludf.DUMMYFUNCTION("""COMPUTED_VALUE"""),97.51)</f>
        <v>97.51</v>
      </c>
      <c r="E209" s="1">
        <f ca="1">IFERROR(__xludf.DUMMYFUNCTION("""COMPUTED_VALUE"""),99.2)</f>
        <v>99.2</v>
      </c>
      <c r="F209" s="1">
        <f ca="1">IFERROR(__xludf.DUMMYFUNCTION("""COMPUTED_VALUE"""),95928306)</f>
        <v>95928306</v>
      </c>
    </row>
    <row r="210" spans="1:6" ht="12.6">
      <c r="A210" s="2">
        <f ca="1">IFERROR(__xludf.DUMMYFUNCTION("""COMPUTED_VALUE"""),44865.6666666666)</f>
        <v>44865.666666666599</v>
      </c>
      <c r="B210" s="1">
        <f ca="1">IFERROR(__xludf.DUMMYFUNCTION("""COMPUTED_VALUE"""),98.22)</f>
        <v>98.22</v>
      </c>
      <c r="C210" s="1">
        <f ca="1">IFERROR(__xludf.DUMMYFUNCTION("""COMPUTED_VALUE"""),99.32)</f>
        <v>99.32</v>
      </c>
      <c r="D210" s="1">
        <f ca="1">IFERROR(__xludf.DUMMYFUNCTION("""COMPUTED_VALUE"""),92.6)</f>
        <v>92.6</v>
      </c>
      <c r="E210" s="1">
        <f ca="1">IFERROR(__xludf.DUMMYFUNCTION("""COMPUTED_VALUE"""),93.16)</f>
        <v>93.16</v>
      </c>
      <c r="F210" s="1">
        <f ca="1">IFERROR(__xludf.DUMMYFUNCTION("""COMPUTED_VALUE"""),121361444)</f>
        <v>121361444</v>
      </c>
    </row>
    <row r="211" spans="1:6" ht="12.6">
      <c r="A211" s="2">
        <f ca="1">IFERROR(__xludf.DUMMYFUNCTION("""COMPUTED_VALUE"""),44866.6666666666)</f>
        <v>44866.666666666599</v>
      </c>
      <c r="B211" s="1">
        <f ca="1">IFERROR(__xludf.DUMMYFUNCTION("""COMPUTED_VALUE"""),94.33)</f>
        <v>94.33</v>
      </c>
      <c r="C211" s="1">
        <f ca="1">IFERROR(__xludf.DUMMYFUNCTION("""COMPUTED_VALUE"""),97.49)</f>
        <v>97.49</v>
      </c>
      <c r="D211" s="1">
        <f ca="1">IFERROR(__xludf.DUMMYFUNCTION("""COMPUTED_VALUE"""),93.55)</f>
        <v>93.55</v>
      </c>
      <c r="E211" s="1">
        <f ca="1">IFERROR(__xludf.DUMMYFUNCTION("""COMPUTED_VALUE"""),95.2)</f>
        <v>95.2</v>
      </c>
      <c r="F211" s="1">
        <f ca="1">IFERROR(__xludf.DUMMYFUNCTION("""COMPUTED_VALUE"""),110189617)</f>
        <v>110189617</v>
      </c>
    </row>
    <row r="212" spans="1:6" ht="12.6">
      <c r="A212" s="2">
        <f ca="1">IFERROR(__xludf.DUMMYFUNCTION("""COMPUTED_VALUE"""),44867.6666666666)</f>
        <v>44867.666666666599</v>
      </c>
      <c r="B212" s="1">
        <f ca="1">IFERROR(__xludf.DUMMYFUNCTION("""COMPUTED_VALUE"""),94.21)</f>
        <v>94.21</v>
      </c>
      <c r="C212" s="1">
        <f ca="1">IFERROR(__xludf.DUMMYFUNCTION("""COMPUTED_VALUE"""),95.2)</f>
        <v>95.2</v>
      </c>
      <c r="D212" s="1">
        <f ca="1">IFERROR(__xludf.DUMMYFUNCTION("""COMPUTED_VALUE"""),90.48)</f>
        <v>90.48</v>
      </c>
      <c r="E212" s="1">
        <f ca="1">IFERROR(__xludf.DUMMYFUNCTION("""COMPUTED_VALUE"""),90.54)</f>
        <v>90.54</v>
      </c>
      <c r="F212" s="1">
        <f ca="1">IFERROR(__xludf.DUMMYFUNCTION("""COMPUTED_VALUE"""),71821058)</f>
        <v>71821058</v>
      </c>
    </row>
    <row r="213" spans="1:6" ht="12.6">
      <c r="A213" s="2">
        <f ca="1">IFERROR(__xludf.DUMMYFUNCTION("""COMPUTED_VALUE"""),44868.6666666666)</f>
        <v>44868.666666666599</v>
      </c>
      <c r="B213" s="1">
        <f ca="1">IFERROR(__xludf.DUMMYFUNCTION("""COMPUTED_VALUE"""),90.08)</f>
        <v>90.08</v>
      </c>
      <c r="C213" s="1">
        <f ca="1">IFERROR(__xludf.DUMMYFUNCTION("""COMPUTED_VALUE"""),90.46)</f>
        <v>90.46</v>
      </c>
      <c r="D213" s="1">
        <f ca="1">IFERROR(__xludf.DUMMYFUNCTION("""COMPUTED_VALUE"""),88.41)</f>
        <v>88.41</v>
      </c>
      <c r="E213" s="1">
        <f ca="1">IFERROR(__xludf.DUMMYFUNCTION("""COMPUTED_VALUE"""),88.91)</f>
        <v>88.91</v>
      </c>
      <c r="F213" s="1">
        <f ca="1">IFERROR(__xludf.DUMMYFUNCTION("""COMPUTED_VALUE"""),60664012)</f>
        <v>60664012</v>
      </c>
    </row>
    <row r="214" spans="1:6" ht="12.6">
      <c r="A214" s="2">
        <f ca="1">IFERROR(__xludf.DUMMYFUNCTION("""COMPUTED_VALUE"""),44869.6666666666)</f>
        <v>44869.666666666599</v>
      </c>
      <c r="B214" s="1">
        <f ca="1">IFERROR(__xludf.DUMMYFUNCTION("""COMPUTED_VALUE"""),90.35)</f>
        <v>90.35</v>
      </c>
      <c r="C214" s="1">
        <f ca="1">IFERROR(__xludf.DUMMYFUNCTION("""COMPUTED_VALUE"""),91.39)</f>
        <v>91.39</v>
      </c>
      <c r="D214" s="1">
        <f ca="1">IFERROR(__xludf.DUMMYFUNCTION("""COMPUTED_VALUE"""),88.09)</f>
        <v>88.09</v>
      </c>
      <c r="E214" s="1">
        <f ca="1">IFERROR(__xludf.DUMMYFUNCTION("""COMPUTED_VALUE"""),90.79)</f>
        <v>90.79</v>
      </c>
      <c r="F214" s="1">
        <f ca="1">IFERROR(__xludf.DUMMYFUNCTION("""COMPUTED_VALUE"""),55638061)</f>
        <v>55638061</v>
      </c>
    </row>
    <row r="215" spans="1:6" ht="12.6">
      <c r="A215" s="2">
        <f ca="1">IFERROR(__xludf.DUMMYFUNCTION("""COMPUTED_VALUE"""),44872.6666666666)</f>
        <v>44872.666666666599</v>
      </c>
      <c r="B215" s="1">
        <f ca="1">IFERROR(__xludf.DUMMYFUNCTION("""COMPUTED_VALUE"""),94.78)</f>
        <v>94.78</v>
      </c>
      <c r="C215" s="1">
        <f ca="1">IFERROR(__xludf.DUMMYFUNCTION("""COMPUTED_VALUE"""),96.88)</f>
        <v>96.88</v>
      </c>
      <c r="D215" s="1">
        <f ca="1">IFERROR(__xludf.DUMMYFUNCTION("""COMPUTED_VALUE"""),93.1)</f>
        <v>93.1</v>
      </c>
      <c r="E215" s="1">
        <f ca="1">IFERROR(__xludf.DUMMYFUNCTION("""COMPUTED_VALUE"""),96.72)</f>
        <v>96.72</v>
      </c>
      <c r="F215" s="1">
        <f ca="1">IFERROR(__xludf.DUMMYFUNCTION("""COMPUTED_VALUE"""),81987295)</f>
        <v>81987295</v>
      </c>
    </row>
    <row r="216" spans="1:6" ht="12.6">
      <c r="A216" s="2">
        <f ca="1">IFERROR(__xludf.DUMMYFUNCTION("""COMPUTED_VALUE"""),44873.6666666666)</f>
        <v>44873.666666666599</v>
      </c>
      <c r="B216" s="1">
        <f ca="1">IFERROR(__xludf.DUMMYFUNCTION("""COMPUTED_VALUE"""),95.92)</f>
        <v>95.92</v>
      </c>
      <c r="C216" s="1">
        <f ca="1">IFERROR(__xludf.DUMMYFUNCTION("""COMPUTED_VALUE"""),97.8)</f>
        <v>97.8</v>
      </c>
      <c r="D216" s="1">
        <f ca="1">IFERROR(__xludf.DUMMYFUNCTION("""COMPUTED_VALUE"""),94.79)</f>
        <v>94.79</v>
      </c>
      <c r="E216" s="1">
        <f ca="1">IFERROR(__xludf.DUMMYFUNCTION("""COMPUTED_VALUE"""),96.47)</f>
        <v>96.47</v>
      </c>
      <c r="F216" s="1">
        <f ca="1">IFERROR(__xludf.DUMMYFUNCTION("""COMPUTED_VALUE"""),52088320)</f>
        <v>52088320</v>
      </c>
    </row>
    <row r="217" spans="1:6" ht="12.6">
      <c r="A217" s="2">
        <f ca="1">IFERROR(__xludf.DUMMYFUNCTION("""COMPUTED_VALUE"""),44874.6666666666)</f>
        <v>44874.666666666599</v>
      </c>
      <c r="B217" s="1">
        <f ca="1">IFERROR(__xludf.DUMMYFUNCTION("""COMPUTED_VALUE"""),101.72)</f>
        <v>101.72</v>
      </c>
      <c r="C217" s="1">
        <f ca="1">IFERROR(__xludf.DUMMYFUNCTION("""COMPUTED_VALUE"""),104.9)</f>
        <v>104.9</v>
      </c>
      <c r="D217" s="1">
        <f ca="1">IFERROR(__xludf.DUMMYFUNCTION("""COMPUTED_VALUE"""),100.74)</f>
        <v>100.74</v>
      </c>
      <c r="E217" s="1">
        <f ca="1">IFERROR(__xludf.DUMMYFUNCTION("""COMPUTED_VALUE"""),101.47)</f>
        <v>101.47</v>
      </c>
      <c r="F217" s="1">
        <f ca="1">IFERROR(__xludf.DUMMYFUNCTION("""COMPUTED_VALUE"""),107677284)</f>
        <v>107677284</v>
      </c>
    </row>
    <row r="218" spans="1:6" ht="12.6">
      <c r="A218" s="2">
        <f ca="1">IFERROR(__xludf.DUMMYFUNCTION("""COMPUTED_VALUE"""),44875.6666666666)</f>
        <v>44875.666666666599</v>
      </c>
      <c r="B218" s="1">
        <f ca="1">IFERROR(__xludf.DUMMYFUNCTION("""COMPUTED_VALUE"""),107.12)</f>
        <v>107.12</v>
      </c>
      <c r="C218" s="1">
        <f ca="1">IFERROR(__xludf.DUMMYFUNCTION("""COMPUTED_VALUE"""),112.75)</f>
        <v>112.75</v>
      </c>
      <c r="D218" s="1">
        <f ca="1">IFERROR(__xludf.DUMMYFUNCTION("""COMPUTED_VALUE"""),104.61)</f>
        <v>104.61</v>
      </c>
      <c r="E218" s="1">
        <f ca="1">IFERROR(__xludf.DUMMYFUNCTION("""COMPUTED_VALUE"""),111.87)</f>
        <v>111.87</v>
      </c>
      <c r="F218" s="1">
        <f ca="1">IFERROR(__xludf.DUMMYFUNCTION("""COMPUTED_VALUE"""),80670961)</f>
        <v>80670961</v>
      </c>
    </row>
    <row r="219" spans="1:6" ht="12.6">
      <c r="A219" s="2">
        <f ca="1">IFERROR(__xludf.DUMMYFUNCTION("""COMPUTED_VALUE"""),44876.6666666666)</f>
        <v>44876.666666666599</v>
      </c>
      <c r="B219" s="1">
        <f ca="1">IFERROR(__xludf.DUMMYFUNCTION("""COMPUTED_VALUE"""),109.23)</f>
        <v>109.23</v>
      </c>
      <c r="C219" s="1">
        <f ca="1">IFERROR(__xludf.DUMMYFUNCTION("""COMPUTED_VALUE"""),114.9)</f>
        <v>114.9</v>
      </c>
      <c r="D219" s="1">
        <f ca="1">IFERROR(__xludf.DUMMYFUNCTION("""COMPUTED_VALUE"""),108.81)</f>
        <v>108.81</v>
      </c>
      <c r="E219" s="1">
        <f ca="1">IFERROR(__xludf.DUMMYFUNCTION("""COMPUTED_VALUE"""),113.02)</f>
        <v>113.02</v>
      </c>
      <c r="F219" s="1">
        <f ca="1">IFERROR(__xludf.DUMMYFUNCTION("""COMPUTED_VALUE"""),59961742)</f>
        <v>59961742</v>
      </c>
    </row>
    <row r="220" spans="1:6" ht="12.6">
      <c r="A220" s="2">
        <f ca="1">IFERROR(__xludf.DUMMYFUNCTION("""COMPUTED_VALUE"""),44879.6666666666)</f>
        <v>44879.666666666599</v>
      </c>
      <c r="B220" s="1">
        <f ca="1">IFERROR(__xludf.DUMMYFUNCTION("""COMPUTED_VALUE"""),110.99)</f>
        <v>110.99</v>
      </c>
      <c r="C220" s="1">
        <f ca="1">IFERROR(__xludf.DUMMYFUNCTION("""COMPUTED_VALUE"""),116.27)</f>
        <v>116.27</v>
      </c>
      <c r="D220" s="1">
        <f ca="1">IFERROR(__xludf.DUMMYFUNCTION("""COMPUTED_VALUE"""),110.8)</f>
        <v>110.8</v>
      </c>
      <c r="E220" s="1">
        <f ca="1">IFERROR(__xludf.DUMMYFUNCTION("""COMPUTED_VALUE"""),114.22)</f>
        <v>114.22</v>
      </c>
      <c r="F220" s="1">
        <f ca="1">IFERROR(__xludf.DUMMYFUNCTION("""COMPUTED_VALUE"""),53394974)</f>
        <v>53394974</v>
      </c>
    </row>
    <row r="221" spans="1:6" ht="12.6">
      <c r="A221" s="2">
        <f ca="1">IFERROR(__xludf.DUMMYFUNCTION("""COMPUTED_VALUE"""),44880.6666666666)</f>
        <v>44880.666666666599</v>
      </c>
      <c r="B221" s="1">
        <f ca="1">IFERROR(__xludf.DUMMYFUNCTION("""COMPUTED_VALUE"""),116.07)</f>
        <v>116.07</v>
      </c>
      <c r="C221" s="1">
        <f ca="1">IFERROR(__xludf.DUMMYFUNCTION("""COMPUTED_VALUE"""),118.74)</f>
        <v>118.74</v>
      </c>
      <c r="D221" s="1">
        <f ca="1">IFERROR(__xludf.DUMMYFUNCTION("""COMPUTED_VALUE"""),114.41)</f>
        <v>114.41</v>
      </c>
      <c r="E221" s="1">
        <f ca="1">IFERROR(__xludf.DUMMYFUNCTION("""COMPUTED_VALUE"""),117.08)</f>
        <v>117.08</v>
      </c>
      <c r="F221" s="1">
        <f ca="1">IFERROR(__xludf.DUMMYFUNCTION("""COMPUTED_VALUE"""),50670499)</f>
        <v>50670499</v>
      </c>
    </row>
    <row r="222" spans="1:6" ht="12.6">
      <c r="A222" s="2">
        <f ca="1">IFERROR(__xludf.DUMMYFUNCTION("""COMPUTED_VALUE"""),44881.6666666666)</f>
        <v>44881.666666666599</v>
      </c>
      <c r="B222" s="1">
        <f ca="1">IFERROR(__xludf.DUMMYFUNCTION("""COMPUTED_VALUE"""),114.5)</f>
        <v>114.5</v>
      </c>
      <c r="C222" s="1">
        <f ca="1">IFERROR(__xludf.DUMMYFUNCTION("""COMPUTED_VALUE"""),116.08)</f>
        <v>116.08</v>
      </c>
      <c r="D222" s="1">
        <f ca="1">IFERROR(__xludf.DUMMYFUNCTION("""COMPUTED_VALUE"""),112.66)</f>
        <v>112.66</v>
      </c>
      <c r="E222" s="1">
        <f ca="1">IFERROR(__xludf.DUMMYFUNCTION("""COMPUTED_VALUE"""),113.23)</f>
        <v>113.23</v>
      </c>
      <c r="F222" s="1">
        <f ca="1">IFERROR(__xludf.DUMMYFUNCTION("""COMPUTED_VALUE"""),33287773)</f>
        <v>33287773</v>
      </c>
    </row>
    <row r="223" spans="1:6" ht="12.6">
      <c r="A223" s="2">
        <f ca="1">IFERROR(__xludf.DUMMYFUNCTION("""COMPUTED_VALUE"""),44882.6666666666)</f>
        <v>44882.666666666599</v>
      </c>
      <c r="B223" s="1">
        <f ca="1">IFERROR(__xludf.DUMMYFUNCTION("""COMPUTED_VALUE"""),110.41)</f>
        <v>110.41</v>
      </c>
      <c r="C223" s="1">
        <f ca="1">IFERROR(__xludf.DUMMYFUNCTION("""COMPUTED_VALUE"""),112.33)</f>
        <v>112.33</v>
      </c>
      <c r="D223" s="1">
        <f ca="1">IFERROR(__xludf.DUMMYFUNCTION("""COMPUTED_VALUE"""),109.8)</f>
        <v>109.8</v>
      </c>
      <c r="E223" s="1">
        <f ca="1">IFERROR(__xludf.DUMMYFUNCTION("""COMPUTED_VALUE"""),111.45)</f>
        <v>111.45</v>
      </c>
      <c r="F223" s="1">
        <f ca="1">IFERROR(__xludf.DUMMYFUNCTION("""COMPUTED_VALUE"""),35093822)</f>
        <v>35093822</v>
      </c>
    </row>
    <row r="224" spans="1:6" ht="12.6">
      <c r="A224" s="2">
        <f ca="1">IFERROR(__xludf.DUMMYFUNCTION("""COMPUTED_VALUE"""),44883.6666666666)</f>
        <v>44883.666666666599</v>
      </c>
      <c r="B224" s="1">
        <f ca="1">IFERROR(__xludf.DUMMYFUNCTION("""COMPUTED_VALUE"""),113.8)</f>
        <v>113.8</v>
      </c>
      <c r="C224" s="1">
        <f ca="1">IFERROR(__xludf.DUMMYFUNCTION("""COMPUTED_VALUE"""),114.32)</f>
        <v>114.32</v>
      </c>
      <c r="D224" s="1">
        <f ca="1">IFERROR(__xludf.DUMMYFUNCTION("""COMPUTED_VALUE"""),110.62)</f>
        <v>110.62</v>
      </c>
      <c r="E224" s="1">
        <f ca="1">IFERROR(__xludf.DUMMYFUNCTION("""COMPUTED_VALUE"""),112.05)</f>
        <v>112.05</v>
      </c>
      <c r="F224" s="1">
        <f ca="1">IFERROR(__xludf.DUMMYFUNCTION("""COMPUTED_VALUE"""),33357707)</f>
        <v>33357707</v>
      </c>
    </row>
    <row r="225" spans="1:6" ht="12.6">
      <c r="A225" s="2">
        <f ca="1">IFERROR(__xludf.DUMMYFUNCTION("""COMPUTED_VALUE"""),44886.6666666666)</f>
        <v>44886.666666666599</v>
      </c>
      <c r="B225" s="1">
        <f ca="1">IFERROR(__xludf.DUMMYFUNCTION("""COMPUTED_VALUE"""),111.52)</f>
        <v>111.52</v>
      </c>
      <c r="C225" s="1">
        <f ca="1">IFERROR(__xludf.DUMMYFUNCTION("""COMPUTED_VALUE"""),112.37)</f>
        <v>112.37</v>
      </c>
      <c r="D225" s="1">
        <f ca="1">IFERROR(__xludf.DUMMYFUNCTION("""COMPUTED_VALUE"""),109.19)</f>
        <v>109.19</v>
      </c>
      <c r="E225" s="1">
        <f ca="1">IFERROR(__xludf.DUMMYFUNCTION("""COMPUTED_VALUE"""),109.86)</f>
        <v>109.86</v>
      </c>
      <c r="F225" s="1">
        <f ca="1">IFERROR(__xludf.DUMMYFUNCTION("""COMPUTED_VALUE"""),24351074)</f>
        <v>24351074</v>
      </c>
    </row>
    <row r="226" spans="1:6" ht="12.6">
      <c r="A226" s="2">
        <f ca="1">IFERROR(__xludf.DUMMYFUNCTION("""COMPUTED_VALUE"""),44887.6666666666)</f>
        <v>44887.666666666599</v>
      </c>
      <c r="B226" s="1">
        <f ca="1">IFERROR(__xludf.DUMMYFUNCTION("""COMPUTED_VALUE"""),109.86)</f>
        <v>109.86</v>
      </c>
      <c r="C226" s="1">
        <f ca="1">IFERROR(__xludf.DUMMYFUNCTION("""COMPUTED_VALUE"""),111.62)</f>
        <v>111.62</v>
      </c>
      <c r="D226" s="1">
        <f ca="1">IFERROR(__xludf.DUMMYFUNCTION("""COMPUTED_VALUE"""),108.32)</f>
        <v>108.32</v>
      </c>
      <c r="E226" s="1">
        <f ca="1">IFERROR(__xludf.DUMMYFUNCTION("""COMPUTED_VALUE"""),111.44)</f>
        <v>111.44</v>
      </c>
      <c r="F226" s="1">
        <f ca="1">IFERROR(__xludf.DUMMYFUNCTION("""COMPUTED_VALUE"""),29028963)</f>
        <v>29028963</v>
      </c>
    </row>
    <row r="227" spans="1:6" ht="12.6">
      <c r="A227" s="2">
        <f ca="1">IFERROR(__xludf.DUMMYFUNCTION("""COMPUTED_VALUE"""),44888.6666666666)</f>
        <v>44888.666666666599</v>
      </c>
      <c r="B227" s="1">
        <f ca="1">IFERROR(__xludf.DUMMYFUNCTION("""COMPUTED_VALUE"""),111.72)</f>
        <v>111.72</v>
      </c>
      <c r="C227" s="1">
        <f ca="1">IFERROR(__xludf.DUMMYFUNCTION("""COMPUTED_VALUE"""),112.67)</f>
        <v>112.67</v>
      </c>
      <c r="D227" s="1">
        <f ca="1">IFERROR(__xludf.DUMMYFUNCTION("""COMPUTED_VALUE"""),110.73)</f>
        <v>110.73</v>
      </c>
      <c r="E227" s="1">
        <f ca="1">IFERROR(__xludf.DUMMYFUNCTION("""COMPUTED_VALUE"""),112.24)</f>
        <v>112.24</v>
      </c>
      <c r="F227" s="1">
        <f ca="1">IFERROR(__xludf.DUMMYFUNCTION("""COMPUTED_VALUE"""),21343083)</f>
        <v>21343083</v>
      </c>
    </row>
    <row r="228" spans="1:6" ht="12.6">
      <c r="A228" s="2">
        <f ca="1">IFERROR(__xludf.DUMMYFUNCTION("""COMPUTED_VALUE"""),44890.5451388888)</f>
        <v>44890.545138888803</v>
      </c>
      <c r="B228" s="1">
        <f ca="1">IFERROR(__xludf.DUMMYFUNCTION("""COMPUTED_VALUE"""),111.3)</f>
        <v>111.3</v>
      </c>
      <c r="C228" s="1">
        <f ca="1">IFERROR(__xludf.DUMMYFUNCTION("""COMPUTED_VALUE"""),112.73)</f>
        <v>112.73</v>
      </c>
      <c r="D228" s="1">
        <f ca="1">IFERROR(__xludf.DUMMYFUNCTION("""COMPUTED_VALUE"""),111.02)</f>
        <v>111.02</v>
      </c>
      <c r="E228" s="1">
        <f ca="1">IFERROR(__xludf.DUMMYFUNCTION("""COMPUTED_VALUE"""),111.41)</f>
        <v>111.41</v>
      </c>
      <c r="F228" s="1">
        <f ca="1">IFERROR(__xludf.DUMMYFUNCTION("""COMPUTED_VALUE"""),12007566)</f>
        <v>12007566</v>
      </c>
    </row>
    <row r="229" spans="1:6" ht="12.6">
      <c r="A229" s="2">
        <f ca="1">IFERROR(__xludf.DUMMYFUNCTION("""COMPUTED_VALUE"""),44893.6666666666)</f>
        <v>44893.666666666599</v>
      </c>
      <c r="B229" s="1">
        <f ca="1">IFERROR(__xludf.DUMMYFUNCTION("""COMPUTED_VALUE"""),110.78)</f>
        <v>110.78</v>
      </c>
      <c r="C229" s="1">
        <f ca="1">IFERROR(__xludf.DUMMYFUNCTION("""COMPUTED_VALUE"""),112.04)</f>
        <v>112.04</v>
      </c>
      <c r="D229" s="1">
        <f ca="1">IFERROR(__xludf.DUMMYFUNCTION("""COMPUTED_VALUE"""),108.38)</f>
        <v>108.38</v>
      </c>
      <c r="E229" s="1">
        <f ca="1">IFERROR(__xludf.DUMMYFUNCTION("""COMPUTED_VALUE"""),108.78)</f>
        <v>108.78</v>
      </c>
      <c r="F229" s="1">
        <f ca="1">IFERROR(__xludf.DUMMYFUNCTION("""COMPUTED_VALUE"""),23332816)</f>
        <v>23332816</v>
      </c>
    </row>
    <row r="230" spans="1:6" ht="12.6">
      <c r="A230" s="2">
        <f ca="1">IFERROR(__xludf.DUMMYFUNCTION("""COMPUTED_VALUE"""),44894.6666666666)</f>
        <v>44894.666666666599</v>
      </c>
      <c r="B230" s="1">
        <f ca="1">IFERROR(__xludf.DUMMYFUNCTION("""COMPUTED_VALUE"""),109.54)</f>
        <v>109.54</v>
      </c>
      <c r="C230" s="1">
        <f ca="1">IFERROR(__xludf.DUMMYFUNCTION("""COMPUTED_VALUE"""),110.94)</f>
        <v>110.94</v>
      </c>
      <c r="D230" s="1">
        <f ca="1">IFERROR(__xludf.DUMMYFUNCTION("""COMPUTED_VALUE"""),108.54)</f>
        <v>108.54</v>
      </c>
      <c r="E230" s="1">
        <f ca="1">IFERROR(__xludf.DUMMYFUNCTION("""COMPUTED_VALUE"""),109.46)</f>
        <v>109.46</v>
      </c>
      <c r="F230" s="1">
        <f ca="1">IFERROR(__xludf.DUMMYFUNCTION("""COMPUTED_VALUE"""),23899238)</f>
        <v>23899238</v>
      </c>
    </row>
    <row r="231" spans="1:6" ht="12.6">
      <c r="A231" s="2">
        <f ca="1">IFERROR(__xludf.DUMMYFUNCTION("""COMPUTED_VALUE"""),44895.6666666666)</f>
        <v>44895.666666666599</v>
      </c>
      <c r="B231" s="1">
        <f ca="1">IFERROR(__xludf.DUMMYFUNCTION("""COMPUTED_VALUE"""),109.51)</f>
        <v>109.51</v>
      </c>
      <c r="C231" s="1">
        <f ca="1">IFERROR(__xludf.DUMMYFUNCTION("""COMPUTED_VALUE"""),118.16)</f>
        <v>118.16</v>
      </c>
      <c r="D231" s="1">
        <f ca="1">IFERROR(__xludf.DUMMYFUNCTION("""COMPUTED_VALUE"""),109.38)</f>
        <v>109.38</v>
      </c>
      <c r="E231" s="1">
        <f ca="1">IFERROR(__xludf.DUMMYFUNCTION("""COMPUTED_VALUE"""),118.1)</f>
        <v>118.1</v>
      </c>
      <c r="F231" s="1">
        <f ca="1">IFERROR(__xludf.DUMMYFUNCTION("""COMPUTED_VALUE"""),43348557)</f>
        <v>43348557</v>
      </c>
    </row>
    <row r="232" spans="1:6" ht="12.6">
      <c r="A232" s="2">
        <f ca="1">IFERROR(__xludf.DUMMYFUNCTION("""COMPUTED_VALUE"""),44896.6666666666)</f>
        <v>44896.666666666599</v>
      </c>
      <c r="B232" s="1">
        <f ca="1">IFERROR(__xludf.DUMMYFUNCTION("""COMPUTED_VALUE"""),119.2)</f>
        <v>119.2</v>
      </c>
      <c r="C232" s="1">
        <f ca="1">IFERROR(__xludf.DUMMYFUNCTION("""COMPUTED_VALUE"""),121.2)</f>
        <v>121.2</v>
      </c>
      <c r="D232" s="1">
        <f ca="1">IFERROR(__xludf.DUMMYFUNCTION("""COMPUTED_VALUE"""),118.4)</f>
        <v>118.4</v>
      </c>
      <c r="E232" s="1">
        <f ca="1">IFERROR(__xludf.DUMMYFUNCTION("""COMPUTED_VALUE"""),120.44)</f>
        <v>120.44</v>
      </c>
      <c r="F232" s="1">
        <f ca="1">IFERROR(__xludf.DUMMYFUNCTION("""COMPUTED_VALUE"""),36551374)</f>
        <v>36551374</v>
      </c>
    </row>
    <row r="233" spans="1:6" ht="12.6">
      <c r="A233" s="2">
        <f ca="1">IFERROR(__xludf.DUMMYFUNCTION("""COMPUTED_VALUE"""),44897.6666666666)</f>
        <v>44897.666666666599</v>
      </c>
      <c r="B233" s="1">
        <f ca="1">IFERROR(__xludf.DUMMYFUNCTION("""COMPUTED_VALUE"""),117.83)</f>
        <v>117.83</v>
      </c>
      <c r="C233" s="1">
        <f ca="1">IFERROR(__xludf.DUMMYFUNCTION("""COMPUTED_VALUE"""),124.04)</f>
        <v>124.04</v>
      </c>
      <c r="D233" s="1">
        <f ca="1">IFERROR(__xludf.DUMMYFUNCTION("""COMPUTED_VALUE"""),117.61)</f>
        <v>117.61</v>
      </c>
      <c r="E233" s="1">
        <f ca="1">IFERROR(__xludf.DUMMYFUNCTION("""COMPUTED_VALUE"""),123.49)</f>
        <v>123.49</v>
      </c>
      <c r="F233" s="1">
        <f ca="1">IFERROR(__xludf.DUMMYFUNCTION("""COMPUTED_VALUE"""),39950464)</f>
        <v>39950464</v>
      </c>
    </row>
    <row r="234" spans="1:6" ht="12.6">
      <c r="A234" s="2">
        <f ca="1">IFERROR(__xludf.DUMMYFUNCTION("""COMPUTED_VALUE"""),44900.6666666666)</f>
        <v>44900.666666666599</v>
      </c>
      <c r="B234" s="1">
        <f ca="1">IFERROR(__xludf.DUMMYFUNCTION("""COMPUTED_VALUE"""),121.75)</f>
        <v>121.75</v>
      </c>
      <c r="C234" s="1">
        <f ca="1">IFERROR(__xludf.DUMMYFUNCTION("""COMPUTED_VALUE"""),124.67)</f>
        <v>124.67</v>
      </c>
      <c r="D234" s="1">
        <f ca="1">IFERROR(__xludf.DUMMYFUNCTION("""COMPUTED_VALUE"""),121.35)</f>
        <v>121.35</v>
      </c>
      <c r="E234" s="1">
        <f ca="1">IFERROR(__xludf.DUMMYFUNCTION("""COMPUTED_VALUE"""),122.43)</f>
        <v>122.43</v>
      </c>
      <c r="F234" s="1">
        <f ca="1">IFERROR(__xludf.DUMMYFUNCTION("""COMPUTED_VALUE"""),35474884)</f>
        <v>35474884</v>
      </c>
    </row>
    <row r="235" spans="1:6" ht="12.6">
      <c r="A235" s="2">
        <f ca="1">IFERROR(__xludf.DUMMYFUNCTION("""COMPUTED_VALUE"""),44901.6666666666)</f>
        <v>44901.666666666599</v>
      </c>
      <c r="B235" s="1">
        <f ca="1">IFERROR(__xludf.DUMMYFUNCTION("""COMPUTED_VALUE"""),119.91)</f>
        <v>119.91</v>
      </c>
      <c r="C235" s="1">
        <f ca="1">IFERROR(__xludf.DUMMYFUNCTION("""COMPUTED_VALUE"""),120.55)</f>
        <v>120.55</v>
      </c>
      <c r="D235" s="1">
        <f ca="1">IFERROR(__xludf.DUMMYFUNCTION("""COMPUTED_VALUE"""),113.74)</f>
        <v>113.74</v>
      </c>
      <c r="E235" s="1">
        <f ca="1">IFERROR(__xludf.DUMMYFUNCTION("""COMPUTED_VALUE"""),114.12)</f>
        <v>114.12</v>
      </c>
      <c r="F235" s="1">
        <f ca="1">IFERROR(__xludf.DUMMYFUNCTION("""COMPUTED_VALUE"""),43689183)</f>
        <v>43689183</v>
      </c>
    </row>
    <row r="236" spans="1:6" ht="12.6">
      <c r="A236" s="2">
        <f ca="1">IFERROR(__xludf.DUMMYFUNCTION("""COMPUTED_VALUE"""),44902.6666666666)</f>
        <v>44902.666666666599</v>
      </c>
      <c r="B236" s="1">
        <f ca="1">IFERROR(__xludf.DUMMYFUNCTION("""COMPUTED_VALUE"""),113.76)</f>
        <v>113.76</v>
      </c>
      <c r="C236" s="1">
        <f ca="1">IFERROR(__xludf.DUMMYFUNCTION("""COMPUTED_VALUE"""),115.88)</f>
        <v>115.88</v>
      </c>
      <c r="D236" s="1">
        <f ca="1">IFERROR(__xludf.DUMMYFUNCTION("""COMPUTED_VALUE"""),112.88)</f>
        <v>112.88</v>
      </c>
      <c r="E236" s="1">
        <f ca="1">IFERROR(__xludf.DUMMYFUNCTION("""COMPUTED_VALUE"""),113.93)</f>
        <v>113.93</v>
      </c>
      <c r="F236" s="1">
        <f ca="1">IFERROR(__xludf.DUMMYFUNCTION("""COMPUTED_VALUE"""),29461137)</f>
        <v>29461137</v>
      </c>
    </row>
    <row r="237" spans="1:6" ht="12.6">
      <c r="A237" s="2">
        <f ca="1">IFERROR(__xludf.DUMMYFUNCTION("""COMPUTED_VALUE"""),44903.6666666666)</f>
        <v>44903.666666666599</v>
      </c>
      <c r="B237" s="1">
        <f ca="1">IFERROR(__xludf.DUMMYFUNCTION("""COMPUTED_VALUE"""),116.39)</f>
        <v>116.39</v>
      </c>
      <c r="C237" s="1">
        <f ca="1">IFERROR(__xludf.DUMMYFUNCTION("""COMPUTED_VALUE"""),117.34)</f>
        <v>117.34</v>
      </c>
      <c r="D237" s="1">
        <f ca="1">IFERROR(__xludf.DUMMYFUNCTION("""COMPUTED_VALUE"""),114.59)</f>
        <v>114.59</v>
      </c>
      <c r="E237" s="1">
        <f ca="1">IFERROR(__xludf.DUMMYFUNCTION("""COMPUTED_VALUE"""),115.33)</f>
        <v>115.33</v>
      </c>
      <c r="F237" s="1">
        <f ca="1">IFERROR(__xludf.DUMMYFUNCTION("""COMPUTED_VALUE"""),30619418)</f>
        <v>30619418</v>
      </c>
    </row>
    <row r="238" spans="1:6" ht="12.6">
      <c r="A238" s="2">
        <f ca="1">IFERROR(__xludf.DUMMYFUNCTION("""COMPUTED_VALUE"""),44904.6666666666)</f>
        <v>44904.666666666599</v>
      </c>
      <c r="B238" s="1">
        <f ca="1">IFERROR(__xludf.DUMMYFUNCTION("""COMPUTED_VALUE"""),115.3)</f>
        <v>115.3</v>
      </c>
      <c r="C238" s="1">
        <f ca="1">IFERROR(__xludf.DUMMYFUNCTION("""COMPUTED_VALUE"""),117.54)</f>
        <v>117.54</v>
      </c>
      <c r="D238" s="1">
        <f ca="1">IFERROR(__xludf.DUMMYFUNCTION("""COMPUTED_VALUE"""),113.87)</f>
        <v>113.87</v>
      </c>
      <c r="E238" s="1">
        <f ca="1">IFERROR(__xludf.DUMMYFUNCTION("""COMPUTED_VALUE"""),115.9)</f>
        <v>115.9</v>
      </c>
      <c r="F238" s="1">
        <f ca="1">IFERROR(__xludf.DUMMYFUNCTION("""COMPUTED_VALUE"""),26033353)</f>
        <v>26033353</v>
      </c>
    </row>
    <row r="239" spans="1:6" ht="12.6">
      <c r="A239" s="2">
        <f ca="1">IFERROR(__xludf.DUMMYFUNCTION("""COMPUTED_VALUE"""),44907.6666666666)</f>
        <v>44907.666666666599</v>
      </c>
      <c r="B239" s="1">
        <f ca="1">IFERROR(__xludf.DUMMYFUNCTION("""COMPUTED_VALUE"""),115.18)</f>
        <v>115.18</v>
      </c>
      <c r="C239" s="1">
        <f ca="1">IFERROR(__xludf.DUMMYFUNCTION("""COMPUTED_VALUE"""),115.72)</f>
        <v>115.72</v>
      </c>
      <c r="D239" s="1">
        <f ca="1">IFERROR(__xludf.DUMMYFUNCTION("""COMPUTED_VALUE"""),113.14)</f>
        <v>113.14</v>
      </c>
      <c r="E239" s="1">
        <f ca="1">IFERROR(__xludf.DUMMYFUNCTION("""COMPUTED_VALUE"""),114.71)</f>
        <v>114.71</v>
      </c>
      <c r="F239" s="1">
        <f ca="1">IFERROR(__xludf.DUMMYFUNCTION("""COMPUTED_VALUE"""),24747064)</f>
        <v>24747064</v>
      </c>
    </row>
    <row r="240" spans="1:6" ht="12.6">
      <c r="A240" s="2">
        <f ca="1">IFERROR(__xludf.DUMMYFUNCTION("""COMPUTED_VALUE"""),44908.6666666666)</f>
        <v>44908.666666666599</v>
      </c>
      <c r="B240" s="1">
        <f ca="1">IFERROR(__xludf.DUMMYFUNCTION("""COMPUTED_VALUE"""),122.13)</f>
        <v>122.13</v>
      </c>
      <c r="C240" s="1">
        <f ca="1">IFERROR(__xludf.DUMMYFUNCTION("""COMPUTED_VALUE"""),123.3)</f>
        <v>123.3</v>
      </c>
      <c r="D240" s="1">
        <f ca="1">IFERROR(__xludf.DUMMYFUNCTION("""COMPUTED_VALUE"""),118.64)</f>
        <v>118.64</v>
      </c>
      <c r="E240" s="1">
        <f ca="1">IFERROR(__xludf.DUMMYFUNCTION("""COMPUTED_VALUE"""),120.15)</f>
        <v>120.15</v>
      </c>
      <c r="F240" s="1">
        <f ca="1">IFERROR(__xludf.DUMMYFUNCTION("""COMPUTED_VALUE"""),44701054)</f>
        <v>44701054</v>
      </c>
    </row>
    <row r="241" spans="1:6" ht="12.6">
      <c r="A241" s="2">
        <f ca="1">IFERROR(__xludf.DUMMYFUNCTION("""COMPUTED_VALUE"""),44909.6666666666)</f>
        <v>44909.666666666599</v>
      </c>
      <c r="B241" s="1">
        <f ca="1">IFERROR(__xludf.DUMMYFUNCTION("""COMPUTED_VALUE"""),119.39)</f>
        <v>119.39</v>
      </c>
      <c r="C241" s="1">
        <f ca="1">IFERROR(__xludf.DUMMYFUNCTION("""COMPUTED_VALUE"""),124.14)</f>
        <v>124.14</v>
      </c>
      <c r="D241" s="1">
        <f ca="1">IFERROR(__xludf.DUMMYFUNCTION("""COMPUTED_VALUE"""),119.39)</f>
        <v>119.39</v>
      </c>
      <c r="E241" s="1">
        <f ca="1">IFERROR(__xludf.DUMMYFUNCTION("""COMPUTED_VALUE"""),121.59)</f>
        <v>121.59</v>
      </c>
      <c r="F241" s="1">
        <f ca="1">IFERROR(__xludf.DUMMYFUNCTION("""COMPUTED_VALUE"""),36922037)</f>
        <v>36922037</v>
      </c>
    </row>
    <row r="242" spans="1:6" ht="12.6">
      <c r="A242" s="2">
        <f ca="1">IFERROR(__xludf.DUMMYFUNCTION("""COMPUTED_VALUE"""),44910.6666666666)</f>
        <v>44910.666666666599</v>
      </c>
      <c r="B242" s="1">
        <f ca="1">IFERROR(__xludf.DUMMYFUNCTION("""COMPUTED_VALUE"""),118.33)</f>
        <v>118.33</v>
      </c>
      <c r="C242" s="1">
        <f ca="1">IFERROR(__xludf.DUMMYFUNCTION("""COMPUTED_VALUE"""),118.63)</f>
        <v>118.63</v>
      </c>
      <c r="D242" s="1">
        <f ca="1">IFERROR(__xludf.DUMMYFUNCTION("""COMPUTED_VALUE"""),114.01)</f>
        <v>114.01</v>
      </c>
      <c r="E242" s="1">
        <f ca="1">IFERROR(__xludf.DUMMYFUNCTION("""COMPUTED_VALUE"""),116.15)</f>
        <v>116.15</v>
      </c>
      <c r="F242" s="1">
        <f ca="1">IFERROR(__xludf.DUMMYFUNCTION("""COMPUTED_VALUE"""),34530970)</f>
        <v>34530970</v>
      </c>
    </row>
    <row r="243" spans="1:6" ht="12.6">
      <c r="A243" s="2">
        <f ca="1">IFERROR(__xludf.DUMMYFUNCTION("""COMPUTED_VALUE"""),44911.6666666666)</f>
        <v>44911.666666666599</v>
      </c>
      <c r="B243" s="1">
        <f ca="1">IFERROR(__xludf.DUMMYFUNCTION("""COMPUTED_VALUE"""),120.23)</f>
        <v>120.23</v>
      </c>
      <c r="C243" s="1">
        <f ca="1">IFERROR(__xludf.DUMMYFUNCTION("""COMPUTED_VALUE"""),123.31)</f>
        <v>123.31</v>
      </c>
      <c r="D243" s="1">
        <f ca="1">IFERROR(__xludf.DUMMYFUNCTION("""COMPUTED_VALUE"""),118.82)</f>
        <v>118.82</v>
      </c>
      <c r="E243" s="1">
        <f ca="1">IFERROR(__xludf.DUMMYFUNCTION("""COMPUTED_VALUE"""),119.43)</f>
        <v>119.43</v>
      </c>
      <c r="F243" s="1">
        <f ca="1">IFERROR(__xludf.DUMMYFUNCTION("""COMPUTED_VALUE"""),67064001)</f>
        <v>67064001</v>
      </c>
    </row>
    <row r="244" spans="1:6" ht="12.6">
      <c r="A244" s="2">
        <f ca="1">IFERROR(__xludf.DUMMYFUNCTION("""COMPUTED_VALUE"""),44914.6666666666)</f>
        <v>44914.666666666599</v>
      </c>
      <c r="B244" s="1">
        <f ca="1">IFERROR(__xludf.DUMMYFUNCTION("""COMPUTED_VALUE"""),116.83)</f>
        <v>116.83</v>
      </c>
      <c r="C244" s="1">
        <f ca="1">IFERROR(__xludf.DUMMYFUNCTION("""COMPUTED_VALUE"""),117.8)</f>
        <v>117.8</v>
      </c>
      <c r="D244" s="1">
        <f ca="1">IFERROR(__xludf.DUMMYFUNCTION("""COMPUTED_VALUE"""),114.33)</f>
        <v>114.33</v>
      </c>
      <c r="E244" s="1">
        <f ca="1">IFERROR(__xludf.DUMMYFUNCTION("""COMPUTED_VALUE"""),114.48)</f>
        <v>114.48</v>
      </c>
      <c r="F244" s="1">
        <f ca="1">IFERROR(__xludf.DUMMYFUNCTION("""COMPUTED_VALUE"""),29769875)</f>
        <v>29769875</v>
      </c>
    </row>
    <row r="245" spans="1:6" ht="12.6">
      <c r="A245" s="2">
        <f ca="1">IFERROR(__xludf.DUMMYFUNCTION("""COMPUTED_VALUE"""),44915.6666666666)</f>
        <v>44915.666666666599</v>
      </c>
      <c r="B245" s="1">
        <f ca="1">IFERROR(__xludf.DUMMYFUNCTION("""COMPUTED_VALUE"""),113.26)</f>
        <v>113.26</v>
      </c>
      <c r="C245" s="1">
        <f ca="1">IFERROR(__xludf.DUMMYFUNCTION("""COMPUTED_VALUE"""),117.33)</f>
        <v>117.33</v>
      </c>
      <c r="D245" s="1">
        <f ca="1">IFERROR(__xludf.DUMMYFUNCTION("""COMPUTED_VALUE"""),112.46)</f>
        <v>112.46</v>
      </c>
      <c r="E245" s="1">
        <f ca="1">IFERROR(__xludf.DUMMYFUNCTION("""COMPUTED_VALUE"""),117.09)</f>
        <v>117.09</v>
      </c>
      <c r="F245" s="1">
        <f ca="1">IFERROR(__xludf.DUMMYFUNCTION("""COMPUTED_VALUE"""),28742501)</f>
        <v>28742501</v>
      </c>
    </row>
    <row r="246" spans="1:6" ht="12.6">
      <c r="A246" s="2">
        <f ca="1">IFERROR(__xludf.DUMMYFUNCTION("""COMPUTED_VALUE"""),44916.6666666666)</f>
        <v>44916.666666666599</v>
      </c>
      <c r="B246" s="1">
        <f ca="1">IFERROR(__xludf.DUMMYFUNCTION("""COMPUTED_VALUE"""),116.7)</f>
        <v>116.7</v>
      </c>
      <c r="C246" s="1">
        <f ca="1">IFERROR(__xludf.DUMMYFUNCTION("""COMPUTED_VALUE"""),120.34)</f>
        <v>120.34</v>
      </c>
      <c r="D246" s="1">
        <f ca="1">IFERROR(__xludf.DUMMYFUNCTION("""COMPUTED_VALUE"""),115.62)</f>
        <v>115.62</v>
      </c>
      <c r="E246" s="1">
        <f ca="1">IFERROR(__xludf.DUMMYFUNCTION("""COMPUTED_VALUE"""),119.76)</f>
        <v>119.76</v>
      </c>
      <c r="F246" s="1">
        <f ca="1">IFERROR(__xludf.DUMMYFUNCTION("""COMPUTED_VALUE"""),20392799)</f>
        <v>20392799</v>
      </c>
    </row>
    <row r="247" spans="1:6" ht="12.6">
      <c r="A247" s="2">
        <f ca="1">IFERROR(__xludf.DUMMYFUNCTION("""COMPUTED_VALUE"""),44917.6666666666)</f>
        <v>44917.666666666599</v>
      </c>
      <c r="B247" s="1">
        <f ca="1">IFERROR(__xludf.DUMMYFUNCTION("""COMPUTED_VALUE"""),117.2)</f>
        <v>117.2</v>
      </c>
      <c r="C247" s="1">
        <f ca="1">IFERROR(__xludf.DUMMYFUNCTION("""COMPUTED_VALUE"""),118.62)</f>
        <v>118.62</v>
      </c>
      <c r="D247" s="1">
        <f ca="1">IFERROR(__xludf.DUMMYFUNCTION("""COMPUTED_VALUE"""),114.38)</f>
        <v>114.38</v>
      </c>
      <c r="E247" s="1">
        <f ca="1">IFERROR(__xludf.DUMMYFUNCTION("""COMPUTED_VALUE"""),117.12)</f>
        <v>117.12</v>
      </c>
      <c r="F247" s="1">
        <f ca="1">IFERROR(__xludf.DUMMYFUNCTION("""COMPUTED_VALUE"""),23618121)</f>
        <v>23618121</v>
      </c>
    </row>
    <row r="248" spans="1:6" ht="12.6">
      <c r="A248" s="2">
        <f ca="1">IFERROR(__xludf.DUMMYFUNCTION("""COMPUTED_VALUE"""),44918.6666666666)</f>
        <v>44918.666666666599</v>
      </c>
      <c r="B248" s="1">
        <f ca="1">IFERROR(__xludf.DUMMYFUNCTION("""COMPUTED_VALUE"""),116.03)</f>
        <v>116.03</v>
      </c>
      <c r="C248" s="1">
        <f ca="1">IFERROR(__xludf.DUMMYFUNCTION("""COMPUTED_VALUE"""),118.18)</f>
        <v>118.18</v>
      </c>
      <c r="D248" s="1">
        <f ca="1">IFERROR(__xludf.DUMMYFUNCTION("""COMPUTED_VALUE"""),115.54)</f>
        <v>115.54</v>
      </c>
      <c r="E248" s="1">
        <f ca="1">IFERROR(__xludf.DUMMYFUNCTION("""COMPUTED_VALUE"""),118.04)</f>
        <v>118.04</v>
      </c>
      <c r="F248" s="1">
        <f ca="1">IFERROR(__xludf.DUMMYFUNCTION("""COMPUTED_VALUE"""),17796625)</f>
        <v>17796625</v>
      </c>
    </row>
    <row r="249" spans="1:6" ht="12.6">
      <c r="A249" s="2">
        <f ca="1">IFERROR(__xludf.DUMMYFUNCTION("""COMPUTED_VALUE"""),44922.6666666666)</f>
        <v>44922.666666666599</v>
      </c>
      <c r="B249" s="1">
        <f ca="1">IFERROR(__xludf.DUMMYFUNCTION("""COMPUTED_VALUE"""),117.93)</f>
        <v>117.93</v>
      </c>
      <c r="C249" s="1">
        <f ca="1">IFERROR(__xludf.DUMMYFUNCTION("""COMPUTED_VALUE"""),118.6)</f>
        <v>118.6</v>
      </c>
      <c r="D249" s="1">
        <f ca="1">IFERROR(__xludf.DUMMYFUNCTION("""COMPUTED_VALUE"""),116.05)</f>
        <v>116.05</v>
      </c>
      <c r="E249" s="1">
        <f ca="1">IFERROR(__xludf.DUMMYFUNCTION("""COMPUTED_VALUE"""),116.88)</f>
        <v>116.88</v>
      </c>
      <c r="F249" s="1">
        <f ca="1">IFERROR(__xludf.DUMMYFUNCTION("""COMPUTED_VALUE"""),21392311)</f>
        <v>21392311</v>
      </c>
    </row>
    <row r="250" spans="1:6" ht="12.6">
      <c r="A250" s="2">
        <f ca="1">IFERROR(__xludf.DUMMYFUNCTION("""COMPUTED_VALUE"""),44923.6666666666)</f>
        <v>44923.666666666599</v>
      </c>
      <c r="B250" s="1">
        <f ca="1">IFERROR(__xludf.DUMMYFUNCTION("""COMPUTED_VALUE"""),116.25)</f>
        <v>116.25</v>
      </c>
      <c r="C250" s="1">
        <f ca="1">IFERROR(__xludf.DUMMYFUNCTION("""COMPUTED_VALUE"""),118.15)</f>
        <v>118.15</v>
      </c>
      <c r="D250" s="1">
        <f ca="1">IFERROR(__xludf.DUMMYFUNCTION("""COMPUTED_VALUE"""),115.51)</f>
        <v>115.51</v>
      </c>
      <c r="E250" s="1">
        <f ca="1">IFERROR(__xludf.DUMMYFUNCTION("""COMPUTED_VALUE"""),115.62)</f>
        <v>115.62</v>
      </c>
      <c r="F250" s="1">
        <f ca="1">IFERROR(__xludf.DUMMYFUNCTION("""COMPUTED_VALUE"""),19612473)</f>
        <v>19612473</v>
      </c>
    </row>
    <row r="251" spans="1:6" ht="12.6">
      <c r="A251" s="2">
        <f ca="1">IFERROR(__xludf.DUMMYFUNCTION("""COMPUTED_VALUE"""),44924.6666666666)</f>
        <v>44924.666666666599</v>
      </c>
      <c r="B251" s="1">
        <f ca="1">IFERROR(__xludf.DUMMYFUNCTION("""COMPUTED_VALUE"""),116.4)</f>
        <v>116.4</v>
      </c>
      <c r="C251" s="1">
        <f ca="1">IFERROR(__xludf.DUMMYFUNCTION("""COMPUTED_VALUE"""),121.03)</f>
        <v>121.03</v>
      </c>
      <c r="D251" s="1">
        <f ca="1">IFERROR(__xludf.DUMMYFUNCTION("""COMPUTED_VALUE"""),115.77)</f>
        <v>115.77</v>
      </c>
      <c r="E251" s="1">
        <f ca="1">IFERROR(__xludf.DUMMYFUNCTION("""COMPUTED_VALUE"""),120.26)</f>
        <v>120.26</v>
      </c>
      <c r="F251" s="1">
        <f ca="1">IFERROR(__xludf.DUMMYFUNCTION("""COMPUTED_VALUE"""),22366192)</f>
        <v>22366192</v>
      </c>
    </row>
    <row r="252" spans="1:6" ht="12.6">
      <c r="A252" s="2">
        <f ca="1">IFERROR(__xludf.DUMMYFUNCTION("""COMPUTED_VALUE"""),44925.6666666666)</f>
        <v>44925.666666666599</v>
      </c>
      <c r="B252" s="1">
        <f ca="1">IFERROR(__xludf.DUMMYFUNCTION("""COMPUTED_VALUE"""),118.16)</f>
        <v>118.16</v>
      </c>
      <c r="C252" s="1">
        <f ca="1">IFERROR(__xludf.DUMMYFUNCTION("""COMPUTED_VALUE"""),120.42)</f>
        <v>120.42</v>
      </c>
      <c r="D252" s="1">
        <f ca="1">IFERROR(__xludf.DUMMYFUNCTION("""COMPUTED_VALUE"""),117.74)</f>
        <v>117.74</v>
      </c>
      <c r="E252" s="1">
        <f ca="1">IFERROR(__xludf.DUMMYFUNCTION("""COMPUTED_VALUE"""),120.34)</f>
        <v>120.34</v>
      </c>
      <c r="F252" s="1">
        <f ca="1">IFERROR(__xludf.DUMMYFUNCTION("""COMPUTED_VALUE"""),19583825)</f>
        <v>19583825</v>
      </c>
    </row>
    <row r="253" spans="1:6" ht="12.6">
      <c r="A253" s="2">
        <f ca="1">IFERROR(__xludf.DUMMYFUNCTION("""COMPUTED_VALUE"""),44929.6666666666)</f>
        <v>44929.666666666599</v>
      </c>
      <c r="B253" s="1">
        <f ca="1">IFERROR(__xludf.DUMMYFUNCTION("""COMPUTED_VALUE"""),122.82)</f>
        <v>122.82</v>
      </c>
      <c r="C253" s="1">
        <f ca="1">IFERROR(__xludf.DUMMYFUNCTION("""COMPUTED_VALUE"""),126.37)</f>
        <v>126.37</v>
      </c>
      <c r="D253" s="1">
        <f ca="1">IFERROR(__xludf.DUMMYFUNCTION("""COMPUTED_VALUE"""),122.28)</f>
        <v>122.28</v>
      </c>
      <c r="E253" s="1">
        <f ca="1">IFERROR(__xludf.DUMMYFUNCTION("""COMPUTED_VALUE"""),124.74)</f>
        <v>124.74</v>
      </c>
      <c r="F253" s="1">
        <f ca="1">IFERROR(__xludf.DUMMYFUNCTION("""COMPUTED_VALUE"""),35528531)</f>
        <v>35528531</v>
      </c>
    </row>
    <row r="254" spans="1:6" ht="12.6">
      <c r="A254" s="2">
        <f ca="1">IFERROR(__xludf.DUMMYFUNCTION("""COMPUTED_VALUE"""),44930.6666666666)</f>
        <v>44930.666666666599</v>
      </c>
      <c r="B254" s="1">
        <f ca="1">IFERROR(__xludf.DUMMYFUNCTION("""COMPUTED_VALUE"""),127.38)</f>
        <v>127.38</v>
      </c>
      <c r="C254" s="1">
        <f ca="1">IFERROR(__xludf.DUMMYFUNCTION("""COMPUTED_VALUE"""),129.05)</f>
        <v>129.05000000000001</v>
      </c>
      <c r="D254" s="1">
        <f ca="1">IFERROR(__xludf.DUMMYFUNCTION("""COMPUTED_VALUE"""),125.85)</f>
        <v>125.85</v>
      </c>
      <c r="E254" s="1">
        <f ca="1">IFERROR(__xludf.DUMMYFUNCTION("""COMPUTED_VALUE"""),127.37)</f>
        <v>127.37</v>
      </c>
      <c r="F254" s="1">
        <f ca="1">IFERROR(__xludf.DUMMYFUNCTION("""COMPUTED_VALUE"""),32397094)</f>
        <v>32397094</v>
      </c>
    </row>
    <row r="255" spans="1:6" ht="12.6">
      <c r="A255" s="2">
        <f ca="1">IFERROR(__xludf.DUMMYFUNCTION("""COMPUTED_VALUE"""),44931.6666666666)</f>
        <v>44931.666666666599</v>
      </c>
      <c r="B255" s="1">
        <f ca="1">IFERROR(__xludf.DUMMYFUNCTION("""COMPUTED_VALUE"""),126.13)</f>
        <v>126.13</v>
      </c>
      <c r="C255" s="1">
        <f ca="1">IFERROR(__xludf.DUMMYFUNCTION("""COMPUTED_VALUE"""),128.52)</f>
        <v>128.52000000000001</v>
      </c>
      <c r="D255" s="1">
        <f ca="1">IFERROR(__xludf.DUMMYFUNCTION("""COMPUTED_VALUE"""),124.54)</f>
        <v>124.54</v>
      </c>
      <c r="E255" s="1">
        <f ca="1">IFERROR(__xludf.DUMMYFUNCTION("""COMPUTED_VALUE"""),126.94)</f>
        <v>126.94</v>
      </c>
      <c r="F255" s="1">
        <f ca="1">IFERROR(__xludf.DUMMYFUNCTION("""COMPUTED_VALUE"""),25447099)</f>
        <v>25447099</v>
      </c>
    </row>
    <row r="256" spans="1:6" ht="12.6">
      <c r="A256" s="2">
        <f ca="1">IFERROR(__xludf.DUMMYFUNCTION("""COMPUTED_VALUE"""),44932.6666666666)</f>
        <v>44932.666666666599</v>
      </c>
      <c r="B256" s="1">
        <f ca="1">IFERROR(__xludf.DUMMYFUNCTION("""COMPUTED_VALUE"""),128.97)</f>
        <v>128.97</v>
      </c>
      <c r="C256" s="1">
        <f ca="1">IFERROR(__xludf.DUMMYFUNCTION("""COMPUTED_VALUE"""),130.33)</f>
        <v>130.33000000000001</v>
      </c>
      <c r="D256" s="1">
        <f ca="1">IFERROR(__xludf.DUMMYFUNCTION("""COMPUTED_VALUE"""),126.04)</f>
        <v>126.04</v>
      </c>
      <c r="E256" s="1">
        <f ca="1">IFERROR(__xludf.DUMMYFUNCTION("""COMPUTED_VALUE"""),130.02)</f>
        <v>130.02000000000001</v>
      </c>
      <c r="F256" s="1">
        <f ca="1">IFERROR(__xludf.DUMMYFUNCTION("""COMPUTED_VALUE"""),27584498)</f>
        <v>27584498</v>
      </c>
    </row>
    <row r="257" spans="1:6" ht="12.6">
      <c r="A257" s="2">
        <f ca="1">IFERROR(__xludf.DUMMYFUNCTION("""COMPUTED_VALUE"""),44935.6666666666)</f>
        <v>44935.666666666599</v>
      </c>
      <c r="B257" s="1">
        <f ca="1">IFERROR(__xludf.DUMMYFUNCTION("""COMPUTED_VALUE"""),131.16)</f>
        <v>131.16</v>
      </c>
      <c r="C257" s="1">
        <f ca="1">IFERROR(__xludf.DUMMYFUNCTION("""COMPUTED_VALUE"""),132.95)</f>
        <v>132.94999999999999</v>
      </c>
      <c r="D257" s="1">
        <f ca="1">IFERROR(__xludf.DUMMYFUNCTION("""COMPUTED_VALUE"""),129.28)</f>
        <v>129.28</v>
      </c>
      <c r="E257" s="1">
        <f ca="1">IFERROR(__xludf.DUMMYFUNCTION("""COMPUTED_VALUE"""),129.47)</f>
        <v>129.47</v>
      </c>
      <c r="F257" s="1">
        <f ca="1">IFERROR(__xludf.DUMMYFUNCTION("""COMPUTED_VALUE"""),26649145)</f>
        <v>26649145</v>
      </c>
    </row>
    <row r="258" spans="1:6" ht="12.6">
      <c r="A258" s="2">
        <f ca="1">IFERROR(__xludf.DUMMYFUNCTION("""COMPUTED_VALUE"""),44936.6666666666)</f>
        <v>44936.666666666599</v>
      </c>
      <c r="B258" s="1">
        <f ca="1">IFERROR(__xludf.DUMMYFUNCTION("""COMPUTED_VALUE"""),127.27)</f>
        <v>127.27</v>
      </c>
      <c r="C258" s="1">
        <f ca="1">IFERROR(__xludf.DUMMYFUNCTION("""COMPUTED_VALUE"""),133.44)</f>
        <v>133.44</v>
      </c>
      <c r="D258" s="1">
        <f ca="1">IFERROR(__xludf.DUMMYFUNCTION("""COMPUTED_VALUE"""),127.15)</f>
        <v>127.15</v>
      </c>
      <c r="E258" s="1">
        <f ca="1">IFERROR(__xludf.DUMMYFUNCTION("""COMPUTED_VALUE"""),132.99)</f>
        <v>132.99</v>
      </c>
      <c r="F258" s="1">
        <f ca="1">IFERROR(__xludf.DUMMYFUNCTION("""COMPUTED_VALUE"""),28684431)</f>
        <v>28684431</v>
      </c>
    </row>
    <row r="259" spans="1:6" ht="12.6">
      <c r="A259" s="2">
        <f ca="1">IFERROR(__xludf.DUMMYFUNCTION("""COMPUTED_VALUE"""),44937.6666666666)</f>
        <v>44937.666666666599</v>
      </c>
      <c r="B259" s="1">
        <f ca="1">IFERROR(__xludf.DUMMYFUNCTION("""COMPUTED_VALUE"""),130.96)</f>
        <v>130.96</v>
      </c>
      <c r="C259" s="1">
        <f ca="1">IFERROR(__xludf.DUMMYFUNCTION("""COMPUTED_VALUE"""),133.85)</f>
        <v>133.85</v>
      </c>
      <c r="D259" s="1">
        <f ca="1">IFERROR(__xludf.DUMMYFUNCTION("""COMPUTED_VALUE"""),130.34)</f>
        <v>130.34</v>
      </c>
      <c r="E259" s="1">
        <f ca="1">IFERROR(__xludf.DUMMYFUNCTION("""COMPUTED_VALUE"""),132.89)</f>
        <v>132.88999999999999</v>
      </c>
      <c r="F259" s="1">
        <f ca="1">IFERROR(__xludf.DUMMYFUNCTION("""COMPUTED_VALUE"""),25423046)</f>
        <v>25423046</v>
      </c>
    </row>
    <row r="260" spans="1:6" ht="12.6">
      <c r="A260" s="2">
        <f ca="1">IFERROR(__xludf.DUMMYFUNCTION("""COMPUTED_VALUE"""),44938.6666666666)</f>
        <v>44938.666666666599</v>
      </c>
      <c r="B260" s="1">
        <f ca="1">IFERROR(__xludf.DUMMYFUNCTION("""COMPUTED_VALUE"""),133.44)</f>
        <v>133.44</v>
      </c>
      <c r="C260" s="1">
        <f ca="1">IFERROR(__xludf.DUMMYFUNCTION("""COMPUTED_VALUE"""),137.68)</f>
        <v>137.68</v>
      </c>
      <c r="D260" s="1">
        <f ca="1">IFERROR(__xludf.DUMMYFUNCTION("""COMPUTED_VALUE"""),131.76)</f>
        <v>131.76</v>
      </c>
      <c r="E260" s="1">
        <f ca="1">IFERROR(__xludf.DUMMYFUNCTION("""COMPUTED_VALUE"""),136.71)</f>
        <v>136.71</v>
      </c>
      <c r="F260" s="1">
        <f ca="1">IFERROR(__xludf.DUMMYFUNCTION("""COMPUTED_VALUE"""),30757732)</f>
        <v>30757732</v>
      </c>
    </row>
    <row r="261" spans="1:6" ht="12.6">
      <c r="A261" s="2">
        <f ca="1">IFERROR(__xludf.DUMMYFUNCTION("""COMPUTED_VALUE"""),44939.6666666666)</f>
        <v>44939.666666666599</v>
      </c>
      <c r="B261" s="1">
        <f ca="1">IFERROR(__xludf.DUMMYFUNCTION("""COMPUTED_VALUE"""),134.97)</f>
        <v>134.97</v>
      </c>
      <c r="C261" s="1">
        <f ca="1">IFERROR(__xludf.DUMMYFUNCTION("""COMPUTED_VALUE"""),137.39)</f>
        <v>137.38999999999999</v>
      </c>
      <c r="D261" s="1">
        <f ca="1">IFERROR(__xludf.DUMMYFUNCTION("""COMPUTED_VALUE"""),134.84)</f>
        <v>134.84</v>
      </c>
      <c r="E261" s="1">
        <f ca="1">IFERROR(__xludf.DUMMYFUNCTION("""COMPUTED_VALUE"""),136.98)</f>
        <v>136.97999999999999</v>
      </c>
      <c r="F261" s="1">
        <f ca="1">IFERROR(__xludf.DUMMYFUNCTION("""COMPUTED_VALUE"""),22423839)</f>
        <v>22423839</v>
      </c>
    </row>
    <row r="262" spans="1:6" ht="12.6">
      <c r="A262" s="2">
        <f ca="1">IFERROR(__xludf.DUMMYFUNCTION("""COMPUTED_VALUE"""),44943.6666666666)</f>
        <v>44943.666666666599</v>
      </c>
      <c r="B262" s="1">
        <f ca="1">IFERROR(__xludf.DUMMYFUNCTION("""COMPUTED_VALUE"""),136.18)</f>
        <v>136.18</v>
      </c>
      <c r="C262" s="1">
        <f ca="1">IFERROR(__xludf.DUMMYFUNCTION("""COMPUTED_VALUE"""),136.75)</f>
        <v>136.75</v>
      </c>
      <c r="D262" s="1">
        <f ca="1">IFERROR(__xludf.DUMMYFUNCTION("""COMPUTED_VALUE"""),134.25)</f>
        <v>134.25</v>
      </c>
      <c r="E262" s="1">
        <f ca="1">IFERROR(__xludf.DUMMYFUNCTION("""COMPUTED_VALUE"""),135.36)</f>
        <v>135.36000000000001</v>
      </c>
      <c r="F262" s="1">
        <f ca="1">IFERROR(__xludf.DUMMYFUNCTION("""COMPUTED_VALUE"""),21147587)</f>
        <v>21147587</v>
      </c>
    </row>
    <row r="263" spans="1:6" ht="12.6">
      <c r="A263" s="2">
        <f ca="1">IFERROR(__xludf.DUMMYFUNCTION("""COMPUTED_VALUE"""),44944.6666666666)</f>
        <v>44944.666666666599</v>
      </c>
      <c r="B263" s="1">
        <f ca="1">IFERROR(__xludf.DUMMYFUNCTION("""COMPUTED_VALUE"""),135.81)</f>
        <v>135.81</v>
      </c>
      <c r="C263" s="1">
        <f ca="1">IFERROR(__xludf.DUMMYFUNCTION("""COMPUTED_VALUE"""),137.25)</f>
        <v>137.25</v>
      </c>
      <c r="D263" s="1">
        <f ca="1">IFERROR(__xludf.DUMMYFUNCTION("""COMPUTED_VALUE"""),132.8)</f>
        <v>132.80000000000001</v>
      </c>
      <c r="E263" s="1">
        <f ca="1">IFERROR(__xludf.DUMMYFUNCTION("""COMPUTED_VALUE"""),133.02)</f>
        <v>133.02000000000001</v>
      </c>
      <c r="F263" s="1">
        <f ca="1">IFERROR(__xludf.DUMMYFUNCTION("""COMPUTED_VALUE"""),20215486)</f>
        <v>20215486</v>
      </c>
    </row>
    <row r="264" spans="1:6" ht="12.6">
      <c r="A264" s="2">
        <f ca="1">IFERROR(__xludf.DUMMYFUNCTION("""COMPUTED_VALUE"""),44945.6666666666)</f>
        <v>44945.666666666599</v>
      </c>
      <c r="B264" s="1">
        <f ca="1">IFERROR(__xludf.DUMMYFUNCTION("""COMPUTED_VALUE"""),132.49)</f>
        <v>132.49</v>
      </c>
      <c r="C264" s="1">
        <f ca="1">IFERROR(__xludf.DUMMYFUNCTION("""COMPUTED_VALUE"""),137.45)</f>
        <v>137.44999999999999</v>
      </c>
      <c r="D264" s="1">
        <f ca="1">IFERROR(__xludf.DUMMYFUNCTION("""COMPUTED_VALUE"""),132.14)</f>
        <v>132.13999999999999</v>
      </c>
      <c r="E264" s="1">
        <f ca="1">IFERROR(__xludf.DUMMYFUNCTION("""COMPUTED_VALUE"""),136.15)</f>
        <v>136.15</v>
      </c>
      <c r="F264" s="1">
        <f ca="1">IFERROR(__xludf.DUMMYFUNCTION("""COMPUTED_VALUE"""),28625232)</f>
        <v>28625232</v>
      </c>
    </row>
    <row r="265" spans="1:6" ht="12.6">
      <c r="A265" s="2">
        <f ca="1">IFERROR(__xludf.DUMMYFUNCTION("""COMPUTED_VALUE"""),44946.6666666666)</f>
        <v>44946.666666666599</v>
      </c>
      <c r="B265" s="1">
        <f ca="1">IFERROR(__xludf.DUMMYFUNCTION("""COMPUTED_VALUE"""),135.89)</f>
        <v>135.88999999999999</v>
      </c>
      <c r="C265" s="1">
        <f ca="1">IFERROR(__xludf.DUMMYFUNCTION("""COMPUTED_VALUE"""),139.94)</f>
        <v>139.94</v>
      </c>
      <c r="D265" s="1">
        <f ca="1">IFERROR(__xludf.DUMMYFUNCTION("""COMPUTED_VALUE"""),134.61)</f>
        <v>134.61000000000001</v>
      </c>
      <c r="E265" s="1">
        <f ca="1">IFERROR(__xludf.DUMMYFUNCTION("""COMPUTED_VALUE"""),139.37)</f>
        <v>139.37</v>
      </c>
      <c r="F265" s="1">
        <f ca="1">IFERROR(__xludf.DUMMYFUNCTION("""COMPUTED_VALUE"""),28688630)</f>
        <v>28688630</v>
      </c>
    </row>
    <row r="266" spans="1:6" ht="12.6">
      <c r="A266" s="2">
        <f ca="1">IFERROR(__xludf.DUMMYFUNCTION("""COMPUTED_VALUE"""),44949.6666666666)</f>
        <v>44949.666666666599</v>
      </c>
      <c r="B266" s="1">
        <f ca="1">IFERROR(__xludf.DUMMYFUNCTION("""COMPUTED_VALUE"""),139.29)</f>
        <v>139.29</v>
      </c>
      <c r="C266" s="1">
        <f ca="1">IFERROR(__xludf.DUMMYFUNCTION("""COMPUTED_VALUE"""),143.76)</f>
        <v>143.76</v>
      </c>
      <c r="D266" s="1">
        <f ca="1">IFERROR(__xludf.DUMMYFUNCTION("""COMPUTED_VALUE"""),138.66)</f>
        <v>138.66</v>
      </c>
      <c r="E266" s="1">
        <f ca="1">IFERROR(__xludf.DUMMYFUNCTION("""COMPUTED_VALUE"""),143.27)</f>
        <v>143.27000000000001</v>
      </c>
      <c r="F266" s="1">
        <f ca="1">IFERROR(__xludf.DUMMYFUNCTION("""COMPUTED_VALUE"""),27470093)</f>
        <v>27470093</v>
      </c>
    </row>
    <row r="267" spans="1:6" ht="12.6">
      <c r="A267" s="2">
        <f ca="1">IFERROR(__xludf.DUMMYFUNCTION("""COMPUTED_VALUE"""),44950.6666666666)</f>
        <v>44950.666666666599</v>
      </c>
      <c r="B267" s="1">
        <f ca="1">IFERROR(__xludf.DUMMYFUNCTION("""COMPUTED_VALUE"""),141.69)</f>
        <v>141.69</v>
      </c>
      <c r="C267" s="1">
        <f ca="1">IFERROR(__xludf.DUMMYFUNCTION("""COMPUTED_VALUE"""),145)</f>
        <v>145</v>
      </c>
      <c r="D267" s="1">
        <f ca="1">IFERROR(__xludf.DUMMYFUNCTION("""COMPUTED_VALUE"""),141.36)</f>
        <v>141.36000000000001</v>
      </c>
      <c r="E267" s="1">
        <f ca="1">IFERROR(__xludf.DUMMYFUNCTION("""COMPUTED_VALUE"""),143.14)</f>
        <v>143.13999999999999</v>
      </c>
      <c r="F267" s="1">
        <f ca="1">IFERROR(__xludf.DUMMYFUNCTION("""COMPUTED_VALUE"""),21970190)</f>
        <v>21970190</v>
      </c>
    </row>
    <row r="268" spans="1:6" ht="12.6">
      <c r="A268" s="2">
        <f ca="1">IFERROR(__xludf.DUMMYFUNCTION("""COMPUTED_VALUE"""),44951.6666666666)</f>
        <v>44951.666666666599</v>
      </c>
      <c r="B268" s="1">
        <f ca="1">IFERROR(__xludf.DUMMYFUNCTION("""COMPUTED_VALUE"""),141.22)</f>
        <v>141.22</v>
      </c>
      <c r="C268" s="1">
        <f ca="1">IFERROR(__xludf.DUMMYFUNCTION("""COMPUTED_VALUE"""),143.17)</f>
        <v>143.16999999999999</v>
      </c>
      <c r="D268" s="1">
        <f ca="1">IFERROR(__xludf.DUMMYFUNCTION("""COMPUTED_VALUE"""),140.31)</f>
        <v>140.31</v>
      </c>
      <c r="E268" s="1">
        <f ca="1">IFERROR(__xludf.DUMMYFUNCTION("""COMPUTED_VALUE"""),141.5)</f>
        <v>141.5</v>
      </c>
      <c r="F268" s="1">
        <f ca="1">IFERROR(__xludf.DUMMYFUNCTION("""COMPUTED_VALUE"""),26622021)</f>
        <v>26622021</v>
      </c>
    </row>
    <row r="269" spans="1:6" ht="12.6">
      <c r="A269" s="2">
        <f ca="1">IFERROR(__xludf.DUMMYFUNCTION("""COMPUTED_VALUE"""),44952.6666666666)</f>
        <v>44952.666666666599</v>
      </c>
      <c r="B269" s="1">
        <f ca="1">IFERROR(__xludf.DUMMYFUNCTION("""COMPUTED_VALUE"""),144.4)</f>
        <v>144.4</v>
      </c>
      <c r="C269" s="1">
        <f ca="1">IFERROR(__xludf.DUMMYFUNCTION("""COMPUTED_VALUE"""),147.51)</f>
        <v>147.51</v>
      </c>
      <c r="D269" s="1">
        <f ca="1">IFERROR(__xludf.DUMMYFUNCTION("""COMPUTED_VALUE"""),143.3)</f>
        <v>143.30000000000001</v>
      </c>
      <c r="E269" s="1">
        <f ca="1">IFERROR(__xludf.DUMMYFUNCTION("""COMPUTED_VALUE"""),147.3)</f>
        <v>147.30000000000001</v>
      </c>
      <c r="F269" s="1">
        <f ca="1">IFERROR(__xludf.DUMMYFUNCTION("""COMPUTED_VALUE"""),25482084)</f>
        <v>25482084</v>
      </c>
    </row>
    <row r="270" spans="1:6" ht="12.6">
      <c r="A270" s="2">
        <f ca="1">IFERROR(__xludf.DUMMYFUNCTION("""COMPUTED_VALUE"""),44953.6666666666)</f>
        <v>44953.666666666599</v>
      </c>
      <c r="B270" s="1">
        <f ca="1">IFERROR(__xludf.DUMMYFUNCTION("""COMPUTED_VALUE"""),148.24)</f>
        <v>148.24</v>
      </c>
      <c r="C270" s="1">
        <f ca="1">IFERROR(__xludf.DUMMYFUNCTION("""COMPUTED_VALUE"""),153.19)</f>
        <v>153.19</v>
      </c>
      <c r="D270" s="1">
        <f ca="1">IFERROR(__xludf.DUMMYFUNCTION("""COMPUTED_VALUE"""),147.39)</f>
        <v>147.38999999999999</v>
      </c>
      <c r="E270" s="1">
        <f ca="1">IFERROR(__xludf.DUMMYFUNCTION("""COMPUTED_VALUE"""),151.74)</f>
        <v>151.74</v>
      </c>
      <c r="F270" s="1">
        <f ca="1">IFERROR(__xludf.DUMMYFUNCTION("""COMPUTED_VALUE"""),35771865)</f>
        <v>35771865</v>
      </c>
    </row>
    <row r="271" spans="1:6" ht="12.6">
      <c r="A271" s="2">
        <f ca="1">IFERROR(__xludf.DUMMYFUNCTION("""COMPUTED_VALUE"""),44956.6666666666)</f>
        <v>44956.666666666599</v>
      </c>
      <c r="B271" s="1">
        <f ca="1">IFERROR(__xludf.DUMMYFUNCTION("""COMPUTED_VALUE"""),149.41)</f>
        <v>149.41</v>
      </c>
      <c r="C271" s="1">
        <f ca="1">IFERROR(__xludf.DUMMYFUNCTION("""COMPUTED_VALUE"""),151.12)</f>
        <v>151.12</v>
      </c>
      <c r="D271" s="1">
        <f ca="1">IFERROR(__xludf.DUMMYFUNCTION("""COMPUTED_VALUE"""),146.95)</f>
        <v>146.94999999999999</v>
      </c>
      <c r="E271" s="1">
        <f ca="1">IFERROR(__xludf.DUMMYFUNCTION("""COMPUTED_VALUE"""),147.06)</f>
        <v>147.06</v>
      </c>
      <c r="F271" s="1">
        <f ca="1">IFERROR(__xludf.DUMMYFUNCTION("""COMPUTED_VALUE"""),28040100)</f>
        <v>28040100</v>
      </c>
    </row>
    <row r="272" spans="1:6" ht="12.6">
      <c r="A272" s="2">
        <f ca="1">IFERROR(__xludf.DUMMYFUNCTION("""COMPUTED_VALUE"""),44957.6666666666)</f>
        <v>44957.666666666599</v>
      </c>
      <c r="B272" s="1">
        <f ca="1">IFERROR(__xludf.DUMMYFUNCTION("""COMPUTED_VALUE"""),147.95)</f>
        <v>147.94999999999999</v>
      </c>
      <c r="C272" s="1">
        <f ca="1">IFERROR(__xludf.DUMMYFUNCTION("""COMPUTED_VALUE"""),149.88)</f>
        <v>149.88</v>
      </c>
      <c r="D272" s="1">
        <f ca="1">IFERROR(__xludf.DUMMYFUNCTION("""COMPUTED_VALUE"""),147.52)</f>
        <v>147.52000000000001</v>
      </c>
      <c r="E272" s="1">
        <f ca="1">IFERROR(__xludf.DUMMYFUNCTION("""COMPUTED_VALUE"""),148.97)</f>
        <v>148.97</v>
      </c>
      <c r="F272" s="1">
        <f ca="1">IFERROR(__xludf.DUMMYFUNCTION("""COMPUTED_VALUE"""),29842109)</f>
        <v>29842109</v>
      </c>
    </row>
    <row r="273" spans="1:6" ht="12.6">
      <c r="A273" s="2">
        <f ca="1">IFERROR(__xludf.DUMMYFUNCTION("""COMPUTED_VALUE"""),44958.6666666666)</f>
        <v>44958.666666666599</v>
      </c>
      <c r="B273" s="1">
        <f ca="1">IFERROR(__xludf.DUMMYFUNCTION("""COMPUTED_VALUE"""),148.03)</f>
        <v>148.03</v>
      </c>
      <c r="C273" s="1">
        <f ca="1">IFERROR(__xludf.DUMMYFUNCTION("""COMPUTED_VALUE"""),153.58)</f>
        <v>153.58000000000001</v>
      </c>
      <c r="D273" s="1">
        <f ca="1">IFERROR(__xludf.DUMMYFUNCTION("""COMPUTED_VALUE"""),147.06)</f>
        <v>147.06</v>
      </c>
      <c r="E273" s="1">
        <f ca="1">IFERROR(__xludf.DUMMYFUNCTION("""COMPUTED_VALUE"""),153.12)</f>
        <v>153.12</v>
      </c>
      <c r="F273" s="1">
        <f ca="1">IFERROR(__xludf.DUMMYFUNCTION("""COMPUTED_VALUE"""),55661017)</f>
        <v>55661017</v>
      </c>
    </row>
    <row r="274" spans="1:6" ht="12.6">
      <c r="A274" s="2">
        <f ca="1">IFERROR(__xludf.DUMMYFUNCTION("""COMPUTED_VALUE"""),44959.6666666666)</f>
        <v>44959.666666666599</v>
      </c>
      <c r="B274" s="1">
        <f ca="1">IFERROR(__xludf.DUMMYFUNCTION("""COMPUTED_VALUE"""),183.38)</f>
        <v>183.38</v>
      </c>
      <c r="C274" s="1">
        <f ca="1">IFERROR(__xludf.DUMMYFUNCTION("""COMPUTED_VALUE"""),197.16)</f>
        <v>197.16</v>
      </c>
      <c r="D274" s="1">
        <f ca="1">IFERROR(__xludf.DUMMYFUNCTION("""COMPUTED_VALUE"""),180.16)</f>
        <v>180.16</v>
      </c>
      <c r="E274" s="1">
        <f ca="1">IFERROR(__xludf.DUMMYFUNCTION("""COMPUTED_VALUE"""),188.77)</f>
        <v>188.77</v>
      </c>
      <c r="F274" s="1">
        <f ca="1">IFERROR(__xludf.DUMMYFUNCTION("""COMPUTED_VALUE"""),150475687)</f>
        <v>150475687</v>
      </c>
    </row>
    <row r="275" spans="1:6" ht="12.6">
      <c r="A275" s="2">
        <f ca="1">IFERROR(__xludf.DUMMYFUNCTION("""COMPUTED_VALUE"""),44960.6666666666)</f>
        <v>44960.666666666599</v>
      </c>
      <c r="B275" s="1">
        <f ca="1">IFERROR(__xludf.DUMMYFUNCTION("""COMPUTED_VALUE"""),183.47)</f>
        <v>183.47</v>
      </c>
      <c r="C275" s="1">
        <f ca="1">IFERROR(__xludf.DUMMYFUNCTION("""COMPUTED_VALUE"""),196.77)</f>
        <v>196.77</v>
      </c>
      <c r="D275" s="1">
        <f ca="1">IFERROR(__xludf.DUMMYFUNCTION("""COMPUTED_VALUE"""),182.89)</f>
        <v>182.89</v>
      </c>
      <c r="E275" s="1">
        <f ca="1">IFERROR(__xludf.DUMMYFUNCTION("""COMPUTED_VALUE"""),186.53)</f>
        <v>186.53</v>
      </c>
      <c r="F275" s="1">
        <f ca="1">IFERROR(__xludf.DUMMYFUNCTION("""COMPUTED_VALUE"""),76809701)</f>
        <v>76809701</v>
      </c>
    </row>
    <row r="276" spans="1:6" ht="12.6">
      <c r="A276" s="2">
        <f ca="1">IFERROR(__xludf.DUMMYFUNCTION("""COMPUTED_VALUE"""),44963.6666666666)</f>
        <v>44963.666666666599</v>
      </c>
      <c r="B276" s="1">
        <f ca="1">IFERROR(__xludf.DUMMYFUNCTION("""COMPUTED_VALUE"""),186.53)</f>
        <v>186.53</v>
      </c>
      <c r="C276" s="1">
        <f ca="1">IFERROR(__xludf.DUMMYFUNCTION("""COMPUTED_VALUE"""),190.7)</f>
        <v>190.7</v>
      </c>
      <c r="D276" s="1">
        <f ca="1">IFERROR(__xludf.DUMMYFUNCTION("""COMPUTED_VALUE"""),185.52)</f>
        <v>185.52</v>
      </c>
      <c r="E276" s="1">
        <f ca="1">IFERROR(__xludf.DUMMYFUNCTION("""COMPUTED_VALUE"""),186.06)</f>
        <v>186.06</v>
      </c>
      <c r="F276" s="1">
        <f ca="1">IFERROR(__xludf.DUMMYFUNCTION("""COMPUTED_VALUE"""),42483811)</f>
        <v>42483811</v>
      </c>
    </row>
    <row r="277" spans="1:6" ht="12.6">
      <c r="A277" s="2">
        <f ca="1">IFERROR(__xludf.DUMMYFUNCTION("""COMPUTED_VALUE"""),44964.6666666666)</f>
        <v>44964.666666666599</v>
      </c>
      <c r="B277" s="1">
        <f ca="1">IFERROR(__xludf.DUMMYFUNCTION("""COMPUTED_VALUE"""),185.58)</f>
        <v>185.58</v>
      </c>
      <c r="C277" s="1">
        <f ca="1">IFERROR(__xludf.DUMMYFUNCTION("""COMPUTED_VALUE"""),193.78)</f>
        <v>193.78</v>
      </c>
      <c r="D277" s="1">
        <f ca="1">IFERROR(__xludf.DUMMYFUNCTION("""COMPUTED_VALUE"""),184.4)</f>
        <v>184.4</v>
      </c>
      <c r="E277" s="1">
        <f ca="1">IFERROR(__xludf.DUMMYFUNCTION("""COMPUTED_VALUE"""),191.62)</f>
        <v>191.62</v>
      </c>
      <c r="F277" s="1">
        <f ca="1">IFERROR(__xludf.DUMMYFUNCTION("""COMPUTED_VALUE"""),47080662)</f>
        <v>47080662</v>
      </c>
    </row>
    <row r="278" spans="1:6" ht="12.6">
      <c r="A278" s="2">
        <f ca="1">IFERROR(__xludf.DUMMYFUNCTION("""COMPUTED_VALUE"""),44965.6666666666)</f>
        <v>44965.666666666599</v>
      </c>
      <c r="B278" s="1">
        <f ca="1">IFERROR(__xludf.DUMMYFUNCTION("""COMPUTED_VALUE"""),190)</f>
        <v>190</v>
      </c>
      <c r="C278" s="1">
        <f ca="1">IFERROR(__xludf.DUMMYFUNCTION("""COMPUTED_VALUE"""),190.83)</f>
        <v>190.83</v>
      </c>
      <c r="D278" s="1">
        <f ca="1">IFERROR(__xludf.DUMMYFUNCTION("""COMPUTED_VALUE"""),182.92)</f>
        <v>182.92</v>
      </c>
      <c r="E278" s="1">
        <f ca="1">IFERROR(__xludf.DUMMYFUNCTION("""COMPUTED_VALUE"""),183.43)</f>
        <v>183.43</v>
      </c>
      <c r="F278" s="1">
        <f ca="1">IFERROR(__xludf.DUMMYFUNCTION("""COMPUTED_VALUE"""),36139074)</f>
        <v>36139074</v>
      </c>
    </row>
    <row r="279" spans="1:6" ht="12.6">
      <c r="A279" s="2">
        <f ca="1">IFERROR(__xludf.DUMMYFUNCTION("""COMPUTED_VALUE"""),44966.6666666666)</f>
        <v>44966.666666666599</v>
      </c>
      <c r="B279" s="1">
        <f ca="1">IFERROR(__xludf.DUMMYFUNCTION("""COMPUTED_VALUE"""),186.13)</f>
        <v>186.13</v>
      </c>
      <c r="C279" s="1">
        <f ca="1">IFERROR(__xludf.DUMMYFUNCTION("""COMPUTED_VALUE"""),186.65)</f>
        <v>186.65</v>
      </c>
      <c r="D279" s="1">
        <f ca="1">IFERROR(__xludf.DUMMYFUNCTION("""COMPUTED_VALUE"""),177.27)</f>
        <v>177.27</v>
      </c>
      <c r="E279" s="1">
        <f ca="1">IFERROR(__xludf.DUMMYFUNCTION("""COMPUTED_VALUE"""),177.92)</f>
        <v>177.92</v>
      </c>
      <c r="F279" s="1">
        <f ca="1">IFERROR(__xludf.DUMMYFUNCTION("""COMPUTED_VALUE"""),37118811)</f>
        <v>37118811</v>
      </c>
    </row>
    <row r="280" spans="1:6" ht="12.6">
      <c r="A280" s="2">
        <f ca="1">IFERROR(__xludf.DUMMYFUNCTION("""COMPUTED_VALUE"""),44967.6666666666)</f>
        <v>44967.666666666599</v>
      </c>
      <c r="B280" s="1">
        <f ca="1">IFERROR(__xludf.DUMMYFUNCTION("""COMPUTED_VALUE"""),176.35)</f>
        <v>176.35</v>
      </c>
      <c r="C280" s="1">
        <f ca="1">IFERROR(__xludf.DUMMYFUNCTION("""COMPUTED_VALUE"""),178.89)</f>
        <v>178.89</v>
      </c>
      <c r="D280" s="1">
        <f ca="1">IFERROR(__xludf.DUMMYFUNCTION("""COMPUTED_VALUE"""),173.35)</f>
        <v>173.35</v>
      </c>
      <c r="E280" s="1">
        <f ca="1">IFERROR(__xludf.DUMMYFUNCTION("""COMPUTED_VALUE"""),174.15)</f>
        <v>174.15</v>
      </c>
      <c r="F280" s="1">
        <f ca="1">IFERROR(__xludf.DUMMYFUNCTION("""COMPUTED_VALUE"""),33433567)</f>
        <v>33433567</v>
      </c>
    </row>
    <row r="281" spans="1:6" ht="12.6">
      <c r="A281" s="2">
        <f ca="1">IFERROR(__xludf.DUMMYFUNCTION("""COMPUTED_VALUE"""),44970.6666666666)</f>
        <v>44970.666666666599</v>
      </c>
      <c r="B281" s="1">
        <f ca="1">IFERROR(__xludf.DUMMYFUNCTION("""COMPUTED_VALUE"""),178.22)</f>
        <v>178.22</v>
      </c>
      <c r="C281" s="1">
        <f ca="1">IFERROR(__xludf.DUMMYFUNCTION("""COMPUTED_VALUE"""),181)</f>
        <v>181</v>
      </c>
      <c r="D281" s="1">
        <f ca="1">IFERROR(__xludf.DUMMYFUNCTION("""COMPUTED_VALUE"""),175.82)</f>
        <v>175.82</v>
      </c>
      <c r="E281" s="1">
        <f ca="1">IFERROR(__xludf.DUMMYFUNCTION("""COMPUTED_VALUE"""),179.43)</f>
        <v>179.43</v>
      </c>
      <c r="F281" s="1">
        <f ca="1">IFERROR(__xludf.DUMMYFUNCTION("""COMPUTED_VALUE"""),31463223)</f>
        <v>31463223</v>
      </c>
    </row>
    <row r="282" spans="1:6" ht="12.6">
      <c r="A282" s="2">
        <f ca="1">IFERROR(__xludf.DUMMYFUNCTION("""COMPUTED_VALUE"""),44971.6666666666)</f>
        <v>44971.666666666599</v>
      </c>
      <c r="B282" s="1">
        <f ca="1">IFERROR(__xludf.DUMMYFUNCTION("""COMPUTED_VALUE"""),177.16)</f>
        <v>177.16</v>
      </c>
      <c r="C282" s="1">
        <f ca="1">IFERROR(__xludf.DUMMYFUNCTION("""COMPUTED_VALUE"""),181.51)</f>
        <v>181.51</v>
      </c>
      <c r="D282" s="1">
        <f ca="1">IFERROR(__xludf.DUMMYFUNCTION("""COMPUTED_VALUE"""),175.88)</f>
        <v>175.88</v>
      </c>
      <c r="E282" s="1">
        <f ca="1">IFERROR(__xludf.DUMMYFUNCTION("""COMPUTED_VALUE"""),179.48)</f>
        <v>179.48</v>
      </c>
      <c r="F282" s="1">
        <f ca="1">IFERROR(__xludf.DUMMYFUNCTION("""COMPUTED_VALUE"""),24034631)</f>
        <v>24034631</v>
      </c>
    </row>
    <row r="283" spans="1:6" ht="12.6">
      <c r="A283" s="2">
        <f ca="1">IFERROR(__xludf.DUMMYFUNCTION("""COMPUTED_VALUE"""),44972.6666666666)</f>
        <v>44972.666666666599</v>
      </c>
      <c r="B283" s="1">
        <f ca="1">IFERROR(__xludf.DUMMYFUNCTION("""COMPUTED_VALUE"""),176.42)</f>
        <v>176.42</v>
      </c>
      <c r="C283" s="1">
        <f ca="1">IFERROR(__xludf.DUMMYFUNCTION("""COMPUTED_VALUE"""),178.19)</f>
        <v>178.19</v>
      </c>
      <c r="D283" s="1">
        <f ca="1">IFERROR(__xludf.DUMMYFUNCTION("""COMPUTED_VALUE"""),175.33)</f>
        <v>175.33</v>
      </c>
      <c r="E283" s="1">
        <f ca="1">IFERROR(__xludf.DUMMYFUNCTION("""COMPUTED_VALUE"""),177.16)</f>
        <v>177.16</v>
      </c>
      <c r="F283" s="1">
        <f ca="1">IFERROR(__xludf.DUMMYFUNCTION("""COMPUTED_VALUE"""),25337966)</f>
        <v>25337966</v>
      </c>
    </row>
    <row r="284" spans="1:6" ht="12.6">
      <c r="A284" s="2">
        <f ca="1">IFERROR(__xludf.DUMMYFUNCTION("""COMPUTED_VALUE"""),44973.6666666666)</f>
        <v>44973.666666666599</v>
      </c>
      <c r="B284" s="1">
        <f ca="1">IFERROR(__xludf.DUMMYFUNCTION("""COMPUTED_VALUE"""),172.75)</f>
        <v>172.75</v>
      </c>
      <c r="C284" s="1">
        <f ca="1">IFERROR(__xludf.DUMMYFUNCTION("""COMPUTED_VALUE"""),175.85)</f>
        <v>175.85</v>
      </c>
      <c r="D284" s="1">
        <f ca="1">IFERROR(__xludf.DUMMYFUNCTION("""COMPUTED_VALUE"""),171.79)</f>
        <v>171.79</v>
      </c>
      <c r="E284" s="1">
        <f ca="1">IFERROR(__xludf.DUMMYFUNCTION("""COMPUTED_VALUE"""),172.44)</f>
        <v>172.44</v>
      </c>
      <c r="F284" s="1">
        <f ca="1">IFERROR(__xludf.DUMMYFUNCTION("""COMPUTED_VALUE"""),25827473)</f>
        <v>25827473</v>
      </c>
    </row>
    <row r="285" spans="1:6" ht="12.6">
      <c r="A285" s="2">
        <f ca="1">IFERROR(__xludf.DUMMYFUNCTION("""COMPUTED_VALUE"""),44974.6666666666)</f>
        <v>44974.666666666599</v>
      </c>
      <c r="B285" s="1">
        <f ca="1">IFERROR(__xludf.DUMMYFUNCTION("""COMPUTED_VALUE"""),170.22)</f>
        <v>170.22</v>
      </c>
      <c r="C285" s="1">
        <f ca="1">IFERROR(__xludf.DUMMYFUNCTION("""COMPUTED_VALUE"""),173.18)</f>
        <v>173.18</v>
      </c>
      <c r="D285" s="1">
        <f ca="1">IFERROR(__xludf.DUMMYFUNCTION("""COMPUTED_VALUE"""),169.7)</f>
        <v>169.7</v>
      </c>
      <c r="E285" s="1">
        <f ca="1">IFERROR(__xludf.DUMMYFUNCTION("""COMPUTED_VALUE"""),172.88)</f>
        <v>172.88</v>
      </c>
      <c r="F285" s="1">
        <f ca="1">IFERROR(__xludf.DUMMYFUNCTION("""COMPUTED_VALUE"""),24171260)</f>
        <v>24171260</v>
      </c>
    </row>
    <row r="286" spans="1:6" ht="12.6">
      <c r="A286" s="2">
        <f ca="1">IFERROR(__xludf.DUMMYFUNCTION("""COMPUTED_VALUE"""),44978.6666666666)</f>
        <v>44978.666666666599</v>
      </c>
      <c r="B286" s="1">
        <f ca="1">IFERROR(__xludf.DUMMYFUNCTION("""COMPUTED_VALUE"""),174.31)</f>
        <v>174.31</v>
      </c>
      <c r="C286" s="1">
        <f ca="1">IFERROR(__xludf.DUMMYFUNCTION("""COMPUTED_VALUE"""),178.17)</f>
        <v>178.17</v>
      </c>
      <c r="D286" s="1">
        <f ca="1">IFERROR(__xludf.DUMMYFUNCTION("""COMPUTED_VALUE"""),171.88)</f>
        <v>171.88</v>
      </c>
      <c r="E286" s="1">
        <f ca="1">IFERROR(__xludf.DUMMYFUNCTION("""COMPUTED_VALUE"""),172.08)</f>
        <v>172.08</v>
      </c>
      <c r="F286" s="1">
        <f ca="1">IFERROR(__xludf.DUMMYFUNCTION("""COMPUTED_VALUE"""),34592582)</f>
        <v>34592582</v>
      </c>
    </row>
    <row r="287" spans="1:6" ht="12.6">
      <c r="A287" s="2">
        <f ca="1">IFERROR(__xludf.DUMMYFUNCTION("""COMPUTED_VALUE"""),44979.6666666666)</f>
        <v>44979.666666666599</v>
      </c>
      <c r="B287" s="1">
        <f ca="1">IFERROR(__xludf.DUMMYFUNCTION("""COMPUTED_VALUE"""),171.07)</f>
        <v>171.07</v>
      </c>
      <c r="C287" s="1">
        <f ca="1">IFERROR(__xludf.DUMMYFUNCTION("""COMPUTED_VALUE"""),172.76)</f>
        <v>172.76</v>
      </c>
      <c r="D287" s="1">
        <f ca="1">IFERROR(__xludf.DUMMYFUNCTION("""COMPUTED_VALUE"""),169.69)</f>
        <v>169.69</v>
      </c>
      <c r="E287" s="1">
        <f ca="1">IFERROR(__xludf.DUMMYFUNCTION("""COMPUTED_VALUE"""),171.12)</f>
        <v>171.12</v>
      </c>
      <c r="F287" s="1">
        <f ca="1">IFERROR(__xludf.DUMMYFUNCTION("""COMPUTED_VALUE"""),22433158)</f>
        <v>22433158</v>
      </c>
    </row>
    <row r="288" spans="1:6" ht="12.6">
      <c r="A288" s="2">
        <f ca="1">IFERROR(__xludf.DUMMYFUNCTION("""COMPUTED_VALUE"""),44980.6666666666)</f>
        <v>44980.666666666599</v>
      </c>
      <c r="B288" s="1">
        <f ca="1">IFERROR(__xludf.DUMMYFUNCTION("""COMPUTED_VALUE"""),172)</f>
        <v>172</v>
      </c>
      <c r="C288" s="1">
        <f ca="1">IFERROR(__xludf.DUMMYFUNCTION("""COMPUTED_VALUE"""),173.69)</f>
        <v>173.69</v>
      </c>
      <c r="D288" s="1">
        <f ca="1">IFERROR(__xludf.DUMMYFUNCTION("""COMPUTED_VALUE"""),169.38)</f>
        <v>169.38</v>
      </c>
      <c r="E288" s="1">
        <f ca="1">IFERROR(__xludf.DUMMYFUNCTION("""COMPUTED_VALUE"""),172.04)</f>
        <v>172.04</v>
      </c>
      <c r="F288" s="1">
        <f ca="1">IFERROR(__xludf.DUMMYFUNCTION("""COMPUTED_VALUE"""),20017779)</f>
        <v>20017779</v>
      </c>
    </row>
    <row r="289" spans="1:6" ht="12.6">
      <c r="A289" s="2">
        <f ca="1">IFERROR(__xludf.DUMMYFUNCTION("""COMPUTED_VALUE"""),44981.6666666666)</f>
        <v>44981.666666666599</v>
      </c>
      <c r="B289" s="1">
        <f ca="1">IFERROR(__xludf.DUMMYFUNCTION("""COMPUTED_VALUE"""),168.64)</f>
        <v>168.64</v>
      </c>
      <c r="C289" s="1">
        <f ca="1">IFERROR(__xludf.DUMMYFUNCTION("""COMPUTED_VALUE"""),170.72)</f>
        <v>170.72</v>
      </c>
      <c r="D289" s="1">
        <f ca="1">IFERROR(__xludf.DUMMYFUNCTION("""COMPUTED_VALUE"""),167.66)</f>
        <v>167.66</v>
      </c>
      <c r="E289" s="1">
        <f ca="1">IFERROR(__xludf.DUMMYFUNCTION("""COMPUTED_VALUE"""),170.39)</f>
        <v>170.39</v>
      </c>
      <c r="F289" s="1">
        <f ca="1">IFERROR(__xludf.DUMMYFUNCTION("""COMPUTED_VALUE"""),19791334)</f>
        <v>19791334</v>
      </c>
    </row>
    <row r="290" spans="1:6" ht="12.6">
      <c r="A290" s="2">
        <f ca="1">IFERROR(__xludf.DUMMYFUNCTION("""COMPUTED_VALUE"""),44984.6666666666)</f>
        <v>44984.666666666599</v>
      </c>
      <c r="B290" s="1">
        <f ca="1">IFERROR(__xludf.DUMMYFUNCTION("""COMPUTED_VALUE"""),171.88)</f>
        <v>171.88</v>
      </c>
      <c r="C290" s="1">
        <f ca="1">IFERROR(__xludf.DUMMYFUNCTION("""COMPUTED_VALUE"""),173.12)</f>
        <v>173.12</v>
      </c>
      <c r="D290" s="1">
        <f ca="1">IFERROR(__xludf.DUMMYFUNCTION("""COMPUTED_VALUE"""),169.06)</f>
        <v>169.06</v>
      </c>
      <c r="E290" s="1">
        <f ca="1">IFERROR(__xludf.DUMMYFUNCTION("""COMPUTED_VALUE"""),169.54)</f>
        <v>169.54</v>
      </c>
      <c r="F290" s="1">
        <f ca="1">IFERROR(__xludf.DUMMYFUNCTION("""COMPUTED_VALUE"""),19277002)</f>
        <v>19277002</v>
      </c>
    </row>
    <row r="291" spans="1:6" ht="12.6">
      <c r="A291" s="2">
        <f ca="1">IFERROR(__xludf.DUMMYFUNCTION("""COMPUTED_VALUE"""),44985.6666666666)</f>
        <v>44985.666666666599</v>
      </c>
      <c r="B291" s="1">
        <f ca="1">IFERROR(__xludf.DUMMYFUNCTION("""COMPUTED_VALUE"""),171.9)</f>
        <v>171.9</v>
      </c>
      <c r="C291" s="1">
        <f ca="1">IFERROR(__xludf.DUMMYFUNCTION("""COMPUTED_VALUE"""),177.55)</f>
        <v>177.55</v>
      </c>
      <c r="D291" s="1">
        <f ca="1">IFERROR(__xludf.DUMMYFUNCTION("""COMPUTED_VALUE"""),171.87)</f>
        <v>171.87</v>
      </c>
      <c r="E291" s="1">
        <f ca="1">IFERROR(__xludf.DUMMYFUNCTION("""COMPUTED_VALUE"""),174.94)</f>
        <v>174.94</v>
      </c>
      <c r="F291" s="1">
        <f ca="1">IFERROR(__xludf.DUMMYFUNCTION("""COMPUTED_VALUE"""),46051117)</f>
        <v>46051117</v>
      </c>
    </row>
    <row r="292" spans="1:6" ht="12.6">
      <c r="A292" s="2">
        <f ca="1">IFERROR(__xludf.DUMMYFUNCTION("""COMPUTED_VALUE"""),44986.6666666666)</f>
        <v>44986.666666666599</v>
      </c>
      <c r="B292" s="1">
        <f ca="1">IFERROR(__xludf.DUMMYFUNCTION("""COMPUTED_VALUE"""),174.59)</f>
        <v>174.59</v>
      </c>
      <c r="C292" s="1">
        <f ca="1">IFERROR(__xludf.DUMMYFUNCTION("""COMPUTED_VALUE"""),177.85)</f>
        <v>177.85</v>
      </c>
      <c r="D292" s="1">
        <f ca="1">IFERROR(__xludf.DUMMYFUNCTION("""COMPUTED_VALUE"""),173.05)</f>
        <v>173.05</v>
      </c>
      <c r="E292" s="1">
        <f ca="1">IFERROR(__xludf.DUMMYFUNCTION("""COMPUTED_VALUE"""),173.42)</f>
        <v>173.42</v>
      </c>
      <c r="F292" s="1">
        <f ca="1">IFERROR(__xludf.DUMMYFUNCTION("""COMPUTED_VALUE"""),30998380)</f>
        <v>30998380</v>
      </c>
    </row>
    <row r="293" spans="1:6" ht="12.6">
      <c r="A293" s="2">
        <f ca="1">IFERROR(__xludf.DUMMYFUNCTION("""COMPUTED_VALUE"""),44987.6666666666)</f>
        <v>44987.666666666599</v>
      </c>
      <c r="B293" s="1">
        <f ca="1">IFERROR(__xludf.DUMMYFUNCTION("""COMPUTED_VALUE"""),172.38)</f>
        <v>172.38</v>
      </c>
      <c r="C293" s="1">
        <f ca="1">IFERROR(__xludf.DUMMYFUNCTION("""COMPUTED_VALUE"""),175.01)</f>
        <v>175.01</v>
      </c>
      <c r="D293" s="1">
        <f ca="1">IFERROR(__xludf.DUMMYFUNCTION("""COMPUTED_VALUE"""),171.43)</f>
        <v>171.43</v>
      </c>
      <c r="E293" s="1">
        <f ca="1">IFERROR(__xludf.DUMMYFUNCTION("""COMPUTED_VALUE"""),174.53)</f>
        <v>174.53</v>
      </c>
      <c r="F293" s="1">
        <f ca="1">IFERROR(__xludf.DUMMYFUNCTION("""COMPUTED_VALUE"""),17360708)</f>
        <v>17360708</v>
      </c>
    </row>
    <row r="294" spans="1:6" ht="12.6">
      <c r="A294" s="2">
        <f ca="1">IFERROR(__xludf.DUMMYFUNCTION("""COMPUTED_VALUE"""),44988.6666666666)</f>
        <v>44988.666666666599</v>
      </c>
      <c r="B294" s="1">
        <f ca="1">IFERROR(__xludf.DUMMYFUNCTION("""COMPUTED_VALUE"""),178.92)</f>
        <v>178.92</v>
      </c>
      <c r="C294" s="1">
        <f ca="1">IFERROR(__xludf.DUMMYFUNCTION("""COMPUTED_VALUE"""),186.62)</f>
        <v>186.62</v>
      </c>
      <c r="D294" s="1">
        <f ca="1">IFERROR(__xludf.DUMMYFUNCTION("""COMPUTED_VALUE"""),177.05)</f>
        <v>177.05</v>
      </c>
      <c r="E294" s="1">
        <f ca="1">IFERROR(__xludf.DUMMYFUNCTION("""COMPUTED_VALUE"""),185.25)</f>
        <v>185.25</v>
      </c>
      <c r="F294" s="1">
        <f ca="1">IFERROR(__xludf.DUMMYFUNCTION("""COMPUTED_VALUE"""),45877692)</f>
        <v>45877692</v>
      </c>
    </row>
    <row r="295" spans="1:6" ht="12.6">
      <c r="A295" s="2">
        <f ca="1">IFERROR(__xludf.DUMMYFUNCTION("""COMPUTED_VALUE"""),44991.6666666666)</f>
        <v>44991.666666666599</v>
      </c>
      <c r="B295" s="1">
        <f ca="1">IFERROR(__xludf.DUMMYFUNCTION("""COMPUTED_VALUE"""),188)</f>
        <v>188</v>
      </c>
      <c r="C295" s="1">
        <f ca="1">IFERROR(__xludf.DUMMYFUNCTION("""COMPUTED_VALUE"""),189.66)</f>
        <v>189.66</v>
      </c>
      <c r="D295" s="1">
        <f ca="1">IFERROR(__xludf.DUMMYFUNCTION("""COMPUTED_VALUE"""),184.64)</f>
        <v>184.64</v>
      </c>
      <c r="E295" s="1">
        <f ca="1">IFERROR(__xludf.DUMMYFUNCTION("""COMPUTED_VALUE"""),184.9)</f>
        <v>184.9</v>
      </c>
      <c r="F295" s="1">
        <f ca="1">IFERROR(__xludf.DUMMYFUNCTION("""COMPUTED_VALUE"""),33209394)</f>
        <v>33209394</v>
      </c>
    </row>
    <row r="296" spans="1:6" ht="12.6">
      <c r="A296" s="2">
        <f ca="1">IFERROR(__xludf.DUMMYFUNCTION("""COMPUTED_VALUE"""),44992.6666666666)</f>
        <v>44992.666666666599</v>
      </c>
      <c r="B296" s="1">
        <f ca="1">IFERROR(__xludf.DUMMYFUNCTION("""COMPUTED_VALUE"""),189)</f>
        <v>189</v>
      </c>
      <c r="C296" s="1">
        <f ca="1">IFERROR(__xludf.DUMMYFUNCTION("""COMPUTED_VALUE"""),190.36)</f>
        <v>190.36</v>
      </c>
      <c r="D296" s="1">
        <f ca="1">IFERROR(__xludf.DUMMYFUNCTION("""COMPUTED_VALUE"""),184.01)</f>
        <v>184.01</v>
      </c>
      <c r="E296" s="1">
        <f ca="1">IFERROR(__xludf.DUMMYFUNCTION("""COMPUTED_VALUE"""),184.51)</f>
        <v>184.51</v>
      </c>
      <c r="F296" s="1">
        <f ca="1">IFERROR(__xludf.DUMMYFUNCTION("""COMPUTED_VALUE"""),36701495)</f>
        <v>36701495</v>
      </c>
    </row>
    <row r="297" spans="1:6" ht="12.6">
      <c r="A297" s="2">
        <f ca="1">IFERROR(__xludf.DUMMYFUNCTION("""COMPUTED_VALUE"""),44993.6666666666)</f>
        <v>44993.666666666599</v>
      </c>
      <c r="B297" s="1">
        <f ca="1">IFERROR(__xludf.DUMMYFUNCTION("""COMPUTED_VALUE"""),182.87)</f>
        <v>182.87</v>
      </c>
      <c r="C297" s="1">
        <f ca="1">IFERROR(__xludf.DUMMYFUNCTION("""COMPUTED_VALUE"""),185.26)</f>
        <v>185.26</v>
      </c>
      <c r="D297" s="1">
        <f ca="1">IFERROR(__xludf.DUMMYFUNCTION("""COMPUTED_VALUE"""),181.34)</f>
        <v>181.34</v>
      </c>
      <c r="E297" s="1">
        <f ca="1">IFERROR(__xludf.DUMMYFUNCTION("""COMPUTED_VALUE"""),184.97)</f>
        <v>184.97</v>
      </c>
      <c r="F297" s="1">
        <f ca="1">IFERROR(__xludf.DUMMYFUNCTION("""COMPUTED_VALUE"""),19432405)</f>
        <v>19432405</v>
      </c>
    </row>
    <row r="298" spans="1:6" ht="12.6">
      <c r="A298" s="2">
        <f ca="1">IFERROR(__xludf.DUMMYFUNCTION("""COMPUTED_VALUE"""),44994.6666666666)</f>
        <v>44994.666666666599</v>
      </c>
      <c r="B298" s="1">
        <f ca="1">IFERROR(__xludf.DUMMYFUNCTION("""COMPUTED_VALUE"""),186.35)</f>
        <v>186.35</v>
      </c>
      <c r="C298" s="1">
        <f ca="1">IFERROR(__xludf.DUMMYFUNCTION("""COMPUTED_VALUE"""),188.93)</f>
        <v>188.93</v>
      </c>
      <c r="D298" s="1">
        <f ca="1">IFERROR(__xludf.DUMMYFUNCTION("""COMPUTED_VALUE"""),180.3)</f>
        <v>180.3</v>
      </c>
      <c r="E298" s="1">
        <f ca="1">IFERROR(__xludf.DUMMYFUNCTION("""COMPUTED_VALUE"""),181.69)</f>
        <v>181.69</v>
      </c>
      <c r="F298" s="1">
        <f ca="1">IFERROR(__xludf.DUMMYFUNCTION("""COMPUTED_VALUE"""),26582750)</f>
        <v>26582750</v>
      </c>
    </row>
    <row r="299" spans="1:6" ht="12.6">
      <c r="A299" s="2">
        <f ca="1">IFERROR(__xludf.DUMMYFUNCTION("""COMPUTED_VALUE"""),44995.6666666666)</f>
        <v>44995.666666666599</v>
      </c>
      <c r="B299" s="1">
        <f ca="1">IFERROR(__xludf.DUMMYFUNCTION("""COMPUTED_VALUE"""),181.01)</f>
        <v>181.01</v>
      </c>
      <c r="C299" s="1">
        <f ca="1">IFERROR(__xludf.DUMMYFUNCTION("""COMPUTED_VALUE"""),184.77)</f>
        <v>184.77</v>
      </c>
      <c r="D299" s="1">
        <f ca="1">IFERROR(__xludf.DUMMYFUNCTION("""COMPUTED_VALUE"""),178.8)</f>
        <v>178.8</v>
      </c>
      <c r="E299" s="1">
        <f ca="1">IFERROR(__xludf.DUMMYFUNCTION("""COMPUTED_VALUE"""),179.51)</f>
        <v>179.51</v>
      </c>
      <c r="F299" s="1">
        <f ca="1">IFERROR(__xludf.DUMMYFUNCTION("""COMPUTED_VALUE"""),25665032)</f>
        <v>25665032</v>
      </c>
    </row>
    <row r="300" spans="1:6" ht="12.6">
      <c r="A300" s="2">
        <f ca="1">IFERROR(__xludf.DUMMYFUNCTION("""COMPUTED_VALUE"""),44998.6666666666)</f>
        <v>44998.666666666599</v>
      </c>
      <c r="B300" s="1">
        <f ca="1">IFERROR(__xludf.DUMMYFUNCTION("""COMPUTED_VALUE"""),177.96)</f>
        <v>177.96</v>
      </c>
      <c r="C300" s="1">
        <f ca="1">IFERROR(__xludf.DUMMYFUNCTION("""COMPUTED_VALUE"""),183.78)</f>
        <v>183.78</v>
      </c>
      <c r="D300" s="1">
        <f ca="1">IFERROR(__xludf.DUMMYFUNCTION("""COMPUTED_VALUE"""),174.82)</f>
        <v>174.82</v>
      </c>
      <c r="E300" s="1">
        <f ca="1">IFERROR(__xludf.DUMMYFUNCTION("""COMPUTED_VALUE"""),180.9)</f>
        <v>180.9</v>
      </c>
      <c r="F300" s="1">
        <f ca="1">IFERROR(__xludf.DUMMYFUNCTION("""COMPUTED_VALUE"""),24727969)</f>
        <v>24727969</v>
      </c>
    </row>
    <row r="301" spans="1:6" ht="12.6">
      <c r="A301" s="2">
        <f ca="1">IFERROR(__xludf.DUMMYFUNCTION("""COMPUTED_VALUE"""),44999.6666666666)</f>
        <v>44999.666666666599</v>
      </c>
      <c r="B301" s="1">
        <f ca="1">IFERROR(__xludf.DUMMYFUNCTION("""COMPUTED_VALUE"""),187.58)</f>
        <v>187.58</v>
      </c>
      <c r="C301" s="1">
        <f ca="1">IFERROR(__xludf.DUMMYFUNCTION("""COMPUTED_VALUE"""),194.32)</f>
        <v>194.32</v>
      </c>
      <c r="D301" s="1">
        <f ca="1">IFERROR(__xludf.DUMMYFUNCTION("""COMPUTED_VALUE"""),186.56)</f>
        <v>186.56</v>
      </c>
      <c r="E301" s="1">
        <f ca="1">IFERROR(__xludf.DUMMYFUNCTION("""COMPUTED_VALUE"""),194.02)</f>
        <v>194.02</v>
      </c>
      <c r="F301" s="1">
        <f ca="1">IFERROR(__xludf.DUMMYFUNCTION("""COMPUTED_VALUE"""),41642627)</f>
        <v>41642627</v>
      </c>
    </row>
    <row r="302" spans="1:6" ht="12.6">
      <c r="A302" s="2">
        <f ca="1">IFERROR(__xludf.DUMMYFUNCTION("""COMPUTED_VALUE"""),45000.6666666666)</f>
        <v>45000.666666666599</v>
      </c>
      <c r="B302" s="1">
        <f ca="1">IFERROR(__xludf.DUMMYFUNCTION("""COMPUTED_VALUE"""),192.95)</f>
        <v>192.95</v>
      </c>
      <c r="C302" s="1">
        <f ca="1">IFERROR(__xludf.DUMMYFUNCTION("""COMPUTED_VALUE"""),197.78)</f>
        <v>197.78</v>
      </c>
      <c r="D302" s="1">
        <f ca="1">IFERROR(__xludf.DUMMYFUNCTION("""COMPUTED_VALUE"""),190.84)</f>
        <v>190.84</v>
      </c>
      <c r="E302" s="1">
        <f ca="1">IFERROR(__xludf.DUMMYFUNCTION("""COMPUTED_VALUE"""),197.75)</f>
        <v>197.75</v>
      </c>
      <c r="F302" s="1">
        <f ca="1">IFERROR(__xludf.DUMMYFUNCTION("""COMPUTED_VALUE"""),42123552)</f>
        <v>42123552</v>
      </c>
    </row>
    <row r="303" spans="1:6" ht="12.6">
      <c r="A303" s="2">
        <f ca="1">IFERROR(__xludf.DUMMYFUNCTION("""COMPUTED_VALUE"""),45001.6666666666)</f>
        <v>45001.666666666599</v>
      </c>
      <c r="B303" s="1">
        <f ca="1">IFERROR(__xludf.DUMMYFUNCTION("""COMPUTED_VALUE"""),198.26)</f>
        <v>198.26</v>
      </c>
      <c r="C303" s="1">
        <f ca="1">IFERROR(__xludf.DUMMYFUNCTION("""COMPUTED_VALUE"""),205.76)</f>
        <v>205.76</v>
      </c>
      <c r="D303" s="1">
        <f ca="1">IFERROR(__xludf.DUMMYFUNCTION("""COMPUTED_VALUE"""),196.09)</f>
        <v>196.09</v>
      </c>
      <c r="E303" s="1">
        <f ca="1">IFERROR(__xludf.DUMMYFUNCTION("""COMPUTED_VALUE"""),204.93)</f>
        <v>204.93</v>
      </c>
      <c r="F303" s="1">
        <f ca="1">IFERROR(__xludf.DUMMYFUNCTION("""COMPUTED_VALUE"""),50819659)</f>
        <v>50819659</v>
      </c>
    </row>
    <row r="304" spans="1:6" ht="12.6">
      <c r="A304" s="2">
        <f ca="1">IFERROR(__xludf.DUMMYFUNCTION("""COMPUTED_VALUE"""),45002.6666666666)</f>
        <v>45002.666666666599</v>
      </c>
      <c r="B304" s="1">
        <f ca="1">IFERROR(__xludf.DUMMYFUNCTION("""COMPUTED_VALUE"""),200.56)</f>
        <v>200.56</v>
      </c>
      <c r="C304" s="1">
        <f ca="1">IFERROR(__xludf.DUMMYFUNCTION("""COMPUTED_VALUE"""),201.9)</f>
        <v>201.9</v>
      </c>
      <c r="D304" s="1">
        <f ca="1">IFERROR(__xludf.DUMMYFUNCTION("""COMPUTED_VALUE"""),195.43)</f>
        <v>195.43</v>
      </c>
      <c r="E304" s="1">
        <f ca="1">IFERROR(__xludf.DUMMYFUNCTION("""COMPUTED_VALUE"""),195.61)</f>
        <v>195.61</v>
      </c>
      <c r="F304" s="1">
        <f ca="1">IFERROR(__xludf.DUMMYFUNCTION("""COMPUTED_VALUE"""),50141098)</f>
        <v>50141098</v>
      </c>
    </row>
    <row r="305" spans="1:6" ht="12.6">
      <c r="A305" s="2">
        <f ca="1">IFERROR(__xludf.DUMMYFUNCTION("""COMPUTED_VALUE"""),45005.6666666666)</f>
        <v>45005.666666666599</v>
      </c>
      <c r="B305" s="1">
        <f ca="1">IFERROR(__xludf.DUMMYFUNCTION("""COMPUTED_VALUE"""),198.48)</f>
        <v>198.48</v>
      </c>
      <c r="C305" s="1">
        <f ca="1">IFERROR(__xludf.DUMMYFUNCTION("""COMPUTED_VALUE"""),199.36)</f>
        <v>199.36</v>
      </c>
      <c r="D305" s="1">
        <f ca="1">IFERROR(__xludf.DUMMYFUNCTION("""COMPUTED_VALUE"""),193.64)</f>
        <v>193.64</v>
      </c>
      <c r="E305" s="1">
        <f ca="1">IFERROR(__xludf.DUMMYFUNCTION("""COMPUTED_VALUE"""),197.81)</f>
        <v>197.81</v>
      </c>
      <c r="F305" s="1">
        <f ca="1">IFERROR(__xludf.DUMMYFUNCTION("""COMPUTED_VALUE"""),25186315)</f>
        <v>25186315</v>
      </c>
    </row>
    <row r="306" spans="1:6" ht="12.6">
      <c r="A306" s="2">
        <f ca="1">IFERROR(__xludf.DUMMYFUNCTION("""COMPUTED_VALUE"""),45006.6666666666)</f>
        <v>45006.666666666599</v>
      </c>
      <c r="B306" s="1">
        <f ca="1">IFERROR(__xludf.DUMMYFUNCTION("""COMPUTED_VALUE"""),203.2)</f>
        <v>203.2</v>
      </c>
      <c r="C306" s="1">
        <f ca="1">IFERROR(__xludf.DUMMYFUNCTION("""COMPUTED_VALUE"""),203.55)</f>
        <v>203.55</v>
      </c>
      <c r="D306" s="1">
        <f ca="1">IFERROR(__xludf.DUMMYFUNCTION("""COMPUTED_VALUE"""),197.95)</f>
        <v>197.95</v>
      </c>
      <c r="E306" s="1">
        <f ca="1">IFERROR(__xludf.DUMMYFUNCTION("""COMPUTED_VALUE"""),202.16)</f>
        <v>202.16</v>
      </c>
      <c r="F306" s="1">
        <f ca="1">IFERROR(__xludf.DUMMYFUNCTION("""COMPUTED_VALUE"""),31826952)</f>
        <v>31826952</v>
      </c>
    </row>
    <row r="307" spans="1:6" ht="12.6">
      <c r="A307" s="2">
        <f ca="1">IFERROR(__xludf.DUMMYFUNCTION("""COMPUTED_VALUE"""),45007.6666666666)</f>
        <v>45007.666666666599</v>
      </c>
      <c r="B307" s="1">
        <f ca="1">IFERROR(__xludf.DUMMYFUNCTION("""COMPUTED_VALUE"""),202.5)</f>
        <v>202.5</v>
      </c>
      <c r="C307" s="1">
        <f ca="1">IFERROR(__xludf.DUMMYFUNCTION("""COMPUTED_VALUE"""),207.37)</f>
        <v>207.37</v>
      </c>
      <c r="D307" s="1">
        <f ca="1">IFERROR(__xludf.DUMMYFUNCTION("""COMPUTED_VALUE"""),199.67)</f>
        <v>199.67</v>
      </c>
      <c r="E307" s="1">
        <f ca="1">IFERROR(__xludf.DUMMYFUNCTION("""COMPUTED_VALUE"""),199.81)</f>
        <v>199.81</v>
      </c>
      <c r="F307" s="1">
        <f ca="1">IFERROR(__xludf.DUMMYFUNCTION("""COMPUTED_VALUE"""),28477759)</f>
        <v>28477759</v>
      </c>
    </row>
    <row r="308" spans="1:6" ht="12.6">
      <c r="A308" s="2">
        <f ca="1">IFERROR(__xludf.DUMMYFUNCTION("""COMPUTED_VALUE"""),45008.6666666666)</f>
        <v>45008.666666666599</v>
      </c>
      <c r="B308" s="1">
        <f ca="1">IFERROR(__xludf.DUMMYFUNCTION("""COMPUTED_VALUE"""),202.84)</f>
        <v>202.84</v>
      </c>
      <c r="C308" s="1">
        <f ca="1">IFERROR(__xludf.DUMMYFUNCTION("""COMPUTED_VALUE"""),207.88)</f>
        <v>207.88</v>
      </c>
      <c r="D308" s="1">
        <f ca="1">IFERROR(__xludf.DUMMYFUNCTION("""COMPUTED_VALUE"""),202.15)</f>
        <v>202.15</v>
      </c>
      <c r="E308" s="1">
        <f ca="1">IFERROR(__xludf.DUMMYFUNCTION("""COMPUTED_VALUE"""),204.28)</f>
        <v>204.28</v>
      </c>
      <c r="F308" s="1">
        <f ca="1">IFERROR(__xludf.DUMMYFUNCTION("""COMPUTED_VALUE"""),27389669)</f>
        <v>27389669</v>
      </c>
    </row>
    <row r="309" spans="1:6" ht="12.6">
      <c r="A309" s="2">
        <f ca="1">IFERROR(__xludf.DUMMYFUNCTION("""COMPUTED_VALUE"""),45009.6666666666)</f>
        <v>45009.666666666599</v>
      </c>
      <c r="B309" s="1">
        <f ca="1">IFERROR(__xludf.DUMMYFUNCTION("""COMPUTED_VALUE"""),205.18)</f>
        <v>205.18</v>
      </c>
      <c r="C309" s="1">
        <f ca="1">IFERROR(__xludf.DUMMYFUNCTION("""COMPUTED_VALUE"""),207.58)</f>
        <v>207.58</v>
      </c>
      <c r="D309" s="1">
        <f ca="1">IFERROR(__xludf.DUMMYFUNCTION("""COMPUTED_VALUE"""),203.55)</f>
        <v>203.55</v>
      </c>
      <c r="E309" s="1">
        <f ca="1">IFERROR(__xludf.DUMMYFUNCTION("""COMPUTED_VALUE"""),206.01)</f>
        <v>206.01</v>
      </c>
      <c r="F309" s="1">
        <f ca="1">IFERROR(__xludf.DUMMYFUNCTION("""COMPUTED_VALUE"""),27733042)</f>
        <v>27733042</v>
      </c>
    </row>
    <row r="310" spans="1:6" ht="12.6">
      <c r="A310" s="2">
        <f ca="1">IFERROR(__xludf.DUMMYFUNCTION("""COMPUTED_VALUE"""),45012.6666666666)</f>
        <v>45012.666666666599</v>
      </c>
      <c r="B310" s="1">
        <f ca="1">IFERROR(__xludf.DUMMYFUNCTION("""COMPUTED_VALUE"""),204.81)</f>
        <v>204.81</v>
      </c>
      <c r="C310" s="1">
        <f ca="1">IFERROR(__xludf.DUMMYFUNCTION("""COMPUTED_VALUE"""),205.86)</f>
        <v>205.86</v>
      </c>
      <c r="D310" s="1">
        <f ca="1">IFERROR(__xludf.DUMMYFUNCTION("""COMPUTED_VALUE"""),201.36)</f>
        <v>201.36</v>
      </c>
      <c r="E310" s="1">
        <f ca="1">IFERROR(__xludf.DUMMYFUNCTION("""COMPUTED_VALUE"""),202.84)</f>
        <v>202.84</v>
      </c>
      <c r="F310" s="1">
        <f ca="1">IFERROR(__xludf.DUMMYFUNCTION("""COMPUTED_VALUE"""),18527184)</f>
        <v>18527184</v>
      </c>
    </row>
    <row r="311" spans="1:6" ht="12.6">
      <c r="A311" s="2">
        <f ca="1">IFERROR(__xludf.DUMMYFUNCTION("""COMPUTED_VALUE"""),45013.6666666666)</f>
        <v>45013.666666666599</v>
      </c>
      <c r="B311" s="1">
        <f ca="1">IFERROR(__xludf.DUMMYFUNCTION("""COMPUTED_VALUE"""),200.15)</f>
        <v>200.15</v>
      </c>
      <c r="C311" s="1">
        <f ca="1">IFERROR(__xludf.DUMMYFUNCTION("""COMPUTED_VALUE"""),201.03)</f>
        <v>201.03</v>
      </c>
      <c r="D311" s="1">
        <f ca="1">IFERROR(__xludf.DUMMYFUNCTION("""COMPUTED_VALUE"""),197.9)</f>
        <v>197.9</v>
      </c>
      <c r="E311" s="1">
        <f ca="1">IFERROR(__xludf.DUMMYFUNCTION("""COMPUTED_VALUE"""),200.68)</f>
        <v>200.68</v>
      </c>
      <c r="F311" s="1">
        <f ca="1">IFERROR(__xludf.DUMMYFUNCTION("""COMPUTED_VALUE"""),19127295)</f>
        <v>19127295</v>
      </c>
    </row>
    <row r="312" spans="1:6" ht="12.6">
      <c r="A312" s="2">
        <f ca="1">IFERROR(__xludf.DUMMYFUNCTION("""COMPUTED_VALUE"""),45014.6666666666)</f>
        <v>45014.666666666599</v>
      </c>
      <c r="B312" s="1">
        <f ca="1">IFERROR(__xludf.DUMMYFUNCTION("""COMPUTED_VALUE"""),203.56)</f>
        <v>203.56</v>
      </c>
      <c r="C312" s="1">
        <f ca="1">IFERROR(__xludf.DUMMYFUNCTION("""COMPUTED_VALUE"""),205.72)</f>
        <v>205.72</v>
      </c>
      <c r="D312" s="1">
        <f ca="1">IFERROR(__xludf.DUMMYFUNCTION("""COMPUTED_VALUE"""),202.54)</f>
        <v>202.54</v>
      </c>
      <c r="E312" s="1">
        <f ca="1">IFERROR(__xludf.DUMMYFUNCTION("""COMPUTED_VALUE"""),205.35)</f>
        <v>205.35</v>
      </c>
      <c r="F312" s="1">
        <f ca="1">IFERROR(__xludf.DUMMYFUNCTION("""COMPUTED_VALUE"""),18851137)</f>
        <v>18851137</v>
      </c>
    </row>
    <row r="313" spans="1:6" ht="12.6">
      <c r="A313" s="2">
        <f ca="1">IFERROR(__xludf.DUMMYFUNCTION("""COMPUTED_VALUE"""),45015.6666666666)</f>
        <v>45015.666666666599</v>
      </c>
      <c r="B313" s="1">
        <f ca="1">IFERROR(__xludf.DUMMYFUNCTION("""COMPUTED_VALUE"""),203.38)</f>
        <v>203.38</v>
      </c>
      <c r="C313" s="1">
        <f ca="1">IFERROR(__xludf.DUMMYFUNCTION("""COMPUTED_VALUE"""),208.09)</f>
        <v>208.09</v>
      </c>
      <c r="D313" s="1">
        <f ca="1">IFERROR(__xludf.DUMMYFUNCTION("""COMPUTED_VALUE"""),202.82)</f>
        <v>202.82</v>
      </c>
      <c r="E313" s="1">
        <f ca="1">IFERROR(__xludf.DUMMYFUNCTION("""COMPUTED_VALUE"""),207.84)</f>
        <v>207.84</v>
      </c>
      <c r="F313" s="1">
        <f ca="1">IFERROR(__xludf.DUMMYFUNCTION("""COMPUTED_VALUE"""),22608303)</f>
        <v>22608303</v>
      </c>
    </row>
    <row r="314" spans="1:6" ht="12.6">
      <c r="A314" s="2">
        <f ca="1">IFERROR(__xludf.DUMMYFUNCTION("""COMPUTED_VALUE"""),45016.6666666666)</f>
        <v>45016.666666666599</v>
      </c>
      <c r="B314" s="1">
        <f ca="1">IFERROR(__xludf.DUMMYFUNCTION("""COMPUTED_VALUE"""),207.24)</f>
        <v>207.24</v>
      </c>
      <c r="C314" s="1">
        <f ca="1">IFERROR(__xludf.DUMMYFUNCTION("""COMPUTED_VALUE"""),212.17)</f>
        <v>212.17</v>
      </c>
      <c r="D314" s="1">
        <f ca="1">IFERROR(__xludf.DUMMYFUNCTION("""COMPUTED_VALUE"""),206.77)</f>
        <v>206.77</v>
      </c>
      <c r="E314" s="1">
        <f ca="1">IFERROR(__xludf.DUMMYFUNCTION("""COMPUTED_VALUE"""),211.94)</f>
        <v>211.94</v>
      </c>
      <c r="F314" s="1">
        <f ca="1">IFERROR(__xludf.DUMMYFUNCTION("""COMPUTED_VALUE"""),25440273)</f>
        <v>25440273</v>
      </c>
    </row>
    <row r="315" spans="1:6" ht="12.6">
      <c r="A315" s="2">
        <f ca="1">IFERROR(__xludf.DUMMYFUNCTION("""COMPUTED_VALUE"""),45019.6666666666)</f>
        <v>45019.666666666599</v>
      </c>
      <c r="B315" s="1">
        <f ca="1">IFERROR(__xludf.DUMMYFUNCTION("""COMPUTED_VALUE"""),208.84)</f>
        <v>208.84</v>
      </c>
      <c r="C315" s="1">
        <f ca="1">IFERROR(__xludf.DUMMYFUNCTION("""COMPUTED_VALUE"""),213.49)</f>
        <v>213.49</v>
      </c>
      <c r="D315" s="1">
        <f ca="1">IFERROR(__xludf.DUMMYFUNCTION("""COMPUTED_VALUE"""),208.2)</f>
        <v>208.2</v>
      </c>
      <c r="E315" s="1">
        <f ca="1">IFERROR(__xludf.DUMMYFUNCTION("""COMPUTED_VALUE"""),213.07)</f>
        <v>213.07</v>
      </c>
      <c r="F315" s="1">
        <f ca="1">IFERROR(__xludf.DUMMYFUNCTION("""COMPUTED_VALUE"""),17924613)</f>
        <v>17924613</v>
      </c>
    </row>
    <row r="316" spans="1:6" ht="12.6">
      <c r="A316" s="2">
        <f ca="1">IFERROR(__xludf.DUMMYFUNCTION("""COMPUTED_VALUE"""),45020.6666666666)</f>
        <v>45020.666666666599</v>
      </c>
      <c r="B316" s="1">
        <f ca="1">IFERROR(__xludf.DUMMYFUNCTION("""COMPUTED_VALUE"""),213.39)</f>
        <v>213.39</v>
      </c>
      <c r="C316" s="1">
        <f ca="1">IFERROR(__xludf.DUMMYFUNCTION("""COMPUTED_VALUE"""),216.24)</f>
        <v>216.24</v>
      </c>
      <c r="D316" s="1">
        <f ca="1">IFERROR(__xludf.DUMMYFUNCTION("""COMPUTED_VALUE"""),212.54)</f>
        <v>212.54</v>
      </c>
      <c r="E316" s="1">
        <f ca="1">IFERROR(__xludf.DUMMYFUNCTION("""COMPUTED_VALUE"""),214.72)</f>
        <v>214.72</v>
      </c>
      <c r="F316" s="1">
        <f ca="1">IFERROR(__xludf.DUMMYFUNCTION("""COMPUTED_VALUE"""),21026367)</f>
        <v>21026367</v>
      </c>
    </row>
    <row r="317" spans="1:6" ht="12.6">
      <c r="A317" s="2">
        <f ca="1">IFERROR(__xludf.DUMMYFUNCTION("""COMPUTED_VALUE"""),45021.6666666666)</f>
        <v>45021.666666666599</v>
      </c>
      <c r="B317" s="1">
        <f ca="1">IFERROR(__xludf.DUMMYFUNCTION("""COMPUTED_VALUE"""),214.15)</f>
        <v>214.15</v>
      </c>
      <c r="C317" s="1">
        <f ca="1">IFERROR(__xludf.DUMMYFUNCTION("""COMPUTED_VALUE"""),215.19)</f>
        <v>215.19</v>
      </c>
      <c r="D317" s="1">
        <f ca="1">IFERROR(__xludf.DUMMYFUNCTION("""COMPUTED_VALUE"""),209.94)</f>
        <v>209.94</v>
      </c>
      <c r="E317" s="1">
        <f ca="1">IFERROR(__xludf.DUMMYFUNCTION("""COMPUTED_VALUE"""),211.48)</f>
        <v>211.48</v>
      </c>
      <c r="F317" s="1">
        <f ca="1">IFERROR(__xludf.DUMMYFUNCTION("""COMPUTED_VALUE"""),19396630)</f>
        <v>19396630</v>
      </c>
    </row>
    <row r="318" spans="1:6" ht="12.6">
      <c r="A318" s="2">
        <f ca="1">IFERROR(__xludf.DUMMYFUNCTION("""COMPUTED_VALUE"""),45022.6666666666)</f>
        <v>45022.666666666599</v>
      </c>
      <c r="B318" s="1">
        <f ca="1">IFERROR(__xludf.DUMMYFUNCTION("""COMPUTED_VALUE"""),209.25)</f>
        <v>209.25</v>
      </c>
      <c r="C318" s="1">
        <f ca="1">IFERROR(__xludf.DUMMYFUNCTION("""COMPUTED_VALUE"""),216.94)</f>
        <v>216.94</v>
      </c>
      <c r="D318" s="1">
        <f ca="1">IFERROR(__xludf.DUMMYFUNCTION("""COMPUTED_VALUE"""),208.65)</f>
        <v>208.65</v>
      </c>
      <c r="E318" s="1">
        <f ca="1">IFERROR(__xludf.DUMMYFUNCTION("""COMPUTED_VALUE"""),216.1)</f>
        <v>216.1</v>
      </c>
      <c r="F318" s="1">
        <f ca="1">IFERROR(__xludf.DUMMYFUNCTION("""COMPUTED_VALUE"""),26104411)</f>
        <v>26104411</v>
      </c>
    </row>
    <row r="319" spans="1:6" ht="12.6">
      <c r="A319" s="2">
        <f ca="1">IFERROR(__xludf.DUMMYFUNCTION("""COMPUTED_VALUE"""),45026.6666666666)</f>
        <v>45026.666666666599</v>
      </c>
      <c r="B319" s="1">
        <f ca="1">IFERROR(__xludf.DUMMYFUNCTION("""COMPUTED_VALUE"""),214.71)</f>
        <v>214.71</v>
      </c>
      <c r="C319" s="1">
        <f ca="1">IFERROR(__xludf.DUMMYFUNCTION("""COMPUTED_VALUE"""),215.66)</f>
        <v>215.66</v>
      </c>
      <c r="D319" s="1">
        <f ca="1">IFERROR(__xludf.DUMMYFUNCTION("""COMPUTED_VALUE"""),210.66)</f>
        <v>210.66</v>
      </c>
      <c r="E319" s="1">
        <f ca="1">IFERROR(__xludf.DUMMYFUNCTION("""COMPUTED_VALUE"""),214.75)</f>
        <v>214.75</v>
      </c>
      <c r="F319" s="1">
        <f ca="1">IFERROR(__xludf.DUMMYFUNCTION("""COMPUTED_VALUE"""),16106074)</f>
        <v>16106074</v>
      </c>
    </row>
    <row r="320" spans="1:6" ht="12.6">
      <c r="A320" s="2">
        <f ca="1">IFERROR(__xludf.DUMMYFUNCTION("""COMPUTED_VALUE"""),45027.6666666666)</f>
        <v>45027.666666666599</v>
      </c>
      <c r="B320" s="1">
        <f ca="1">IFERROR(__xludf.DUMMYFUNCTION("""COMPUTED_VALUE"""),215.48)</f>
        <v>215.48</v>
      </c>
      <c r="C320" s="1">
        <f ca="1">IFERROR(__xludf.DUMMYFUNCTION("""COMPUTED_VALUE"""),216.02)</f>
        <v>216.02</v>
      </c>
      <c r="D320" s="1">
        <f ca="1">IFERROR(__xludf.DUMMYFUNCTION("""COMPUTED_VALUE"""),213.41)</f>
        <v>213.41</v>
      </c>
      <c r="E320" s="1">
        <f ca="1">IFERROR(__xludf.DUMMYFUNCTION("""COMPUTED_VALUE"""),213.85)</f>
        <v>213.85</v>
      </c>
      <c r="F320" s="1">
        <f ca="1">IFERROR(__xludf.DUMMYFUNCTION("""COMPUTED_VALUE"""),16710101)</f>
        <v>16710101</v>
      </c>
    </row>
    <row r="321" spans="1:6" ht="12.6">
      <c r="A321" s="2">
        <f ca="1">IFERROR(__xludf.DUMMYFUNCTION("""COMPUTED_VALUE"""),45028.6666666666)</f>
        <v>45028.666666666599</v>
      </c>
      <c r="B321" s="1">
        <f ca="1">IFERROR(__xludf.DUMMYFUNCTION("""COMPUTED_VALUE"""),214.84)</f>
        <v>214.84</v>
      </c>
      <c r="C321" s="1">
        <f ca="1">IFERROR(__xludf.DUMMYFUNCTION("""COMPUTED_VALUE"""),216.84)</f>
        <v>216.84</v>
      </c>
      <c r="D321" s="1">
        <f ca="1">IFERROR(__xludf.DUMMYFUNCTION("""COMPUTED_VALUE"""),212.58)</f>
        <v>212.58</v>
      </c>
      <c r="E321" s="1">
        <f ca="1">IFERROR(__xludf.DUMMYFUNCTION("""COMPUTED_VALUE"""),214)</f>
        <v>214</v>
      </c>
      <c r="F321" s="1">
        <f ca="1">IFERROR(__xludf.DUMMYFUNCTION("""COMPUTED_VALUE"""),18972172)</f>
        <v>18972172</v>
      </c>
    </row>
    <row r="322" spans="1:6" ht="12.6">
      <c r="A322" s="2">
        <f ca="1">IFERROR(__xludf.DUMMYFUNCTION("""COMPUTED_VALUE"""),45029.6666666666)</f>
        <v>45029.666666666599</v>
      </c>
      <c r="B322" s="1">
        <f ca="1">IFERROR(__xludf.DUMMYFUNCTION("""COMPUTED_VALUE"""),215.73)</f>
        <v>215.73</v>
      </c>
      <c r="C322" s="1">
        <f ca="1">IFERROR(__xludf.DUMMYFUNCTION("""COMPUTED_VALUE"""),221.15)</f>
        <v>221.15</v>
      </c>
      <c r="D322" s="1">
        <f ca="1">IFERROR(__xludf.DUMMYFUNCTION("""COMPUTED_VALUE"""),215.69)</f>
        <v>215.69</v>
      </c>
      <c r="E322" s="1">
        <f ca="1">IFERROR(__xludf.DUMMYFUNCTION("""COMPUTED_VALUE"""),220.35)</f>
        <v>220.35</v>
      </c>
      <c r="F322" s="1">
        <f ca="1">IFERROR(__xludf.DUMMYFUNCTION("""COMPUTED_VALUE"""),23310357)</f>
        <v>23310357</v>
      </c>
    </row>
    <row r="323" spans="1:6" ht="12.6">
      <c r="A323" s="2">
        <f ca="1">IFERROR(__xludf.DUMMYFUNCTION("""COMPUTED_VALUE"""),45030.6666666666)</f>
        <v>45030.666666666599</v>
      </c>
      <c r="B323" s="1">
        <f ca="1">IFERROR(__xludf.DUMMYFUNCTION("""COMPUTED_VALUE"""),217.88)</f>
        <v>217.88</v>
      </c>
      <c r="C323" s="1">
        <f ca="1">IFERROR(__xludf.DUMMYFUNCTION("""COMPUTED_VALUE"""),222.11)</f>
        <v>222.11</v>
      </c>
      <c r="D323" s="1">
        <f ca="1">IFERROR(__xludf.DUMMYFUNCTION("""COMPUTED_VALUE"""),217.55)</f>
        <v>217.55</v>
      </c>
      <c r="E323" s="1">
        <f ca="1">IFERROR(__xludf.DUMMYFUNCTION("""COMPUTED_VALUE"""),221.49)</f>
        <v>221.49</v>
      </c>
      <c r="F323" s="1">
        <f ca="1">IFERROR(__xludf.DUMMYFUNCTION("""COMPUTED_VALUE"""),21591207)</f>
        <v>21591207</v>
      </c>
    </row>
    <row r="324" spans="1:6" ht="12.6">
      <c r="A324" s="2">
        <f ca="1">IFERROR(__xludf.DUMMYFUNCTION("""COMPUTED_VALUE"""),45033.6666666666)</f>
        <v>45033.666666666599</v>
      </c>
      <c r="B324" s="1">
        <f ca="1">IFERROR(__xludf.DUMMYFUNCTION("""COMPUTED_VALUE"""),219.79)</f>
        <v>219.79</v>
      </c>
      <c r="C324" s="1">
        <f ca="1">IFERROR(__xludf.DUMMYFUNCTION("""COMPUTED_VALUE"""),220.98)</f>
        <v>220.98</v>
      </c>
      <c r="D324" s="1">
        <f ca="1">IFERROR(__xludf.DUMMYFUNCTION("""COMPUTED_VALUE"""),217.13)</f>
        <v>217.13</v>
      </c>
      <c r="E324" s="1">
        <f ca="1">IFERROR(__xludf.DUMMYFUNCTION("""COMPUTED_VALUE"""),218.86)</f>
        <v>218.86</v>
      </c>
      <c r="F324" s="1">
        <f ca="1">IFERROR(__xludf.DUMMYFUNCTION("""COMPUTED_VALUE"""),15481874)</f>
        <v>15481874</v>
      </c>
    </row>
    <row r="325" spans="1:6" ht="12.6">
      <c r="A325" s="2">
        <f ca="1">IFERROR(__xludf.DUMMYFUNCTION("""COMPUTED_VALUE"""),45034.6666666666)</f>
        <v>45034.666666666599</v>
      </c>
      <c r="B325" s="1">
        <f ca="1">IFERROR(__xludf.DUMMYFUNCTION("""COMPUTED_VALUE"""),219.91)</f>
        <v>219.91</v>
      </c>
      <c r="C325" s="1">
        <f ca="1">IFERROR(__xludf.DUMMYFUNCTION("""COMPUTED_VALUE"""),220.44)</f>
        <v>220.44</v>
      </c>
      <c r="D325" s="1">
        <f ca="1">IFERROR(__xludf.DUMMYFUNCTION("""COMPUTED_VALUE"""),216.21)</f>
        <v>216.21</v>
      </c>
      <c r="E325" s="1">
        <f ca="1">IFERROR(__xludf.DUMMYFUNCTION("""COMPUTED_VALUE"""),217.89)</f>
        <v>217.89</v>
      </c>
      <c r="F325" s="1">
        <f ca="1">IFERROR(__xludf.DUMMYFUNCTION("""COMPUTED_VALUE"""),12280984)</f>
        <v>12280984</v>
      </c>
    </row>
    <row r="326" spans="1:6" ht="12.6">
      <c r="A326" s="2">
        <f ca="1">IFERROR(__xludf.DUMMYFUNCTION("""COMPUTED_VALUE"""),45035.6666666666)</f>
        <v>45035.666666666599</v>
      </c>
      <c r="B326" s="1">
        <f ca="1">IFERROR(__xludf.DUMMYFUNCTION("""COMPUTED_VALUE"""),213.47)</f>
        <v>213.47</v>
      </c>
      <c r="C326" s="1">
        <f ca="1">IFERROR(__xludf.DUMMYFUNCTION("""COMPUTED_VALUE"""),217.33)</f>
        <v>217.33</v>
      </c>
      <c r="D326" s="1">
        <f ca="1">IFERROR(__xludf.DUMMYFUNCTION("""COMPUTED_VALUE"""),212.93)</f>
        <v>212.93</v>
      </c>
      <c r="E326" s="1">
        <f ca="1">IFERROR(__xludf.DUMMYFUNCTION("""COMPUTED_VALUE"""),215.7)</f>
        <v>215.7</v>
      </c>
      <c r="F326" s="1">
        <f ca="1">IFERROR(__xludf.DUMMYFUNCTION("""COMPUTED_VALUE"""),15898078)</f>
        <v>15898078</v>
      </c>
    </row>
    <row r="327" spans="1:6" ht="12.6">
      <c r="A327" s="2">
        <f ca="1">IFERROR(__xludf.DUMMYFUNCTION("""COMPUTED_VALUE"""),45036.6666666666)</f>
        <v>45036.666666666599</v>
      </c>
      <c r="B327" s="1">
        <f ca="1">IFERROR(__xludf.DUMMYFUNCTION("""COMPUTED_VALUE"""),213.48)</f>
        <v>213.48</v>
      </c>
      <c r="C327" s="1">
        <f ca="1">IFERROR(__xludf.DUMMYFUNCTION("""COMPUTED_VALUE"""),216.75)</f>
        <v>216.75</v>
      </c>
      <c r="D327" s="1">
        <f ca="1">IFERROR(__xludf.DUMMYFUNCTION("""COMPUTED_VALUE"""),212.77)</f>
        <v>212.77</v>
      </c>
      <c r="E327" s="1">
        <f ca="1">IFERROR(__xludf.DUMMYFUNCTION("""COMPUTED_VALUE"""),213.07)</f>
        <v>213.07</v>
      </c>
      <c r="F327" s="1">
        <f ca="1">IFERROR(__xludf.DUMMYFUNCTION("""COMPUTED_VALUE"""),16475443)</f>
        <v>16475443</v>
      </c>
    </row>
    <row r="328" spans="1:6" ht="12.6">
      <c r="A328" s="2">
        <f ca="1">IFERROR(__xludf.DUMMYFUNCTION("""COMPUTED_VALUE"""),45037.6666666666)</f>
        <v>45037.666666666599</v>
      </c>
      <c r="B328" s="1">
        <f ca="1">IFERROR(__xludf.DUMMYFUNCTION("""COMPUTED_VALUE"""),210.21)</f>
        <v>210.21</v>
      </c>
      <c r="C328" s="1">
        <f ca="1">IFERROR(__xludf.DUMMYFUNCTION("""COMPUTED_VALUE"""),213.41)</f>
        <v>213.41</v>
      </c>
      <c r="D328" s="1">
        <f ca="1">IFERROR(__xludf.DUMMYFUNCTION("""COMPUTED_VALUE"""),209.58)</f>
        <v>209.58</v>
      </c>
      <c r="E328" s="1">
        <f ca="1">IFERROR(__xludf.DUMMYFUNCTION("""COMPUTED_VALUE"""),212.89)</f>
        <v>212.89</v>
      </c>
      <c r="F328" s="1">
        <f ca="1">IFERROR(__xludf.DUMMYFUNCTION("""COMPUTED_VALUE"""),17717166)</f>
        <v>17717166</v>
      </c>
    </row>
    <row r="329" spans="1:6" ht="12.6">
      <c r="A329" s="2">
        <f ca="1">IFERROR(__xludf.DUMMYFUNCTION("""COMPUTED_VALUE"""),45040.6666666666)</f>
        <v>45040.666666666599</v>
      </c>
      <c r="B329" s="1">
        <f ca="1">IFERROR(__xludf.DUMMYFUNCTION("""COMPUTED_VALUE"""),213.68)</f>
        <v>213.68</v>
      </c>
      <c r="C329" s="1">
        <f ca="1">IFERROR(__xludf.DUMMYFUNCTION("""COMPUTED_VALUE"""),213.92)</f>
        <v>213.92</v>
      </c>
      <c r="D329" s="1">
        <f ca="1">IFERROR(__xludf.DUMMYFUNCTION("""COMPUTED_VALUE"""),210.71)</f>
        <v>210.71</v>
      </c>
      <c r="E329" s="1">
        <f ca="1">IFERROR(__xludf.DUMMYFUNCTION("""COMPUTED_VALUE"""),212.79)</f>
        <v>212.79</v>
      </c>
      <c r="F329" s="1">
        <f ca="1">IFERROR(__xludf.DUMMYFUNCTION("""COMPUTED_VALUE"""),15750920)</f>
        <v>15750920</v>
      </c>
    </row>
    <row r="330" spans="1:6" ht="12.6">
      <c r="A330" s="2">
        <f ca="1">IFERROR(__xludf.DUMMYFUNCTION("""COMPUTED_VALUE"""),45041.6666666666)</f>
        <v>45041.666666666599</v>
      </c>
      <c r="B330" s="1">
        <f ca="1">IFERROR(__xludf.DUMMYFUNCTION("""COMPUTED_VALUE"""),210.82)</f>
        <v>210.82</v>
      </c>
      <c r="C330" s="1">
        <f ca="1">IFERROR(__xludf.DUMMYFUNCTION("""COMPUTED_VALUE"""),211.26)</f>
        <v>211.26</v>
      </c>
      <c r="D330" s="1">
        <f ca="1">IFERROR(__xludf.DUMMYFUNCTION("""COMPUTED_VALUE"""),207.13)</f>
        <v>207.13</v>
      </c>
      <c r="E330" s="1">
        <f ca="1">IFERROR(__xludf.DUMMYFUNCTION("""COMPUTED_VALUE"""),207.55)</f>
        <v>207.55</v>
      </c>
      <c r="F330" s="1">
        <f ca="1">IFERROR(__xludf.DUMMYFUNCTION("""COMPUTED_VALUE"""),19198175)</f>
        <v>19198175</v>
      </c>
    </row>
    <row r="331" spans="1:6" ht="12.6">
      <c r="A331" s="2">
        <f ca="1">IFERROR(__xludf.DUMMYFUNCTION("""COMPUTED_VALUE"""),45042.6666666666)</f>
        <v>45042.666666666599</v>
      </c>
      <c r="B331" s="1">
        <f ca="1">IFERROR(__xludf.DUMMYFUNCTION("""COMPUTED_VALUE"""),212.5)</f>
        <v>212.5</v>
      </c>
      <c r="C331" s="1">
        <f ca="1">IFERROR(__xludf.DUMMYFUNCTION("""COMPUTED_VALUE"""),214.11)</f>
        <v>214.11</v>
      </c>
      <c r="D331" s="1">
        <f ca="1">IFERROR(__xludf.DUMMYFUNCTION("""COMPUTED_VALUE"""),208.88)</f>
        <v>208.88</v>
      </c>
      <c r="E331" s="1">
        <f ca="1">IFERROR(__xludf.DUMMYFUNCTION("""COMPUTED_VALUE"""),209.4)</f>
        <v>209.4</v>
      </c>
      <c r="F331" s="1">
        <f ca="1">IFERROR(__xludf.DUMMYFUNCTION("""COMPUTED_VALUE"""),41992726)</f>
        <v>41992726</v>
      </c>
    </row>
    <row r="332" spans="1:6" ht="12.6">
      <c r="A332" s="2">
        <f ca="1">IFERROR(__xludf.DUMMYFUNCTION("""COMPUTED_VALUE"""),45043.6666666666)</f>
        <v>45043.666666666599</v>
      </c>
      <c r="B332" s="1">
        <f ca="1">IFERROR(__xludf.DUMMYFUNCTION("""COMPUTED_VALUE"""),239.89)</f>
        <v>239.89</v>
      </c>
      <c r="C332" s="1">
        <f ca="1">IFERROR(__xludf.DUMMYFUNCTION("""COMPUTED_VALUE"""),241.69)</f>
        <v>241.69</v>
      </c>
      <c r="D332" s="1">
        <f ca="1">IFERROR(__xludf.DUMMYFUNCTION("""COMPUTED_VALUE"""),236.77)</f>
        <v>236.77</v>
      </c>
      <c r="E332" s="1">
        <f ca="1">IFERROR(__xludf.DUMMYFUNCTION("""COMPUTED_VALUE"""),238.56)</f>
        <v>238.56</v>
      </c>
      <c r="F332" s="1">
        <f ca="1">IFERROR(__xludf.DUMMYFUNCTION("""COMPUTED_VALUE"""),71196531)</f>
        <v>71196531</v>
      </c>
    </row>
    <row r="333" spans="1:6" ht="12.6">
      <c r="A333" s="2">
        <f ca="1">IFERROR(__xludf.DUMMYFUNCTION("""COMPUTED_VALUE"""),45044.6666666666)</f>
        <v>45044.666666666599</v>
      </c>
      <c r="B333" s="1">
        <f ca="1">IFERROR(__xludf.DUMMYFUNCTION("""COMPUTED_VALUE"""),239.01)</f>
        <v>239.01</v>
      </c>
      <c r="C333" s="1">
        <f ca="1">IFERROR(__xludf.DUMMYFUNCTION("""COMPUTED_VALUE"""),240.43)</f>
        <v>240.43</v>
      </c>
      <c r="D333" s="1">
        <f ca="1">IFERROR(__xludf.DUMMYFUNCTION("""COMPUTED_VALUE"""),235.75)</f>
        <v>235.75</v>
      </c>
      <c r="E333" s="1">
        <f ca="1">IFERROR(__xludf.DUMMYFUNCTION("""COMPUTED_VALUE"""),240.32)</f>
        <v>240.32</v>
      </c>
      <c r="F333" s="1">
        <f ca="1">IFERROR(__xludf.DUMMYFUNCTION("""COMPUTED_VALUE"""),39554036)</f>
        <v>39554036</v>
      </c>
    </row>
    <row r="334" spans="1:6" ht="12.6">
      <c r="A334" s="2">
        <f ca="1">IFERROR(__xludf.DUMMYFUNCTION("""COMPUTED_VALUE"""),45047.6666666666)</f>
        <v>45047.666666666599</v>
      </c>
      <c r="B334" s="1">
        <f ca="1">IFERROR(__xludf.DUMMYFUNCTION("""COMPUTED_VALUE"""),238.62)</f>
        <v>238.62</v>
      </c>
      <c r="C334" s="1">
        <f ca="1">IFERROR(__xludf.DUMMYFUNCTION("""COMPUTED_VALUE"""),244)</f>
        <v>244</v>
      </c>
      <c r="D334" s="1">
        <f ca="1">IFERROR(__xludf.DUMMYFUNCTION("""COMPUTED_VALUE"""),236.46)</f>
        <v>236.46</v>
      </c>
      <c r="E334" s="1">
        <f ca="1">IFERROR(__xludf.DUMMYFUNCTION("""COMPUTED_VALUE"""),243.18)</f>
        <v>243.18</v>
      </c>
      <c r="F334" s="1">
        <f ca="1">IFERROR(__xludf.DUMMYFUNCTION("""COMPUTED_VALUE"""),29143912)</f>
        <v>29143912</v>
      </c>
    </row>
    <row r="335" spans="1:6" ht="12.6">
      <c r="A335" s="2">
        <f ca="1">IFERROR(__xludf.DUMMYFUNCTION("""COMPUTED_VALUE"""),45048.6666666666)</f>
        <v>45048.666666666599</v>
      </c>
      <c r="B335" s="1">
        <f ca="1">IFERROR(__xludf.DUMMYFUNCTION("""COMPUTED_VALUE"""),243.18)</f>
        <v>243.18</v>
      </c>
      <c r="C335" s="1">
        <f ca="1">IFERROR(__xludf.DUMMYFUNCTION("""COMPUTED_VALUE"""),244.92)</f>
        <v>244.92</v>
      </c>
      <c r="D335" s="1">
        <f ca="1">IFERROR(__xludf.DUMMYFUNCTION("""COMPUTED_VALUE"""),238.99)</f>
        <v>238.99</v>
      </c>
      <c r="E335" s="1">
        <f ca="1">IFERROR(__xludf.DUMMYFUNCTION("""COMPUTED_VALUE"""),239.24)</f>
        <v>239.24</v>
      </c>
      <c r="F335" s="1">
        <f ca="1">IFERROR(__xludf.DUMMYFUNCTION("""COMPUTED_VALUE"""),24350149)</f>
        <v>24350149</v>
      </c>
    </row>
    <row r="336" spans="1:6" ht="12.6">
      <c r="A336" s="2">
        <f ca="1">IFERROR(__xludf.DUMMYFUNCTION("""COMPUTED_VALUE"""),45049.6666666666)</f>
        <v>45049.666666666599</v>
      </c>
      <c r="B336" s="1">
        <f ca="1">IFERROR(__xludf.DUMMYFUNCTION("""COMPUTED_VALUE"""),239.47)</f>
        <v>239.47</v>
      </c>
      <c r="C336" s="1">
        <f ca="1">IFERROR(__xludf.DUMMYFUNCTION("""COMPUTED_VALUE"""),241.75)</f>
        <v>241.75</v>
      </c>
      <c r="D336" s="1">
        <f ca="1">IFERROR(__xludf.DUMMYFUNCTION("""COMPUTED_VALUE"""),232.75)</f>
        <v>232.75</v>
      </c>
      <c r="E336" s="1">
        <f ca="1">IFERROR(__xludf.DUMMYFUNCTION("""COMPUTED_VALUE"""),237.03)</f>
        <v>237.03</v>
      </c>
      <c r="F336" s="1">
        <f ca="1">IFERROR(__xludf.DUMMYFUNCTION("""COMPUTED_VALUE"""),34463859)</f>
        <v>34463859</v>
      </c>
    </row>
    <row r="337" spans="1:6" ht="12.6">
      <c r="A337" s="2">
        <f ca="1">IFERROR(__xludf.DUMMYFUNCTION("""COMPUTED_VALUE"""),45050.6666666666)</f>
        <v>45050.666666666599</v>
      </c>
      <c r="B337" s="1">
        <f ca="1">IFERROR(__xludf.DUMMYFUNCTION("""COMPUTED_VALUE"""),236.06)</f>
        <v>236.06</v>
      </c>
      <c r="C337" s="1">
        <f ca="1">IFERROR(__xludf.DUMMYFUNCTION("""COMPUTED_VALUE"""),238.2)</f>
        <v>238.2</v>
      </c>
      <c r="D337" s="1">
        <f ca="1">IFERROR(__xludf.DUMMYFUNCTION("""COMPUTED_VALUE"""),232.93)</f>
        <v>232.93</v>
      </c>
      <c r="E337" s="1">
        <f ca="1">IFERROR(__xludf.DUMMYFUNCTION("""COMPUTED_VALUE"""),233.52)</f>
        <v>233.52</v>
      </c>
      <c r="F337" s="1">
        <f ca="1">IFERROR(__xludf.DUMMYFUNCTION("""COMPUTED_VALUE"""),17889391)</f>
        <v>17889391</v>
      </c>
    </row>
    <row r="338" spans="1:6" ht="12.6">
      <c r="A338" s="2">
        <f ca="1">IFERROR(__xludf.DUMMYFUNCTION("""COMPUTED_VALUE"""),45051.6666666666)</f>
        <v>45051.666666666599</v>
      </c>
      <c r="B338" s="1">
        <f ca="1">IFERROR(__xludf.DUMMYFUNCTION("""COMPUTED_VALUE"""),232.24)</f>
        <v>232.24</v>
      </c>
      <c r="C338" s="1">
        <f ca="1">IFERROR(__xludf.DUMMYFUNCTION("""COMPUTED_VALUE"""),234.68)</f>
        <v>234.68</v>
      </c>
      <c r="D338" s="1">
        <f ca="1">IFERROR(__xludf.DUMMYFUNCTION("""COMPUTED_VALUE"""),229.85)</f>
        <v>229.85</v>
      </c>
      <c r="E338" s="1">
        <f ca="1">IFERROR(__xludf.DUMMYFUNCTION("""COMPUTED_VALUE"""),232.78)</f>
        <v>232.78</v>
      </c>
      <c r="F338" s="1">
        <f ca="1">IFERROR(__xludf.DUMMYFUNCTION("""COMPUTED_VALUE"""),27000480)</f>
        <v>27000480</v>
      </c>
    </row>
    <row r="339" spans="1:6" ht="12.6">
      <c r="A339" s="2">
        <f ca="1">IFERROR(__xludf.DUMMYFUNCTION("""COMPUTED_VALUE"""),45054.6666666666)</f>
        <v>45054.666666666599</v>
      </c>
      <c r="B339" s="1">
        <f ca="1">IFERROR(__xludf.DUMMYFUNCTION("""COMPUTED_VALUE"""),231.42)</f>
        <v>231.42</v>
      </c>
      <c r="C339" s="1">
        <f ca="1">IFERROR(__xludf.DUMMYFUNCTION("""COMPUTED_VALUE"""),235.62)</f>
        <v>235.62</v>
      </c>
      <c r="D339" s="1">
        <f ca="1">IFERROR(__xludf.DUMMYFUNCTION("""COMPUTED_VALUE"""),230.27)</f>
        <v>230.27</v>
      </c>
      <c r="E339" s="1">
        <f ca="1">IFERROR(__xludf.DUMMYFUNCTION("""COMPUTED_VALUE"""),233.27)</f>
        <v>233.27</v>
      </c>
      <c r="F339" s="1">
        <f ca="1">IFERROR(__xludf.DUMMYFUNCTION("""COMPUTED_VALUE"""),16400526)</f>
        <v>16400526</v>
      </c>
    </row>
    <row r="340" spans="1:6" ht="12.6">
      <c r="A340" s="2">
        <f ca="1">IFERROR(__xludf.DUMMYFUNCTION("""COMPUTED_VALUE"""),45055.6666666666)</f>
        <v>45055.666666666599</v>
      </c>
      <c r="B340" s="1">
        <f ca="1">IFERROR(__xludf.DUMMYFUNCTION("""COMPUTED_VALUE"""),231.46)</f>
        <v>231.46</v>
      </c>
      <c r="C340" s="1">
        <f ca="1">IFERROR(__xludf.DUMMYFUNCTION("""COMPUTED_VALUE"""),235.88)</f>
        <v>235.88</v>
      </c>
      <c r="D340" s="1">
        <f ca="1">IFERROR(__xludf.DUMMYFUNCTION("""COMPUTED_VALUE"""),231.08)</f>
        <v>231.08</v>
      </c>
      <c r="E340" s="1">
        <f ca="1">IFERROR(__xludf.DUMMYFUNCTION("""COMPUTED_VALUE"""),233.37)</f>
        <v>233.37</v>
      </c>
      <c r="F340" s="1">
        <f ca="1">IFERROR(__xludf.DUMMYFUNCTION("""COMPUTED_VALUE"""),16865587)</f>
        <v>16865587</v>
      </c>
    </row>
    <row r="341" spans="1:6" ht="12.6">
      <c r="A341" s="2">
        <f ca="1">IFERROR(__xludf.DUMMYFUNCTION("""COMPUTED_VALUE"""),45056.6666666666)</f>
        <v>45056.666666666599</v>
      </c>
      <c r="B341" s="1">
        <f ca="1">IFERROR(__xludf.DUMMYFUNCTION("""COMPUTED_VALUE"""),236.17)</f>
        <v>236.17</v>
      </c>
      <c r="C341" s="1">
        <f ca="1">IFERROR(__xludf.DUMMYFUNCTION("""COMPUTED_VALUE"""),236.75)</f>
        <v>236.75</v>
      </c>
      <c r="D341" s="1">
        <f ca="1">IFERROR(__xludf.DUMMYFUNCTION("""COMPUTED_VALUE"""),230.72)</f>
        <v>230.72</v>
      </c>
      <c r="E341" s="1">
        <f ca="1">IFERROR(__xludf.DUMMYFUNCTION("""COMPUTED_VALUE"""),233.08)</f>
        <v>233.08</v>
      </c>
      <c r="F341" s="1">
        <f ca="1">IFERROR(__xludf.DUMMYFUNCTION("""COMPUTED_VALUE"""),19119007)</f>
        <v>19119007</v>
      </c>
    </row>
    <row r="342" spans="1:6" ht="12.6">
      <c r="A342" s="2">
        <f ca="1">IFERROR(__xludf.DUMMYFUNCTION("""COMPUTED_VALUE"""),45057.6666666666)</f>
        <v>45057.666666666599</v>
      </c>
      <c r="B342" s="1">
        <f ca="1">IFERROR(__xludf.DUMMYFUNCTION("""COMPUTED_VALUE"""),233.05)</f>
        <v>233.05</v>
      </c>
      <c r="C342" s="1">
        <f ca="1">IFERROR(__xludf.DUMMYFUNCTION("""COMPUTED_VALUE"""),238.21)</f>
        <v>238.21</v>
      </c>
      <c r="D342" s="1">
        <f ca="1">IFERROR(__xludf.DUMMYFUNCTION("""COMPUTED_VALUE"""),232.3)</f>
        <v>232.3</v>
      </c>
      <c r="E342" s="1">
        <f ca="1">IFERROR(__xludf.DUMMYFUNCTION("""COMPUTED_VALUE"""),235.79)</f>
        <v>235.79</v>
      </c>
      <c r="F342" s="1">
        <f ca="1">IFERROR(__xludf.DUMMYFUNCTION("""COMPUTED_VALUE"""),20448991)</f>
        <v>20448991</v>
      </c>
    </row>
    <row r="343" spans="1:6" ht="12.6">
      <c r="A343" s="2">
        <f ca="1">IFERROR(__xludf.DUMMYFUNCTION("""COMPUTED_VALUE"""),45058.6666666666)</f>
        <v>45058.666666666599</v>
      </c>
      <c r="B343" s="1">
        <f ca="1">IFERROR(__xludf.DUMMYFUNCTION("""COMPUTED_VALUE"""),236.74)</f>
        <v>236.74</v>
      </c>
      <c r="C343" s="1">
        <f ca="1">IFERROR(__xludf.DUMMYFUNCTION("""COMPUTED_VALUE"""),236.96)</f>
        <v>236.96</v>
      </c>
      <c r="D343" s="1">
        <f ca="1">IFERROR(__xludf.DUMMYFUNCTION("""COMPUTED_VALUE"""),231.45)</f>
        <v>231.45</v>
      </c>
      <c r="E343" s="1">
        <f ca="1">IFERROR(__xludf.DUMMYFUNCTION("""COMPUTED_VALUE"""),233.81)</f>
        <v>233.81</v>
      </c>
      <c r="F343" s="1">
        <f ca="1">IFERROR(__xludf.DUMMYFUNCTION("""COMPUTED_VALUE"""),16161447)</f>
        <v>16161447</v>
      </c>
    </row>
    <row r="344" spans="1:6" ht="12.6">
      <c r="A344" s="2">
        <f ca="1">IFERROR(__xludf.DUMMYFUNCTION("""COMPUTED_VALUE"""),45061.6666666666)</f>
        <v>45061.666666666599</v>
      </c>
      <c r="B344" s="1">
        <f ca="1">IFERROR(__xludf.DUMMYFUNCTION("""COMPUTED_VALUE"""),236.92)</f>
        <v>236.92</v>
      </c>
      <c r="C344" s="1">
        <f ca="1">IFERROR(__xludf.DUMMYFUNCTION("""COMPUTED_VALUE"""),240.26)</f>
        <v>240.26</v>
      </c>
      <c r="D344" s="1">
        <f ca="1">IFERROR(__xludf.DUMMYFUNCTION("""COMPUTED_VALUE"""),235.33)</f>
        <v>235.33</v>
      </c>
      <c r="E344" s="1">
        <f ca="1">IFERROR(__xludf.DUMMYFUNCTION("""COMPUTED_VALUE"""),238.86)</f>
        <v>238.86</v>
      </c>
      <c r="F344" s="1">
        <f ca="1">IFERROR(__xludf.DUMMYFUNCTION("""COMPUTED_VALUE"""),20653229)</f>
        <v>20653229</v>
      </c>
    </row>
    <row r="345" spans="1:6" ht="12.6">
      <c r="A345" s="2">
        <f ca="1">IFERROR(__xludf.DUMMYFUNCTION("""COMPUTED_VALUE"""),45062.6666666666)</f>
        <v>45062.666666666599</v>
      </c>
      <c r="B345" s="1">
        <f ca="1">IFERROR(__xludf.DUMMYFUNCTION("""COMPUTED_VALUE"""),235.79)</f>
        <v>235.79</v>
      </c>
      <c r="C345" s="1">
        <f ca="1">IFERROR(__xludf.DUMMYFUNCTION("""COMPUTED_VALUE"""),239.64)</f>
        <v>239.64</v>
      </c>
      <c r="D345" s="1">
        <f ca="1">IFERROR(__xludf.DUMMYFUNCTION("""COMPUTED_VALUE"""),235.52)</f>
        <v>235.52</v>
      </c>
      <c r="E345" s="1">
        <f ca="1">IFERROR(__xludf.DUMMYFUNCTION("""COMPUTED_VALUE"""),238.82)</f>
        <v>238.82</v>
      </c>
      <c r="F345" s="1">
        <f ca="1">IFERROR(__xludf.DUMMYFUNCTION("""COMPUTED_VALUE"""),18163772)</f>
        <v>18163772</v>
      </c>
    </row>
    <row r="346" spans="1:6" ht="12.6">
      <c r="A346" s="2">
        <f ca="1">IFERROR(__xludf.DUMMYFUNCTION("""COMPUTED_VALUE"""),45063.6666666666)</f>
        <v>45063.666666666599</v>
      </c>
      <c r="B346" s="1">
        <f ca="1">IFERROR(__xludf.DUMMYFUNCTION("""COMPUTED_VALUE"""),238.45)</f>
        <v>238.45</v>
      </c>
      <c r="C346" s="1">
        <f ca="1">IFERROR(__xludf.DUMMYFUNCTION("""COMPUTED_VALUE"""),243.84)</f>
        <v>243.84</v>
      </c>
      <c r="D346" s="1">
        <f ca="1">IFERROR(__xludf.DUMMYFUNCTION("""COMPUTED_VALUE"""),238.14)</f>
        <v>238.14</v>
      </c>
      <c r="E346" s="1">
        <f ca="1">IFERROR(__xludf.DUMMYFUNCTION("""COMPUTED_VALUE"""),242.49)</f>
        <v>242.49</v>
      </c>
      <c r="F346" s="1">
        <f ca="1">IFERROR(__xludf.DUMMYFUNCTION("""COMPUTED_VALUE"""),21193080)</f>
        <v>21193080</v>
      </c>
    </row>
    <row r="347" spans="1:6" ht="12.6">
      <c r="A347" s="2">
        <f ca="1">IFERROR(__xludf.DUMMYFUNCTION("""COMPUTED_VALUE"""),45064.6666666666)</f>
        <v>45064.666666666599</v>
      </c>
      <c r="B347" s="1">
        <f ca="1">IFERROR(__xludf.DUMMYFUNCTION("""COMPUTED_VALUE"""),241.3)</f>
        <v>241.3</v>
      </c>
      <c r="C347" s="1">
        <f ca="1">IFERROR(__xludf.DUMMYFUNCTION("""COMPUTED_VALUE"""),247.09)</f>
        <v>247.09</v>
      </c>
      <c r="D347" s="1">
        <f ca="1">IFERROR(__xludf.DUMMYFUNCTION("""COMPUTED_VALUE"""),241.19)</f>
        <v>241.19</v>
      </c>
      <c r="E347" s="1">
        <f ca="1">IFERROR(__xludf.DUMMYFUNCTION("""COMPUTED_VALUE"""),246.85)</f>
        <v>246.85</v>
      </c>
      <c r="F347" s="1">
        <f ca="1">IFERROR(__xludf.DUMMYFUNCTION("""COMPUTED_VALUE"""),22943297)</f>
        <v>22943297</v>
      </c>
    </row>
    <row r="348" spans="1:6" ht="12.6">
      <c r="A348" s="2">
        <f ca="1">IFERROR(__xludf.DUMMYFUNCTION("""COMPUTED_VALUE"""),45065.6666666666)</f>
        <v>45065.666666666599</v>
      </c>
      <c r="B348" s="1">
        <f ca="1">IFERROR(__xludf.DUMMYFUNCTION("""COMPUTED_VALUE"""),247.47)</f>
        <v>247.47</v>
      </c>
      <c r="C348" s="1">
        <f ca="1">IFERROR(__xludf.DUMMYFUNCTION("""COMPUTED_VALUE"""),248.69)</f>
        <v>248.69</v>
      </c>
      <c r="D348" s="1">
        <f ca="1">IFERROR(__xludf.DUMMYFUNCTION("""COMPUTED_VALUE"""),243.41)</f>
        <v>243.41</v>
      </c>
      <c r="E348" s="1">
        <f ca="1">IFERROR(__xludf.DUMMYFUNCTION("""COMPUTED_VALUE"""),245.64)</f>
        <v>245.64</v>
      </c>
      <c r="F348" s="1">
        <f ca="1">IFERROR(__xludf.DUMMYFUNCTION("""COMPUTED_VALUE"""),21733581)</f>
        <v>21733581</v>
      </c>
    </row>
    <row r="349" spans="1:6" ht="12.6">
      <c r="A349" s="2">
        <f ca="1">IFERROR(__xludf.DUMMYFUNCTION("""COMPUTED_VALUE"""),45068.6666666666)</f>
        <v>45068.666666666599</v>
      </c>
      <c r="B349" s="1">
        <f ca="1">IFERROR(__xludf.DUMMYFUNCTION("""COMPUTED_VALUE"""),245.41)</f>
        <v>245.41</v>
      </c>
      <c r="C349" s="1">
        <f ca="1">IFERROR(__xludf.DUMMYFUNCTION("""COMPUTED_VALUE"""),253.57)</f>
        <v>253.57</v>
      </c>
      <c r="D349" s="1">
        <f ca="1">IFERROR(__xludf.DUMMYFUNCTION("""COMPUTED_VALUE"""),245.12)</f>
        <v>245.12</v>
      </c>
      <c r="E349" s="1">
        <f ca="1">IFERROR(__xludf.DUMMYFUNCTION("""COMPUTED_VALUE"""),248.32)</f>
        <v>248.32</v>
      </c>
      <c r="F349" s="1">
        <f ca="1">IFERROR(__xludf.DUMMYFUNCTION("""COMPUTED_VALUE"""),27738479)</f>
        <v>27738479</v>
      </c>
    </row>
    <row r="350" spans="1:6" ht="12.6">
      <c r="A350" s="2">
        <f ca="1">IFERROR(__xludf.DUMMYFUNCTION("""COMPUTED_VALUE"""),45069.6666666666)</f>
        <v>45069.666666666599</v>
      </c>
      <c r="B350" s="1">
        <f ca="1">IFERROR(__xludf.DUMMYFUNCTION("""COMPUTED_VALUE"""),246.81)</f>
        <v>246.81</v>
      </c>
      <c r="C350" s="1">
        <f ca="1">IFERROR(__xludf.DUMMYFUNCTION("""COMPUTED_VALUE"""),251.61)</f>
        <v>251.61</v>
      </c>
      <c r="D350" s="1">
        <f ca="1">IFERROR(__xludf.DUMMYFUNCTION("""COMPUTED_VALUE"""),246.65)</f>
        <v>246.65</v>
      </c>
      <c r="E350" s="1">
        <f ca="1">IFERROR(__xludf.DUMMYFUNCTION("""COMPUTED_VALUE"""),246.74)</f>
        <v>246.74</v>
      </c>
      <c r="F350" s="1">
        <f ca="1">IFERROR(__xludf.DUMMYFUNCTION("""COMPUTED_VALUE"""),17748115)</f>
        <v>17748115</v>
      </c>
    </row>
    <row r="351" spans="1:6" ht="12.6">
      <c r="A351" s="2">
        <f ca="1">IFERROR(__xludf.DUMMYFUNCTION("""COMPUTED_VALUE"""),45070.6666666666)</f>
        <v>45070.666666666599</v>
      </c>
      <c r="B351" s="1">
        <f ca="1">IFERROR(__xludf.DUMMYFUNCTION("""COMPUTED_VALUE"""),245.28)</f>
        <v>245.28</v>
      </c>
      <c r="C351" s="1">
        <f ca="1">IFERROR(__xludf.DUMMYFUNCTION("""COMPUTED_VALUE"""),249.59)</f>
        <v>249.59</v>
      </c>
      <c r="D351" s="1">
        <f ca="1">IFERROR(__xludf.DUMMYFUNCTION("""COMPUTED_VALUE"""),244.95)</f>
        <v>244.95</v>
      </c>
      <c r="E351" s="1">
        <f ca="1">IFERROR(__xludf.DUMMYFUNCTION("""COMPUTED_VALUE"""),249.21)</f>
        <v>249.21</v>
      </c>
      <c r="F351" s="1">
        <f ca="1">IFERROR(__xludf.DUMMYFUNCTION("""COMPUTED_VALUE"""),17724338)</f>
        <v>17724338</v>
      </c>
    </row>
    <row r="352" spans="1:6" ht="12.6">
      <c r="A352" s="2">
        <f ca="1">IFERROR(__xludf.DUMMYFUNCTION("""COMPUTED_VALUE"""),45071.6666666666)</f>
        <v>45071.666666666599</v>
      </c>
      <c r="B352" s="1">
        <f ca="1">IFERROR(__xludf.DUMMYFUNCTION("""COMPUTED_VALUE"""),253.4)</f>
        <v>253.4</v>
      </c>
      <c r="C352" s="1">
        <f ca="1">IFERROR(__xludf.DUMMYFUNCTION("""COMPUTED_VALUE"""),255.62)</f>
        <v>255.62</v>
      </c>
      <c r="D352" s="1">
        <f ca="1">IFERROR(__xludf.DUMMYFUNCTION("""COMPUTED_VALUE"""),249.17)</f>
        <v>249.17</v>
      </c>
      <c r="E352" s="1">
        <f ca="1">IFERROR(__xludf.DUMMYFUNCTION("""COMPUTED_VALUE"""),252.69)</f>
        <v>252.69</v>
      </c>
      <c r="F352" s="1">
        <f ca="1">IFERROR(__xludf.DUMMYFUNCTION("""COMPUTED_VALUE"""),22371435)</f>
        <v>22371435</v>
      </c>
    </row>
    <row r="353" spans="1:6" ht="12.6">
      <c r="A353" s="2">
        <f ca="1">IFERROR(__xludf.DUMMYFUNCTION("""COMPUTED_VALUE"""),45072.6666666666)</f>
        <v>45072.666666666599</v>
      </c>
      <c r="B353" s="1">
        <f ca="1">IFERROR(__xludf.DUMMYFUNCTION("""COMPUTED_VALUE"""),252.93)</f>
        <v>252.93</v>
      </c>
      <c r="C353" s="1">
        <f ca="1">IFERROR(__xludf.DUMMYFUNCTION("""COMPUTED_VALUE"""),262.31)</f>
        <v>262.31</v>
      </c>
      <c r="D353" s="1">
        <f ca="1">IFERROR(__xludf.DUMMYFUNCTION("""COMPUTED_VALUE"""),252.71)</f>
        <v>252.71</v>
      </c>
      <c r="E353" s="1">
        <f ca="1">IFERROR(__xludf.DUMMYFUNCTION("""COMPUTED_VALUE"""),262.04)</f>
        <v>262.04000000000002</v>
      </c>
      <c r="F353" s="1">
        <f ca="1">IFERROR(__xludf.DUMMYFUNCTION("""COMPUTED_VALUE"""),25768663)</f>
        <v>25768663</v>
      </c>
    </row>
    <row r="354" spans="1:6" ht="12.6">
      <c r="A354" s="2">
        <f ca="1">IFERROR(__xludf.DUMMYFUNCTION("""COMPUTED_VALUE"""),45076.6666666666)</f>
        <v>45076.666666666599</v>
      </c>
      <c r="B354" s="1">
        <f ca="1">IFERROR(__xludf.DUMMYFUNCTION("""COMPUTED_VALUE"""),265.25)</f>
        <v>265.25</v>
      </c>
      <c r="C354" s="1">
        <f ca="1">IFERROR(__xludf.DUMMYFUNCTION("""COMPUTED_VALUE"""),268.65)</f>
        <v>268.64999999999998</v>
      </c>
      <c r="D354" s="1">
        <f ca="1">IFERROR(__xludf.DUMMYFUNCTION("""COMPUTED_VALUE"""),261.29)</f>
        <v>261.29000000000002</v>
      </c>
      <c r="E354" s="1">
        <f ca="1">IFERROR(__xludf.DUMMYFUNCTION("""COMPUTED_VALUE"""),262.52)</f>
        <v>262.52</v>
      </c>
      <c r="F354" s="1">
        <f ca="1">IFERROR(__xludf.DUMMYFUNCTION("""COMPUTED_VALUE"""),23816483)</f>
        <v>23816483</v>
      </c>
    </row>
    <row r="355" spans="1:6" ht="12.6">
      <c r="A355" s="2">
        <f ca="1">IFERROR(__xludf.DUMMYFUNCTION("""COMPUTED_VALUE"""),45077.6666666666)</f>
        <v>45077.666666666599</v>
      </c>
      <c r="B355" s="1">
        <f ca="1">IFERROR(__xludf.DUMMYFUNCTION("""COMPUTED_VALUE"""),260)</f>
        <v>260</v>
      </c>
      <c r="C355" s="1">
        <f ca="1">IFERROR(__xludf.DUMMYFUNCTION("""COMPUTED_VALUE"""),265)</f>
        <v>265</v>
      </c>
      <c r="D355" s="1">
        <f ca="1">IFERROR(__xludf.DUMMYFUNCTION("""COMPUTED_VALUE"""),258.45)</f>
        <v>258.45</v>
      </c>
      <c r="E355" s="1">
        <f ca="1">IFERROR(__xludf.DUMMYFUNCTION("""COMPUTED_VALUE"""),264.72)</f>
        <v>264.72000000000003</v>
      </c>
      <c r="F355" s="1">
        <f ca="1">IFERROR(__xludf.DUMMYFUNCTION("""COMPUTED_VALUE"""),25473690)</f>
        <v>25473690</v>
      </c>
    </row>
    <row r="356" spans="1:6" ht="12.6">
      <c r="A356" s="2">
        <f ca="1">IFERROR(__xludf.DUMMYFUNCTION("""COMPUTED_VALUE"""),45078.6666666666)</f>
        <v>45078.666666666599</v>
      </c>
      <c r="B356" s="1">
        <f ca="1">IFERROR(__xludf.DUMMYFUNCTION("""COMPUTED_VALUE"""),265.9)</f>
        <v>265.89999999999998</v>
      </c>
      <c r="C356" s="1">
        <f ca="1">IFERROR(__xludf.DUMMYFUNCTION("""COMPUTED_VALUE"""),274)</f>
        <v>274</v>
      </c>
      <c r="D356" s="1">
        <f ca="1">IFERROR(__xludf.DUMMYFUNCTION("""COMPUTED_VALUE"""),265.89)</f>
        <v>265.89</v>
      </c>
      <c r="E356" s="1">
        <f ca="1">IFERROR(__xludf.DUMMYFUNCTION("""COMPUTED_VALUE"""),272.61)</f>
        <v>272.61</v>
      </c>
      <c r="F356" s="1">
        <f ca="1">IFERROR(__xludf.DUMMYFUNCTION("""COMPUTED_VALUE"""),25609508)</f>
        <v>25609508</v>
      </c>
    </row>
    <row r="357" spans="1:6" ht="12.6">
      <c r="A357" s="2">
        <f ca="1">IFERROR(__xludf.DUMMYFUNCTION("""COMPUTED_VALUE"""),45079.6666666666)</f>
        <v>45079.666666666599</v>
      </c>
      <c r="B357" s="1">
        <f ca="1">IFERROR(__xludf.DUMMYFUNCTION("""COMPUTED_VALUE"""),272.66)</f>
        <v>272.66000000000003</v>
      </c>
      <c r="C357" s="1">
        <f ca="1">IFERROR(__xludf.DUMMYFUNCTION("""COMPUTED_VALUE"""),275.35)</f>
        <v>275.35000000000002</v>
      </c>
      <c r="D357" s="1">
        <f ca="1">IFERROR(__xludf.DUMMYFUNCTION("""COMPUTED_VALUE"""),271.12)</f>
        <v>271.12</v>
      </c>
      <c r="E357" s="1">
        <f ca="1">IFERROR(__xludf.DUMMYFUNCTION("""COMPUTED_VALUE"""),272.61)</f>
        <v>272.61</v>
      </c>
      <c r="F357" s="1">
        <f ca="1">IFERROR(__xludf.DUMMYFUNCTION("""COMPUTED_VALUE"""),19416930)</f>
        <v>19416930</v>
      </c>
    </row>
    <row r="358" spans="1:6" ht="12.6">
      <c r="A358" s="2">
        <f ca="1">IFERROR(__xludf.DUMMYFUNCTION("""COMPUTED_VALUE"""),45082.6666666666)</f>
        <v>45082.666666666599</v>
      </c>
      <c r="B358" s="1">
        <f ca="1">IFERROR(__xludf.DUMMYFUNCTION("""COMPUTED_VALUE"""),270.3)</f>
        <v>270.3</v>
      </c>
      <c r="C358" s="1">
        <f ca="1">IFERROR(__xludf.DUMMYFUNCTION("""COMPUTED_VALUE"""),275.57)</f>
        <v>275.57</v>
      </c>
      <c r="D358" s="1">
        <f ca="1">IFERROR(__xludf.DUMMYFUNCTION("""COMPUTED_VALUE"""),269.56)</f>
        <v>269.56</v>
      </c>
      <c r="E358" s="1">
        <f ca="1">IFERROR(__xludf.DUMMYFUNCTION("""COMPUTED_VALUE"""),271.39)</f>
        <v>271.39</v>
      </c>
      <c r="F358" s="1">
        <f ca="1">IFERROR(__xludf.DUMMYFUNCTION("""COMPUTED_VALUE"""),20742946)</f>
        <v>20742946</v>
      </c>
    </row>
    <row r="359" spans="1:6" ht="12.6">
      <c r="A359" s="2">
        <f ca="1">IFERROR(__xludf.DUMMYFUNCTION("""COMPUTED_VALUE"""),45083.6666666666)</f>
        <v>45083.666666666599</v>
      </c>
      <c r="B359" s="1">
        <f ca="1">IFERROR(__xludf.DUMMYFUNCTION("""COMPUTED_VALUE"""),270.14)</f>
        <v>270.14</v>
      </c>
      <c r="C359" s="1">
        <f ca="1">IFERROR(__xludf.DUMMYFUNCTION("""COMPUTED_VALUE"""),276.57)</f>
        <v>276.57</v>
      </c>
      <c r="D359" s="1">
        <f ca="1">IFERROR(__xludf.DUMMYFUNCTION("""COMPUTED_VALUE"""),269.69)</f>
        <v>269.69</v>
      </c>
      <c r="E359" s="1">
        <f ca="1">IFERROR(__xludf.DUMMYFUNCTION("""COMPUTED_VALUE"""),271.12)</f>
        <v>271.12</v>
      </c>
      <c r="F359" s="1">
        <f ca="1">IFERROR(__xludf.DUMMYFUNCTION("""COMPUTED_VALUE"""),19419010)</f>
        <v>19419010</v>
      </c>
    </row>
    <row r="360" spans="1:6" ht="12.6">
      <c r="A360" s="2">
        <f ca="1">IFERROR(__xludf.DUMMYFUNCTION("""COMPUTED_VALUE"""),45084.6666666666)</f>
        <v>45084.666666666599</v>
      </c>
      <c r="B360" s="1">
        <f ca="1">IFERROR(__xludf.DUMMYFUNCTION("""COMPUTED_VALUE"""),271.67)</f>
        <v>271.67</v>
      </c>
      <c r="C360" s="1">
        <f ca="1">IFERROR(__xludf.DUMMYFUNCTION("""COMPUTED_VALUE"""),274.25)</f>
        <v>274.25</v>
      </c>
      <c r="D360" s="1">
        <f ca="1">IFERROR(__xludf.DUMMYFUNCTION("""COMPUTED_VALUE"""),262.8)</f>
        <v>262.8</v>
      </c>
      <c r="E360" s="1">
        <f ca="1">IFERROR(__xludf.DUMMYFUNCTION("""COMPUTED_VALUE"""),263.6)</f>
        <v>263.60000000000002</v>
      </c>
      <c r="F360" s="1">
        <f ca="1">IFERROR(__xludf.DUMMYFUNCTION("""COMPUTED_VALUE"""),26163627)</f>
        <v>26163627</v>
      </c>
    </row>
    <row r="361" spans="1:6" ht="12.6">
      <c r="A361" s="2">
        <f ca="1">IFERROR(__xludf.DUMMYFUNCTION("""COMPUTED_VALUE"""),45085.6666666666)</f>
        <v>45085.666666666599</v>
      </c>
      <c r="B361" s="1">
        <f ca="1">IFERROR(__xludf.DUMMYFUNCTION("""COMPUTED_VALUE"""),260.62)</f>
        <v>260.62</v>
      </c>
      <c r="C361" s="1">
        <f ca="1">IFERROR(__xludf.DUMMYFUNCTION("""COMPUTED_VALUE"""),267.65)</f>
        <v>267.64999999999998</v>
      </c>
      <c r="D361" s="1">
        <f ca="1">IFERROR(__xludf.DUMMYFUNCTION("""COMPUTED_VALUE"""),258.88)</f>
        <v>258.88</v>
      </c>
      <c r="E361" s="1">
        <f ca="1">IFERROR(__xludf.DUMMYFUNCTION("""COMPUTED_VALUE"""),264.58)</f>
        <v>264.58</v>
      </c>
      <c r="F361" s="1">
        <f ca="1">IFERROR(__xludf.DUMMYFUNCTION("""COMPUTED_VALUE"""),20899359)</f>
        <v>20899359</v>
      </c>
    </row>
    <row r="362" spans="1:6" ht="12.6">
      <c r="A362" s="2">
        <f ca="1">IFERROR(__xludf.DUMMYFUNCTION("""COMPUTED_VALUE"""),45086.6666666666)</f>
        <v>45086.666666666599</v>
      </c>
      <c r="B362" s="1">
        <f ca="1">IFERROR(__xludf.DUMMYFUNCTION("""COMPUTED_VALUE"""),262.48)</f>
        <v>262.48</v>
      </c>
      <c r="C362" s="1">
        <f ca="1">IFERROR(__xludf.DUMMYFUNCTION("""COMPUTED_VALUE"""),267.95)</f>
        <v>267.95</v>
      </c>
      <c r="D362" s="1">
        <f ca="1">IFERROR(__xludf.DUMMYFUNCTION("""COMPUTED_VALUE"""),261.7)</f>
        <v>261.7</v>
      </c>
      <c r="E362" s="1">
        <f ca="1">IFERROR(__xludf.DUMMYFUNCTION("""COMPUTED_VALUE"""),264.95)</f>
        <v>264.95</v>
      </c>
      <c r="F362" s="1">
        <f ca="1">IFERROR(__xludf.DUMMYFUNCTION("""COMPUTED_VALUE"""),16949794)</f>
        <v>16949794</v>
      </c>
    </row>
    <row r="363" spans="1:6" ht="12.6">
      <c r="A363" s="2">
        <f ca="1">IFERROR(__xludf.DUMMYFUNCTION("""COMPUTED_VALUE"""),45089.6666666666)</f>
        <v>45089.666666666599</v>
      </c>
      <c r="B363" s="1">
        <f ca="1">IFERROR(__xludf.DUMMYFUNCTION("""COMPUTED_VALUE"""),267.17)</f>
        <v>267.17</v>
      </c>
      <c r="C363" s="1">
        <f ca="1">IFERROR(__xludf.DUMMYFUNCTION("""COMPUTED_VALUE"""),271.75)</f>
        <v>271.75</v>
      </c>
      <c r="D363" s="1">
        <f ca="1">IFERROR(__xludf.DUMMYFUNCTION("""COMPUTED_VALUE"""),265.33)</f>
        <v>265.33</v>
      </c>
      <c r="E363" s="1">
        <f ca="1">IFERROR(__xludf.DUMMYFUNCTION("""COMPUTED_VALUE"""),271.05)</f>
        <v>271.05</v>
      </c>
      <c r="F363" s="1">
        <f ca="1">IFERROR(__xludf.DUMMYFUNCTION("""COMPUTED_VALUE"""),15471702)</f>
        <v>15471702</v>
      </c>
    </row>
    <row r="364" spans="1:6" ht="12.6">
      <c r="A364" s="2">
        <f ca="1">IFERROR(__xludf.DUMMYFUNCTION("""COMPUTED_VALUE"""),45090.6666666666)</f>
        <v>45090.666666666599</v>
      </c>
      <c r="B364" s="1">
        <f ca="1">IFERROR(__xludf.DUMMYFUNCTION("""COMPUTED_VALUE"""),274.88)</f>
        <v>274.88</v>
      </c>
      <c r="C364" s="1">
        <f ca="1">IFERROR(__xludf.DUMMYFUNCTION("""COMPUTED_VALUE"""),275.72)</f>
        <v>275.72000000000003</v>
      </c>
      <c r="D364" s="1">
        <f ca="1">IFERROR(__xludf.DUMMYFUNCTION("""COMPUTED_VALUE"""),269.09)</f>
        <v>269.08999999999997</v>
      </c>
      <c r="E364" s="1">
        <f ca="1">IFERROR(__xludf.DUMMYFUNCTION("""COMPUTED_VALUE"""),271.32)</f>
        <v>271.32</v>
      </c>
      <c r="F364" s="1">
        <f ca="1">IFERROR(__xludf.DUMMYFUNCTION("""COMPUTED_VALUE"""),16164024)</f>
        <v>16164024</v>
      </c>
    </row>
    <row r="365" spans="1:6" ht="12.6">
      <c r="A365" s="2">
        <f ca="1">IFERROR(__xludf.DUMMYFUNCTION("""COMPUTED_VALUE"""),45091.6666666666)</f>
        <v>45091.666666666599</v>
      </c>
      <c r="B365" s="1">
        <f ca="1">IFERROR(__xludf.DUMMYFUNCTION("""COMPUTED_VALUE"""),271.89)</f>
        <v>271.89</v>
      </c>
      <c r="C365" s="1">
        <f ca="1">IFERROR(__xludf.DUMMYFUNCTION("""COMPUTED_VALUE"""),274.99)</f>
        <v>274.99</v>
      </c>
      <c r="D365" s="1">
        <f ca="1">IFERROR(__xludf.DUMMYFUNCTION("""COMPUTED_VALUE"""),268.32)</f>
        <v>268.32</v>
      </c>
      <c r="E365" s="1">
        <f ca="1">IFERROR(__xludf.DUMMYFUNCTION("""COMPUTED_VALUE"""),273.35)</f>
        <v>273.35000000000002</v>
      </c>
      <c r="F365" s="1">
        <f ca="1">IFERROR(__xludf.DUMMYFUNCTION("""COMPUTED_VALUE"""),19175066)</f>
        <v>19175066</v>
      </c>
    </row>
    <row r="366" spans="1:6" ht="12.6">
      <c r="A366" s="2">
        <f ca="1">IFERROR(__xludf.DUMMYFUNCTION("""COMPUTED_VALUE"""),45092.6666666666)</f>
        <v>45092.666666666599</v>
      </c>
      <c r="B366" s="1">
        <f ca="1">IFERROR(__xludf.DUMMYFUNCTION("""COMPUTED_VALUE"""),272.3)</f>
        <v>272.3</v>
      </c>
      <c r="C366" s="1">
        <f ca="1">IFERROR(__xludf.DUMMYFUNCTION("""COMPUTED_VALUE"""),283.99)</f>
        <v>283.99</v>
      </c>
      <c r="D366" s="1">
        <f ca="1">IFERROR(__xludf.DUMMYFUNCTION("""COMPUTED_VALUE"""),271.42)</f>
        <v>271.42</v>
      </c>
      <c r="E366" s="1">
        <f ca="1">IFERROR(__xludf.DUMMYFUNCTION("""COMPUTED_VALUE"""),281.83)</f>
        <v>281.83</v>
      </c>
      <c r="F366" s="1">
        <f ca="1">IFERROR(__xludf.DUMMYFUNCTION("""COMPUTED_VALUE"""),25973455)</f>
        <v>25973455</v>
      </c>
    </row>
    <row r="367" spans="1:6" ht="12.6">
      <c r="A367" s="2">
        <f ca="1">IFERROR(__xludf.DUMMYFUNCTION("""COMPUTED_VALUE"""),45093.6666666666)</f>
        <v>45093.666666666599</v>
      </c>
      <c r="B367" s="1">
        <f ca="1">IFERROR(__xludf.DUMMYFUNCTION("""COMPUTED_VALUE"""),284.75)</f>
        <v>284.75</v>
      </c>
      <c r="C367" s="1">
        <f ca="1">IFERROR(__xludf.DUMMYFUNCTION("""COMPUTED_VALUE"""),287.85)</f>
        <v>287.85000000000002</v>
      </c>
      <c r="D367" s="1">
        <f ca="1">IFERROR(__xludf.DUMMYFUNCTION("""COMPUTED_VALUE"""),280.13)</f>
        <v>280.13</v>
      </c>
      <c r="E367" s="1">
        <f ca="1">IFERROR(__xludf.DUMMYFUNCTION("""COMPUTED_VALUE"""),281)</f>
        <v>281</v>
      </c>
      <c r="F367" s="1">
        <f ca="1">IFERROR(__xludf.DUMMYFUNCTION("""COMPUTED_VALUE"""),43127731)</f>
        <v>43127731</v>
      </c>
    </row>
    <row r="368" spans="1:6" ht="12.6">
      <c r="A368" s="2">
        <f ca="1">IFERROR(__xludf.DUMMYFUNCTION("""COMPUTED_VALUE"""),45097.6666666666)</f>
        <v>45097.666666666599</v>
      </c>
      <c r="B368" s="1">
        <f ca="1">IFERROR(__xludf.DUMMYFUNCTION("""COMPUTED_VALUE"""),278.73)</f>
        <v>278.73</v>
      </c>
      <c r="C368" s="1">
        <f ca="1">IFERROR(__xludf.DUMMYFUNCTION("""COMPUTED_VALUE"""),284.8)</f>
        <v>284.8</v>
      </c>
      <c r="D368" s="1">
        <f ca="1">IFERROR(__xludf.DUMMYFUNCTION("""COMPUTED_VALUE"""),276.22)</f>
        <v>276.22000000000003</v>
      </c>
      <c r="E368" s="1">
        <f ca="1">IFERROR(__xludf.DUMMYFUNCTION("""COMPUTED_VALUE"""),284.33)</f>
        <v>284.33</v>
      </c>
      <c r="F368" s="1">
        <f ca="1">IFERROR(__xludf.DUMMYFUNCTION("""COMPUTED_VALUE"""),20701589)</f>
        <v>20701589</v>
      </c>
    </row>
    <row r="369" spans="1:6" ht="12.6">
      <c r="A369" s="2">
        <f ca="1">IFERROR(__xludf.DUMMYFUNCTION("""COMPUTED_VALUE"""),45098.6666666666)</f>
        <v>45098.666666666599</v>
      </c>
      <c r="B369" s="1">
        <f ca="1">IFERROR(__xludf.DUMMYFUNCTION("""COMPUTED_VALUE"""),283.53)</f>
        <v>283.52999999999997</v>
      </c>
      <c r="C369" s="1">
        <f ca="1">IFERROR(__xludf.DUMMYFUNCTION("""COMPUTED_VALUE"""),284)</f>
        <v>284</v>
      </c>
      <c r="D369" s="1">
        <f ca="1">IFERROR(__xludf.DUMMYFUNCTION("""COMPUTED_VALUE"""),278.36)</f>
        <v>278.36</v>
      </c>
      <c r="E369" s="1">
        <f ca="1">IFERROR(__xludf.DUMMYFUNCTION("""COMPUTED_VALUE"""),281.64)</f>
        <v>281.64</v>
      </c>
      <c r="F369" s="1">
        <f ca="1">IFERROR(__xludf.DUMMYFUNCTION("""COMPUTED_VALUE"""),20556170)</f>
        <v>20556170</v>
      </c>
    </row>
    <row r="370" spans="1:6" ht="12.6">
      <c r="A370" s="2">
        <f ca="1">IFERROR(__xludf.DUMMYFUNCTION("""COMPUTED_VALUE"""),45099.6666666666)</f>
        <v>45099.666666666599</v>
      </c>
      <c r="B370" s="1">
        <f ca="1">IFERROR(__xludf.DUMMYFUNCTION("""COMPUTED_VALUE"""),279.08)</f>
        <v>279.08</v>
      </c>
      <c r="C370" s="1">
        <f ca="1">IFERROR(__xludf.DUMMYFUNCTION("""COMPUTED_VALUE"""),285.26)</f>
        <v>285.26</v>
      </c>
      <c r="D370" s="1">
        <f ca="1">IFERROR(__xludf.DUMMYFUNCTION("""COMPUTED_VALUE"""),277.79)</f>
        <v>277.79000000000002</v>
      </c>
      <c r="E370" s="1">
        <f ca="1">IFERROR(__xludf.DUMMYFUNCTION("""COMPUTED_VALUE"""),284.88)</f>
        <v>284.88</v>
      </c>
      <c r="F370" s="1">
        <f ca="1">IFERROR(__xludf.DUMMYFUNCTION("""COMPUTED_VALUE"""),17563061)</f>
        <v>17563061</v>
      </c>
    </row>
    <row r="371" spans="1:6" ht="12.6">
      <c r="A371" s="2">
        <f ca="1">IFERROR(__xludf.DUMMYFUNCTION("""COMPUTED_VALUE"""),45100.6666666666)</f>
        <v>45100.666666666599</v>
      </c>
      <c r="B371" s="1">
        <f ca="1">IFERROR(__xludf.DUMMYFUNCTION("""COMPUTED_VALUE"""),281.51)</f>
        <v>281.51</v>
      </c>
      <c r="C371" s="1">
        <f ca="1">IFERROR(__xludf.DUMMYFUNCTION("""COMPUTED_VALUE"""),289.67)</f>
        <v>289.67</v>
      </c>
      <c r="D371" s="1">
        <f ca="1">IFERROR(__xludf.DUMMYFUNCTION("""COMPUTED_VALUE"""),278.95)</f>
        <v>278.95</v>
      </c>
      <c r="E371" s="1">
        <f ca="1">IFERROR(__xludf.DUMMYFUNCTION("""COMPUTED_VALUE"""),288.73)</f>
        <v>288.73</v>
      </c>
      <c r="F371" s="1">
        <f ca="1">IFERROR(__xludf.DUMMYFUNCTION("""COMPUTED_VALUE"""),51092038)</f>
        <v>51092038</v>
      </c>
    </row>
    <row r="372" spans="1:6" ht="12.6">
      <c r="A372" s="2">
        <f ca="1">IFERROR(__xludf.DUMMYFUNCTION("""COMPUTED_VALUE"""),45103.6666666666)</f>
        <v>45103.666666666599</v>
      </c>
      <c r="B372" s="1">
        <f ca="1">IFERROR(__xludf.DUMMYFUNCTION("""COMPUTED_VALUE"""),288.7)</f>
        <v>288.7</v>
      </c>
      <c r="C372" s="1">
        <f ca="1">IFERROR(__xludf.DUMMYFUNCTION("""COMPUTED_VALUE"""),289.79)</f>
        <v>289.79000000000002</v>
      </c>
      <c r="D372" s="1">
        <f ca="1">IFERROR(__xludf.DUMMYFUNCTION("""COMPUTED_VALUE"""),277.6)</f>
        <v>277.60000000000002</v>
      </c>
      <c r="E372" s="1">
        <f ca="1">IFERROR(__xludf.DUMMYFUNCTION("""COMPUTED_VALUE"""),278.47)</f>
        <v>278.47000000000003</v>
      </c>
      <c r="F372" s="1">
        <f ca="1">IFERROR(__xludf.DUMMYFUNCTION("""COMPUTED_VALUE"""),24232651)</f>
        <v>24232651</v>
      </c>
    </row>
    <row r="373" spans="1:6" ht="12.6">
      <c r="A373" s="2">
        <f ca="1">IFERROR(__xludf.DUMMYFUNCTION("""COMPUTED_VALUE"""),45104.6666666666)</f>
        <v>45104.666666666599</v>
      </c>
      <c r="B373" s="1">
        <f ca="1">IFERROR(__xludf.DUMMYFUNCTION("""COMPUTED_VALUE"""),282.01)</f>
        <v>282.01</v>
      </c>
      <c r="C373" s="1">
        <f ca="1">IFERROR(__xludf.DUMMYFUNCTION("""COMPUTED_VALUE"""),289.35)</f>
        <v>289.35000000000002</v>
      </c>
      <c r="D373" s="1">
        <f ca="1">IFERROR(__xludf.DUMMYFUNCTION("""COMPUTED_VALUE"""),280.65)</f>
        <v>280.64999999999998</v>
      </c>
      <c r="E373" s="1">
        <f ca="1">IFERROR(__xludf.DUMMYFUNCTION("""COMPUTED_VALUE"""),287.05)</f>
        <v>287.05</v>
      </c>
      <c r="F373" s="1">
        <f ca="1">IFERROR(__xludf.DUMMYFUNCTION("""COMPUTED_VALUE"""),26108260)</f>
        <v>26108260</v>
      </c>
    </row>
    <row r="374" spans="1:6" ht="12.6">
      <c r="A374" s="2">
        <f ca="1">IFERROR(__xludf.DUMMYFUNCTION("""COMPUTED_VALUE"""),45105.6666666666)</f>
        <v>45105.666666666599</v>
      </c>
      <c r="B374" s="1">
        <f ca="1">IFERROR(__xludf.DUMMYFUNCTION("""COMPUTED_VALUE"""),284.82)</f>
        <v>284.82</v>
      </c>
      <c r="C374" s="1">
        <f ca="1">IFERROR(__xludf.DUMMYFUNCTION("""COMPUTED_VALUE"""),289.55)</f>
        <v>289.55</v>
      </c>
      <c r="D374" s="1">
        <f ca="1">IFERROR(__xludf.DUMMYFUNCTION("""COMPUTED_VALUE"""),284.06)</f>
        <v>284.06</v>
      </c>
      <c r="E374" s="1">
        <f ca="1">IFERROR(__xludf.DUMMYFUNCTION("""COMPUTED_VALUE"""),285.29)</f>
        <v>285.29000000000002</v>
      </c>
      <c r="F374" s="1">
        <f ca="1">IFERROR(__xludf.DUMMYFUNCTION("""COMPUTED_VALUE"""),16722117)</f>
        <v>16722117</v>
      </c>
    </row>
    <row r="375" spans="1:6" ht="12.6">
      <c r="A375" s="2">
        <f ca="1">IFERROR(__xludf.DUMMYFUNCTION("""COMPUTED_VALUE"""),45106.6666666666)</f>
        <v>45106.666666666599</v>
      </c>
      <c r="B375" s="1">
        <f ca="1">IFERROR(__xludf.DUMMYFUNCTION("""COMPUTED_VALUE"""),284.5)</f>
        <v>284.5</v>
      </c>
      <c r="C375" s="1">
        <f ca="1">IFERROR(__xludf.DUMMYFUNCTION("""COMPUTED_VALUE"""),286.57)</f>
        <v>286.57</v>
      </c>
      <c r="D375" s="1">
        <f ca="1">IFERROR(__xludf.DUMMYFUNCTION("""COMPUTED_VALUE"""),280.69)</f>
        <v>280.69</v>
      </c>
      <c r="E375" s="1">
        <f ca="1">IFERROR(__xludf.DUMMYFUNCTION("""COMPUTED_VALUE"""),281.53)</f>
        <v>281.52999999999997</v>
      </c>
      <c r="F375" s="1">
        <f ca="1">IFERROR(__xludf.DUMMYFUNCTION("""COMPUTED_VALUE"""),15395690)</f>
        <v>15395690</v>
      </c>
    </row>
    <row r="376" spans="1:6" ht="12.6">
      <c r="A376" s="2">
        <f ca="1">IFERROR(__xludf.DUMMYFUNCTION("""COMPUTED_VALUE"""),45107.6666666666)</f>
        <v>45107.666666666599</v>
      </c>
      <c r="B376" s="1">
        <f ca="1">IFERROR(__xludf.DUMMYFUNCTION("""COMPUTED_VALUE"""),284.76)</f>
        <v>284.76</v>
      </c>
      <c r="C376" s="1">
        <f ca="1">IFERROR(__xludf.DUMMYFUNCTION("""COMPUTED_VALUE"""),289.05)</f>
        <v>289.05</v>
      </c>
      <c r="D376" s="1">
        <f ca="1">IFERROR(__xludf.DUMMYFUNCTION("""COMPUTED_VALUE"""),284.42)</f>
        <v>284.42</v>
      </c>
      <c r="E376" s="1">
        <f ca="1">IFERROR(__xludf.DUMMYFUNCTION("""COMPUTED_VALUE"""),286.98)</f>
        <v>286.98</v>
      </c>
      <c r="F376" s="1">
        <f ca="1">IFERROR(__xludf.DUMMYFUNCTION("""COMPUTED_VALUE"""),19694872)</f>
        <v>19694872</v>
      </c>
    </row>
    <row r="377" spans="1:6" ht="12.6">
      <c r="A377" s="2">
        <f ca="1">IFERROR(__xludf.DUMMYFUNCTION("""COMPUTED_VALUE"""),45110.5451388888)</f>
        <v>45110.545138888803</v>
      </c>
      <c r="B377" s="1">
        <f ca="1">IFERROR(__xludf.DUMMYFUNCTION("""COMPUTED_VALUE"""),286.7)</f>
        <v>286.7</v>
      </c>
      <c r="C377" s="1">
        <f ca="1">IFERROR(__xludf.DUMMYFUNCTION("""COMPUTED_VALUE"""),289.4)</f>
        <v>289.39999999999998</v>
      </c>
      <c r="D377" s="1">
        <f ca="1">IFERROR(__xludf.DUMMYFUNCTION("""COMPUTED_VALUE"""),284.85)</f>
        <v>284.85000000000002</v>
      </c>
      <c r="E377" s="1">
        <f ca="1">IFERROR(__xludf.DUMMYFUNCTION("""COMPUTED_VALUE"""),286.02)</f>
        <v>286.02</v>
      </c>
      <c r="F377" s="1">
        <f ca="1">IFERROR(__xludf.DUMMYFUNCTION("""COMPUTED_VALUE"""),8629269)</f>
        <v>8629269</v>
      </c>
    </row>
    <row r="378" spans="1:6" ht="12.6">
      <c r="A378" s="2">
        <f ca="1">IFERROR(__xludf.DUMMYFUNCTION("""COMPUTED_VALUE"""),45112.6666666666)</f>
        <v>45112.666666666599</v>
      </c>
      <c r="B378" s="1">
        <f ca="1">IFERROR(__xludf.DUMMYFUNCTION("""COMPUTED_VALUE"""),287.65)</f>
        <v>287.64999999999998</v>
      </c>
      <c r="C378" s="1">
        <f ca="1">IFERROR(__xludf.DUMMYFUNCTION("""COMPUTED_VALUE"""),298.12)</f>
        <v>298.12</v>
      </c>
      <c r="D378" s="1">
        <f ca="1">IFERROR(__xludf.DUMMYFUNCTION("""COMPUTED_VALUE"""),286.36)</f>
        <v>286.36</v>
      </c>
      <c r="E378" s="1">
        <f ca="1">IFERROR(__xludf.DUMMYFUNCTION("""COMPUTED_VALUE"""),294.37)</f>
        <v>294.37</v>
      </c>
      <c r="F378" s="1">
        <f ca="1">IFERROR(__xludf.DUMMYFUNCTION("""COMPUTED_VALUE"""),33865457)</f>
        <v>33865457</v>
      </c>
    </row>
    <row r="379" spans="1:6" ht="12.6">
      <c r="A379" s="2">
        <f ca="1">IFERROR(__xludf.DUMMYFUNCTION("""COMPUTED_VALUE"""),45113.6666666666)</f>
        <v>45113.666666666599</v>
      </c>
      <c r="B379" s="1">
        <f ca="1">IFERROR(__xludf.DUMMYFUNCTION("""COMPUTED_VALUE"""),295.89)</f>
        <v>295.89</v>
      </c>
      <c r="C379" s="1">
        <f ca="1">IFERROR(__xludf.DUMMYFUNCTION("""COMPUTED_VALUE"""),298.12)</f>
        <v>298.12</v>
      </c>
      <c r="D379" s="1">
        <f ca="1">IFERROR(__xludf.DUMMYFUNCTION("""COMPUTED_VALUE"""),291.31)</f>
        <v>291.31</v>
      </c>
      <c r="E379" s="1">
        <f ca="1">IFERROR(__xludf.DUMMYFUNCTION("""COMPUTED_VALUE"""),291.99)</f>
        <v>291.99</v>
      </c>
      <c r="F379" s="1">
        <f ca="1">IFERROR(__xludf.DUMMYFUNCTION("""COMPUTED_VALUE"""),47733829)</f>
        <v>47733829</v>
      </c>
    </row>
    <row r="380" spans="1:6" ht="12.6">
      <c r="A380" s="2">
        <f ca="1">IFERROR(__xludf.DUMMYFUNCTION("""COMPUTED_VALUE"""),45114.6666666666)</f>
        <v>45114.666666666599</v>
      </c>
      <c r="B380" s="1">
        <f ca="1">IFERROR(__xludf.DUMMYFUNCTION("""COMPUTED_VALUE"""),292.18)</f>
        <v>292.18</v>
      </c>
      <c r="C380" s="1">
        <f ca="1">IFERROR(__xludf.DUMMYFUNCTION("""COMPUTED_VALUE"""),296.2)</f>
        <v>296.2</v>
      </c>
      <c r="D380" s="1">
        <f ca="1">IFERROR(__xludf.DUMMYFUNCTION("""COMPUTED_VALUE"""),288.66)</f>
        <v>288.66000000000003</v>
      </c>
      <c r="E380" s="1">
        <f ca="1">IFERROR(__xludf.DUMMYFUNCTION("""COMPUTED_VALUE"""),290.53)</f>
        <v>290.52999999999997</v>
      </c>
      <c r="F380" s="1">
        <f ca="1">IFERROR(__xludf.DUMMYFUNCTION("""COMPUTED_VALUE"""),25585975)</f>
        <v>25585975</v>
      </c>
    </row>
    <row r="381" spans="1:6" ht="12.6">
      <c r="A381" s="2">
        <f ca="1">IFERROR(__xludf.DUMMYFUNCTION("""COMPUTED_VALUE"""),45117.6666666666)</f>
        <v>45117.666666666599</v>
      </c>
      <c r="B381" s="1">
        <f ca="1">IFERROR(__xludf.DUMMYFUNCTION("""COMPUTED_VALUE"""),295.55)</f>
        <v>295.55</v>
      </c>
      <c r="C381" s="1">
        <f ca="1">IFERROR(__xludf.DUMMYFUNCTION("""COMPUTED_VALUE"""),298.13)</f>
        <v>298.13</v>
      </c>
      <c r="D381" s="1">
        <f ca="1">IFERROR(__xludf.DUMMYFUNCTION("""COMPUTED_VALUE"""),287.05)</f>
        <v>287.05</v>
      </c>
      <c r="E381" s="1">
        <f ca="1">IFERROR(__xludf.DUMMYFUNCTION("""COMPUTED_VALUE"""),294.1)</f>
        <v>294.10000000000002</v>
      </c>
      <c r="F381" s="1">
        <f ca="1">IFERROR(__xludf.DUMMYFUNCTION("""COMPUTED_VALUE"""),37058306)</f>
        <v>37058306</v>
      </c>
    </row>
    <row r="382" spans="1:6" ht="12.6">
      <c r="A382" s="2">
        <f ca="1">IFERROR(__xludf.DUMMYFUNCTION("""COMPUTED_VALUE"""),45118.6666666666)</f>
        <v>45118.666666666599</v>
      </c>
      <c r="B382" s="1">
        <f ca="1">IFERROR(__xludf.DUMMYFUNCTION("""COMPUTED_VALUE"""),293.9)</f>
        <v>293.89999999999998</v>
      </c>
      <c r="C382" s="1">
        <f ca="1">IFERROR(__xludf.DUMMYFUNCTION("""COMPUTED_VALUE"""),300.18)</f>
        <v>300.18</v>
      </c>
      <c r="D382" s="1">
        <f ca="1">IFERROR(__xludf.DUMMYFUNCTION("""COMPUTED_VALUE"""),291.9)</f>
        <v>291.89999999999998</v>
      </c>
      <c r="E382" s="1">
        <f ca="1">IFERROR(__xludf.DUMMYFUNCTION("""COMPUTED_VALUE"""),298.29)</f>
        <v>298.29000000000002</v>
      </c>
      <c r="F382" s="1">
        <f ca="1">IFERROR(__xludf.DUMMYFUNCTION("""COMPUTED_VALUE"""),27585918)</f>
        <v>27585918</v>
      </c>
    </row>
    <row r="383" spans="1:6" ht="12.6">
      <c r="A383" s="2">
        <f ca="1">IFERROR(__xludf.DUMMYFUNCTION("""COMPUTED_VALUE"""),45119.6666666666)</f>
        <v>45119.666666666599</v>
      </c>
      <c r="B383" s="1">
        <f ca="1">IFERROR(__xludf.DUMMYFUNCTION("""COMPUTED_VALUE"""),301.75)</f>
        <v>301.75</v>
      </c>
      <c r="C383" s="1">
        <f ca="1">IFERROR(__xludf.DUMMYFUNCTION("""COMPUTED_VALUE"""),309.45)</f>
        <v>309.45</v>
      </c>
      <c r="D383" s="1">
        <f ca="1">IFERROR(__xludf.DUMMYFUNCTION("""COMPUTED_VALUE"""),300.1)</f>
        <v>300.10000000000002</v>
      </c>
      <c r="E383" s="1">
        <f ca="1">IFERROR(__xludf.DUMMYFUNCTION("""COMPUTED_VALUE"""),309.34)</f>
        <v>309.33999999999997</v>
      </c>
      <c r="F383" s="1">
        <f ca="1">IFERROR(__xludf.DUMMYFUNCTION("""COMPUTED_VALUE"""),36677127)</f>
        <v>36677127</v>
      </c>
    </row>
    <row r="384" spans="1:6" ht="12.6">
      <c r="A384" s="2">
        <f ca="1">IFERROR(__xludf.DUMMYFUNCTION("""COMPUTED_VALUE"""),45120.6666666666)</f>
        <v>45120.666666666599</v>
      </c>
      <c r="B384" s="1">
        <f ca="1">IFERROR(__xludf.DUMMYFUNCTION("""COMPUTED_VALUE"""),313.62)</f>
        <v>313.62</v>
      </c>
      <c r="C384" s="1">
        <f ca="1">IFERROR(__xludf.DUMMYFUNCTION("""COMPUTED_VALUE"""),316.24)</f>
        <v>316.24</v>
      </c>
      <c r="D384" s="1">
        <f ca="1">IFERROR(__xludf.DUMMYFUNCTION("""COMPUTED_VALUE"""),310.29)</f>
        <v>310.29000000000002</v>
      </c>
      <c r="E384" s="1">
        <f ca="1">IFERROR(__xludf.DUMMYFUNCTION("""COMPUTED_VALUE"""),313.41)</f>
        <v>313.41000000000003</v>
      </c>
      <c r="F384" s="1">
        <f ca="1">IFERROR(__xludf.DUMMYFUNCTION("""COMPUTED_VALUE"""),30280972)</f>
        <v>30280972</v>
      </c>
    </row>
    <row r="385" spans="1:6" ht="12.6">
      <c r="A385" s="2">
        <f ca="1">IFERROR(__xludf.DUMMYFUNCTION("""COMPUTED_VALUE"""),45121.6666666666)</f>
        <v>45121.666666666599</v>
      </c>
      <c r="B385" s="1">
        <f ca="1">IFERROR(__xludf.DUMMYFUNCTION("""COMPUTED_VALUE"""),311.79)</f>
        <v>311.79000000000002</v>
      </c>
      <c r="C385" s="1">
        <f ca="1">IFERROR(__xludf.DUMMYFUNCTION("""COMPUTED_VALUE"""),314.88)</f>
        <v>314.88</v>
      </c>
      <c r="D385" s="1">
        <f ca="1">IFERROR(__xludf.DUMMYFUNCTION("""COMPUTED_VALUE"""),307.36)</f>
        <v>307.36</v>
      </c>
      <c r="E385" s="1">
        <f ca="1">IFERROR(__xludf.DUMMYFUNCTION("""COMPUTED_VALUE"""),308.87)</f>
        <v>308.87</v>
      </c>
      <c r="F385" s="1">
        <f ca="1">IFERROR(__xludf.DUMMYFUNCTION("""COMPUTED_VALUE"""),23054108)</f>
        <v>23054108</v>
      </c>
    </row>
    <row r="386" spans="1:6" ht="12.6">
      <c r="A386" s="2">
        <f ca="1">IFERROR(__xludf.DUMMYFUNCTION("""COMPUTED_VALUE"""),45124.6666666666)</f>
        <v>45124.666666666599</v>
      </c>
      <c r="B386" s="1">
        <f ca="1">IFERROR(__xludf.DUMMYFUNCTION("""COMPUTED_VALUE"""),307.54)</f>
        <v>307.54000000000002</v>
      </c>
      <c r="C386" s="1">
        <f ca="1">IFERROR(__xludf.DUMMYFUNCTION("""COMPUTED_VALUE"""),311.71)</f>
        <v>311.70999999999998</v>
      </c>
      <c r="D386" s="1">
        <f ca="1">IFERROR(__xludf.DUMMYFUNCTION("""COMPUTED_VALUE"""),304.71)</f>
        <v>304.70999999999998</v>
      </c>
      <c r="E386" s="1">
        <f ca="1">IFERROR(__xludf.DUMMYFUNCTION("""COMPUTED_VALUE"""),310.62)</f>
        <v>310.62</v>
      </c>
      <c r="F386" s="1">
        <f ca="1">IFERROR(__xludf.DUMMYFUNCTION("""COMPUTED_VALUE"""),25323126)</f>
        <v>25323126</v>
      </c>
    </row>
    <row r="387" spans="1:6" ht="12.6">
      <c r="A387" s="2">
        <f ca="1">IFERROR(__xludf.DUMMYFUNCTION("""COMPUTED_VALUE"""),45125.6666666666)</f>
        <v>45125.666666666599</v>
      </c>
      <c r="B387" s="1">
        <f ca="1">IFERROR(__xludf.DUMMYFUNCTION("""COMPUTED_VALUE"""),310.88)</f>
        <v>310.88</v>
      </c>
      <c r="C387" s="1">
        <f ca="1">IFERROR(__xludf.DUMMYFUNCTION("""COMPUTED_VALUE"""),314.2)</f>
        <v>314.2</v>
      </c>
      <c r="D387" s="1">
        <f ca="1">IFERROR(__xludf.DUMMYFUNCTION("""COMPUTED_VALUE"""),307.62)</f>
        <v>307.62</v>
      </c>
      <c r="E387" s="1">
        <f ca="1">IFERROR(__xludf.DUMMYFUNCTION("""COMPUTED_VALUE"""),312.05)</f>
        <v>312.05</v>
      </c>
      <c r="F387" s="1">
        <f ca="1">IFERROR(__xludf.DUMMYFUNCTION("""COMPUTED_VALUE"""),20764580)</f>
        <v>20764580</v>
      </c>
    </row>
    <row r="388" spans="1:6" ht="12.6">
      <c r="A388" s="2">
        <f ca="1">IFERROR(__xludf.DUMMYFUNCTION("""COMPUTED_VALUE"""),45126.6666666666)</f>
        <v>45126.666666666599</v>
      </c>
      <c r="B388" s="1">
        <f ca="1">IFERROR(__xludf.DUMMYFUNCTION("""COMPUTED_VALUE"""),313.03)</f>
        <v>313.02999999999997</v>
      </c>
      <c r="C388" s="1">
        <f ca="1">IFERROR(__xludf.DUMMYFUNCTION("""COMPUTED_VALUE"""),318.68)</f>
        <v>318.68</v>
      </c>
      <c r="D388" s="1">
        <f ca="1">IFERROR(__xludf.DUMMYFUNCTION("""COMPUTED_VALUE"""),310.52)</f>
        <v>310.52</v>
      </c>
      <c r="E388" s="1">
        <f ca="1">IFERROR(__xludf.DUMMYFUNCTION("""COMPUTED_VALUE"""),316.01)</f>
        <v>316.01</v>
      </c>
      <c r="F388" s="1">
        <f ca="1">IFERROR(__xludf.DUMMYFUNCTION("""COMPUTED_VALUE"""),21763688)</f>
        <v>21763688</v>
      </c>
    </row>
    <row r="389" spans="1:6" ht="12.6">
      <c r="A389" s="2">
        <f ca="1">IFERROR(__xludf.DUMMYFUNCTION("""COMPUTED_VALUE"""),45127.6666666666)</f>
        <v>45127.666666666599</v>
      </c>
      <c r="B389" s="1">
        <f ca="1">IFERROR(__xludf.DUMMYFUNCTION("""COMPUTED_VALUE"""),313.5)</f>
        <v>313.5</v>
      </c>
      <c r="C389" s="1">
        <f ca="1">IFERROR(__xludf.DUMMYFUNCTION("""COMPUTED_VALUE"""),315.54)</f>
        <v>315.54000000000002</v>
      </c>
      <c r="D389" s="1">
        <f ca="1">IFERROR(__xludf.DUMMYFUNCTION("""COMPUTED_VALUE"""),302.22)</f>
        <v>302.22000000000003</v>
      </c>
      <c r="E389" s="1">
        <f ca="1">IFERROR(__xludf.DUMMYFUNCTION("""COMPUTED_VALUE"""),302.52)</f>
        <v>302.52</v>
      </c>
      <c r="F389" s="1">
        <f ca="1">IFERROR(__xludf.DUMMYFUNCTION("""COMPUTED_VALUE"""),23836876)</f>
        <v>23836876</v>
      </c>
    </row>
    <row r="390" spans="1:6" ht="12.6">
      <c r="A390" s="2">
        <f ca="1">IFERROR(__xludf.DUMMYFUNCTION("""COMPUTED_VALUE"""),45128.6666666666)</f>
        <v>45128.666666666599</v>
      </c>
      <c r="B390" s="1">
        <f ca="1">IFERROR(__xludf.DUMMYFUNCTION("""COMPUTED_VALUE"""),304.57)</f>
        <v>304.57</v>
      </c>
      <c r="C390" s="1">
        <f ca="1">IFERROR(__xludf.DUMMYFUNCTION("""COMPUTED_VALUE"""),305.46)</f>
        <v>305.45999999999998</v>
      </c>
      <c r="D390" s="1">
        <f ca="1">IFERROR(__xludf.DUMMYFUNCTION("""COMPUTED_VALUE"""),291.2)</f>
        <v>291.2</v>
      </c>
      <c r="E390" s="1">
        <f ca="1">IFERROR(__xludf.DUMMYFUNCTION("""COMPUTED_VALUE"""),294.26)</f>
        <v>294.26</v>
      </c>
      <c r="F390" s="1">
        <f ca="1">IFERROR(__xludf.DUMMYFUNCTION("""COMPUTED_VALUE"""),42139259)</f>
        <v>42139259</v>
      </c>
    </row>
    <row r="391" spans="1:6" ht="12.6">
      <c r="A391" s="2">
        <f ca="1">IFERROR(__xludf.DUMMYFUNCTION("""COMPUTED_VALUE"""),45131.6666666666)</f>
        <v>45131.666666666599</v>
      </c>
      <c r="B391" s="1">
        <f ca="1">IFERROR(__xludf.DUMMYFUNCTION("""COMPUTED_VALUE"""),295.79)</f>
        <v>295.79000000000002</v>
      </c>
      <c r="C391" s="1">
        <f ca="1">IFERROR(__xludf.DUMMYFUNCTION("""COMPUTED_VALUE"""),297.52)</f>
        <v>297.52</v>
      </c>
      <c r="D391" s="1">
        <f ca="1">IFERROR(__xludf.DUMMYFUNCTION("""COMPUTED_VALUE"""),288.3)</f>
        <v>288.3</v>
      </c>
      <c r="E391" s="1">
        <f ca="1">IFERROR(__xludf.DUMMYFUNCTION("""COMPUTED_VALUE"""),291.61)</f>
        <v>291.61</v>
      </c>
      <c r="F391" s="1">
        <f ca="1">IFERROR(__xludf.DUMMYFUNCTION("""COMPUTED_VALUE"""),24949405)</f>
        <v>24949405</v>
      </c>
    </row>
    <row r="392" spans="1:6" ht="12.6">
      <c r="A392" s="2">
        <f ca="1">IFERROR(__xludf.DUMMYFUNCTION("""COMPUTED_VALUE"""),45132.6666666666)</f>
        <v>45132.666666666599</v>
      </c>
      <c r="B392" s="1">
        <f ca="1">IFERROR(__xludf.DUMMYFUNCTION("""COMPUTED_VALUE"""),295.19)</f>
        <v>295.19</v>
      </c>
      <c r="C392" s="1">
        <f ca="1">IFERROR(__xludf.DUMMYFUNCTION("""COMPUTED_VALUE"""),298.3)</f>
        <v>298.3</v>
      </c>
      <c r="D392" s="1">
        <f ca="1">IFERROR(__xludf.DUMMYFUNCTION("""COMPUTED_VALUE"""),291.86)</f>
        <v>291.86</v>
      </c>
      <c r="E392" s="1">
        <f ca="1">IFERROR(__xludf.DUMMYFUNCTION("""COMPUTED_VALUE"""),294.47)</f>
        <v>294.47000000000003</v>
      </c>
      <c r="F392" s="1">
        <f ca="1">IFERROR(__xludf.DUMMYFUNCTION("""COMPUTED_VALUE"""),19585584)</f>
        <v>19585584</v>
      </c>
    </row>
    <row r="393" spans="1:6" ht="12.6">
      <c r="A393" s="2">
        <f ca="1">IFERROR(__xludf.DUMMYFUNCTION("""COMPUTED_VALUE"""),45133.6666666666)</f>
        <v>45133.666666666599</v>
      </c>
      <c r="B393" s="1">
        <f ca="1">IFERROR(__xludf.DUMMYFUNCTION("""COMPUTED_VALUE"""),301.19)</f>
        <v>301.19</v>
      </c>
      <c r="C393" s="1">
        <f ca="1">IFERROR(__xludf.DUMMYFUNCTION("""COMPUTED_VALUE"""),301.77)</f>
        <v>301.77</v>
      </c>
      <c r="D393" s="1">
        <f ca="1">IFERROR(__xludf.DUMMYFUNCTION("""COMPUTED_VALUE"""),291.9)</f>
        <v>291.89999999999998</v>
      </c>
      <c r="E393" s="1">
        <f ca="1">IFERROR(__xludf.DUMMYFUNCTION("""COMPUTED_VALUE"""),298.57)</f>
        <v>298.57</v>
      </c>
      <c r="F393" s="1">
        <f ca="1">IFERROR(__xludf.DUMMYFUNCTION("""COMPUTED_VALUE"""),47256930)</f>
        <v>47256930</v>
      </c>
    </row>
    <row r="394" spans="1:6" ht="12.6">
      <c r="A394" s="2">
        <f ca="1">IFERROR(__xludf.DUMMYFUNCTION("""COMPUTED_VALUE"""),45134.6666666666)</f>
        <v>45134.666666666599</v>
      </c>
      <c r="B394" s="1">
        <f ca="1">IFERROR(__xludf.DUMMYFUNCTION("""COMPUTED_VALUE"""),325.12)</f>
        <v>325.12</v>
      </c>
      <c r="C394" s="1">
        <f ca="1">IFERROR(__xludf.DUMMYFUNCTION("""COMPUTED_VALUE"""),325.35)</f>
        <v>325.35000000000002</v>
      </c>
      <c r="D394" s="1">
        <f ca="1">IFERROR(__xludf.DUMMYFUNCTION("""COMPUTED_VALUE"""),309.84)</f>
        <v>309.83999999999997</v>
      </c>
      <c r="E394" s="1">
        <f ca="1">IFERROR(__xludf.DUMMYFUNCTION("""COMPUTED_VALUE"""),311.71)</f>
        <v>311.70999999999998</v>
      </c>
      <c r="F394" s="1">
        <f ca="1">IFERROR(__xludf.DUMMYFUNCTION("""COMPUTED_VALUE"""),64229173)</f>
        <v>64229173</v>
      </c>
    </row>
    <row r="395" spans="1:6" ht="12.6">
      <c r="A395" s="2">
        <f ca="1">IFERROR(__xludf.DUMMYFUNCTION("""COMPUTED_VALUE"""),45135.6666666666)</f>
        <v>45135.666666666599</v>
      </c>
      <c r="B395" s="1">
        <f ca="1">IFERROR(__xludf.DUMMYFUNCTION("""COMPUTED_VALUE"""),316.88)</f>
        <v>316.88</v>
      </c>
      <c r="C395" s="1">
        <f ca="1">IFERROR(__xludf.DUMMYFUNCTION("""COMPUTED_VALUE"""),326.2)</f>
        <v>326.2</v>
      </c>
      <c r="D395" s="1">
        <f ca="1">IFERROR(__xludf.DUMMYFUNCTION("""COMPUTED_VALUE"""),314.25)</f>
        <v>314.25</v>
      </c>
      <c r="E395" s="1">
        <f ca="1">IFERROR(__xludf.DUMMYFUNCTION("""COMPUTED_VALUE"""),325.48)</f>
        <v>325.48</v>
      </c>
      <c r="F395" s="1">
        <f ca="1">IFERROR(__xludf.DUMMYFUNCTION("""COMPUTED_VALUE"""),39220270)</f>
        <v>39220270</v>
      </c>
    </row>
    <row r="396" spans="1:6" ht="12.6">
      <c r="A396" s="2">
        <f ca="1">IFERROR(__xludf.DUMMYFUNCTION("""COMPUTED_VALUE"""),45138.6666666666)</f>
        <v>45138.666666666599</v>
      </c>
      <c r="B396" s="1">
        <f ca="1">IFERROR(__xludf.DUMMYFUNCTION("""COMPUTED_VALUE"""),323.69)</f>
        <v>323.69</v>
      </c>
      <c r="C396" s="1">
        <f ca="1">IFERROR(__xludf.DUMMYFUNCTION("""COMPUTED_VALUE"""),325.66)</f>
        <v>325.66000000000003</v>
      </c>
      <c r="D396" s="1">
        <f ca="1">IFERROR(__xludf.DUMMYFUNCTION("""COMPUTED_VALUE"""),317.59)</f>
        <v>317.58999999999997</v>
      </c>
      <c r="E396" s="1">
        <f ca="1">IFERROR(__xludf.DUMMYFUNCTION("""COMPUTED_VALUE"""),318.6)</f>
        <v>318.60000000000002</v>
      </c>
      <c r="F396" s="1">
        <f ca="1">IFERROR(__xludf.DUMMYFUNCTION("""COMPUTED_VALUE"""),25799603)</f>
        <v>25799603</v>
      </c>
    </row>
    <row r="397" spans="1:6" ht="12.6">
      <c r="A397" s="2">
        <f ca="1">IFERROR(__xludf.DUMMYFUNCTION("""COMPUTED_VALUE"""),45139.6666666666)</f>
        <v>45139.666666666599</v>
      </c>
      <c r="B397" s="1">
        <f ca="1">IFERROR(__xludf.DUMMYFUNCTION("""COMPUTED_VALUE"""),317.54)</f>
        <v>317.54000000000002</v>
      </c>
      <c r="C397" s="1">
        <f ca="1">IFERROR(__xludf.DUMMYFUNCTION("""COMPUTED_VALUE"""),324.14)</f>
        <v>324.14</v>
      </c>
      <c r="D397" s="1">
        <f ca="1">IFERROR(__xludf.DUMMYFUNCTION("""COMPUTED_VALUE"""),314.66)</f>
        <v>314.66000000000003</v>
      </c>
      <c r="E397" s="1">
        <f ca="1">IFERROR(__xludf.DUMMYFUNCTION("""COMPUTED_VALUE"""),322.71)</f>
        <v>322.70999999999998</v>
      </c>
      <c r="F397" s="1">
        <f ca="1">IFERROR(__xludf.DUMMYFUNCTION("""COMPUTED_VALUE"""),22889870)</f>
        <v>22889870</v>
      </c>
    </row>
    <row r="398" spans="1:6" ht="12.6">
      <c r="A398" s="2">
        <f ca="1">IFERROR(__xludf.DUMMYFUNCTION("""COMPUTED_VALUE"""),45140.6666666666)</f>
        <v>45140.666666666599</v>
      </c>
      <c r="B398" s="1">
        <f ca="1">IFERROR(__xludf.DUMMYFUNCTION("""COMPUTED_VALUE"""),318)</f>
        <v>318</v>
      </c>
      <c r="C398" s="1">
        <f ca="1">IFERROR(__xludf.DUMMYFUNCTION("""COMPUTED_VALUE"""),318.39)</f>
        <v>318.39</v>
      </c>
      <c r="D398" s="1">
        <f ca="1">IFERROR(__xludf.DUMMYFUNCTION("""COMPUTED_VALUE"""),310.65)</f>
        <v>310.64999999999998</v>
      </c>
      <c r="E398" s="1">
        <f ca="1">IFERROR(__xludf.DUMMYFUNCTION("""COMPUTED_VALUE"""),314.31)</f>
        <v>314.31</v>
      </c>
      <c r="F398" s="1">
        <f ca="1">IFERROR(__xludf.DUMMYFUNCTION("""COMPUTED_VALUE"""),20461094)</f>
        <v>20461094</v>
      </c>
    </row>
    <row r="399" spans="1:6" ht="12.6">
      <c r="A399" s="2">
        <f ca="1">IFERROR(__xludf.DUMMYFUNCTION("""COMPUTED_VALUE"""),45141.6666666666)</f>
        <v>45141.666666666599</v>
      </c>
      <c r="B399" s="1">
        <f ca="1">IFERROR(__xludf.DUMMYFUNCTION("""COMPUTED_VALUE"""),309.93)</f>
        <v>309.93</v>
      </c>
      <c r="C399" s="1">
        <f ca="1">IFERROR(__xludf.DUMMYFUNCTION("""COMPUTED_VALUE"""),315.95)</f>
        <v>315.95</v>
      </c>
      <c r="D399" s="1">
        <f ca="1">IFERROR(__xludf.DUMMYFUNCTION("""COMPUTED_VALUE"""),309.93)</f>
        <v>309.93</v>
      </c>
      <c r="E399" s="1">
        <f ca="1">IFERROR(__xludf.DUMMYFUNCTION("""COMPUTED_VALUE"""),313.19)</f>
        <v>313.19</v>
      </c>
      <c r="F399" s="1">
        <f ca="1">IFERROR(__xludf.DUMMYFUNCTION("""COMPUTED_VALUE"""),15215422)</f>
        <v>15215422</v>
      </c>
    </row>
    <row r="400" spans="1:6" ht="12.6">
      <c r="A400" s="2">
        <f ca="1">IFERROR(__xludf.DUMMYFUNCTION("""COMPUTED_VALUE"""),45142.6666666666)</f>
        <v>45142.666666666599</v>
      </c>
      <c r="B400" s="1">
        <f ca="1">IFERROR(__xludf.DUMMYFUNCTION("""COMPUTED_VALUE"""),314.96)</f>
        <v>314.95999999999998</v>
      </c>
      <c r="C400" s="1">
        <f ca="1">IFERROR(__xludf.DUMMYFUNCTION("""COMPUTED_VALUE"""),318.41)</f>
        <v>318.41000000000003</v>
      </c>
      <c r="D400" s="1">
        <f ca="1">IFERROR(__xludf.DUMMYFUNCTION("""COMPUTED_VALUE"""),310.2)</f>
        <v>310.2</v>
      </c>
      <c r="E400" s="1">
        <f ca="1">IFERROR(__xludf.DUMMYFUNCTION("""COMPUTED_VALUE"""),310.73)</f>
        <v>310.73</v>
      </c>
      <c r="F400" s="1">
        <f ca="1">IFERROR(__xludf.DUMMYFUNCTION("""COMPUTED_VALUE"""),17612762)</f>
        <v>17612762</v>
      </c>
    </row>
    <row r="401" spans="1:6" ht="12.6">
      <c r="A401" s="2">
        <f ca="1">IFERROR(__xludf.DUMMYFUNCTION("""COMPUTED_VALUE"""),45145.6666666666)</f>
        <v>45145.666666666599</v>
      </c>
      <c r="B401" s="1">
        <f ca="1">IFERROR(__xludf.DUMMYFUNCTION("""COMPUTED_VALUE"""),313.23)</f>
        <v>313.23</v>
      </c>
      <c r="C401" s="1">
        <f ca="1">IFERROR(__xludf.DUMMYFUNCTION("""COMPUTED_VALUE"""),317.07)</f>
        <v>317.07</v>
      </c>
      <c r="D401" s="1">
        <f ca="1">IFERROR(__xludf.DUMMYFUNCTION("""COMPUTED_VALUE"""),310.46)</f>
        <v>310.45999999999998</v>
      </c>
      <c r="E401" s="1">
        <f ca="1">IFERROR(__xludf.DUMMYFUNCTION("""COMPUTED_VALUE"""),316.56)</f>
        <v>316.56</v>
      </c>
      <c r="F401" s="1">
        <f ca="1">IFERROR(__xludf.DUMMYFUNCTION("""COMPUTED_VALUE"""),16236504)</f>
        <v>16236504</v>
      </c>
    </row>
    <row r="402" spans="1:6" ht="12.6">
      <c r="A402" s="2">
        <f ca="1">IFERROR(__xludf.DUMMYFUNCTION("""COMPUTED_VALUE"""),45146.6666666666)</f>
        <v>45146.666666666599</v>
      </c>
      <c r="B402" s="1">
        <f ca="1">IFERROR(__xludf.DUMMYFUNCTION("""COMPUTED_VALUE"""),314.4)</f>
        <v>314.39999999999998</v>
      </c>
      <c r="C402" s="1">
        <f ca="1">IFERROR(__xludf.DUMMYFUNCTION("""COMPUTED_VALUE"""),317.89)</f>
        <v>317.89</v>
      </c>
      <c r="D402" s="1">
        <f ca="1">IFERROR(__xludf.DUMMYFUNCTION("""COMPUTED_VALUE"""),310.11)</f>
        <v>310.11</v>
      </c>
      <c r="E402" s="1">
        <f ca="1">IFERROR(__xludf.DUMMYFUNCTION("""COMPUTED_VALUE"""),312.64)</f>
        <v>312.64</v>
      </c>
      <c r="F402" s="1">
        <f ca="1">IFERROR(__xludf.DUMMYFUNCTION("""COMPUTED_VALUE"""),15183532)</f>
        <v>15183532</v>
      </c>
    </row>
    <row r="403" spans="1:6" ht="12.6">
      <c r="A403" s="2">
        <f ca="1">IFERROR(__xludf.DUMMYFUNCTION("""COMPUTED_VALUE"""),45147.6666666666)</f>
        <v>45147.666666666599</v>
      </c>
      <c r="B403" s="1">
        <f ca="1">IFERROR(__xludf.DUMMYFUNCTION("""COMPUTED_VALUE"""),312.88)</f>
        <v>312.88</v>
      </c>
      <c r="C403" s="1">
        <f ca="1">IFERROR(__xludf.DUMMYFUNCTION("""COMPUTED_VALUE"""),313.63)</f>
        <v>313.63</v>
      </c>
      <c r="D403" s="1">
        <f ca="1">IFERROR(__xludf.DUMMYFUNCTION("""COMPUTED_VALUE"""),302.85)</f>
        <v>302.85000000000002</v>
      </c>
      <c r="E403" s="1">
        <f ca="1">IFERROR(__xludf.DUMMYFUNCTION("""COMPUTED_VALUE"""),305.21)</f>
        <v>305.20999999999998</v>
      </c>
      <c r="F403" s="1">
        <f ca="1">IFERROR(__xludf.DUMMYFUNCTION("""COMPUTED_VALUE"""),19955783)</f>
        <v>19955783</v>
      </c>
    </row>
    <row r="404" spans="1:6" ht="12.6">
      <c r="A404" s="2">
        <f ca="1">IFERROR(__xludf.DUMMYFUNCTION("""COMPUTED_VALUE"""),45148.6666666666)</f>
        <v>45148.666666666599</v>
      </c>
      <c r="B404" s="1">
        <f ca="1">IFERROR(__xludf.DUMMYFUNCTION("""COMPUTED_VALUE"""),307.94)</f>
        <v>307.94</v>
      </c>
      <c r="C404" s="1">
        <f ca="1">IFERROR(__xludf.DUMMYFUNCTION("""COMPUTED_VALUE"""),312.34)</f>
        <v>312.33999999999997</v>
      </c>
      <c r="D404" s="1">
        <f ca="1">IFERROR(__xludf.DUMMYFUNCTION("""COMPUTED_VALUE"""),303.87)</f>
        <v>303.87</v>
      </c>
      <c r="E404" s="1">
        <f ca="1">IFERROR(__xludf.DUMMYFUNCTION("""COMPUTED_VALUE"""),305.74)</f>
        <v>305.74</v>
      </c>
      <c r="F404" s="1">
        <f ca="1">IFERROR(__xludf.DUMMYFUNCTION("""COMPUTED_VALUE"""),14358897)</f>
        <v>14358897</v>
      </c>
    </row>
    <row r="405" spans="1:6" ht="12.6">
      <c r="A405" s="2">
        <f ca="1">IFERROR(__xludf.DUMMYFUNCTION("""COMPUTED_VALUE"""),45149.6666666666)</f>
        <v>45149.666666666599</v>
      </c>
      <c r="B405" s="1">
        <f ca="1">IFERROR(__xludf.DUMMYFUNCTION("""COMPUTED_VALUE"""),302.57)</f>
        <v>302.57</v>
      </c>
      <c r="C405" s="1">
        <f ca="1">IFERROR(__xludf.DUMMYFUNCTION("""COMPUTED_VALUE"""),304.72)</f>
        <v>304.72000000000003</v>
      </c>
      <c r="D405" s="1">
        <f ca="1">IFERROR(__xludf.DUMMYFUNCTION("""COMPUTED_VALUE"""),300.36)</f>
        <v>300.36</v>
      </c>
      <c r="E405" s="1">
        <f ca="1">IFERROR(__xludf.DUMMYFUNCTION("""COMPUTED_VALUE"""),301.64)</f>
        <v>301.64</v>
      </c>
      <c r="F405" s="1">
        <f ca="1">IFERROR(__xludf.DUMMYFUNCTION("""COMPUTED_VALUE"""),14046250)</f>
        <v>14046250</v>
      </c>
    </row>
    <row r="406" spans="1:6" ht="12.6">
      <c r="A406" s="2">
        <f ca="1">IFERROR(__xludf.DUMMYFUNCTION("""COMPUTED_VALUE"""),45152.6666666666)</f>
        <v>45152.666666666599</v>
      </c>
      <c r="B406" s="1">
        <f ca="1">IFERROR(__xludf.DUMMYFUNCTION("""COMPUTED_VALUE"""),300.98)</f>
        <v>300.98</v>
      </c>
      <c r="C406" s="1">
        <f ca="1">IFERROR(__xludf.DUMMYFUNCTION("""COMPUTED_VALUE"""),306.21)</f>
        <v>306.20999999999998</v>
      </c>
      <c r="D406" s="1">
        <f ca="1">IFERROR(__xludf.DUMMYFUNCTION("""COMPUTED_VALUE"""),298.25)</f>
        <v>298.25</v>
      </c>
      <c r="E406" s="1">
        <f ca="1">IFERROR(__xludf.DUMMYFUNCTION("""COMPUTED_VALUE"""),306.19)</f>
        <v>306.19</v>
      </c>
      <c r="F406" s="1">
        <f ca="1">IFERROR(__xludf.DUMMYFUNCTION("""COMPUTED_VALUE"""),15641921)</f>
        <v>15641921</v>
      </c>
    </row>
    <row r="407" spans="1:6" ht="12.6">
      <c r="A407" s="2">
        <f ca="1">IFERROR(__xludf.DUMMYFUNCTION("""COMPUTED_VALUE"""),45153.6666666666)</f>
        <v>45153.666666666599</v>
      </c>
      <c r="B407" s="1">
        <f ca="1">IFERROR(__xludf.DUMMYFUNCTION("""COMPUTED_VALUE"""),306.14)</f>
        <v>306.14</v>
      </c>
      <c r="C407" s="1">
        <f ca="1">IFERROR(__xludf.DUMMYFUNCTION("""COMPUTED_VALUE"""),307.23)</f>
        <v>307.23</v>
      </c>
      <c r="D407" s="1">
        <f ca="1">IFERROR(__xludf.DUMMYFUNCTION("""COMPUTED_VALUE"""),300.03)</f>
        <v>300.02999999999997</v>
      </c>
      <c r="E407" s="1">
        <f ca="1">IFERROR(__xludf.DUMMYFUNCTION("""COMPUTED_VALUE"""),301.95)</f>
        <v>301.95</v>
      </c>
      <c r="F407" s="1">
        <f ca="1">IFERROR(__xludf.DUMMYFUNCTION("""COMPUTED_VALUE"""),11623613)</f>
        <v>11623613</v>
      </c>
    </row>
    <row r="408" spans="1:6" ht="12.6">
      <c r="A408" s="2">
        <f ca="1">IFERROR(__xludf.DUMMYFUNCTION("""COMPUTED_VALUE"""),45154.6666666666)</f>
        <v>45154.666666666599</v>
      </c>
      <c r="B408" s="1">
        <f ca="1">IFERROR(__xludf.DUMMYFUNCTION("""COMPUTED_VALUE"""),300.2)</f>
        <v>300.2</v>
      </c>
      <c r="C408" s="1">
        <f ca="1">IFERROR(__xludf.DUMMYFUNCTION("""COMPUTED_VALUE"""),301.08)</f>
        <v>301.08</v>
      </c>
      <c r="D408" s="1">
        <f ca="1">IFERROR(__xludf.DUMMYFUNCTION("""COMPUTED_VALUE"""),294.28)</f>
        <v>294.27999999999997</v>
      </c>
      <c r="E408" s="1">
        <f ca="1">IFERROR(__xludf.DUMMYFUNCTION("""COMPUTED_VALUE"""),294.29)</f>
        <v>294.29000000000002</v>
      </c>
      <c r="F408" s="1">
        <f ca="1">IFERROR(__xludf.DUMMYFUNCTION("""COMPUTED_VALUE"""),18547741)</f>
        <v>18547741</v>
      </c>
    </row>
    <row r="409" spans="1:6" ht="12.6">
      <c r="A409" s="2">
        <f ca="1">IFERROR(__xludf.DUMMYFUNCTION("""COMPUTED_VALUE"""),45155.6666666666)</f>
        <v>45155.666666666599</v>
      </c>
      <c r="B409" s="1">
        <f ca="1">IFERROR(__xludf.DUMMYFUNCTION("""COMPUTED_VALUE"""),293.05)</f>
        <v>293.05</v>
      </c>
      <c r="C409" s="1">
        <f ca="1">IFERROR(__xludf.DUMMYFUNCTION("""COMPUTED_VALUE"""),296.05)</f>
        <v>296.05</v>
      </c>
      <c r="D409" s="1">
        <f ca="1">IFERROR(__xludf.DUMMYFUNCTION("""COMPUTED_VALUE"""),284.95)</f>
        <v>284.95</v>
      </c>
      <c r="E409" s="1">
        <f ca="1">IFERROR(__xludf.DUMMYFUNCTION("""COMPUTED_VALUE"""),285.09)</f>
        <v>285.08999999999997</v>
      </c>
      <c r="F409" s="1">
        <f ca="1">IFERROR(__xludf.DUMMYFUNCTION("""COMPUTED_VALUE"""),23950089)</f>
        <v>23950089</v>
      </c>
    </row>
    <row r="410" spans="1:6" ht="12.6">
      <c r="A410" s="2">
        <f ca="1">IFERROR(__xludf.DUMMYFUNCTION("""COMPUTED_VALUE"""),45156.6666666666)</f>
        <v>45156.666666666599</v>
      </c>
      <c r="B410" s="1">
        <f ca="1">IFERROR(__xludf.DUMMYFUNCTION("""COMPUTED_VALUE"""),279.03)</f>
        <v>279.02999999999997</v>
      </c>
      <c r="C410" s="1">
        <f ca="1">IFERROR(__xludf.DUMMYFUNCTION("""COMPUTED_VALUE"""),285.69)</f>
        <v>285.69</v>
      </c>
      <c r="D410" s="1">
        <f ca="1">IFERROR(__xludf.DUMMYFUNCTION("""COMPUTED_VALUE"""),274.38)</f>
        <v>274.38</v>
      </c>
      <c r="E410" s="1">
        <f ca="1">IFERROR(__xludf.DUMMYFUNCTION("""COMPUTED_VALUE"""),283.25)</f>
        <v>283.25</v>
      </c>
      <c r="F410" s="1">
        <f ca="1">IFERROR(__xludf.DUMMYFUNCTION("""COMPUTED_VALUE"""),35347925)</f>
        <v>35347925</v>
      </c>
    </row>
    <row r="411" spans="1:6" ht="12.6">
      <c r="A411" s="2">
        <f ca="1">IFERROR(__xludf.DUMMYFUNCTION("""COMPUTED_VALUE"""),45159.6666666666)</f>
        <v>45159.666666666599</v>
      </c>
      <c r="B411" s="1">
        <f ca="1">IFERROR(__xludf.DUMMYFUNCTION("""COMPUTED_VALUE"""),283.45)</f>
        <v>283.45</v>
      </c>
      <c r="C411" s="1">
        <f ca="1">IFERROR(__xludf.DUMMYFUNCTION("""COMPUTED_VALUE"""),290.5)</f>
        <v>290.5</v>
      </c>
      <c r="D411" s="1">
        <f ca="1">IFERROR(__xludf.DUMMYFUNCTION("""COMPUTED_VALUE"""),281.85)</f>
        <v>281.85000000000002</v>
      </c>
      <c r="E411" s="1">
        <f ca="1">IFERROR(__xludf.DUMMYFUNCTION("""COMPUTED_VALUE"""),289.9)</f>
        <v>289.89999999999998</v>
      </c>
      <c r="F411" s="1">
        <f ca="1">IFERROR(__xludf.DUMMYFUNCTION("""COMPUTED_VALUE"""),20181475)</f>
        <v>20181475</v>
      </c>
    </row>
    <row r="412" spans="1:6" ht="12.6">
      <c r="A412" s="2">
        <f ca="1">IFERROR(__xludf.DUMMYFUNCTION("""COMPUTED_VALUE"""),45160.6666666666)</f>
        <v>45160.666666666599</v>
      </c>
      <c r="B412" s="1">
        <f ca="1">IFERROR(__xludf.DUMMYFUNCTION("""COMPUTED_VALUE"""),292.55)</f>
        <v>292.55</v>
      </c>
      <c r="C412" s="1">
        <f ca="1">IFERROR(__xludf.DUMMYFUNCTION("""COMPUTED_VALUE"""),292.9)</f>
        <v>292.89999999999998</v>
      </c>
      <c r="D412" s="1">
        <f ca="1">IFERROR(__xludf.DUMMYFUNCTION("""COMPUTED_VALUE"""),286.75)</f>
        <v>286.75</v>
      </c>
      <c r="E412" s="1">
        <f ca="1">IFERROR(__xludf.DUMMYFUNCTION("""COMPUTED_VALUE"""),287.6)</f>
        <v>287.60000000000002</v>
      </c>
      <c r="F412" s="1">
        <f ca="1">IFERROR(__xludf.DUMMYFUNCTION("""COMPUTED_VALUE"""),12999913)</f>
        <v>12999913</v>
      </c>
    </row>
    <row r="413" spans="1:6" ht="12.6">
      <c r="A413" s="2">
        <f ca="1">IFERROR(__xludf.DUMMYFUNCTION("""COMPUTED_VALUE"""),45161.6666666666)</f>
        <v>45161.666666666599</v>
      </c>
      <c r="B413" s="1">
        <f ca="1">IFERROR(__xludf.DUMMYFUNCTION("""COMPUTED_VALUE"""),288.5)</f>
        <v>288.5</v>
      </c>
      <c r="C413" s="1">
        <f ca="1">IFERROR(__xludf.DUMMYFUNCTION("""COMPUTED_VALUE"""),297.4)</f>
        <v>297.39999999999998</v>
      </c>
      <c r="D413" s="1">
        <f ca="1">IFERROR(__xludf.DUMMYFUNCTION("""COMPUTED_VALUE"""),287.67)</f>
        <v>287.67</v>
      </c>
      <c r="E413" s="1">
        <f ca="1">IFERROR(__xludf.DUMMYFUNCTION("""COMPUTED_VALUE"""),294.24)</f>
        <v>294.24</v>
      </c>
      <c r="F413" s="1">
        <f ca="1">IFERROR(__xludf.DUMMYFUNCTION("""COMPUTED_VALUE"""),18287001)</f>
        <v>18287001</v>
      </c>
    </row>
    <row r="414" spans="1:6" ht="12.6">
      <c r="A414" s="2">
        <f ca="1">IFERROR(__xludf.DUMMYFUNCTION("""COMPUTED_VALUE"""),45162.6666666666)</f>
        <v>45162.666666666599</v>
      </c>
      <c r="B414" s="1">
        <f ca="1">IFERROR(__xludf.DUMMYFUNCTION("""COMPUTED_VALUE"""),298.5)</f>
        <v>298.5</v>
      </c>
      <c r="C414" s="1">
        <f ca="1">IFERROR(__xludf.DUMMYFUNCTION("""COMPUTED_VALUE"""),299.46)</f>
        <v>299.45999999999998</v>
      </c>
      <c r="D414" s="1">
        <f ca="1">IFERROR(__xludf.DUMMYFUNCTION("""COMPUTED_VALUE"""),286.64)</f>
        <v>286.64</v>
      </c>
      <c r="E414" s="1">
        <f ca="1">IFERROR(__xludf.DUMMYFUNCTION("""COMPUTED_VALUE"""),286.75)</f>
        <v>286.75</v>
      </c>
      <c r="F414" s="1">
        <f ca="1">IFERROR(__xludf.DUMMYFUNCTION("""COMPUTED_VALUE"""),18360882)</f>
        <v>18360882</v>
      </c>
    </row>
    <row r="415" spans="1:6" ht="12.6">
      <c r="A415" s="2">
        <f ca="1">IFERROR(__xludf.DUMMYFUNCTION("""COMPUTED_VALUE"""),45163.6666666666)</f>
        <v>45163.666666666599</v>
      </c>
      <c r="B415" s="1">
        <f ca="1">IFERROR(__xludf.DUMMYFUNCTION("""COMPUTED_VALUE"""),286.13)</f>
        <v>286.13</v>
      </c>
      <c r="C415" s="1">
        <f ca="1">IFERROR(__xludf.DUMMYFUNCTION("""COMPUTED_VALUE"""),288.39)</f>
        <v>288.39</v>
      </c>
      <c r="D415" s="1">
        <f ca="1">IFERROR(__xludf.DUMMYFUNCTION("""COMPUTED_VALUE"""),276.03)</f>
        <v>276.02999999999997</v>
      </c>
      <c r="E415" s="1">
        <f ca="1">IFERROR(__xludf.DUMMYFUNCTION("""COMPUTED_VALUE"""),285.5)</f>
        <v>285.5</v>
      </c>
      <c r="F415" s="1">
        <f ca="1">IFERROR(__xludf.DUMMYFUNCTION("""COMPUTED_VALUE"""),23701443)</f>
        <v>23701443</v>
      </c>
    </row>
    <row r="416" spans="1:6" ht="12.6">
      <c r="A416" s="2">
        <f ca="1">IFERROR(__xludf.DUMMYFUNCTION("""COMPUTED_VALUE"""),45166.6666666666)</f>
        <v>45166.666666666599</v>
      </c>
      <c r="B416" s="1">
        <f ca="1">IFERROR(__xludf.DUMMYFUNCTION("""COMPUTED_VALUE"""),288)</f>
        <v>288</v>
      </c>
      <c r="C416" s="1">
        <f ca="1">IFERROR(__xludf.DUMMYFUNCTION("""COMPUTED_VALUE"""),291.45)</f>
        <v>291.45</v>
      </c>
      <c r="D416" s="1">
        <f ca="1">IFERROR(__xludf.DUMMYFUNCTION("""COMPUTED_VALUE"""),285.8)</f>
        <v>285.8</v>
      </c>
      <c r="E416" s="1">
        <f ca="1">IFERROR(__xludf.DUMMYFUNCTION("""COMPUTED_VALUE"""),290.26)</f>
        <v>290.26</v>
      </c>
      <c r="F416" s="1">
        <f ca="1">IFERROR(__xludf.DUMMYFUNCTION("""COMPUTED_VALUE"""),14239285)</f>
        <v>14239285</v>
      </c>
    </row>
    <row r="417" spans="1:6" ht="12.6">
      <c r="A417" s="2">
        <f ca="1">IFERROR(__xludf.DUMMYFUNCTION("""COMPUTED_VALUE"""),45167.6666666666)</f>
        <v>45167.666666666599</v>
      </c>
      <c r="B417" s="1">
        <f ca="1">IFERROR(__xludf.DUMMYFUNCTION("""COMPUTED_VALUE"""),288.58)</f>
        <v>288.58</v>
      </c>
      <c r="C417" s="1">
        <f ca="1">IFERROR(__xludf.DUMMYFUNCTION("""COMPUTED_VALUE"""),299.15)</f>
        <v>299.14999999999998</v>
      </c>
      <c r="D417" s="1">
        <f ca="1">IFERROR(__xludf.DUMMYFUNCTION("""COMPUTED_VALUE"""),288.18)</f>
        <v>288.18</v>
      </c>
      <c r="E417" s="1">
        <f ca="1">IFERROR(__xludf.DUMMYFUNCTION("""COMPUTED_VALUE"""),297.99)</f>
        <v>297.99</v>
      </c>
      <c r="F417" s="1">
        <f ca="1">IFERROR(__xludf.DUMMYFUNCTION("""COMPUTED_VALUE"""),20844522)</f>
        <v>20844522</v>
      </c>
    </row>
    <row r="418" spans="1:6" ht="12.6">
      <c r="A418" s="2">
        <f ca="1">IFERROR(__xludf.DUMMYFUNCTION("""COMPUTED_VALUE"""),45168.6666666666)</f>
        <v>45168.666666666599</v>
      </c>
      <c r="B418" s="1">
        <f ca="1">IFERROR(__xludf.DUMMYFUNCTION("""COMPUTED_VALUE"""),297.17)</f>
        <v>297.17</v>
      </c>
      <c r="C418" s="1">
        <f ca="1">IFERROR(__xludf.DUMMYFUNCTION("""COMPUTED_VALUE"""),298.29)</f>
        <v>298.29000000000002</v>
      </c>
      <c r="D418" s="1">
        <f ca="1">IFERROR(__xludf.DUMMYFUNCTION("""COMPUTED_VALUE"""),293.43)</f>
        <v>293.43</v>
      </c>
      <c r="E418" s="1">
        <f ca="1">IFERROR(__xludf.DUMMYFUNCTION("""COMPUTED_VALUE"""),295.1)</f>
        <v>295.10000000000002</v>
      </c>
      <c r="F418" s="1">
        <f ca="1">IFERROR(__xludf.DUMMYFUNCTION("""COMPUTED_VALUE"""),17717024)</f>
        <v>17717024</v>
      </c>
    </row>
    <row r="419" spans="1:6" ht="12.6">
      <c r="A419" s="2">
        <f ca="1">IFERROR(__xludf.DUMMYFUNCTION("""COMPUTED_VALUE"""),45169.6666666666)</f>
        <v>45169.666666666599</v>
      </c>
      <c r="B419" s="1">
        <f ca="1">IFERROR(__xludf.DUMMYFUNCTION("""COMPUTED_VALUE"""),295.8)</f>
        <v>295.8</v>
      </c>
      <c r="C419" s="1">
        <f ca="1">IFERROR(__xludf.DUMMYFUNCTION("""COMPUTED_VALUE"""),301.1)</f>
        <v>301.10000000000002</v>
      </c>
      <c r="D419" s="1">
        <f ca="1">IFERROR(__xludf.DUMMYFUNCTION("""COMPUTED_VALUE"""),295.66)</f>
        <v>295.66000000000003</v>
      </c>
      <c r="E419" s="1">
        <f ca="1">IFERROR(__xludf.DUMMYFUNCTION("""COMPUTED_VALUE"""),295.89)</f>
        <v>295.89</v>
      </c>
      <c r="F419" s="1">
        <f ca="1">IFERROR(__xludf.DUMMYFUNCTION("""COMPUTED_VALUE"""),17229865)</f>
        <v>17229865</v>
      </c>
    </row>
    <row r="420" spans="1:6" ht="12.6">
      <c r="A420" s="2">
        <f ca="1">IFERROR(__xludf.DUMMYFUNCTION("""COMPUTED_VALUE"""),45170.6666666666)</f>
        <v>45170.666666666599</v>
      </c>
      <c r="B420" s="1">
        <f ca="1">IFERROR(__xludf.DUMMYFUNCTION("""COMPUTED_VALUE"""),299.37)</f>
        <v>299.37</v>
      </c>
      <c r="C420" s="1">
        <f ca="1">IFERROR(__xludf.DUMMYFUNCTION("""COMPUTED_VALUE"""),301.74)</f>
        <v>301.74</v>
      </c>
      <c r="D420" s="1">
        <f ca="1">IFERROR(__xludf.DUMMYFUNCTION("""COMPUTED_VALUE"""),294.47)</f>
        <v>294.47000000000003</v>
      </c>
      <c r="E420" s="1">
        <f ca="1">IFERROR(__xludf.DUMMYFUNCTION("""COMPUTED_VALUE"""),296.38)</f>
        <v>296.38</v>
      </c>
      <c r="F420" s="1">
        <f ca="1">IFERROR(__xludf.DUMMYFUNCTION("""COMPUTED_VALUE"""),12842257)</f>
        <v>12842257</v>
      </c>
    </row>
    <row r="421" spans="1:6" ht="12.6">
      <c r="A421" s="2">
        <f ca="1">IFERROR(__xludf.DUMMYFUNCTION("""COMPUTED_VALUE"""),45174.6666666666)</f>
        <v>45174.666666666599</v>
      </c>
      <c r="B421" s="1">
        <f ca="1">IFERROR(__xludf.DUMMYFUNCTION("""COMPUTED_VALUE"""),297.02)</f>
        <v>297.02</v>
      </c>
      <c r="C421" s="1">
        <f ca="1">IFERROR(__xludf.DUMMYFUNCTION("""COMPUTED_VALUE"""),301.39)</f>
        <v>301.39</v>
      </c>
      <c r="D421" s="1">
        <f ca="1">IFERROR(__xludf.DUMMYFUNCTION("""COMPUTED_VALUE"""),295.51)</f>
        <v>295.51</v>
      </c>
      <c r="E421" s="1">
        <f ca="1">IFERROR(__xludf.DUMMYFUNCTION("""COMPUTED_VALUE"""),300.15)</f>
        <v>300.14999999999998</v>
      </c>
      <c r="F421" s="1">
        <f ca="1">IFERROR(__xludf.DUMMYFUNCTION("""COMPUTED_VALUE"""),14955989)</f>
        <v>14955989</v>
      </c>
    </row>
    <row r="422" spans="1:6" ht="12.6">
      <c r="A422" s="2">
        <f ca="1">IFERROR(__xludf.DUMMYFUNCTION("""COMPUTED_VALUE"""),45175.6666666666)</f>
        <v>45175.666666666599</v>
      </c>
      <c r="B422" s="1">
        <f ca="1">IFERROR(__xludf.DUMMYFUNCTION("""COMPUTED_VALUE"""),301.71)</f>
        <v>301.70999999999998</v>
      </c>
      <c r="C422" s="1">
        <f ca="1">IFERROR(__xludf.DUMMYFUNCTION("""COMPUTED_VALUE"""),303.3)</f>
        <v>303.3</v>
      </c>
      <c r="D422" s="1">
        <f ca="1">IFERROR(__xludf.DUMMYFUNCTION("""COMPUTED_VALUE"""),295.66)</f>
        <v>295.66000000000003</v>
      </c>
      <c r="E422" s="1">
        <f ca="1">IFERROR(__xludf.DUMMYFUNCTION("""COMPUTED_VALUE"""),299.17)</f>
        <v>299.17</v>
      </c>
      <c r="F422" s="1">
        <f ca="1">IFERROR(__xludf.DUMMYFUNCTION("""COMPUTED_VALUE"""),15418092)</f>
        <v>15418092</v>
      </c>
    </row>
    <row r="423" spans="1:6" ht="12.6">
      <c r="A423" s="2">
        <f ca="1">IFERROR(__xludf.DUMMYFUNCTION("""COMPUTED_VALUE"""),45176.6666666666)</f>
        <v>45176.666666666599</v>
      </c>
      <c r="B423" s="1">
        <f ca="1">IFERROR(__xludf.DUMMYFUNCTION("""COMPUTED_VALUE"""),298)</f>
        <v>298</v>
      </c>
      <c r="C423" s="1">
        <f ca="1">IFERROR(__xludf.DUMMYFUNCTION("""COMPUTED_VALUE"""),307.05)</f>
        <v>307.05</v>
      </c>
      <c r="D423" s="1">
        <f ca="1">IFERROR(__xludf.DUMMYFUNCTION("""COMPUTED_VALUE"""),292.22)</f>
        <v>292.22000000000003</v>
      </c>
      <c r="E423" s="1">
        <f ca="1">IFERROR(__xludf.DUMMYFUNCTION("""COMPUTED_VALUE"""),298.67)</f>
        <v>298.67</v>
      </c>
      <c r="F423" s="1">
        <f ca="1">IFERROR(__xludf.DUMMYFUNCTION("""COMPUTED_VALUE"""),33748737)</f>
        <v>33748737</v>
      </c>
    </row>
    <row r="424" spans="1:6" ht="12.6">
      <c r="A424" s="2">
        <f ca="1">IFERROR(__xludf.DUMMYFUNCTION("""COMPUTED_VALUE"""),45177.6666666666)</f>
        <v>45177.666666666599</v>
      </c>
      <c r="B424" s="1">
        <f ca="1">IFERROR(__xludf.DUMMYFUNCTION("""COMPUTED_VALUE"""),299.22)</f>
        <v>299.22000000000003</v>
      </c>
      <c r="C424" s="1">
        <f ca="1">IFERROR(__xludf.DUMMYFUNCTION("""COMPUTED_VALUE"""),305.25)</f>
        <v>305.25</v>
      </c>
      <c r="D424" s="1">
        <f ca="1">IFERROR(__xludf.DUMMYFUNCTION("""COMPUTED_VALUE"""),296.78)</f>
        <v>296.77999999999997</v>
      </c>
      <c r="E424" s="1">
        <f ca="1">IFERROR(__xludf.DUMMYFUNCTION("""COMPUTED_VALUE"""),297.89)</f>
        <v>297.89</v>
      </c>
      <c r="F424" s="1">
        <f ca="1">IFERROR(__xludf.DUMMYFUNCTION("""COMPUTED_VALUE"""),17572203)</f>
        <v>17572203</v>
      </c>
    </row>
    <row r="425" spans="1:6" ht="12.6">
      <c r="A425" s="2">
        <f ca="1">IFERROR(__xludf.DUMMYFUNCTION("""COMPUTED_VALUE"""),45180.6666666666)</f>
        <v>45180.666666666599</v>
      </c>
      <c r="B425" s="1">
        <f ca="1">IFERROR(__xludf.DUMMYFUNCTION("""COMPUTED_VALUE"""),301.41)</f>
        <v>301.41000000000003</v>
      </c>
      <c r="C425" s="1">
        <f ca="1">IFERROR(__xludf.DUMMYFUNCTION("""COMPUTED_VALUE"""),309.04)</f>
        <v>309.04000000000002</v>
      </c>
      <c r="D425" s="1">
        <f ca="1">IFERROR(__xludf.DUMMYFUNCTION("""COMPUTED_VALUE"""),301.28)</f>
        <v>301.27999999999997</v>
      </c>
      <c r="E425" s="1">
        <f ca="1">IFERROR(__xludf.DUMMYFUNCTION("""COMPUTED_VALUE"""),307.56)</f>
        <v>307.56</v>
      </c>
      <c r="F425" s="1">
        <f ca="1">IFERROR(__xludf.DUMMYFUNCTION("""COMPUTED_VALUE"""),19489330)</f>
        <v>19489330</v>
      </c>
    </row>
    <row r="426" spans="1:6" ht="12.6">
      <c r="A426" s="2">
        <f ca="1">IFERROR(__xludf.DUMMYFUNCTION("""COMPUTED_VALUE"""),45181.6666666666)</f>
        <v>45181.666666666599</v>
      </c>
      <c r="B426" s="1">
        <f ca="1">IFERROR(__xludf.DUMMYFUNCTION("""COMPUTED_VALUE"""),306.33)</f>
        <v>306.33</v>
      </c>
      <c r="C426" s="1">
        <f ca="1">IFERROR(__xludf.DUMMYFUNCTION("""COMPUTED_VALUE"""),308.66)</f>
        <v>308.66000000000003</v>
      </c>
      <c r="D426" s="1">
        <f ca="1">IFERROR(__xludf.DUMMYFUNCTION("""COMPUTED_VALUE"""),300.23)</f>
        <v>300.23</v>
      </c>
      <c r="E426" s="1">
        <f ca="1">IFERROR(__xludf.DUMMYFUNCTION("""COMPUTED_VALUE"""),301.66)</f>
        <v>301.66000000000003</v>
      </c>
      <c r="F426" s="1">
        <f ca="1">IFERROR(__xludf.DUMMYFUNCTION("""COMPUTED_VALUE"""),13480400)</f>
        <v>13480400</v>
      </c>
    </row>
    <row r="427" spans="1:6" ht="12.6">
      <c r="A427" s="2">
        <f ca="1">IFERROR(__xludf.DUMMYFUNCTION("""COMPUTED_VALUE"""),45182.6666666666)</f>
        <v>45182.666666666599</v>
      </c>
      <c r="B427" s="1">
        <f ca="1">IFERROR(__xludf.DUMMYFUNCTION("""COMPUTED_VALUE"""),302.36)</f>
        <v>302.36</v>
      </c>
      <c r="C427" s="1">
        <f ca="1">IFERROR(__xludf.DUMMYFUNCTION("""COMPUTED_VALUE"""),307.18)</f>
        <v>307.18</v>
      </c>
      <c r="D427" s="1">
        <f ca="1">IFERROR(__xludf.DUMMYFUNCTION("""COMPUTED_VALUE"""),301.32)</f>
        <v>301.32</v>
      </c>
      <c r="E427" s="1">
        <f ca="1">IFERROR(__xludf.DUMMYFUNCTION("""COMPUTED_VALUE"""),305.06)</f>
        <v>305.06</v>
      </c>
      <c r="F427" s="1">
        <f ca="1">IFERROR(__xludf.DUMMYFUNCTION("""COMPUTED_VALUE"""),13210915)</f>
        <v>13210915</v>
      </c>
    </row>
    <row r="428" spans="1:6" ht="12.6">
      <c r="A428" s="2">
        <f ca="1">IFERROR(__xludf.DUMMYFUNCTION("""COMPUTED_VALUE"""),45183.6666666666)</f>
        <v>45183.666666666599</v>
      </c>
      <c r="B428" s="1">
        <f ca="1">IFERROR(__xludf.DUMMYFUNCTION("""COMPUTED_VALUE"""),306.74)</f>
        <v>306.74</v>
      </c>
      <c r="C428" s="1">
        <f ca="1">IFERROR(__xludf.DUMMYFUNCTION("""COMPUTED_VALUE"""),312.87)</f>
        <v>312.87</v>
      </c>
      <c r="D428" s="1">
        <f ca="1">IFERROR(__xludf.DUMMYFUNCTION("""COMPUTED_VALUE"""),305.03)</f>
        <v>305.02999999999997</v>
      </c>
      <c r="E428" s="1">
        <f ca="1">IFERROR(__xludf.DUMMYFUNCTION("""COMPUTED_VALUE"""),311.72)</f>
        <v>311.72000000000003</v>
      </c>
      <c r="F428" s="1">
        <f ca="1">IFERROR(__xludf.DUMMYFUNCTION("""COMPUTED_VALUE"""),19343102)</f>
        <v>19343102</v>
      </c>
    </row>
    <row r="429" spans="1:6" ht="12.6">
      <c r="A429" s="2">
        <f ca="1">IFERROR(__xludf.DUMMYFUNCTION("""COMPUTED_VALUE"""),45184.6666666666)</f>
        <v>45184.666666666599</v>
      </c>
      <c r="B429" s="1">
        <f ca="1">IFERROR(__xludf.DUMMYFUNCTION("""COMPUTED_VALUE"""),311.61)</f>
        <v>311.61</v>
      </c>
      <c r="C429" s="1">
        <f ca="1">IFERROR(__xludf.DUMMYFUNCTION("""COMPUTED_VALUE"""),312)</f>
        <v>312</v>
      </c>
      <c r="D429" s="1">
        <f ca="1">IFERROR(__xludf.DUMMYFUNCTION("""COMPUTED_VALUE"""),298.75)</f>
        <v>298.75</v>
      </c>
      <c r="E429" s="1">
        <f ca="1">IFERROR(__xludf.DUMMYFUNCTION("""COMPUTED_VALUE"""),300.31)</f>
        <v>300.31</v>
      </c>
      <c r="F429" s="1">
        <f ca="1">IFERROR(__xludf.DUMMYFUNCTION("""COMPUTED_VALUE"""),28131140)</f>
        <v>28131140</v>
      </c>
    </row>
    <row r="430" spans="1:6" ht="12.6">
      <c r="A430" s="2">
        <f ca="1">IFERROR(__xludf.DUMMYFUNCTION("""COMPUTED_VALUE"""),45187.6666666666)</f>
        <v>45187.666666666599</v>
      </c>
      <c r="B430" s="1">
        <f ca="1">IFERROR(__xludf.DUMMYFUNCTION("""COMPUTED_VALUE"""),298.19)</f>
        <v>298.19</v>
      </c>
      <c r="C430" s="1">
        <f ca="1">IFERROR(__xludf.DUMMYFUNCTION("""COMPUTED_VALUE"""),303.6)</f>
        <v>303.60000000000002</v>
      </c>
      <c r="D430" s="1">
        <f ca="1">IFERROR(__xludf.DUMMYFUNCTION("""COMPUTED_VALUE"""),297.8)</f>
        <v>297.8</v>
      </c>
      <c r="E430" s="1">
        <f ca="1">IFERROR(__xludf.DUMMYFUNCTION("""COMPUTED_VALUE"""),302.55)</f>
        <v>302.55</v>
      </c>
      <c r="F430" s="1">
        <f ca="1">IFERROR(__xludf.DUMMYFUNCTION("""COMPUTED_VALUE"""),14234158)</f>
        <v>14234158</v>
      </c>
    </row>
    <row r="431" spans="1:6" ht="12.6">
      <c r="A431" s="2">
        <f ca="1">IFERROR(__xludf.DUMMYFUNCTION("""COMPUTED_VALUE"""),45188.6666666666)</f>
        <v>45188.666666666599</v>
      </c>
      <c r="B431" s="1">
        <f ca="1">IFERROR(__xludf.DUMMYFUNCTION("""COMPUTED_VALUE"""),302.48)</f>
        <v>302.48</v>
      </c>
      <c r="C431" s="1">
        <f ca="1">IFERROR(__xludf.DUMMYFUNCTION("""COMPUTED_VALUE"""),306.17)</f>
        <v>306.17</v>
      </c>
      <c r="D431" s="1">
        <f ca="1">IFERROR(__xludf.DUMMYFUNCTION("""COMPUTED_VALUE"""),299.81)</f>
        <v>299.81</v>
      </c>
      <c r="E431" s="1">
        <f ca="1">IFERROR(__xludf.DUMMYFUNCTION("""COMPUTED_VALUE"""),305.07)</f>
        <v>305.07</v>
      </c>
      <c r="F431" s="1">
        <f ca="1">IFERROR(__xludf.DUMMYFUNCTION("""COMPUTED_VALUE"""),15931618)</f>
        <v>15931618</v>
      </c>
    </row>
    <row r="432" spans="1:6" ht="12.6">
      <c r="A432" s="2">
        <f ca="1">IFERROR(__xludf.DUMMYFUNCTION("""COMPUTED_VALUE"""),45189.6666666666)</f>
        <v>45189.666666666599</v>
      </c>
      <c r="B432" s="1">
        <f ca="1">IFERROR(__xludf.DUMMYFUNCTION("""COMPUTED_VALUE"""),305.05)</f>
        <v>305.05</v>
      </c>
      <c r="C432" s="1">
        <f ca="1">IFERROR(__xludf.DUMMYFUNCTION("""COMPUTED_VALUE"""),308.06)</f>
        <v>308.06</v>
      </c>
      <c r="D432" s="1">
        <f ca="1">IFERROR(__xludf.DUMMYFUNCTION("""COMPUTED_VALUE"""),299.43)</f>
        <v>299.43</v>
      </c>
      <c r="E432" s="1">
        <f ca="1">IFERROR(__xludf.DUMMYFUNCTION("""COMPUTED_VALUE"""),299.67)</f>
        <v>299.67</v>
      </c>
      <c r="F432" s="1">
        <f ca="1">IFERROR(__xludf.DUMMYFUNCTION("""COMPUTED_VALUE"""),19379515)</f>
        <v>19379515</v>
      </c>
    </row>
    <row r="433" spans="1:6" ht="12.6">
      <c r="A433" s="2">
        <f ca="1">IFERROR(__xludf.DUMMYFUNCTION("""COMPUTED_VALUE"""),45190.6666666666)</f>
        <v>45190.666666666599</v>
      </c>
      <c r="B433" s="1">
        <f ca="1">IFERROR(__xludf.DUMMYFUNCTION("""COMPUTED_VALUE"""),295.7)</f>
        <v>295.7</v>
      </c>
      <c r="C433" s="1">
        <f ca="1">IFERROR(__xludf.DUMMYFUNCTION("""COMPUTED_VALUE"""),300.26)</f>
        <v>300.26</v>
      </c>
      <c r="D433" s="1">
        <f ca="1">IFERROR(__xludf.DUMMYFUNCTION("""COMPUTED_VALUE"""),293.27)</f>
        <v>293.27</v>
      </c>
      <c r="E433" s="1">
        <f ca="1">IFERROR(__xludf.DUMMYFUNCTION("""COMPUTED_VALUE"""),295.73)</f>
        <v>295.73</v>
      </c>
      <c r="F433" s="1">
        <f ca="1">IFERROR(__xludf.DUMMYFUNCTION("""COMPUTED_VALUE"""),21319582)</f>
        <v>21319582</v>
      </c>
    </row>
    <row r="434" spans="1:6" ht="12.6">
      <c r="A434" s="2">
        <f ca="1">IFERROR(__xludf.DUMMYFUNCTION("""COMPUTED_VALUE"""),45191.6666666666)</f>
        <v>45191.666666666599</v>
      </c>
      <c r="B434" s="1">
        <f ca="1">IFERROR(__xludf.DUMMYFUNCTION("""COMPUTED_VALUE"""),299.3)</f>
        <v>299.3</v>
      </c>
      <c r="C434" s="1">
        <f ca="1">IFERROR(__xludf.DUMMYFUNCTION("""COMPUTED_VALUE"""),305.38)</f>
        <v>305.38</v>
      </c>
      <c r="D434" s="1">
        <f ca="1">IFERROR(__xludf.DUMMYFUNCTION("""COMPUTED_VALUE"""),298.27)</f>
        <v>298.27</v>
      </c>
      <c r="E434" s="1">
        <f ca="1">IFERROR(__xludf.DUMMYFUNCTION("""COMPUTED_VALUE"""),299.08)</f>
        <v>299.08</v>
      </c>
      <c r="F434" s="1">
        <f ca="1">IFERROR(__xludf.DUMMYFUNCTION("""COMPUTED_VALUE"""),25369592)</f>
        <v>25369592</v>
      </c>
    </row>
    <row r="435" spans="1:6" ht="12.6">
      <c r="A435" s="2">
        <f ca="1">IFERROR(__xludf.DUMMYFUNCTION("""COMPUTED_VALUE"""),45194.6666666666)</f>
        <v>45194.666666666599</v>
      </c>
      <c r="B435" s="1">
        <f ca="1">IFERROR(__xludf.DUMMYFUNCTION("""COMPUTED_VALUE"""),295.64)</f>
        <v>295.64</v>
      </c>
      <c r="C435" s="1">
        <f ca="1">IFERROR(__xludf.DUMMYFUNCTION("""COMPUTED_VALUE"""),300.95)</f>
        <v>300.95</v>
      </c>
      <c r="D435" s="1">
        <f ca="1">IFERROR(__xludf.DUMMYFUNCTION("""COMPUTED_VALUE"""),293.7)</f>
        <v>293.7</v>
      </c>
      <c r="E435" s="1">
        <f ca="1">IFERROR(__xludf.DUMMYFUNCTION("""COMPUTED_VALUE"""),300.83)</f>
        <v>300.83</v>
      </c>
      <c r="F435" s="1">
        <f ca="1">IFERROR(__xludf.DUMMYFUNCTION("""COMPUTED_VALUE"""),18987014)</f>
        <v>18987014</v>
      </c>
    </row>
    <row r="436" spans="1:6" ht="12.6">
      <c r="A436" s="2">
        <f ca="1">IFERROR(__xludf.DUMMYFUNCTION("""COMPUTED_VALUE"""),45195.6666666666)</f>
        <v>45195.666666666599</v>
      </c>
      <c r="B436" s="1">
        <f ca="1">IFERROR(__xludf.DUMMYFUNCTION("""COMPUTED_VALUE"""),297.66)</f>
        <v>297.66000000000003</v>
      </c>
      <c r="C436" s="1">
        <f ca="1">IFERROR(__xludf.DUMMYFUNCTION("""COMPUTED_VALUE"""),300.3)</f>
        <v>300.3</v>
      </c>
      <c r="D436" s="1">
        <f ca="1">IFERROR(__xludf.DUMMYFUNCTION("""COMPUTED_VALUE"""),296.01)</f>
        <v>296.01</v>
      </c>
      <c r="E436" s="1">
        <f ca="1">IFERROR(__xludf.DUMMYFUNCTION("""COMPUTED_VALUE"""),298.96)</f>
        <v>298.95999999999998</v>
      </c>
      <c r="F436" s="1">
        <f ca="1">IFERROR(__xludf.DUMMYFUNCTION("""COMPUTED_VALUE"""),19417161)</f>
        <v>19417161</v>
      </c>
    </row>
    <row r="437" spans="1:6" ht="12.6">
      <c r="A437" s="2">
        <f ca="1">IFERROR(__xludf.DUMMYFUNCTION("""COMPUTED_VALUE"""),45196.6666666666)</f>
        <v>45196.666666666599</v>
      </c>
      <c r="B437" s="1">
        <f ca="1">IFERROR(__xludf.DUMMYFUNCTION("""COMPUTED_VALUE"""),300.45)</f>
        <v>300.45</v>
      </c>
      <c r="C437" s="1">
        <f ca="1">IFERROR(__xludf.DUMMYFUNCTION("""COMPUTED_VALUE"""),301.3)</f>
        <v>301.3</v>
      </c>
      <c r="D437" s="1">
        <f ca="1">IFERROR(__xludf.DUMMYFUNCTION("""COMPUTED_VALUE"""),286.79)</f>
        <v>286.79000000000002</v>
      </c>
      <c r="E437" s="1">
        <f ca="1">IFERROR(__xludf.DUMMYFUNCTION("""COMPUTED_VALUE"""),297.74)</f>
        <v>297.74</v>
      </c>
      <c r="F437" s="1">
        <f ca="1">IFERROR(__xludf.DUMMYFUNCTION("""COMPUTED_VALUE"""),36429835)</f>
        <v>36429835</v>
      </c>
    </row>
    <row r="438" spans="1:6" ht="12.6">
      <c r="A438" s="2">
        <f ca="1">IFERROR(__xludf.DUMMYFUNCTION("""COMPUTED_VALUE"""),45197.6666666666)</f>
        <v>45197.666666666599</v>
      </c>
      <c r="B438" s="1">
        <f ca="1">IFERROR(__xludf.DUMMYFUNCTION("""COMPUTED_VALUE"""),298.94)</f>
        <v>298.94</v>
      </c>
      <c r="C438" s="1">
        <f ca="1">IFERROR(__xludf.DUMMYFUNCTION("""COMPUTED_VALUE"""),306.33)</f>
        <v>306.33</v>
      </c>
      <c r="D438" s="1">
        <f ca="1">IFERROR(__xludf.DUMMYFUNCTION("""COMPUTED_VALUE"""),296.7)</f>
        <v>296.7</v>
      </c>
      <c r="E438" s="1">
        <f ca="1">IFERROR(__xludf.DUMMYFUNCTION("""COMPUTED_VALUE"""),303.96)</f>
        <v>303.95999999999998</v>
      </c>
      <c r="F438" s="1">
        <f ca="1">IFERROR(__xludf.DUMMYFUNCTION("""COMPUTED_VALUE"""),22167075)</f>
        <v>22167075</v>
      </c>
    </row>
    <row r="439" spans="1:6" ht="12.6">
      <c r="A439" s="2">
        <f ca="1">IFERROR(__xludf.DUMMYFUNCTION("""COMPUTED_VALUE"""),45198.6666666666)</f>
        <v>45198.666666666599</v>
      </c>
      <c r="B439" s="1">
        <f ca="1">IFERROR(__xludf.DUMMYFUNCTION("""COMPUTED_VALUE"""),307.38)</f>
        <v>307.38</v>
      </c>
      <c r="C439" s="1">
        <f ca="1">IFERROR(__xludf.DUMMYFUNCTION("""COMPUTED_VALUE"""),310.64)</f>
        <v>310.64</v>
      </c>
      <c r="D439" s="1">
        <f ca="1">IFERROR(__xludf.DUMMYFUNCTION("""COMPUTED_VALUE"""),299.36)</f>
        <v>299.36</v>
      </c>
      <c r="E439" s="1">
        <f ca="1">IFERROR(__xludf.DUMMYFUNCTION("""COMPUTED_VALUE"""),300.21)</f>
        <v>300.20999999999998</v>
      </c>
      <c r="F439" s="1">
        <f ca="1">IFERROR(__xludf.DUMMYFUNCTION("""COMPUTED_VALUE"""),25373695)</f>
        <v>25373695</v>
      </c>
    </row>
    <row r="440" spans="1:6" ht="12.6">
      <c r="A440" s="2">
        <f ca="1">IFERROR(__xludf.DUMMYFUNCTION("""COMPUTED_VALUE"""),45201.6666666666)</f>
        <v>45201.666666666599</v>
      </c>
      <c r="B440" s="1">
        <f ca="1">IFERROR(__xludf.DUMMYFUNCTION("""COMPUTED_VALUE"""),302.74)</f>
        <v>302.74</v>
      </c>
      <c r="C440" s="1">
        <f ca="1">IFERROR(__xludf.DUMMYFUNCTION("""COMPUTED_VALUE"""),307.18)</f>
        <v>307.18</v>
      </c>
      <c r="D440" s="1">
        <f ca="1">IFERROR(__xludf.DUMMYFUNCTION("""COMPUTED_VALUE"""),301.63)</f>
        <v>301.63</v>
      </c>
      <c r="E440" s="1">
        <f ca="1">IFERROR(__xludf.DUMMYFUNCTION("""COMPUTED_VALUE"""),306.82)</f>
        <v>306.82</v>
      </c>
      <c r="F440" s="1">
        <f ca="1">IFERROR(__xludf.DUMMYFUNCTION("""COMPUTED_VALUE"""),16265571)</f>
        <v>16265571</v>
      </c>
    </row>
    <row r="441" spans="1:6" ht="12.6">
      <c r="A441" s="2">
        <f ca="1">IFERROR(__xludf.DUMMYFUNCTION("""COMPUTED_VALUE"""),45202.6666666666)</f>
        <v>45202.666666666599</v>
      </c>
      <c r="B441" s="1">
        <f ca="1">IFERROR(__xludf.DUMMYFUNCTION("""COMPUTED_VALUE"""),304.26)</f>
        <v>304.26</v>
      </c>
      <c r="C441" s="1">
        <f ca="1">IFERROR(__xludf.DUMMYFUNCTION("""COMPUTED_VALUE"""),306.77)</f>
        <v>306.77</v>
      </c>
      <c r="D441" s="1">
        <f ca="1">IFERROR(__xludf.DUMMYFUNCTION("""COMPUTED_VALUE"""),299.64)</f>
        <v>299.64</v>
      </c>
      <c r="E441" s="1">
        <f ca="1">IFERROR(__xludf.DUMMYFUNCTION("""COMPUTED_VALUE"""),300.94)</f>
        <v>300.94</v>
      </c>
      <c r="F441" s="1">
        <f ca="1">IFERROR(__xludf.DUMMYFUNCTION("""COMPUTED_VALUE"""),17362250)</f>
        <v>17362250</v>
      </c>
    </row>
    <row r="442" spans="1:6" ht="12.6">
      <c r="A442" s="2">
        <f ca="1">IFERROR(__xludf.DUMMYFUNCTION("""COMPUTED_VALUE"""),45203.6666666666)</f>
        <v>45203.666666666599</v>
      </c>
      <c r="B442" s="1">
        <f ca="1">IFERROR(__xludf.DUMMYFUNCTION("""COMPUTED_VALUE"""),298.73)</f>
        <v>298.73</v>
      </c>
      <c r="C442" s="1">
        <f ca="1">IFERROR(__xludf.DUMMYFUNCTION("""COMPUTED_VALUE"""),306.9)</f>
        <v>306.89999999999998</v>
      </c>
      <c r="D442" s="1">
        <f ca="1">IFERROR(__xludf.DUMMYFUNCTION("""COMPUTED_VALUE"""),298.5)</f>
        <v>298.5</v>
      </c>
      <c r="E442" s="1">
        <f ca="1">IFERROR(__xludf.DUMMYFUNCTION("""COMPUTED_VALUE"""),305.58)</f>
        <v>305.58</v>
      </c>
      <c r="F442" s="1">
        <f ca="1">IFERROR(__xludf.DUMMYFUNCTION("""COMPUTED_VALUE"""),16880484)</f>
        <v>16880484</v>
      </c>
    </row>
    <row r="443" spans="1:6" ht="12.6">
      <c r="A443" s="2">
        <f ca="1">IFERROR(__xludf.DUMMYFUNCTION("""COMPUTED_VALUE"""),45204.6666666666)</f>
        <v>45204.666666666599</v>
      </c>
      <c r="B443" s="1">
        <f ca="1">IFERROR(__xludf.DUMMYFUNCTION("""COMPUTED_VALUE"""),304.63)</f>
        <v>304.63</v>
      </c>
      <c r="C443" s="1">
        <f ca="1">IFERROR(__xludf.DUMMYFUNCTION("""COMPUTED_VALUE"""),306.21)</f>
        <v>306.20999999999998</v>
      </c>
      <c r="D443" s="1">
        <f ca="1">IFERROR(__xludf.DUMMYFUNCTION("""COMPUTED_VALUE"""),299.5)</f>
        <v>299.5</v>
      </c>
      <c r="E443" s="1">
        <f ca="1">IFERROR(__xludf.DUMMYFUNCTION("""COMPUTED_VALUE"""),304.79)</f>
        <v>304.79000000000002</v>
      </c>
      <c r="F443" s="1">
        <f ca="1">IFERROR(__xludf.DUMMYFUNCTION("""COMPUTED_VALUE"""),19129957)</f>
        <v>19129957</v>
      </c>
    </row>
    <row r="444" spans="1:6" ht="12.6">
      <c r="A444" s="2">
        <f ca="1">IFERROR(__xludf.DUMMYFUNCTION("""COMPUTED_VALUE"""),45205.6666666666)</f>
        <v>45205.666666666599</v>
      </c>
      <c r="B444" s="1">
        <f ca="1">IFERROR(__xludf.DUMMYFUNCTION("""COMPUTED_VALUE"""),301.44)</f>
        <v>301.44</v>
      </c>
      <c r="C444" s="1">
        <f ca="1">IFERROR(__xludf.DUMMYFUNCTION("""COMPUTED_VALUE"""),316.31)</f>
        <v>316.31</v>
      </c>
      <c r="D444" s="1">
        <f ca="1">IFERROR(__xludf.DUMMYFUNCTION("""COMPUTED_VALUE"""),300.91)</f>
        <v>300.91000000000003</v>
      </c>
      <c r="E444" s="1">
        <f ca="1">IFERROR(__xludf.DUMMYFUNCTION("""COMPUTED_VALUE"""),315.43)</f>
        <v>315.43</v>
      </c>
      <c r="F444" s="1">
        <f ca="1">IFERROR(__xludf.DUMMYFUNCTION("""COMPUTED_VALUE"""),21803856)</f>
        <v>21803856</v>
      </c>
    </row>
    <row r="445" spans="1:6" ht="12.6">
      <c r="A445" s="2">
        <f ca="1">IFERROR(__xludf.DUMMYFUNCTION("""COMPUTED_VALUE"""),45208.6666666666)</f>
        <v>45208.666666666599</v>
      </c>
      <c r="B445" s="1">
        <f ca="1">IFERROR(__xludf.DUMMYFUNCTION("""COMPUTED_VALUE"""),312.5)</f>
        <v>312.5</v>
      </c>
      <c r="C445" s="1">
        <f ca="1">IFERROR(__xludf.DUMMYFUNCTION("""COMPUTED_VALUE"""),320.33)</f>
        <v>320.33</v>
      </c>
      <c r="D445" s="1">
        <f ca="1">IFERROR(__xludf.DUMMYFUNCTION("""COMPUTED_VALUE"""),311.82)</f>
        <v>311.82</v>
      </c>
      <c r="E445" s="1">
        <f ca="1">IFERROR(__xludf.DUMMYFUNCTION("""COMPUTED_VALUE"""),318.36)</f>
        <v>318.36</v>
      </c>
      <c r="F445" s="1">
        <f ca="1">IFERROR(__xludf.DUMMYFUNCTION("""COMPUTED_VALUE"""),22503662)</f>
        <v>22503662</v>
      </c>
    </row>
    <row r="446" spans="1:6" ht="12.6">
      <c r="A446" s="2">
        <f ca="1">IFERROR(__xludf.DUMMYFUNCTION("""COMPUTED_VALUE"""),45209.6666666666)</f>
        <v>45209.666666666599</v>
      </c>
      <c r="B446" s="1">
        <f ca="1">IFERROR(__xludf.DUMMYFUNCTION("""COMPUTED_VALUE"""),319.12)</f>
        <v>319.12</v>
      </c>
      <c r="C446" s="1">
        <f ca="1">IFERROR(__xludf.DUMMYFUNCTION("""COMPUTED_VALUE"""),324.66)</f>
        <v>324.66000000000003</v>
      </c>
      <c r="D446" s="1">
        <f ca="1">IFERROR(__xludf.DUMMYFUNCTION("""COMPUTED_VALUE"""),318.16)</f>
        <v>318.16000000000003</v>
      </c>
      <c r="E446" s="1">
        <f ca="1">IFERROR(__xludf.DUMMYFUNCTION("""COMPUTED_VALUE"""),321.84)</f>
        <v>321.83999999999997</v>
      </c>
      <c r="F446" s="1">
        <f ca="1">IFERROR(__xludf.DUMMYFUNCTION("""COMPUTED_VALUE"""),19037973)</f>
        <v>19037973</v>
      </c>
    </row>
    <row r="447" spans="1:6" ht="12.6">
      <c r="A447" s="2">
        <f ca="1">IFERROR(__xludf.DUMMYFUNCTION("""COMPUTED_VALUE"""),45210.6666666666)</f>
        <v>45210.666666666599</v>
      </c>
      <c r="B447" s="1">
        <f ca="1">IFERROR(__xludf.DUMMYFUNCTION("""COMPUTED_VALUE"""),323.01)</f>
        <v>323.01</v>
      </c>
      <c r="C447" s="1">
        <f ca="1">IFERROR(__xludf.DUMMYFUNCTION("""COMPUTED_VALUE"""),328.84)</f>
        <v>328.84</v>
      </c>
      <c r="D447" s="1">
        <f ca="1">IFERROR(__xludf.DUMMYFUNCTION("""COMPUTED_VALUE"""),322.95)</f>
        <v>322.95</v>
      </c>
      <c r="E447" s="1">
        <f ca="1">IFERROR(__xludf.DUMMYFUNCTION("""COMPUTED_VALUE"""),327.82)</f>
        <v>327.82</v>
      </c>
      <c r="F447" s="1">
        <f ca="1">IFERROR(__xludf.DUMMYFUNCTION("""COMPUTED_VALUE"""),22036297)</f>
        <v>22036297</v>
      </c>
    </row>
    <row r="448" spans="1:6" ht="12.6">
      <c r="A448" s="2">
        <f ca="1">IFERROR(__xludf.DUMMYFUNCTION("""COMPUTED_VALUE"""),45211.6666666666)</f>
        <v>45211.666666666599</v>
      </c>
      <c r="B448" s="1">
        <f ca="1">IFERROR(__xludf.DUMMYFUNCTION("""COMPUTED_VALUE"""),328)</f>
        <v>328</v>
      </c>
      <c r="C448" s="1">
        <f ca="1">IFERROR(__xludf.DUMMYFUNCTION("""COMPUTED_VALUE"""),330.54)</f>
        <v>330.54</v>
      </c>
      <c r="D448" s="1">
        <f ca="1">IFERROR(__xludf.DUMMYFUNCTION("""COMPUTED_VALUE"""),322.69)</f>
        <v>322.69</v>
      </c>
      <c r="E448" s="1">
        <f ca="1">IFERROR(__xludf.DUMMYFUNCTION("""COMPUTED_VALUE"""),324.16)</f>
        <v>324.16000000000003</v>
      </c>
      <c r="F448" s="1">
        <f ca="1">IFERROR(__xludf.DUMMYFUNCTION("""COMPUTED_VALUE"""),20530518)</f>
        <v>20530518</v>
      </c>
    </row>
    <row r="449" spans="1:6" ht="12.6">
      <c r="A449" s="2">
        <f ca="1">IFERROR(__xludf.DUMMYFUNCTION("""COMPUTED_VALUE"""),45212.6666666666)</f>
        <v>45212.666666666599</v>
      </c>
      <c r="B449" s="1">
        <f ca="1">IFERROR(__xludf.DUMMYFUNCTION("""COMPUTED_VALUE"""),323.53)</f>
        <v>323.52999999999997</v>
      </c>
      <c r="C449" s="1">
        <f ca="1">IFERROR(__xludf.DUMMYFUNCTION("""COMPUTED_VALUE"""),325.05)</f>
        <v>325.05</v>
      </c>
      <c r="D449" s="1">
        <f ca="1">IFERROR(__xludf.DUMMYFUNCTION("""COMPUTED_VALUE"""),312.37)</f>
        <v>312.37</v>
      </c>
      <c r="E449" s="1">
        <f ca="1">IFERROR(__xludf.DUMMYFUNCTION("""COMPUTED_VALUE"""),314.69)</f>
        <v>314.69</v>
      </c>
      <c r="F449" s="1">
        <f ca="1">IFERROR(__xludf.DUMMYFUNCTION("""COMPUTED_VALUE"""),21360790)</f>
        <v>21360790</v>
      </c>
    </row>
    <row r="450" spans="1:6" ht="12.6">
      <c r="A450" s="2">
        <f ca="1">IFERROR(__xludf.DUMMYFUNCTION("""COMPUTED_VALUE"""),45215.6666666666)</f>
        <v>45215.666666666599</v>
      </c>
      <c r="B450" s="1">
        <f ca="1">IFERROR(__xludf.DUMMYFUNCTION("""COMPUTED_VALUE"""),318.64)</f>
        <v>318.64</v>
      </c>
      <c r="C450" s="1">
        <f ca="1">IFERROR(__xludf.DUMMYFUNCTION("""COMPUTED_VALUE"""),321.82)</f>
        <v>321.82</v>
      </c>
      <c r="D450" s="1">
        <f ca="1">IFERROR(__xludf.DUMMYFUNCTION("""COMPUTED_VALUE"""),315.52)</f>
        <v>315.52</v>
      </c>
      <c r="E450" s="1">
        <f ca="1">IFERROR(__xludf.DUMMYFUNCTION("""COMPUTED_VALUE"""),321.15)</f>
        <v>321.14999999999998</v>
      </c>
      <c r="F450" s="1">
        <f ca="1">IFERROR(__xludf.DUMMYFUNCTION("""COMPUTED_VALUE"""),16536114)</f>
        <v>16536114</v>
      </c>
    </row>
    <row r="451" spans="1:6" ht="12.6">
      <c r="A451" s="2">
        <f ca="1">IFERROR(__xludf.DUMMYFUNCTION("""COMPUTED_VALUE"""),45216.6666666666)</f>
        <v>45216.666666666599</v>
      </c>
      <c r="B451" s="1">
        <f ca="1">IFERROR(__xludf.DUMMYFUNCTION("""COMPUTED_VALUE"""),318.18)</f>
        <v>318.18</v>
      </c>
      <c r="C451" s="1">
        <f ca="1">IFERROR(__xludf.DUMMYFUNCTION("""COMPUTED_VALUE"""),324.4)</f>
        <v>324.39999999999998</v>
      </c>
      <c r="D451" s="1">
        <f ca="1">IFERROR(__xludf.DUMMYFUNCTION("""COMPUTED_VALUE"""),317.3)</f>
        <v>317.3</v>
      </c>
      <c r="E451" s="1">
        <f ca="1">IFERROR(__xludf.DUMMYFUNCTION("""COMPUTED_VALUE"""),324)</f>
        <v>324</v>
      </c>
      <c r="F451" s="1">
        <f ca="1">IFERROR(__xludf.DUMMYFUNCTION("""COMPUTED_VALUE"""),16387799)</f>
        <v>16387799</v>
      </c>
    </row>
    <row r="452" spans="1:6" ht="12.6">
      <c r="A452" s="2">
        <f ca="1">IFERROR(__xludf.DUMMYFUNCTION("""COMPUTED_VALUE"""),45217.6666666666)</f>
        <v>45217.666666666599</v>
      </c>
      <c r="B452" s="1">
        <f ca="1">IFERROR(__xludf.DUMMYFUNCTION("""COMPUTED_VALUE"""),321.39)</f>
        <v>321.39</v>
      </c>
      <c r="C452" s="1">
        <f ca="1">IFERROR(__xludf.DUMMYFUNCTION("""COMPUTED_VALUE"""),325.94)</f>
        <v>325.94</v>
      </c>
      <c r="D452" s="1">
        <f ca="1">IFERROR(__xludf.DUMMYFUNCTION("""COMPUTED_VALUE"""),315.56)</f>
        <v>315.56</v>
      </c>
      <c r="E452" s="1">
        <f ca="1">IFERROR(__xludf.DUMMYFUNCTION("""COMPUTED_VALUE"""),316.97)</f>
        <v>316.97000000000003</v>
      </c>
      <c r="F452" s="1">
        <f ca="1">IFERROR(__xludf.DUMMYFUNCTION("""COMPUTED_VALUE"""),16851003)</f>
        <v>16851003</v>
      </c>
    </row>
    <row r="453" spans="1:6" ht="12.6">
      <c r="A453" s="2">
        <f ca="1">IFERROR(__xludf.DUMMYFUNCTION("""COMPUTED_VALUE"""),45218.6666666666)</f>
        <v>45218.666666666599</v>
      </c>
      <c r="B453" s="1">
        <f ca="1">IFERROR(__xludf.DUMMYFUNCTION("""COMPUTED_VALUE"""),319.88)</f>
        <v>319.88</v>
      </c>
      <c r="C453" s="1">
        <f ca="1">IFERROR(__xludf.DUMMYFUNCTION("""COMPUTED_VALUE"""),321.89)</f>
        <v>321.89</v>
      </c>
      <c r="D453" s="1">
        <f ca="1">IFERROR(__xludf.DUMMYFUNCTION("""COMPUTED_VALUE"""),311.75)</f>
        <v>311.75</v>
      </c>
      <c r="E453" s="1">
        <f ca="1">IFERROR(__xludf.DUMMYFUNCTION("""COMPUTED_VALUE"""),312.81)</f>
        <v>312.81</v>
      </c>
      <c r="F453" s="1">
        <f ca="1">IFERROR(__xludf.DUMMYFUNCTION("""COMPUTED_VALUE"""),18709160)</f>
        <v>18709160</v>
      </c>
    </row>
    <row r="454" spans="1:6" ht="12.6">
      <c r="A454" s="2">
        <f ca="1">IFERROR(__xludf.DUMMYFUNCTION("""COMPUTED_VALUE"""),45219.6666666666)</f>
        <v>45219.666666666599</v>
      </c>
      <c r="B454" s="1">
        <f ca="1">IFERROR(__xludf.DUMMYFUNCTION("""COMPUTED_VALUE"""),314.14)</f>
        <v>314.14</v>
      </c>
      <c r="C454" s="1">
        <f ca="1">IFERROR(__xludf.DUMMYFUNCTION("""COMPUTED_VALUE"""),315.3)</f>
        <v>315.3</v>
      </c>
      <c r="D454" s="1">
        <f ca="1">IFERROR(__xludf.DUMMYFUNCTION("""COMPUTED_VALUE"""),306.47)</f>
        <v>306.47000000000003</v>
      </c>
      <c r="E454" s="1">
        <f ca="1">IFERROR(__xludf.DUMMYFUNCTION("""COMPUTED_VALUE"""),308.65)</f>
        <v>308.64999999999998</v>
      </c>
      <c r="F454" s="1">
        <f ca="1">IFERROR(__xludf.DUMMYFUNCTION("""COMPUTED_VALUE"""),22312275)</f>
        <v>22312275</v>
      </c>
    </row>
    <row r="455" spans="1:6" ht="12.6">
      <c r="A455" s="2">
        <f ca="1">IFERROR(__xludf.DUMMYFUNCTION("""COMPUTED_VALUE"""),45222.6666666666)</f>
        <v>45222.666666666599</v>
      </c>
      <c r="B455" s="1">
        <f ca="1">IFERROR(__xludf.DUMMYFUNCTION("""COMPUTED_VALUE"""),309.5)</f>
        <v>309.5</v>
      </c>
      <c r="C455" s="1">
        <f ca="1">IFERROR(__xludf.DUMMYFUNCTION("""COMPUTED_VALUE"""),317.36)</f>
        <v>317.36</v>
      </c>
      <c r="D455" s="1">
        <f ca="1">IFERROR(__xludf.DUMMYFUNCTION("""COMPUTED_VALUE"""),307.26)</f>
        <v>307.26</v>
      </c>
      <c r="E455" s="1">
        <f ca="1">IFERROR(__xludf.DUMMYFUNCTION("""COMPUTED_VALUE"""),314.01)</f>
        <v>314.01</v>
      </c>
      <c r="F455" s="1">
        <f ca="1">IFERROR(__xludf.DUMMYFUNCTION("""COMPUTED_VALUE"""),17796785)</f>
        <v>17796785</v>
      </c>
    </row>
    <row r="456" spans="1:6" ht="12.6">
      <c r="A456" s="2">
        <f ca="1">IFERROR(__xludf.DUMMYFUNCTION("""COMPUTED_VALUE"""),45223.6666666666)</f>
        <v>45223.666666666599</v>
      </c>
      <c r="B456" s="1">
        <f ca="1">IFERROR(__xludf.DUMMYFUNCTION("""COMPUTED_VALUE"""),316.78)</f>
        <v>316.77999999999997</v>
      </c>
      <c r="C456" s="1">
        <f ca="1">IFERROR(__xludf.DUMMYFUNCTION("""COMPUTED_VALUE"""),318.35)</f>
        <v>318.35000000000002</v>
      </c>
      <c r="D456" s="1">
        <f ca="1">IFERROR(__xludf.DUMMYFUNCTION("""COMPUTED_VALUE"""),310.63)</f>
        <v>310.63</v>
      </c>
      <c r="E456" s="1">
        <f ca="1">IFERROR(__xludf.DUMMYFUNCTION("""COMPUTED_VALUE"""),312.55)</f>
        <v>312.55</v>
      </c>
      <c r="F456" s="1">
        <f ca="1">IFERROR(__xludf.DUMMYFUNCTION("""COMPUTED_VALUE"""),19525488)</f>
        <v>19525488</v>
      </c>
    </row>
    <row r="457" spans="1:6" ht="12.6">
      <c r="A457" s="2">
        <f ca="1">IFERROR(__xludf.DUMMYFUNCTION("""COMPUTED_VALUE"""),45224.6666666666)</f>
        <v>45224.666666666599</v>
      </c>
      <c r="B457" s="1">
        <f ca="1">IFERROR(__xludf.DUMMYFUNCTION("""COMPUTED_VALUE"""),310)</f>
        <v>310</v>
      </c>
      <c r="C457" s="1">
        <f ca="1">IFERROR(__xludf.DUMMYFUNCTION("""COMPUTED_VALUE"""),310.88)</f>
        <v>310.88</v>
      </c>
      <c r="D457" s="1">
        <f ca="1">IFERROR(__xludf.DUMMYFUNCTION("""COMPUTED_VALUE"""),298.84)</f>
        <v>298.83999999999997</v>
      </c>
      <c r="E457" s="1">
        <f ca="1">IFERROR(__xludf.DUMMYFUNCTION("""COMPUTED_VALUE"""),299.53)</f>
        <v>299.52999999999997</v>
      </c>
      <c r="F457" s="1">
        <f ca="1">IFERROR(__xludf.DUMMYFUNCTION("""COMPUTED_VALUE"""),42192474)</f>
        <v>42192474</v>
      </c>
    </row>
    <row r="458" spans="1:6" ht="12.6">
      <c r="A458" s="2">
        <f ca="1">IFERROR(__xludf.DUMMYFUNCTION("""COMPUTED_VALUE"""),45225.6666666666)</f>
        <v>45225.666666666599</v>
      </c>
      <c r="B458" s="1">
        <f ca="1">IFERROR(__xludf.DUMMYFUNCTION("""COMPUTED_VALUE"""),295)</f>
        <v>295</v>
      </c>
      <c r="C458" s="1">
        <f ca="1">IFERROR(__xludf.DUMMYFUNCTION("""COMPUTED_VALUE"""),295)</f>
        <v>295</v>
      </c>
      <c r="D458" s="1">
        <f ca="1">IFERROR(__xludf.DUMMYFUNCTION("""COMPUTED_VALUE"""),279.4)</f>
        <v>279.39999999999998</v>
      </c>
      <c r="E458" s="1">
        <f ca="1">IFERROR(__xludf.DUMMYFUNCTION("""COMPUTED_VALUE"""),288.35)</f>
        <v>288.35000000000002</v>
      </c>
      <c r="F458" s="1">
        <f ca="1">IFERROR(__xludf.DUMMYFUNCTION("""COMPUTED_VALUE"""),66684141)</f>
        <v>66684141</v>
      </c>
    </row>
    <row r="459" spans="1:6" ht="12.6">
      <c r="A459" s="2">
        <f ca="1">IFERROR(__xludf.DUMMYFUNCTION("""COMPUTED_VALUE"""),45226.6666666666)</f>
        <v>45226.666666666599</v>
      </c>
      <c r="B459" s="1">
        <f ca="1">IFERROR(__xludf.DUMMYFUNCTION("""COMPUTED_VALUE"""),294.48)</f>
        <v>294.48</v>
      </c>
      <c r="C459" s="1">
        <f ca="1">IFERROR(__xludf.DUMMYFUNCTION("""COMPUTED_VALUE"""),299.31)</f>
        <v>299.31</v>
      </c>
      <c r="D459" s="1">
        <f ca="1">IFERROR(__xludf.DUMMYFUNCTION("""COMPUTED_VALUE"""),292.97)</f>
        <v>292.97000000000003</v>
      </c>
      <c r="E459" s="1">
        <f ca="1">IFERROR(__xludf.DUMMYFUNCTION("""COMPUTED_VALUE"""),296.73)</f>
        <v>296.73</v>
      </c>
      <c r="F459" s="1">
        <f ca="1">IFERROR(__xludf.DUMMYFUNCTION("""COMPUTED_VALUE"""),29596256)</f>
        <v>29596256</v>
      </c>
    </row>
    <row r="460" spans="1:6" ht="12.6">
      <c r="A460" s="2">
        <f ca="1">IFERROR(__xludf.DUMMYFUNCTION("""COMPUTED_VALUE"""),45229.6666666666)</f>
        <v>45229.666666666599</v>
      </c>
      <c r="B460" s="1">
        <f ca="1">IFERROR(__xludf.DUMMYFUNCTION("""COMPUTED_VALUE"""),299.09)</f>
        <v>299.08999999999997</v>
      </c>
      <c r="C460" s="1">
        <f ca="1">IFERROR(__xludf.DUMMYFUNCTION("""COMPUTED_VALUE"""),309.4)</f>
        <v>309.39999999999998</v>
      </c>
      <c r="D460" s="1">
        <f ca="1">IFERROR(__xludf.DUMMYFUNCTION("""COMPUTED_VALUE"""),299.05)</f>
        <v>299.05</v>
      </c>
      <c r="E460" s="1">
        <f ca="1">IFERROR(__xludf.DUMMYFUNCTION("""COMPUTED_VALUE"""),302.66)</f>
        <v>302.66000000000003</v>
      </c>
      <c r="F460" s="1">
        <f ca="1">IFERROR(__xludf.DUMMYFUNCTION("""COMPUTED_VALUE"""),28435053)</f>
        <v>28435053</v>
      </c>
    </row>
    <row r="461" spans="1:6" ht="12.6">
      <c r="A461" s="2">
        <f ca="1">IFERROR(__xludf.DUMMYFUNCTION("""COMPUTED_VALUE"""),45230.6666666666)</f>
        <v>45230.666666666599</v>
      </c>
      <c r="B461" s="1">
        <f ca="1">IFERROR(__xludf.DUMMYFUNCTION("""COMPUTED_VALUE"""),303.31)</f>
        <v>303.31</v>
      </c>
      <c r="C461" s="1">
        <f ca="1">IFERROR(__xludf.DUMMYFUNCTION("""COMPUTED_VALUE"""),303.68)</f>
        <v>303.68</v>
      </c>
      <c r="D461" s="1">
        <f ca="1">IFERROR(__xludf.DUMMYFUNCTION("""COMPUTED_VALUE"""),296.86)</f>
        <v>296.86</v>
      </c>
      <c r="E461" s="1">
        <f ca="1">IFERROR(__xludf.DUMMYFUNCTION("""COMPUTED_VALUE"""),301.27)</f>
        <v>301.27</v>
      </c>
      <c r="F461" s="1">
        <f ca="1">IFERROR(__xludf.DUMMYFUNCTION("""COMPUTED_VALUE"""),19434168)</f>
        <v>19434168</v>
      </c>
    </row>
    <row r="462" spans="1:6" ht="12.6">
      <c r="A462" s="2">
        <f ca="1">IFERROR(__xludf.DUMMYFUNCTION("""COMPUTED_VALUE"""),45231.6666666666)</f>
        <v>45231.666666666599</v>
      </c>
      <c r="B462" s="1">
        <f ca="1">IFERROR(__xludf.DUMMYFUNCTION("""COMPUTED_VALUE"""),301.85)</f>
        <v>301.85000000000002</v>
      </c>
      <c r="C462" s="1">
        <f ca="1">IFERROR(__xludf.DUMMYFUNCTION("""COMPUTED_VALUE"""),312.74)</f>
        <v>312.74</v>
      </c>
      <c r="D462" s="1">
        <f ca="1">IFERROR(__xludf.DUMMYFUNCTION("""COMPUTED_VALUE"""),301.85)</f>
        <v>301.85000000000002</v>
      </c>
      <c r="E462" s="1">
        <f ca="1">IFERROR(__xludf.DUMMYFUNCTION("""COMPUTED_VALUE"""),311.85)</f>
        <v>311.85000000000002</v>
      </c>
      <c r="F462" s="1">
        <f ca="1">IFERROR(__xludf.DUMMYFUNCTION("""COMPUTED_VALUE"""),20434580)</f>
        <v>20434580</v>
      </c>
    </row>
    <row r="463" spans="1:6" ht="12.6">
      <c r="A463" s="2">
        <f ca="1">IFERROR(__xludf.DUMMYFUNCTION("""COMPUTED_VALUE"""),45232.6666666666)</f>
        <v>45232.666666666599</v>
      </c>
      <c r="B463" s="1">
        <f ca="1">IFERROR(__xludf.DUMMYFUNCTION("""COMPUTED_VALUE"""),317.3)</f>
        <v>317.3</v>
      </c>
      <c r="C463" s="1">
        <f ca="1">IFERROR(__xludf.DUMMYFUNCTION("""COMPUTED_VALUE"""),318.82)</f>
        <v>318.82</v>
      </c>
      <c r="D463" s="1">
        <f ca="1">IFERROR(__xludf.DUMMYFUNCTION("""COMPUTED_VALUE"""),308.33)</f>
        <v>308.33</v>
      </c>
      <c r="E463" s="1">
        <f ca="1">IFERROR(__xludf.DUMMYFUNCTION("""COMPUTED_VALUE"""),310.87)</f>
        <v>310.87</v>
      </c>
      <c r="F463" s="1">
        <f ca="1">IFERROR(__xludf.DUMMYFUNCTION("""COMPUTED_VALUE"""),21631820)</f>
        <v>21631820</v>
      </c>
    </row>
    <row r="464" spans="1:6" ht="12.6">
      <c r="A464" s="2">
        <f ca="1">IFERROR(__xludf.DUMMYFUNCTION("""COMPUTED_VALUE"""),45233.6666666666)</f>
        <v>45233.666666666599</v>
      </c>
      <c r="B464" s="1">
        <f ca="1">IFERROR(__xludf.DUMMYFUNCTION("""COMPUTED_VALUE"""),312.55)</f>
        <v>312.55</v>
      </c>
      <c r="C464" s="1">
        <f ca="1">IFERROR(__xludf.DUMMYFUNCTION("""COMPUTED_VALUE"""),315.55)</f>
        <v>315.55</v>
      </c>
      <c r="D464" s="1">
        <f ca="1">IFERROR(__xludf.DUMMYFUNCTION("""COMPUTED_VALUE"""),311.02)</f>
        <v>311.02</v>
      </c>
      <c r="E464" s="1">
        <f ca="1">IFERROR(__xludf.DUMMYFUNCTION("""COMPUTED_VALUE"""),314.6)</f>
        <v>314.60000000000002</v>
      </c>
      <c r="F464" s="1">
        <f ca="1">IFERROR(__xludf.DUMMYFUNCTION("""COMPUTED_VALUE"""),16764315)</f>
        <v>16764315</v>
      </c>
    </row>
    <row r="465" spans="1:6" ht="12.6">
      <c r="A465" s="2">
        <f ca="1">IFERROR(__xludf.DUMMYFUNCTION("""COMPUTED_VALUE"""),45236.6666666666)</f>
        <v>45236.666666666599</v>
      </c>
      <c r="B465" s="1">
        <f ca="1">IFERROR(__xludf.DUMMYFUNCTION("""COMPUTED_VALUE"""),315.98)</f>
        <v>315.98</v>
      </c>
      <c r="C465" s="1">
        <f ca="1">IFERROR(__xludf.DUMMYFUNCTION("""COMPUTED_VALUE"""),318.33)</f>
        <v>318.33</v>
      </c>
      <c r="D465" s="1">
        <f ca="1">IFERROR(__xludf.DUMMYFUNCTION("""COMPUTED_VALUE"""),314.45)</f>
        <v>314.45</v>
      </c>
      <c r="E465" s="1">
        <f ca="1">IFERROR(__xludf.DUMMYFUNCTION("""COMPUTED_VALUE"""),315.8)</f>
        <v>315.8</v>
      </c>
      <c r="F465" s="1">
        <f ca="1">IFERROR(__xludf.DUMMYFUNCTION("""COMPUTED_VALUE"""),12887699)</f>
        <v>12887699</v>
      </c>
    </row>
    <row r="466" spans="1:6" ht="12.6">
      <c r="A466" s="2">
        <f ca="1">IFERROR(__xludf.DUMMYFUNCTION("""COMPUTED_VALUE"""),45237.6666666666)</f>
        <v>45237.666666666599</v>
      </c>
      <c r="B466" s="1">
        <f ca="1">IFERROR(__xludf.DUMMYFUNCTION("""COMPUTED_VALUE"""),317.06)</f>
        <v>317.06</v>
      </c>
      <c r="C466" s="1">
        <f ca="1">IFERROR(__xludf.DUMMYFUNCTION("""COMPUTED_VALUE"""),321)</f>
        <v>321</v>
      </c>
      <c r="D466" s="1">
        <f ca="1">IFERROR(__xludf.DUMMYFUNCTION("""COMPUTED_VALUE"""),315.12)</f>
        <v>315.12</v>
      </c>
      <c r="E466" s="1">
        <f ca="1">IFERROR(__xludf.DUMMYFUNCTION("""COMPUTED_VALUE"""),318.82)</f>
        <v>318.82</v>
      </c>
      <c r="F466" s="1">
        <f ca="1">IFERROR(__xludf.DUMMYFUNCTION("""COMPUTED_VALUE"""),14055614)</f>
        <v>14055614</v>
      </c>
    </row>
    <row r="467" spans="1:6" ht="12.6">
      <c r="A467" s="2">
        <f ca="1">IFERROR(__xludf.DUMMYFUNCTION("""COMPUTED_VALUE"""),45238.6666666666)</f>
        <v>45238.666666666599</v>
      </c>
      <c r="B467" s="1">
        <f ca="1">IFERROR(__xludf.DUMMYFUNCTION("""COMPUTED_VALUE"""),318.14)</f>
        <v>318.14</v>
      </c>
      <c r="C467" s="1">
        <f ca="1">IFERROR(__xludf.DUMMYFUNCTION("""COMPUTED_VALUE"""),321.33)</f>
        <v>321.33</v>
      </c>
      <c r="D467" s="1">
        <f ca="1">IFERROR(__xludf.DUMMYFUNCTION("""COMPUTED_VALUE"""),314.88)</f>
        <v>314.88</v>
      </c>
      <c r="E467" s="1">
        <f ca="1">IFERROR(__xludf.DUMMYFUNCTION("""COMPUTED_VALUE"""),319.78)</f>
        <v>319.77999999999997</v>
      </c>
      <c r="F467" s="1">
        <f ca="1">IFERROR(__xludf.DUMMYFUNCTION("""COMPUTED_VALUE"""),13609704)</f>
        <v>13609704</v>
      </c>
    </row>
    <row r="468" spans="1:6" ht="12.6">
      <c r="A468" s="2">
        <f ca="1">IFERROR(__xludf.DUMMYFUNCTION("""COMPUTED_VALUE"""),45239.6666666666)</f>
        <v>45239.666666666599</v>
      </c>
      <c r="B468" s="1">
        <f ca="1">IFERROR(__xludf.DUMMYFUNCTION("""COMPUTED_VALUE"""),319.42)</f>
        <v>319.42</v>
      </c>
      <c r="C468" s="1">
        <f ca="1">IFERROR(__xludf.DUMMYFUNCTION("""COMPUTED_VALUE"""),324.18)</f>
        <v>324.18</v>
      </c>
      <c r="D468" s="1">
        <f ca="1">IFERROR(__xludf.DUMMYFUNCTION("""COMPUTED_VALUE"""),318.8)</f>
        <v>318.8</v>
      </c>
      <c r="E468" s="1">
        <f ca="1">IFERROR(__xludf.DUMMYFUNCTION("""COMPUTED_VALUE"""),320.55)</f>
        <v>320.55</v>
      </c>
      <c r="F468" s="1">
        <f ca="1">IFERROR(__xludf.DUMMYFUNCTION("""COMPUTED_VALUE"""),16103071)</f>
        <v>16103071</v>
      </c>
    </row>
    <row r="469" spans="1:6" ht="12.6">
      <c r="A469" s="2">
        <f ca="1">IFERROR(__xludf.DUMMYFUNCTION("""COMPUTED_VALUE"""),45240.6666666666)</f>
        <v>45240.666666666599</v>
      </c>
      <c r="B469" s="1">
        <f ca="1">IFERROR(__xludf.DUMMYFUNCTION("""COMPUTED_VALUE"""),319.94)</f>
        <v>319.94</v>
      </c>
      <c r="C469" s="1">
        <f ca="1">IFERROR(__xludf.DUMMYFUNCTION("""COMPUTED_VALUE"""),329.1)</f>
        <v>329.1</v>
      </c>
      <c r="D469" s="1">
        <f ca="1">IFERROR(__xludf.DUMMYFUNCTION("""COMPUTED_VALUE"""),319.46)</f>
        <v>319.45999999999998</v>
      </c>
      <c r="E469" s="1">
        <f ca="1">IFERROR(__xludf.DUMMYFUNCTION("""COMPUTED_VALUE"""),328.77)</f>
        <v>328.77</v>
      </c>
      <c r="F469" s="1">
        <f ca="1">IFERROR(__xludf.DUMMYFUNCTION("""COMPUTED_VALUE"""),19116921)</f>
        <v>19116921</v>
      </c>
    </row>
    <row r="470" spans="1:6" ht="12.6">
      <c r="A470" s="2">
        <f ca="1">IFERROR(__xludf.DUMMYFUNCTION("""COMPUTED_VALUE"""),45243.6666666666)</f>
        <v>45243.666666666599</v>
      </c>
      <c r="B470" s="1">
        <f ca="1">IFERROR(__xludf.DUMMYFUNCTION("""COMPUTED_VALUE"""),326.2)</f>
        <v>326.2</v>
      </c>
      <c r="C470" s="1">
        <f ca="1">IFERROR(__xludf.DUMMYFUNCTION("""COMPUTED_VALUE"""),332.33)</f>
        <v>332.33</v>
      </c>
      <c r="D470" s="1">
        <f ca="1">IFERROR(__xludf.DUMMYFUNCTION("""COMPUTED_VALUE"""),325.7)</f>
        <v>325.7</v>
      </c>
      <c r="E470" s="1">
        <f ca="1">IFERROR(__xludf.DUMMYFUNCTION("""COMPUTED_VALUE"""),329.19)</f>
        <v>329.19</v>
      </c>
      <c r="F470" s="1">
        <f ca="1">IFERROR(__xludf.DUMMYFUNCTION("""COMPUTED_VALUE"""),16908948)</f>
        <v>16908948</v>
      </c>
    </row>
    <row r="471" spans="1:6" ht="12.6">
      <c r="A471" s="2">
        <f ca="1">IFERROR(__xludf.DUMMYFUNCTION("""COMPUTED_VALUE"""),45244.6666666666)</f>
        <v>45244.666666666599</v>
      </c>
      <c r="B471" s="1">
        <f ca="1">IFERROR(__xludf.DUMMYFUNCTION("""COMPUTED_VALUE"""),334.54)</f>
        <v>334.54</v>
      </c>
      <c r="C471" s="1">
        <f ca="1">IFERROR(__xludf.DUMMYFUNCTION("""COMPUTED_VALUE"""),338.1)</f>
        <v>338.1</v>
      </c>
      <c r="D471" s="1">
        <f ca="1">IFERROR(__xludf.DUMMYFUNCTION("""COMPUTED_VALUE"""),333.33)</f>
        <v>333.33</v>
      </c>
      <c r="E471" s="1">
        <f ca="1">IFERROR(__xludf.DUMMYFUNCTION("""COMPUTED_VALUE"""),336.31)</f>
        <v>336.31</v>
      </c>
      <c r="F471" s="1">
        <f ca="1">IFERROR(__xludf.DUMMYFUNCTION("""COMPUTED_VALUE"""),17179403)</f>
        <v>17179403</v>
      </c>
    </row>
    <row r="472" spans="1:6" ht="12.6">
      <c r="A472" s="2">
        <f ca="1">IFERROR(__xludf.DUMMYFUNCTION("""COMPUTED_VALUE"""),45245.6666666666)</f>
        <v>45245.666666666599</v>
      </c>
      <c r="B472" s="1">
        <f ca="1">IFERROR(__xludf.DUMMYFUNCTION("""COMPUTED_VALUE"""),337.93)</f>
        <v>337.93</v>
      </c>
      <c r="C472" s="1">
        <f ca="1">IFERROR(__xludf.DUMMYFUNCTION("""COMPUTED_VALUE"""),338.4)</f>
        <v>338.4</v>
      </c>
      <c r="D472" s="1">
        <f ca="1">IFERROR(__xludf.DUMMYFUNCTION("""COMPUTED_VALUE"""),330.02)</f>
        <v>330.02</v>
      </c>
      <c r="E472" s="1">
        <f ca="1">IFERROR(__xludf.DUMMYFUNCTION("""COMPUTED_VALUE"""),332.71)</f>
        <v>332.71</v>
      </c>
      <c r="F472" s="1">
        <f ca="1">IFERROR(__xludf.DUMMYFUNCTION("""COMPUTED_VALUE"""),14531180)</f>
        <v>14531180</v>
      </c>
    </row>
    <row r="473" spans="1:6" ht="12.6">
      <c r="A473" s="2">
        <f ca="1">IFERROR(__xludf.DUMMYFUNCTION("""COMPUTED_VALUE"""),45246.6666666666)</f>
        <v>45246.666666666599</v>
      </c>
      <c r="B473" s="1">
        <f ca="1">IFERROR(__xludf.DUMMYFUNCTION("""COMPUTED_VALUE"""),329.37)</f>
        <v>329.37</v>
      </c>
      <c r="C473" s="1">
        <f ca="1">IFERROR(__xludf.DUMMYFUNCTION("""COMPUTED_VALUE"""),334.58)</f>
        <v>334.58</v>
      </c>
      <c r="D473" s="1">
        <f ca="1">IFERROR(__xludf.DUMMYFUNCTION("""COMPUTED_VALUE"""),326.38)</f>
        <v>326.38</v>
      </c>
      <c r="E473" s="1">
        <f ca="1">IFERROR(__xludf.DUMMYFUNCTION("""COMPUTED_VALUE"""),334.19)</f>
        <v>334.19</v>
      </c>
      <c r="F473" s="1">
        <f ca="1">IFERROR(__xludf.DUMMYFUNCTION("""COMPUTED_VALUE"""),18932572)</f>
        <v>18932572</v>
      </c>
    </row>
    <row r="474" spans="1:6" ht="12.6">
      <c r="A474" s="2">
        <f ca="1">IFERROR(__xludf.DUMMYFUNCTION("""COMPUTED_VALUE"""),45247.6666666666)</f>
        <v>45247.666666666599</v>
      </c>
      <c r="B474" s="1">
        <f ca="1">IFERROR(__xludf.DUMMYFUNCTION("""COMPUTED_VALUE"""),330.26)</f>
        <v>330.26</v>
      </c>
      <c r="C474" s="1">
        <f ca="1">IFERROR(__xludf.DUMMYFUNCTION("""COMPUTED_VALUE"""),335.5)</f>
        <v>335.5</v>
      </c>
      <c r="D474" s="1">
        <f ca="1">IFERROR(__xludf.DUMMYFUNCTION("""COMPUTED_VALUE"""),329.35)</f>
        <v>329.35</v>
      </c>
      <c r="E474" s="1">
        <f ca="1">IFERROR(__xludf.DUMMYFUNCTION("""COMPUTED_VALUE"""),335.04)</f>
        <v>335.04</v>
      </c>
      <c r="F474" s="1">
        <f ca="1">IFERROR(__xludf.DUMMYFUNCTION("""COMPUTED_VALUE"""),14519213)</f>
        <v>14519213</v>
      </c>
    </row>
    <row r="475" spans="1:6" ht="12.6">
      <c r="A475" s="2">
        <f ca="1">IFERROR(__xludf.DUMMYFUNCTION("""COMPUTED_VALUE"""),45250.6666666666)</f>
        <v>45250.666666666599</v>
      </c>
      <c r="B475" s="1">
        <f ca="1">IFERROR(__xludf.DUMMYFUNCTION("""COMPUTED_VALUE"""),334.89)</f>
        <v>334.89</v>
      </c>
      <c r="C475" s="1">
        <f ca="1">IFERROR(__xludf.DUMMYFUNCTION("""COMPUTED_VALUE"""),341.87)</f>
        <v>341.87</v>
      </c>
      <c r="D475" s="1">
        <f ca="1">IFERROR(__xludf.DUMMYFUNCTION("""COMPUTED_VALUE"""),334.19)</f>
        <v>334.19</v>
      </c>
      <c r="E475" s="1">
        <f ca="1">IFERROR(__xludf.DUMMYFUNCTION("""COMPUTED_VALUE"""),339.97)</f>
        <v>339.97</v>
      </c>
      <c r="F475" s="1">
        <f ca="1">IFERROR(__xludf.DUMMYFUNCTION("""COMPUTED_VALUE"""),16976129)</f>
        <v>16976129</v>
      </c>
    </row>
    <row r="476" spans="1:6" ht="12.6">
      <c r="A476" s="2">
        <f ca="1">IFERROR(__xludf.DUMMYFUNCTION("""COMPUTED_VALUE"""),45251.6666666666)</f>
        <v>45251.666666666599</v>
      </c>
      <c r="B476" s="1">
        <f ca="1">IFERROR(__xludf.DUMMYFUNCTION("""COMPUTED_VALUE"""),338.33)</f>
        <v>338.33</v>
      </c>
      <c r="C476" s="1">
        <f ca="1">IFERROR(__xludf.DUMMYFUNCTION("""COMPUTED_VALUE"""),339.9)</f>
        <v>339.9</v>
      </c>
      <c r="D476" s="1">
        <f ca="1">IFERROR(__xludf.DUMMYFUNCTION("""COMPUTED_VALUE"""),335.9)</f>
        <v>335.9</v>
      </c>
      <c r="E476" s="1">
        <f ca="1">IFERROR(__xludf.DUMMYFUNCTION("""COMPUTED_VALUE"""),336.98)</f>
        <v>336.98</v>
      </c>
      <c r="F476" s="1">
        <f ca="1">IFERROR(__xludf.DUMMYFUNCTION("""COMPUTED_VALUE"""),12027863)</f>
        <v>12027863</v>
      </c>
    </row>
    <row r="477" spans="1:6" ht="12.6">
      <c r="A477" s="2">
        <f ca="1">IFERROR(__xludf.DUMMYFUNCTION("""COMPUTED_VALUE"""),45252.6666666666)</f>
        <v>45252.666666666599</v>
      </c>
      <c r="B477" s="1">
        <f ca="1">IFERROR(__xludf.DUMMYFUNCTION("""COMPUTED_VALUE"""),339.21)</f>
        <v>339.21</v>
      </c>
      <c r="C477" s="1">
        <f ca="1">IFERROR(__xludf.DUMMYFUNCTION("""COMPUTED_VALUE"""),342.92)</f>
        <v>342.92</v>
      </c>
      <c r="D477" s="1">
        <f ca="1">IFERROR(__xludf.DUMMYFUNCTION("""COMPUTED_VALUE"""),338.58)</f>
        <v>338.58</v>
      </c>
      <c r="E477" s="1">
        <f ca="1">IFERROR(__xludf.DUMMYFUNCTION("""COMPUTED_VALUE"""),341.49)</f>
        <v>341.49</v>
      </c>
      <c r="F477" s="1">
        <f ca="1">IFERROR(__xludf.DUMMYFUNCTION("""COMPUTED_VALUE"""),10715177)</f>
        <v>10715177</v>
      </c>
    </row>
    <row r="478" spans="1:6" ht="12.6">
      <c r="A478" s="2">
        <f ca="1">IFERROR(__xludf.DUMMYFUNCTION("""COMPUTED_VALUE"""),45254.5451388888)</f>
        <v>45254.545138888803</v>
      </c>
      <c r="B478" s="1">
        <f ca="1">IFERROR(__xludf.DUMMYFUNCTION("""COMPUTED_VALUE"""),340.13)</f>
        <v>340.13</v>
      </c>
      <c r="C478" s="1">
        <f ca="1">IFERROR(__xludf.DUMMYFUNCTION("""COMPUTED_VALUE"""),341.86)</f>
        <v>341.86</v>
      </c>
      <c r="D478" s="1">
        <f ca="1">IFERROR(__xludf.DUMMYFUNCTION("""COMPUTED_VALUE"""),336.77)</f>
        <v>336.77</v>
      </c>
      <c r="E478" s="1">
        <f ca="1">IFERROR(__xludf.DUMMYFUNCTION("""COMPUTED_VALUE"""),338.23)</f>
        <v>338.23</v>
      </c>
      <c r="F478" s="1">
        <f ca="1">IFERROR(__xludf.DUMMYFUNCTION("""COMPUTED_VALUE"""),5467488)</f>
        <v>5467488</v>
      </c>
    </row>
    <row r="479" spans="1:6" ht="12.6">
      <c r="A479" s="2">
        <f ca="1">IFERROR(__xludf.DUMMYFUNCTION("""COMPUTED_VALUE"""),45257.6666666666)</f>
        <v>45257.666666666599</v>
      </c>
      <c r="B479" s="1">
        <f ca="1">IFERROR(__xludf.DUMMYFUNCTION("""COMPUTED_VALUE"""),336.18)</f>
        <v>336.18</v>
      </c>
      <c r="C479" s="1">
        <f ca="1">IFERROR(__xludf.DUMMYFUNCTION("""COMPUTED_VALUE"""),339.9)</f>
        <v>339.9</v>
      </c>
      <c r="D479" s="1">
        <f ca="1">IFERROR(__xludf.DUMMYFUNCTION("""COMPUTED_VALUE"""),334.2)</f>
        <v>334.2</v>
      </c>
      <c r="E479" s="1">
        <f ca="1">IFERROR(__xludf.DUMMYFUNCTION("""COMPUTED_VALUE"""),334.7)</f>
        <v>334.7</v>
      </c>
      <c r="F479" s="1">
        <f ca="1">IFERROR(__xludf.DUMMYFUNCTION("""COMPUTED_VALUE"""),15684454)</f>
        <v>15684454</v>
      </c>
    </row>
    <row r="480" spans="1:6" ht="12.6">
      <c r="A480" s="2">
        <f ca="1">IFERROR(__xludf.DUMMYFUNCTION("""COMPUTED_VALUE"""),45258.6666666666)</f>
        <v>45258.666666666599</v>
      </c>
      <c r="B480" s="1">
        <f ca="1">IFERROR(__xludf.DUMMYFUNCTION("""COMPUTED_VALUE"""),333.4)</f>
        <v>333.4</v>
      </c>
      <c r="C480" s="1">
        <f ca="1">IFERROR(__xludf.DUMMYFUNCTION("""COMPUTED_VALUE"""),339.38)</f>
        <v>339.38</v>
      </c>
      <c r="D480" s="1">
        <f ca="1">IFERROR(__xludf.DUMMYFUNCTION("""COMPUTED_VALUE"""),333.4)</f>
        <v>333.4</v>
      </c>
      <c r="E480" s="1">
        <f ca="1">IFERROR(__xludf.DUMMYFUNCTION("""COMPUTED_VALUE"""),338.99)</f>
        <v>338.99</v>
      </c>
      <c r="F480" s="1">
        <f ca="1">IFERROR(__xludf.DUMMYFUNCTION("""COMPUTED_VALUE"""),12637245)</f>
        <v>12637245</v>
      </c>
    </row>
    <row r="481" spans="1:6" ht="12.6">
      <c r="A481" s="2">
        <f ca="1">IFERROR(__xludf.DUMMYFUNCTION("""COMPUTED_VALUE"""),45259.6666666666)</f>
        <v>45259.666666666599</v>
      </c>
      <c r="B481" s="1">
        <f ca="1">IFERROR(__xludf.DUMMYFUNCTION("""COMPUTED_VALUE"""),339.69)</f>
        <v>339.69</v>
      </c>
      <c r="C481" s="1">
        <f ca="1">IFERROR(__xludf.DUMMYFUNCTION("""COMPUTED_VALUE"""),339.9)</f>
        <v>339.9</v>
      </c>
      <c r="D481" s="1">
        <f ca="1">IFERROR(__xludf.DUMMYFUNCTION("""COMPUTED_VALUE"""),330.78)</f>
        <v>330.78</v>
      </c>
      <c r="E481" s="1">
        <f ca="1">IFERROR(__xludf.DUMMYFUNCTION("""COMPUTED_VALUE"""),332.2)</f>
        <v>332.2</v>
      </c>
      <c r="F481" s="1">
        <f ca="1">IFERROR(__xludf.DUMMYFUNCTION("""COMPUTED_VALUE"""),16024497)</f>
        <v>16024497</v>
      </c>
    </row>
    <row r="482" spans="1:6" ht="12.6">
      <c r="A482" s="2">
        <f ca="1">IFERROR(__xludf.DUMMYFUNCTION("""COMPUTED_VALUE"""),45260.6666666666)</f>
        <v>45260.666666666599</v>
      </c>
      <c r="B482" s="1">
        <f ca="1">IFERROR(__xludf.DUMMYFUNCTION("""COMPUTED_VALUE"""),331.89)</f>
        <v>331.89</v>
      </c>
      <c r="C482" s="1">
        <f ca="1">IFERROR(__xludf.DUMMYFUNCTION("""COMPUTED_VALUE"""),333.5)</f>
        <v>333.5</v>
      </c>
      <c r="D482" s="1">
        <f ca="1">IFERROR(__xludf.DUMMYFUNCTION("""COMPUTED_VALUE"""),322.4)</f>
        <v>322.39999999999998</v>
      </c>
      <c r="E482" s="1">
        <f ca="1">IFERROR(__xludf.DUMMYFUNCTION("""COMPUTED_VALUE"""),327.15)</f>
        <v>327.14999999999998</v>
      </c>
      <c r="F482" s="1">
        <f ca="1">IFERROR(__xludf.DUMMYFUNCTION("""COMPUTED_VALUE"""),23146387)</f>
        <v>23146387</v>
      </c>
    </row>
    <row r="483" spans="1:6" ht="12.6">
      <c r="A483" s="2">
        <f ca="1">IFERROR(__xludf.DUMMYFUNCTION("""COMPUTED_VALUE"""),45261.6666666666)</f>
        <v>45261.666666666599</v>
      </c>
      <c r="B483" s="1">
        <f ca="1">IFERROR(__xludf.DUMMYFUNCTION("""COMPUTED_VALUE"""),325.48)</f>
        <v>325.48</v>
      </c>
      <c r="C483" s="1">
        <f ca="1">IFERROR(__xludf.DUMMYFUNCTION("""COMPUTED_VALUE"""),326.86)</f>
        <v>326.86</v>
      </c>
      <c r="D483" s="1">
        <f ca="1">IFERROR(__xludf.DUMMYFUNCTION("""COMPUTED_VALUE"""),320.76)</f>
        <v>320.76</v>
      </c>
      <c r="E483" s="1">
        <f ca="1">IFERROR(__xludf.DUMMYFUNCTION("""COMPUTED_VALUE"""),324.82)</f>
        <v>324.82</v>
      </c>
      <c r="F483" s="1">
        <f ca="1">IFERROR(__xludf.DUMMYFUNCTION("""COMPUTED_VALUE"""),15276375)</f>
        <v>15276375</v>
      </c>
    </row>
    <row r="484" spans="1:6" ht="12.6">
      <c r="A484" s="2">
        <f ca="1">IFERROR(__xludf.DUMMYFUNCTION("""COMPUTED_VALUE"""),45264.6666666666)</f>
        <v>45264.666666666599</v>
      </c>
      <c r="B484" s="1">
        <f ca="1">IFERROR(__xludf.DUMMYFUNCTION("""COMPUTED_VALUE"""),317.29)</f>
        <v>317.29000000000002</v>
      </c>
      <c r="C484" s="1">
        <f ca="1">IFERROR(__xludf.DUMMYFUNCTION("""COMPUTED_VALUE"""),320.86)</f>
        <v>320.86</v>
      </c>
      <c r="D484" s="1">
        <f ca="1">IFERROR(__xludf.DUMMYFUNCTION("""COMPUTED_VALUE"""),313.66)</f>
        <v>313.66000000000003</v>
      </c>
      <c r="E484" s="1">
        <f ca="1">IFERROR(__xludf.DUMMYFUNCTION("""COMPUTED_VALUE"""),320.02)</f>
        <v>320.02</v>
      </c>
      <c r="F484" s="1">
        <f ca="1">IFERROR(__xludf.DUMMYFUNCTION("""COMPUTED_VALUE"""),19037080)</f>
        <v>19037080</v>
      </c>
    </row>
    <row r="485" spans="1:6" ht="12.6">
      <c r="A485" s="2">
        <f ca="1">IFERROR(__xludf.DUMMYFUNCTION("""COMPUTED_VALUE"""),45265.6666666666)</f>
        <v>45265.666666666599</v>
      </c>
      <c r="B485" s="1">
        <f ca="1">IFERROR(__xludf.DUMMYFUNCTION("""COMPUTED_VALUE"""),318.98)</f>
        <v>318.98</v>
      </c>
      <c r="C485" s="1">
        <f ca="1">IFERROR(__xludf.DUMMYFUNCTION("""COMPUTED_VALUE"""),321.88)</f>
        <v>321.88</v>
      </c>
      <c r="D485" s="1">
        <f ca="1">IFERROR(__xludf.DUMMYFUNCTION("""COMPUTED_VALUE"""),315.39)</f>
        <v>315.39</v>
      </c>
      <c r="E485" s="1">
        <f ca="1">IFERROR(__xludf.DUMMYFUNCTION("""COMPUTED_VALUE"""),318.29)</f>
        <v>318.29000000000002</v>
      </c>
      <c r="F485" s="1">
        <f ca="1">IFERROR(__xludf.DUMMYFUNCTION("""COMPUTED_VALUE"""),16952128)</f>
        <v>16952128</v>
      </c>
    </row>
    <row r="486" spans="1:6" ht="12.6">
      <c r="A486" s="2">
        <f ca="1">IFERROR(__xludf.DUMMYFUNCTION("""COMPUTED_VALUE"""),45266.6666666666)</f>
        <v>45266.666666666599</v>
      </c>
      <c r="B486" s="1">
        <f ca="1">IFERROR(__xludf.DUMMYFUNCTION("""COMPUTED_VALUE"""),321.93)</f>
        <v>321.93</v>
      </c>
      <c r="C486" s="1">
        <f ca="1">IFERROR(__xludf.DUMMYFUNCTION("""COMPUTED_VALUE"""),322.25)</f>
        <v>322.25</v>
      </c>
      <c r="D486" s="1">
        <f ca="1">IFERROR(__xludf.DUMMYFUNCTION("""COMPUTED_VALUE"""),317.04)</f>
        <v>317.04000000000002</v>
      </c>
      <c r="E486" s="1">
        <f ca="1">IFERROR(__xludf.DUMMYFUNCTION("""COMPUTED_VALUE"""),317.45)</f>
        <v>317.45</v>
      </c>
      <c r="F486" s="1">
        <f ca="1">IFERROR(__xludf.DUMMYFUNCTION("""COMPUTED_VALUE"""),11294337)</f>
        <v>11294337</v>
      </c>
    </row>
    <row r="487" spans="1:6" ht="12.6">
      <c r="A487" s="2">
        <f ca="1">IFERROR(__xludf.DUMMYFUNCTION("""COMPUTED_VALUE"""),45267.6666666666)</f>
        <v>45267.666666666599</v>
      </c>
      <c r="B487" s="1">
        <f ca="1">IFERROR(__xludf.DUMMYFUNCTION("""COMPUTED_VALUE"""),317.77)</f>
        <v>317.77</v>
      </c>
      <c r="C487" s="1">
        <f ca="1">IFERROR(__xludf.DUMMYFUNCTION("""COMPUTED_VALUE"""),328.24)</f>
        <v>328.24</v>
      </c>
      <c r="D487" s="1">
        <f ca="1">IFERROR(__xludf.DUMMYFUNCTION("""COMPUTED_VALUE"""),317.77)</f>
        <v>317.77</v>
      </c>
      <c r="E487" s="1">
        <f ca="1">IFERROR(__xludf.DUMMYFUNCTION("""COMPUTED_VALUE"""),326.59)</f>
        <v>326.58999999999997</v>
      </c>
      <c r="F487" s="1">
        <f ca="1">IFERROR(__xludf.DUMMYFUNCTION("""COMPUTED_VALUE"""),15905079)</f>
        <v>15905079</v>
      </c>
    </row>
    <row r="488" spans="1:6" ht="12.6">
      <c r="A488" s="2">
        <f ca="1">IFERROR(__xludf.DUMMYFUNCTION("""COMPUTED_VALUE"""),45268.6666666666)</f>
        <v>45268.666666666599</v>
      </c>
      <c r="B488" s="1">
        <f ca="1">IFERROR(__xludf.DUMMYFUNCTION("""COMPUTED_VALUE"""),323.09)</f>
        <v>323.08999999999997</v>
      </c>
      <c r="C488" s="1">
        <f ca="1">IFERROR(__xludf.DUMMYFUNCTION("""COMPUTED_VALUE"""),333.17)</f>
        <v>333.17</v>
      </c>
      <c r="D488" s="1">
        <f ca="1">IFERROR(__xludf.DUMMYFUNCTION("""COMPUTED_VALUE"""),323)</f>
        <v>323</v>
      </c>
      <c r="E488" s="1">
        <f ca="1">IFERROR(__xludf.DUMMYFUNCTION("""COMPUTED_VALUE"""),332.75)</f>
        <v>332.75</v>
      </c>
      <c r="F488" s="1">
        <f ca="1">IFERROR(__xludf.DUMMYFUNCTION("""COMPUTED_VALUE"""),14087351)</f>
        <v>14087351</v>
      </c>
    </row>
    <row r="489" spans="1:6" ht="12.6">
      <c r="A489" s="2">
        <f ca="1">IFERROR(__xludf.DUMMYFUNCTION("""COMPUTED_VALUE"""),45271.6666666666)</f>
        <v>45271.666666666599</v>
      </c>
      <c r="B489" s="1">
        <f ca="1">IFERROR(__xludf.DUMMYFUNCTION("""COMPUTED_VALUE"""),329.4)</f>
        <v>329.4</v>
      </c>
      <c r="C489" s="1">
        <f ca="1">IFERROR(__xludf.DUMMYFUNCTION("""COMPUTED_VALUE"""),329.89)</f>
        <v>329.89</v>
      </c>
      <c r="D489" s="1">
        <f ca="1">IFERROR(__xludf.DUMMYFUNCTION("""COMPUTED_VALUE"""),320)</f>
        <v>320</v>
      </c>
      <c r="E489" s="1">
        <f ca="1">IFERROR(__xludf.DUMMYFUNCTION("""COMPUTED_VALUE"""),325.28)</f>
        <v>325.27999999999997</v>
      </c>
      <c r="F489" s="1">
        <f ca="1">IFERROR(__xludf.DUMMYFUNCTION("""COMPUTED_VALUE"""),25802462)</f>
        <v>25802462</v>
      </c>
    </row>
    <row r="490" spans="1:6" ht="12.6">
      <c r="A490" s="2">
        <f ca="1">IFERROR(__xludf.DUMMYFUNCTION("""COMPUTED_VALUE"""),45272.6666666666)</f>
        <v>45272.666666666599</v>
      </c>
      <c r="B490" s="1">
        <f ca="1">IFERROR(__xludf.DUMMYFUNCTION("""COMPUTED_VALUE"""),324.6)</f>
        <v>324.60000000000002</v>
      </c>
      <c r="C490" s="1">
        <f ca="1">IFERROR(__xludf.DUMMYFUNCTION("""COMPUTED_VALUE"""),334.47)</f>
        <v>334.47</v>
      </c>
      <c r="D490" s="1">
        <f ca="1">IFERROR(__xludf.DUMMYFUNCTION("""COMPUTED_VALUE"""),324.56)</f>
        <v>324.56</v>
      </c>
      <c r="E490" s="1">
        <f ca="1">IFERROR(__xludf.DUMMYFUNCTION("""COMPUTED_VALUE"""),334.22)</f>
        <v>334.22</v>
      </c>
      <c r="F490" s="1">
        <f ca="1">IFERROR(__xludf.DUMMYFUNCTION("""COMPUTED_VALUE"""),18485461)</f>
        <v>18485461</v>
      </c>
    </row>
    <row r="491" spans="1:6" ht="12.6">
      <c r="A491" s="2">
        <f ca="1">IFERROR(__xludf.DUMMYFUNCTION("""COMPUTED_VALUE"""),45273.6666666666)</f>
        <v>45273.666666666599</v>
      </c>
      <c r="B491" s="1">
        <f ca="1">IFERROR(__xludf.DUMMYFUNCTION("""COMPUTED_VALUE"""),333.93)</f>
        <v>333.93</v>
      </c>
      <c r="C491" s="1">
        <f ca="1">IFERROR(__xludf.DUMMYFUNCTION("""COMPUTED_VALUE"""),338.37)</f>
        <v>338.37</v>
      </c>
      <c r="D491" s="1">
        <f ca="1">IFERROR(__xludf.DUMMYFUNCTION("""COMPUTED_VALUE"""),332.64)</f>
        <v>332.64</v>
      </c>
      <c r="E491" s="1">
        <f ca="1">IFERROR(__xludf.DUMMYFUNCTION("""COMPUTED_VALUE"""),334.74)</f>
        <v>334.74</v>
      </c>
      <c r="F491" s="1">
        <f ca="1">IFERROR(__xludf.DUMMYFUNCTION("""COMPUTED_VALUE"""),16353321)</f>
        <v>16353321</v>
      </c>
    </row>
    <row r="492" spans="1:6" ht="12.6">
      <c r="A492" s="2">
        <f ca="1">IFERROR(__xludf.DUMMYFUNCTION("""COMPUTED_VALUE"""),45274.6666666666)</f>
        <v>45274.666666666599</v>
      </c>
      <c r="B492" s="1">
        <f ca="1">IFERROR(__xludf.DUMMYFUNCTION("""COMPUTED_VALUE"""),333.85)</f>
        <v>333.85</v>
      </c>
      <c r="C492" s="1">
        <f ca="1">IFERROR(__xludf.DUMMYFUNCTION("""COMPUTED_VALUE"""),334.7)</f>
        <v>334.7</v>
      </c>
      <c r="D492" s="1">
        <f ca="1">IFERROR(__xludf.DUMMYFUNCTION("""COMPUTED_VALUE"""),328.64)</f>
        <v>328.64</v>
      </c>
      <c r="E492" s="1">
        <f ca="1">IFERROR(__xludf.DUMMYFUNCTION("""COMPUTED_VALUE"""),333.17)</f>
        <v>333.17</v>
      </c>
      <c r="F492" s="1">
        <f ca="1">IFERROR(__xludf.DUMMYFUNCTION("""COMPUTED_VALUE"""),19607335)</f>
        <v>19607335</v>
      </c>
    </row>
    <row r="493" spans="1:6" ht="12.6">
      <c r="A493" s="2">
        <f ca="1">IFERROR(__xludf.DUMMYFUNCTION("""COMPUTED_VALUE"""),45275.6666666666)</f>
        <v>45275.666666666599</v>
      </c>
      <c r="B493" s="1">
        <f ca="1">IFERROR(__xludf.DUMMYFUNCTION("""COMPUTED_VALUE"""),331.99)</f>
        <v>331.99</v>
      </c>
      <c r="C493" s="1">
        <f ca="1">IFERROR(__xludf.DUMMYFUNCTION("""COMPUTED_VALUE"""),338.66)</f>
        <v>338.66</v>
      </c>
      <c r="D493" s="1">
        <f ca="1">IFERROR(__xludf.DUMMYFUNCTION("""COMPUTED_VALUE"""),331.22)</f>
        <v>331.22</v>
      </c>
      <c r="E493" s="1">
        <f ca="1">IFERROR(__xludf.DUMMYFUNCTION("""COMPUTED_VALUE"""),334.92)</f>
        <v>334.92</v>
      </c>
      <c r="F493" s="1">
        <f ca="1">IFERROR(__xludf.DUMMYFUNCTION("""COMPUTED_VALUE"""),31776852)</f>
        <v>31776852</v>
      </c>
    </row>
    <row r="494" spans="1:6" ht="12.6">
      <c r="A494" s="2">
        <f ca="1">IFERROR(__xludf.DUMMYFUNCTION("""COMPUTED_VALUE"""),45278.6666666666)</f>
        <v>45278.666666666599</v>
      </c>
      <c r="B494" s="1">
        <f ca="1">IFERROR(__xludf.DUMMYFUNCTION("""COMPUTED_VALUE"""),337.48)</f>
        <v>337.48</v>
      </c>
      <c r="C494" s="1">
        <f ca="1">IFERROR(__xludf.DUMMYFUNCTION("""COMPUTED_VALUE"""),347.56)</f>
        <v>347.56</v>
      </c>
      <c r="D494" s="1">
        <f ca="1">IFERROR(__xludf.DUMMYFUNCTION("""COMPUTED_VALUE"""),337.02)</f>
        <v>337.02</v>
      </c>
      <c r="E494" s="1">
        <f ca="1">IFERROR(__xludf.DUMMYFUNCTION("""COMPUTED_VALUE"""),344.62)</f>
        <v>344.62</v>
      </c>
      <c r="F494" s="1">
        <f ca="1">IFERROR(__xludf.DUMMYFUNCTION("""COMPUTED_VALUE"""),18993852)</f>
        <v>18993852</v>
      </c>
    </row>
    <row r="495" spans="1:6" ht="12.6">
      <c r="A495" s="2">
        <f ca="1">IFERROR(__xludf.DUMMYFUNCTION("""COMPUTED_VALUE"""),45279.6666666666)</f>
        <v>45279.666666666599</v>
      </c>
      <c r="B495" s="1">
        <f ca="1">IFERROR(__xludf.DUMMYFUNCTION("""COMPUTED_VALUE"""),345.58)</f>
        <v>345.58</v>
      </c>
      <c r="C495" s="1">
        <f ca="1">IFERROR(__xludf.DUMMYFUNCTION("""COMPUTED_VALUE"""),353.6)</f>
        <v>353.6</v>
      </c>
      <c r="D495" s="1">
        <f ca="1">IFERROR(__xludf.DUMMYFUNCTION("""COMPUTED_VALUE"""),345.12)</f>
        <v>345.12</v>
      </c>
      <c r="E495" s="1">
        <f ca="1">IFERROR(__xludf.DUMMYFUNCTION("""COMPUTED_VALUE"""),350.36)</f>
        <v>350.36</v>
      </c>
      <c r="F495" s="1">
        <f ca="1">IFERROR(__xludf.DUMMYFUNCTION("""COMPUTED_VALUE"""),17729362)</f>
        <v>17729362</v>
      </c>
    </row>
    <row r="496" spans="1:6" ht="12.6">
      <c r="A496" s="2">
        <f ca="1">IFERROR(__xludf.DUMMYFUNCTION("""COMPUTED_VALUE"""),45280.6666666666)</f>
        <v>45280.666666666599</v>
      </c>
      <c r="B496" s="1">
        <f ca="1">IFERROR(__xludf.DUMMYFUNCTION("""COMPUTED_VALUE"""),348.65)</f>
        <v>348.65</v>
      </c>
      <c r="C496" s="1">
        <f ca="1">IFERROR(__xludf.DUMMYFUNCTION("""COMPUTED_VALUE"""),354.96)</f>
        <v>354.96</v>
      </c>
      <c r="D496" s="1">
        <f ca="1">IFERROR(__xludf.DUMMYFUNCTION("""COMPUTED_VALUE"""),347.79)</f>
        <v>347.79</v>
      </c>
      <c r="E496" s="1">
        <f ca="1">IFERROR(__xludf.DUMMYFUNCTION("""COMPUTED_VALUE"""),349.28)</f>
        <v>349.28</v>
      </c>
      <c r="F496" s="1">
        <f ca="1">IFERROR(__xludf.DUMMYFUNCTION("""COMPUTED_VALUE"""),16369850)</f>
        <v>16369850</v>
      </c>
    </row>
    <row r="497" spans="1:6" ht="12.6">
      <c r="A497" s="2">
        <f ca="1">IFERROR(__xludf.DUMMYFUNCTION("""COMPUTED_VALUE"""),45281.6666666666)</f>
        <v>45281.666666666599</v>
      </c>
      <c r="B497" s="1">
        <f ca="1">IFERROR(__xludf.DUMMYFUNCTION("""COMPUTED_VALUE"""),352.98)</f>
        <v>352.98</v>
      </c>
      <c r="C497" s="1">
        <f ca="1">IFERROR(__xludf.DUMMYFUNCTION("""COMPUTED_VALUE"""),356.41)</f>
        <v>356.41</v>
      </c>
      <c r="D497" s="1">
        <f ca="1">IFERROR(__xludf.DUMMYFUNCTION("""COMPUTED_VALUE"""),349.21)</f>
        <v>349.21</v>
      </c>
      <c r="E497" s="1">
        <f ca="1">IFERROR(__xludf.DUMMYFUNCTION("""COMPUTED_VALUE"""),354.09)</f>
        <v>354.09</v>
      </c>
      <c r="F497" s="1">
        <f ca="1">IFERROR(__xludf.DUMMYFUNCTION("""COMPUTED_VALUE"""),15289556)</f>
        <v>15289556</v>
      </c>
    </row>
    <row r="498" spans="1:6" ht="12.6">
      <c r="A498" s="2">
        <f ca="1">IFERROR(__xludf.DUMMYFUNCTION("""COMPUTED_VALUE"""),45282.6666666666)</f>
        <v>45282.666666666599</v>
      </c>
      <c r="B498" s="1">
        <f ca="1">IFERROR(__xludf.DUMMYFUNCTION("""COMPUTED_VALUE"""),355.58)</f>
        <v>355.58</v>
      </c>
      <c r="C498" s="1">
        <f ca="1">IFERROR(__xludf.DUMMYFUNCTION("""COMPUTED_VALUE"""),357.2)</f>
        <v>357.2</v>
      </c>
      <c r="D498" s="1">
        <f ca="1">IFERROR(__xludf.DUMMYFUNCTION("""COMPUTED_VALUE"""),351.22)</f>
        <v>351.22</v>
      </c>
      <c r="E498" s="1">
        <f ca="1">IFERROR(__xludf.DUMMYFUNCTION("""COMPUTED_VALUE"""),353.39)</f>
        <v>353.39</v>
      </c>
      <c r="F498" s="1">
        <f ca="1">IFERROR(__xludf.DUMMYFUNCTION("""COMPUTED_VALUE"""),11772779)</f>
        <v>11772779</v>
      </c>
    </row>
    <row r="499" spans="1:6" ht="12.6">
      <c r="A499" s="2">
        <f ca="1">IFERROR(__xludf.DUMMYFUNCTION("""COMPUTED_VALUE"""),45286.6666666666)</f>
        <v>45286.666666666599</v>
      </c>
      <c r="B499" s="1">
        <f ca="1">IFERROR(__xludf.DUMMYFUNCTION("""COMPUTED_VALUE"""),354.99)</f>
        <v>354.99</v>
      </c>
      <c r="C499" s="1">
        <f ca="1">IFERROR(__xludf.DUMMYFUNCTION("""COMPUTED_VALUE"""),356.98)</f>
        <v>356.98</v>
      </c>
      <c r="D499" s="1">
        <f ca="1">IFERROR(__xludf.DUMMYFUNCTION("""COMPUTED_VALUE"""),353.45)</f>
        <v>353.45</v>
      </c>
      <c r="E499" s="1">
        <f ca="1">IFERROR(__xludf.DUMMYFUNCTION("""COMPUTED_VALUE"""),354.83)</f>
        <v>354.83</v>
      </c>
      <c r="F499" s="1">
        <f ca="1">IFERROR(__xludf.DUMMYFUNCTION("""COMPUTED_VALUE"""),9898614)</f>
        <v>9898614</v>
      </c>
    </row>
    <row r="500" spans="1:6" ht="12.6">
      <c r="A500" s="2">
        <f ca="1">IFERROR(__xludf.DUMMYFUNCTION("""COMPUTED_VALUE"""),45287.6666666666)</f>
        <v>45287.666666666599</v>
      </c>
      <c r="B500" s="1">
        <f ca="1">IFERROR(__xludf.DUMMYFUNCTION("""COMPUTED_VALUE"""),356.07)</f>
        <v>356.07</v>
      </c>
      <c r="C500" s="1">
        <f ca="1">IFERROR(__xludf.DUMMYFUNCTION("""COMPUTED_VALUE"""),359)</f>
        <v>359</v>
      </c>
      <c r="D500" s="1">
        <f ca="1">IFERROR(__xludf.DUMMYFUNCTION("""COMPUTED_VALUE"""),355.31)</f>
        <v>355.31</v>
      </c>
      <c r="E500" s="1">
        <f ca="1">IFERROR(__xludf.DUMMYFUNCTION("""COMPUTED_VALUE"""),357.83)</f>
        <v>357.83</v>
      </c>
      <c r="F500" s="1">
        <f ca="1">IFERROR(__xludf.DUMMYFUNCTION("""COMPUTED_VALUE"""),13207928)</f>
        <v>13207928</v>
      </c>
    </row>
    <row r="501" spans="1:6" ht="12.6">
      <c r="A501" s="2">
        <f ca="1">IFERROR(__xludf.DUMMYFUNCTION("""COMPUTED_VALUE"""),45288.6666666666)</f>
        <v>45288.666666666599</v>
      </c>
      <c r="B501" s="1">
        <f ca="1">IFERROR(__xludf.DUMMYFUNCTION("""COMPUTED_VALUE"""),359.7)</f>
        <v>359.7</v>
      </c>
      <c r="C501" s="1">
        <f ca="1">IFERROR(__xludf.DUMMYFUNCTION("""COMPUTED_VALUE"""),361.9)</f>
        <v>361.9</v>
      </c>
      <c r="D501" s="1">
        <f ca="1">IFERROR(__xludf.DUMMYFUNCTION("""COMPUTED_VALUE"""),357.81)</f>
        <v>357.81</v>
      </c>
      <c r="E501" s="1">
        <f ca="1">IFERROR(__xludf.DUMMYFUNCTION("""COMPUTED_VALUE"""),358.32)</f>
        <v>358.32</v>
      </c>
      <c r="F501" s="1">
        <f ca="1">IFERROR(__xludf.DUMMYFUNCTION("""COMPUTED_VALUE"""),11798807)</f>
        <v>11798807</v>
      </c>
    </row>
    <row r="502" spans="1:6" ht="12.6">
      <c r="A502" s="2">
        <f ca="1">IFERROR(__xludf.DUMMYFUNCTION("""COMPUTED_VALUE"""),45289.6666666666)</f>
        <v>45289.666666666599</v>
      </c>
      <c r="B502" s="1">
        <f ca="1">IFERROR(__xludf.DUMMYFUNCTION("""COMPUTED_VALUE"""),358.99)</f>
        <v>358.99</v>
      </c>
      <c r="C502" s="1">
        <f ca="1">IFERROR(__xludf.DUMMYFUNCTION("""COMPUTED_VALUE"""),360)</f>
        <v>360</v>
      </c>
      <c r="D502" s="1">
        <f ca="1">IFERROR(__xludf.DUMMYFUNCTION("""COMPUTED_VALUE"""),351.82)</f>
        <v>351.82</v>
      </c>
      <c r="E502" s="1">
        <f ca="1">IFERROR(__xludf.DUMMYFUNCTION("""COMPUTED_VALUE"""),353.96)</f>
        <v>353.96</v>
      </c>
      <c r="F502" s="1">
        <f ca="1">IFERROR(__xludf.DUMMYFUNCTION("""COMPUTED_VALUE"""),14987092)</f>
        <v>14987092</v>
      </c>
    </row>
    <row r="503" spans="1:6" ht="12.6">
      <c r="A503" s="2">
        <f ca="1">IFERROR(__xludf.DUMMYFUNCTION("""COMPUTED_VALUE"""),45293.6666666666)</f>
        <v>45293.666666666599</v>
      </c>
      <c r="B503" s="1">
        <f ca="1">IFERROR(__xludf.DUMMYFUNCTION("""COMPUTED_VALUE"""),351.32)</f>
        <v>351.32</v>
      </c>
      <c r="C503" s="1">
        <f ca="1">IFERROR(__xludf.DUMMYFUNCTION("""COMPUTED_VALUE"""),353.16)</f>
        <v>353.16</v>
      </c>
      <c r="D503" s="1">
        <f ca="1">IFERROR(__xludf.DUMMYFUNCTION("""COMPUTED_VALUE"""),340.01)</f>
        <v>340.01</v>
      </c>
      <c r="E503" s="1">
        <f ca="1">IFERROR(__xludf.DUMMYFUNCTION("""COMPUTED_VALUE"""),346.29)</f>
        <v>346.29</v>
      </c>
      <c r="F503" s="1">
        <f ca="1">IFERROR(__xludf.DUMMYFUNCTION("""COMPUTED_VALUE"""),19042152)</f>
        <v>19042152</v>
      </c>
    </row>
    <row r="504" spans="1:6" ht="12.6">
      <c r="A504" s="2">
        <f ca="1">IFERROR(__xludf.DUMMYFUNCTION("""COMPUTED_VALUE"""),45294.6666666666)</f>
        <v>45294.666666666599</v>
      </c>
      <c r="B504" s="1">
        <f ca="1">IFERROR(__xludf.DUMMYFUNCTION("""COMPUTED_VALUE"""),344.98)</f>
        <v>344.98</v>
      </c>
      <c r="C504" s="1">
        <f ca="1">IFERROR(__xludf.DUMMYFUNCTION("""COMPUTED_VALUE"""),347.95)</f>
        <v>347.95</v>
      </c>
      <c r="D504" s="1">
        <f ca="1">IFERROR(__xludf.DUMMYFUNCTION("""COMPUTED_VALUE"""),343.18)</f>
        <v>343.18</v>
      </c>
      <c r="E504" s="1">
        <f ca="1">IFERROR(__xludf.DUMMYFUNCTION("""COMPUTED_VALUE"""),344.47)</f>
        <v>344.47</v>
      </c>
      <c r="F504" s="1">
        <f ca="1">IFERROR(__xludf.DUMMYFUNCTION("""COMPUTED_VALUE"""),15451133)</f>
        <v>15451133</v>
      </c>
    </row>
    <row r="505" spans="1:6" ht="12.6">
      <c r="A505" s="2">
        <f ca="1">IFERROR(__xludf.DUMMYFUNCTION("""COMPUTED_VALUE"""),45295.6666666666)</f>
        <v>45295.666666666599</v>
      </c>
      <c r="B505" s="1">
        <f ca="1">IFERROR(__xludf.DUMMYFUNCTION("""COMPUTED_VALUE"""),344.5)</f>
        <v>344.5</v>
      </c>
      <c r="C505" s="1">
        <f ca="1">IFERROR(__xludf.DUMMYFUNCTION("""COMPUTED_VALUE"""),348.15)</f>
        <v>348.15</v>
      </c>
      <c r="D505" s="1">
        <f ca="1">IFERROR(__xludf.DUMMYFUNCTION("""COMPUTED_VALUE"""),343.4)</f>
        <v>343.4</v>
      </c>
      <c r="E505" s="1">
        <f ca="1">IFERROR(__xludf.DUMMYFUNCTION("""COMPUTED_VALUE"""),347.12)</f>
        <v>347.12</v>
      </c>
      <c r="F505" s="1">
        <f ca="1">IFERROR(__xludf.DUMMYFUNCTION("""COMPUTED_VALUE"""),12099895)</f>
        <v>12099895</v>
      </c>
    </row>
    <row r="506" spans="1:6" ht="12.6">
      <c r="A506" s="2">
        <f ca="1">IFERROR(__xludf.DUMMYFUNCTION("""COMPUTED_VALUE"""),45296.6666666666)</f>
        <v>45296.666666666599</v>
      </c>
      <c r="B506" s="1">
        <f ca="1">IFERROR(__xludf.DUMMYFUNCTION("""COMPUTED_VALUE"""),346.99)</f>
        <v>346.99</v>
      </c>
      <c r="C506" s="1">
        <f ca="1">IFERROR(__xludf.DUMMYFUNCTION("""COMPUTED_VALUE"""),353.5)</f>
        <v>353.5</v>
      </c>
      <c r="D506" s="1">
        <f ca="1">IFERROR(__xludf.DUMMYFUNCTION("""COMPUTED_VALUE"""),346.26)</f>
        <v>346.26</v>
      </c>
      <c r="E506" s="1">
        <f ca="1">IFERROR(__xludf.DUMMYFUNCTION("""COMPUTED_VALUE"""),351.95)</f>
        <v>351.95</v>
      </c>
      <c r="F506" s="1">
        <f ca="1">IFERROR(__xludf.DUMMYFUNCTION("""COMPUTED_VALUE"""),13750912)</f>
        <v>13750912</v>
      </c>
    </row>
    <row r="507" spans="1:6" ht="12.6">
      <c r="A507" s="2">
        <f ca="1">IFERROR(__xludf.DUMMYFUNCTION("""COMPUTED_VALUE"""),45299.6666666666)</f>
        <v>45299.666666666599</v>
      </c>
      <c r="B507" s="1">
        <f ca="1">IFERROR(__xludf.DUMMYFUNCTION("""COMPUTED_VALUE"""),354.7)</f>
        <v>354.7</v>
      </c>
      <c r="C507" s="1">
        <f ca="1">IFERROR(__xludf.DUMMYFUNCTION("""COMPUTED_VALUE"""),358.98)</f>
        <v>358.98</v>
      </c>
      <c r="D507" s="1">
        <f ca="1">IFERROR(__xludf.DUMMYFUNCTION("""COMPUTED_VALUE"""),352.05)</f>
        <v>352.05</v>
      </c>
      <c r="E507" s="1">
        <f ca="1">IFERROR(__xludf.DUMMYFUNCTION("""COMPUTED_VALUE"""),358.66)</f>
        <v>358.66</v>
      </c>
      <c r="F507" s="1">
        <f ca="1">IFERROR(__xludf.DUMMYFUNCTION("""COMPUTED_VALUE"""),13890222)</f>
        <v>13890222</v>
      </c>
    </row>
    <row r="508" spans="1:6" ht="12.6">
      <c r="A508" s="2">
        <f ca="1">IFERROR(__xludf.DUMMYFUNCTION("""COMPUTED_VALUE"""),45300.6666666666)</f>
        <v>45300.666666666599</v>
      </c>
      <c r="B508" s="1">
        <f ca="1">IFERROR(__xludf.DUMMYFUNCTION("""COMPUTED_VALUE"""),356.4)</f>
        <v>356.4</v>
      </c>
      <c r="C508" s="1">
        <f ca="1">IFERROR(__xludf.DUMMYFUNCTION("""COMPUTED_VALUE"""),360.64)</f>
        <v>360.64</v>
      </c>
      <c r="D508" s="1">
        <f ca="1">IFERROR(__xludf.DUMMYFUNCTION("""COMPUTED_VALUE"""),355.36)</f>
        <v>355.36</v>
      </c>
      <c r="E508" s="1">
        <f ca="1">IFERROR(__xludf.DUMMYFUNCTION("""COMPUTED_VALUE"""),357.43)</f>
        <v>357.43</v>
      </c>
      <c r="F508" s="1">
        <f ca="1">IFERROR(__xludf.DUMMYFUNCTION("""COMPUTED_VALUE"""),13463871)</f>
        <v>13463871</v>
      </c>
    </row>
    <row r="509" spans="1:6" ht="12.6">
      <c r="A509" s="2">
        <f ca="1">IFERROR(__xludf.DUMMYFUNCTION("""COMPUTED_VALUE"""),45301.6666666666)</f>
        <v>45301.666666666599</v>
      </c>
      <c r="B509" s="1">
        <f ca="1">IFERROR(__xludf.DUMMYFUNCTION("""COMPUTED_VALUE"""),360.17)</f>
        <v>360.17</v>
      </c>
      <c r="C509" s="1">
        <f ca="1">IFERROR(__xludf.DUMMYFUNCTION("""COMPUTED_VALUE"""),372.94)</f>
        <v>372.94</v>
      </c>
      <c r="D509" s="1">
        <f ca="1">IFERROR(__xludf.DUMMYFUNCTION("""COMPUTED_VALUE"""),359.08)</f>
        <v>359.08</v>
      </c>
      <c r="E509" s="1">
        <f ca="1">IFERROR(__xludf.DUMMYFUNCTION("""COMPUTED_VALUE"""),370.47)</f>
        <v>370.47</v>
      </c>
      <c r="F509" s="1">
        <f ca="1">IFERROR(__xludf.DUMMYFUNCTION("""COMPUTED_VALUE"""),22117206)</f>
        <v>22117206</v>
      </c>
    </row>
    <row r="510" spans="1:6" ht="12.6">
      <c r="A510" s="2">
        <f ca="1">IFERROR(__xludf.DUMMYFUNCTION("""COMPUTED_VALUE"""),45302.6666666666)</f>
        <v>45302.666666666599</v>
      </c>
      <c r="B510" s="1">
        <f ca="1">IFERROR(__xludf.DUMMYFUNCTION("""COMPUTED_VALUE"""),372.13)</f>
        <v>372.13</v>
      </c>
      <c r="C510" s="1">
        <f ca="1">IFERROR(__xludf.DUMMYFUNCTION("""COMPUTED_VALUE"""),372.78)</f>
        <v>372.78</v>
      </c>
      <c r="D510" s="1">
        <f ca="1">IFERROR(__xludf.DUMMYFUNCTION("""COMPUTED_VALUE"""),362.93)</f>
        <v>362.93</v>
      </c>
      <c r="E510" s="1">
        <f ca="1">IFERROR(__xludf.DUMMYFUNCTION("""COMPUTED_VALUE"""),369.67)</f>
        <v>369.67</v>
      </c>
      <c r="F510" s="1">
        <f ca="1">IFERROR(__xludf.DUMMYFUNCTION("""COMPUTED_VALUE"""),17205385)</f>
        <v>17205385</v>
      </c>
    </row>
    <row r="511" spans="1:6" ht="12.6">
      <c r="A511" s="2">
        <f ca="1">IFERROR(__xludf.DUMMYFUNCTION("""COMPUTED_VALUE"""),45303.6666666666)</f>
        <v>45303.666666666599</v>
      </c>
      <c r="B511" s="1">
        <f ca="1">IFERROR(__xludf.DUMMYFUNCTION("""COMPUTED_VALUE"""),370.16)</f>
        <v>370.16</v>
      </c>
      <c r="C511" s="1">
        <f ca="1">IFERROR(__xludf.DUMMYFUNCTION("""COMPUTED_VALUE"""),377.06)</f>
        <v>377.06</v>
      </c>
      <c r="D511" s="1">
        <f ca="1">IFERROR(__xludf.DUMMYFUNCTION("""COMPUTED_VALUE"""),369.54)</f>
        <v>369.54</v>
      </c>
      <c r="E511" s="1">
        <f ca="1">IFERROR(__xludf.DUMMYFUNCTION("""COMPUTED_VALUE"""),374.49)</f>
        <v>374.49</v>
      </c>
      <c r="F511" s="1">
        <f ca="1">IFERROR(__xludf.DUMMYFUNCTION("""COMPUTED_VALUE"""),19310046)</f>
        <v>19310046</v>
      </c>
    </row>
    <row r="512" spans="1:6" ht="12.6">
      <c r="A512" s="2">
        <f ca="1">IFERROR(__xludf.DUMMYFUNCTION("""COMPUTED_VALUE"""),45307.6666666666)</f>
        <v>45307.666666666599</v>
      </c>
      <c r="B512" s="1">
        <f ca="1">IFERROR(__xludf.DUMMYFUNCTION("""COMPUTED_VALUE"""),373.65)</f>
        <v>373.65</v>
      </c>
      <c r="C512" s="1">
        <f ca="1">IFERROR(__xludf.DUMMYFUNCTION("""COMPUTED_VALUE"""),375.61)</f>
        <v>375.61</v>
      </c>
      <c r="D512" s="1">
        <f ca="1">IFERROR(__xludf.DUMMYFUNCTION("""COMPUTED_VALUE"""),367.23)</f>
        <v>367.23</v>
      </c>
      <c r="E512" s="1">
        <f ca="1">IFERROR(__xludf.DUMMYFUNCTION("""COMPUTED_VALUE"""),367.46)</f>
        <v>367.46</v>
      </c>
      <c r="F512" s="1">
        <f ca="1">IFERROR(__xludf.DUMMYFUNCTION("""COMPUTED_VALUE"""),15306885)</f>
        <v>15306885</v>
      </c>
    </row>
    <row r="513" spans="1:6" ht="12.6">
      <c r="A513" s="2">
        <f ca="1">IFERROR(__xludf.DUMMYFUNCTION("""COMPUTED_VALUE"""),45308.6666666666)</f>
        <v>45308.666666666599</v>
      </c>
      <c r="B513" s="1">
        <f ca="1">IFERROR(__xludf.DUMMYFUNCTION("""COMPUTED_VALUE"""),366.3)</f>
        <v>366.3</v>
      </c>
      <c r="C513" s="1">
        <f ca="1">IFERROR(__xludf.DUMMYFUNCTION("""COMPUTED_VALUE"""),368.54)</f>
        <v>368.54</v>
      </c>
      <c r="D513" s="1">
        <f ca="1">IFERROR(__xludf.DUMMYFUNCTION("""COMPUTED_VALUE"""),358.61)</f>
        <v>358.61</v>
      </c>
      <c r="E513" s="1">
        <f ca="1">IFERROR(__xludf.DUMMYFUNCTION("""COMPUTED_VALUE"""),368.37)</f>
        <v>368.37</v>
      </c>
      <c r="F513" s="1">
        <f ca="1">IFERROR(__xludf.DUMMYFUNCTION("""COMPUTED_VALUE"""),12724779)</f>
        <v>12724779</v>
      </c>
    </row>
    <row r="514" spans="1:6" ht="12.6">
      <c r="A514" s="2">
        <f ca="1">IFERROR(__xludf.DUMMYFUNCTION("""COMPUTED_VALUE"""),45309.6666666666)</f>
        <v>45309.666666666599</v>
      </c>
      <c r="B514" s="1">
        <f ca="1">IFERROR(__xludf.DUMMYFUNCTION("""COMPUTED_VALUE"""),371.49)</f>
        <v>371.49</v>
      </c>
      <c r="C514" s="1">
        <f ca="1">IFERROR(__xludf.DUMMYFUNCTION("""COMPUTED_VALUE"""),376.85)</f>
        <v>376.85</v>
      </c>
      <c r="D514" s="1">
        <f ca="1">IFERROR(__xludf.DUMMYFUNCTION("""COMPUTED_VALUE"""),370.95)</f>
        <v>370.95</v>
      </c>
      <c r="E514" s="1">
        <f ca="1">IFERROR(__xludf.DUMMYFUNCTION("""COMPUTED_VALUE"""),376.13)</f>
        <v>376.13</v>
      </c>
      <c r="F514" s="1">
        <f ca="1">IFERROR(__xludf.DUMMYFUNCTION("""COMPUTED_VALUE"""),16354332)</f>
        <v>16354332</v>
      </c>
    </row>
    <row r="515" spans="1:6" ht="12.6">
      <c r="A515" s="2">
        <f ca="1">IFERROR(__xludf.DUMMYFUNCTION("""COMPUTED_VALUE"""),45310.6666666666)</f>
        <v>45310.666666666599</v>
      </c>
      <c r="B515" s="1">
        <f ca="1">IFERROR(__xludf.DUMMYFUNCTION("""COMPUTED_VALUE"""),379)</f>
        <v>379</v>
      </c>
      <c r="C515" s="1">
        <f ca="1">IFERROR(__xludf.DUMMYFUNCTION("""COMPUTED_VALUE"""),384.36)</f>
        <v>384.36</v>
      </c>
      <c r="D515" s="1">
        <f ca="1">IFERROR(__xludf.DUMMYFUNCTION("""COMPUTED_VALUE"""),377.97)</f>
        <v>377.97</v>
      </c>
      <c r="E515" s="1">
        <f ca="1">IFERROR(__xludf.DUMMYFUNCTION("""COMPUTED_VALUE"""),383.45)</f>
        <v>383.45</v>
      </c>
      <c r="F515" s="1">
        <f ca="1">IFERROR(__xludf.DUMMYFUNCTION("""COMPUTED_VALUE"""),21670806)</f>
        <v>21670806</v>
      </c>
    </row>
    <row r="516" spans="1:6" ht="12.6">
      <c r="A516" s="2">
        <f ca="1">IFERROR(__xludf.DUMMYFUNCTION("""COMPUTED_VALUE"""),45313.6666666666)</f>
        <v>45313.666666666599</v>
      </c>
      <c r="B516" s="1">
        <f ca="1">IFERROR(__xludf.DUMMYFUNCTION("""COMPUTED_VALUE"""),387.95)</f>
        <v>387.95</v>
      </c>
      <c r="C516" s="1">
        <f ca="1">IFERROR(__xludf.DUMMYFUNCTION("""COMPUTED_VALUE"""),390.35)</f>
        <v>390.35</v>
      </c>
      <c r="D516" s="1">
        <f ca="1">IFERROR(__xludf.DUMMYFUNCTION("""COMPUTED_VALUE"""),381.16)</f>
        <v>381.16</v>
      </c>
      <c r="E516" s="1">
        <f ca="1">IFERROR(__xludf.DUMMYFUNCTION("""COMPUTED_VALUE"""),381.78)</f>
        <v>381.78</v>
      </c>
      <c r="F516" s="1">
        <f ca="1">IFERROR(__xludf.DUMMYFUNCTION("""COMPUTED_VALUE"""),17680454)</f>
        <v>17680454</v>
      </c>
    </row>
    <row r="517" spans="1:6" ht="12.6">
      <c r="A517" s="2">
        <f ca="1">IFERROR(__xludf.DUMMYFUNCTION("""COMPUTED_VALUE"""),45314.6666666666)</f>
        <v>45314.666666666599</v>
      </c>
      <c r="B517" s="1">
        <f ca="1">IFERROR(__xludf.DUMMYFUNCTION("""COMPUTED_VALUE"""),384.62)</f>
        <v>384.62</v>
      </c>
      <c r="C517" s="1">
        <f ca="1">IFERROR(__xludf.DUMMYFUNCTION("""COMPUTED_VALUE"""),388.38)</f>
        <v>388.38</v>
      </c>
      <c r="D517" s="1">
        <f ca="1">IFERROR(__xludf.DUMMYFUNCTION("""COMPUTED_VALUE"""),382.08)</f>
        <v>382.08</v>
      </c>
      <c r="E517" s="1">
        <f ca="1">IFERROR(__xludf.DUMMYFUNCTION("""COMPUTED_VALUE"""),385.2)</f>
        <v>385.2</v>
      </c>
      <c r="F517" s="1">
        <f ca="1">IFERROR(__xludf.DUMMYFUNCTION("""COMPUTED_VALUE"""),15506096)</f>
        <v>15506096</v>
      </c>
    </row>
    <row r="518" spans="1:6" ht="12.6">
      <c r="A518" s="2">
        <f ca="1">IFERROR(__xludf.DUMMYFUNCTION("""COMPUTED_VALUE"""),45315.6666666666)</f>
        <v>45315.666666666599</v>
      </c>
      <c r="B518" s="1">
        <f ca="1">IFERROR(__xludf.DUMMYFUNCTION("""COMPUTED_VALUE"""),390)</f>
        <v>390</v>
      </c>
      <c r="C518" s="1">
        <f ca="1">IFERROR(__xludf.DUMMYFUNCTION("""COMPUTED_VALUE"""),396.15)</f>
        <v>396.15</v>
      </c>
      <c r="D518" s="1">
        <f ca="1">IFERROR(__xludf.DUMMYFUNCTION("""COMPUTED_VALUE"""),387.81)</f>
        <v>387.81</v>
      </c>
      <c r="E518" s="1">
        <f ca="1">IFERROR(__xludf.DUMMYFUNCTION("""COMPUTED_VALUE"""),390.7)</f>
        <v>390.7</v>
      </c>
      <c r="F518" s="1">
        <f ca="1">IFERROR(__xludf.DUMMYFUNCTION("""COMPUTED_VALUE"""),15604285)</f>
        <v>15604285</v>
      </c>
    </row>
    <row r="519" spans="1:6" ht="12.6">
      <c r="A519" s="2">
        <f ca="1">IFERROR(__xludf.DUMMYFUNCTION("""COMPUTED_VALUE"""),45316.6666666666)</f>
        <v>45316.666666666599</v>
      </c>
      <c r="B519" s="1">
        <f ca="1">IFERROR(__xludf.DUMMYFUNCTION("""COMPUTED_VALUE"""),390.17)</f>
        <v>390.17</v>
      </c>
      <c r="C519" s="1">
        <f ca="1">IFERROR(__xludf.DUMMYFUNCTION("""COMPUTED_VALUE"""),395.49)</f>
        <v>395.49</v>
      </c>
      <c r="D519" s="1">
        <f ca="1">IFERROR(__xludf.DUMMYFUNCTION("""COMPUTED_VALUE"""),385.66)</f>
        <v>385.66</v>
      </c>
      <c r="E519" s="1">
        <f ca="1">IFERROR(__xludf.DUMMYFUNCTION("""COMPUTED_VALUE"""),393.18)</f>
        <v>393.18</v>
      </c>
      <c r="F519" s="1">
        <f ca="1">IFERROR(__xludf.DUMMYFUNCTION("""COMPUTED_VALUE"""),15091080)</f>
        <v>15091080</v>
      </c>
    </row>
    <row r="520" spans="1:6" ht="12.6">
      <c r="A520" s="2">
        <f ca="1">IFERROR(__xludf.DUMMYFUNCTION("""COMPUTED_VALUE"""),45317.6666666666)</f>
        <v>45317.666666666599</v>
      </c>
      <c r="B520" s="1">
        <f ca="1">IFERROR(__xludf.DUMMYFUNCTION("""COMPUTED_VALUE"""),394.35)</f>
        <v>394.35</v>
      </c>
      <c r="C520" s="1">
        <f ca="1">IFERROR(__xludf.DUMMYFUNCTION("""COMPUTED_VALUE"""),396.79)</f>
        <v>396.79</v>
      </c>
      <c r="D520" s="1">
        <f ca="1">IFERROR(__xludf.DUMMYFUNCTION("""COMPUTED_VALUE"""),391.59)</f>
        <v>391.59</v>
      </c>
      <c r="E520" s="1">
        <f ca="1">IFERROR(__xludf.DUMMYFUNCTION("""COMPUTED_VALUE"""),394.14)</f>
        <v>394.14</v>
      </c>
      <c r="F520" s="1">
        <f ca="1">IFERROR(__xludf.DUMMYFUNCTION("""COMPUTED_VALUE"""),13159290)</f>
        <v>13159290</v>
      </c>
    </row>
    <row r="521" spans="1:6" ht="12.6">
      <c r="A521" s="2">
        <f ca="1">IFERROR(__xludf.DUMMYFUNCTION("""COMPUTED_VALUE"""),45320.6666666666)</f>
        <v>45320.666666666599</v>
      </c>
      <c r="B521" s="1">
        <f ca="1">IFERROR(__xludf.DUMMYFUNCTION("""COMPUTED_VALUE"""),394.99)</f>
        <v>394.99</v>
      </c>
      <c r="C521" s="1">
        <f ca="1">IFERROR(__xludf.DUMMYFUNCTION("""COMPUTED_VALUE"""),402.93)</f>
        <v>402.93</v>
      </c>
      <c r="D521" s="1">
        <f ca="1">IFERROR(__xludf.DUMMYFUNCTION("""COMPUTED_VALUE"""),393.1)</f>
        <v>393.1</v>
      </c>
      <c r="E521" s="1">
        <f ca="1">IFERROR(__xludf.DUMMYFUNCTION("""COMPUTED_VALUE"""),401.02)</f>
        <v>401.02</v>
      </c>
      <c r="F521" s="1">
        <f ca="1">IFERROR(__xludf.DUMMYFUNCTION("""COMPUTED_VALUE"""),18742433)</f>
        <v>18742433</v>
      </c>
    </row>
    <row r="522" spans="1:6" ht="12.6">
      <c r="A522" s="2">
        <f ca="1">IFERROR(__xludf.DUMMYFUNCTION("""COMPUTED_VALUE"""),45321.6666666666)</f>
        <v>45321.666666666599</v>
      </c>
      <c r="B522" s="1">
        <f ca="1">IFERROR(__xludf.DUMMYFUNCTION("""COMPUTED_VALUE"""),403.59)</f>
        <v>403.59</v>
      </c>
      <c r="C522" s="1">
        <f ca="1">IFERROR(__xludf.DUMMYFUNCTION("""COMPUTED_VALUE"""),406.36)</f>
        <v>406.36</v>
      </c>
      <c r="D522" s="1">
        <f ca="1">IFERROR(__xludf.DUMMYFUNCTION("""COMPUTED_VALUE"""),399.57)</f>
        <v>399.57</v>
      </c>
      <c r="E522" s="1">
        <f ca="1">IFERROR(__xludf.DUMMYFUNCTION("""COMPUTED_VALUE"""),400.06)</f>
        <v>400.06</v>
      </c>
      <c r="F522" s="1">
        <f ca="1">IFERROR(__xludf.DUMMYFUNCTION("""COMPUTED_VALUE"""),18614727)</f>
        <v>18614727</v>
      </c>
    </row>
    <row r="523" spans="1:6" ht="12.6">
      <c r="A523" s="2">
        <f ca="1">IFERROR(__xludf.DUMMYFUNCTION("""COMPUTED_VALUE"""),45322.6666666666)</f>
        <v>45322.666666666599</v>
      </c>
      <c r="B523" s="1">
        <f ca="1">IFERROR(__xludf.DUMMYFUNCTION("""COMPUTED_VALUE"""),389)</f>
        <v>389</v>
      </c>
      <c r="C523" s="1">
        <f ca="1">IFERROR(__xludf.DUMMYFUNCTION("""COMPUTED_VALUE"""),398)</f>
        <v>398</v>
      </c>
      <c r="D523" s="1">
        <f ca="1">IFERROR(__xludf.DUMMYFUNCTION("""COMPUTED_VALUE"""),387.1)</f>
        <v>387.1</v>
      </c>
      <c r="E523" s="1">
        <f ca="1">IFERROR(__xludf.DUMMYFUNCTION("""COMPUTED_VALUE"""),390.14)</f>
        <v>390.14</v>
      </c>
      <c r="F523" s="1">
        <f ca="1">IFERROR(__xludf.DUMMYFUNCTION("""COMPUTED_VALUE"""),20180817)</f>
        <v>20180817</v>
      </c>
    </row>
    <row r="524" spans="1:6" ht="12.6">
      <c r="A524" s="2">
        <f ca="1">IFERROR(__xludf.DUMMYFUNCTION("""COMPUTED_VALUE"""),45323.6666666666)</f>
        <v>45323.666666666599</v>
      </c>
      <c r="B524" s="1">
        <f ca="1">IFERROR(__xludf.DUMMYFUNCTION("""COMPUTED_VALUE"""),393.94)</f>
        <v>393.94</v>
      </c>
      <c r="C524" s="1">
        <f ca="1">IFERROR(__xludf.DUMMYFUNCTION("""COMPUTED_VALUE"""),400.5)</f>
        <v>400.5</v>
      </c>
      <c r="D524" s="1">
        <f ca="1">IFERROR(__xludf.DUMMYFUNCTION("""COMPUTED_VALUE"""),393.05)</f>
        <v>393.05</v>
      </c>
      <c r="E524" s="1">
        <f ca="1">IFERROR(__xludf.DUMMYFUNCTION("""COMPUTED_VALUE"""),394.78)</f>
        <v>394.78</v>
      </c>
      <c r="F524" s="1">
        <f ca="1">IFERROR(__xludf.DUMMYFUNCTION("""COMPUTED_VALUE"""),29727051)</f>
        <v>29727051</v>
      </c>
    </row>
    <row r="525" spans="1:6" ht="12.6">
      <c r="A525" s="2">
        <f ca="1">IFERROR(__xludf.DUMMYFUNCTION("""COMPUTED_VALUE"""),45324.6666666666)</f>
        <v>45324.666666666599</v>
      </c>
      <c r="B525" s="1">
        <f ca="1">IFERROR(__xludf.DUMMYFUNCTION("""COMPUTED_VALUE"""),459.6)</f>
        <v>459.6</v>
      </c>
      <c r="C525" s="1">
        <f ca="1">IFERROR(__xludf.DUMMYFUNCTION("""COMPUTED_VALUE"""),485.96)</f>
        <v>485.96</v>
      </c>
      <c r="D525" s="1">
        <f ca="1">IFERROR(__xludf.DUMMYFUNCTION("""COMPUTED_VALUE"""),453.01)</f>
        <v>453.01</v>
      </c>
      <c r="E525" s="1">
        <f ca="1">IFERROR(__xludf.DUMMYFUNCTION("""COMPUTED_VALUE"""),474.99)</f>
        <v>474.99</v>
      </c>
      <c r="F525" s="1">
        <f ca="1">IFERROR(__xludf.DUMMYFUNCTION("""COMPUTED_VALUE"""),84707646)</f>
        <v>84707646</v>
      </c>
    </row>
    <row r="526" spans="1:6" ht="12.6">
      <c r="A526" s="2">
        <f ca="1">IFERROR(__xludf.DUMMYFUNCTION("""COMPUTED_VALUE"""),45327.6666666666)</f>
        <v>45327.666666666599</v>
      </c>
      <c r="B526" s="1">
        <f ca="1">IFERROR(__xludf.DUMMYFUNCTION("""COMPUTED_VALUE"""),469.88)</f>
        <v>469.88</v>
      </c>
      <c r="C526" s="1">
        <f ca="1">IFERROR(__xludf.DUMMYFUNCTION("""COMPUTED_VALUE"""),471.9)</f>
        <v>471.9</v>
      </c>
      <c r="D526" s="1">
        <f ca="1">IFERROR(__xludf.DUMMYFUNCTION("""COMPUTED_VALUE"""),459.22)</f>
        <v>459.22</v>
      </c>
      <c r="E526" s="1">
        <f ca="1">IFERROR(__xludf.DUMMYFUNCTION("""COMPUTED_VALUE"""),459.41)</f>
        <v>459.41</v>
      </c>
      <c r="F526" s="1">
        <f ca="1">IFERROR(__xludf.DUMMYFUNCTION("""COMPUTED_VALUE"""),40832376)</f>
        <v>40832376</v>
      </c>
    </row>
    <row r="527" spans="1:6" ht="12.6">
      <c r="A527" s="2">
        <f ca="1">IFERROR(__xludf.DUMMYFUNCTION("""COMPUTED_VALUE"""),45328.6666666666)</f>
        <v>45328.666666666599</v>
      </c>
      <c r="B527" s="1">
        <f ca="1">IFERROR(__xludf.DUMMYFUNCTION("""COMPUTED_VALUE"""),464)</f>
        <v>464</v>
      </c>
      <c r="C527" s="1">
        <f ca="1">IFERROR(__xludf.DUMMYFUNCTION("""COMPUTED_VALUE"""),467.12)</f>
        <v>467.12</v>
      </c>
      <c r="D527" s="1">
        <f ca="1">IFERROR(__xludf.DUMMYFUNCTION("""COMPUTED_VALUE"""),453)</f>
        <v>453</v>
      </c>
      <c r="E527" s="1">
        <f ca="1">IFERROR(__xludf.DUMMYFUNCTION("""COMPUTED_VALUE"""),454.72)</f>
        <v>454.72</v>
      </c>
      <c r="F527" s="1">
        <f ca="1">IFERROR(__xludf.DUMMYFUNCTION("""COMPUTED_VALUE"""),21655214)</f>
        <v>21655214</v>
      </c>
    </row>
    <row r="528" spans="1:6" ht="12.6">
      <c r="A528" s="2">
        <f ca="1">IFERROR(__xludf.DUMMYFUNCTION("""COMPUTED_VALUE"""),45329.6666666666)</f>
        <v>45329.666666666599</v>
      </c>
      <c r="B528" s="1">
        <f ca="1">IFERROR(__xludf.DUMMYFUNCTION("""COMPUTED_VALUE"""),458)</f>
        <v>458</v>
      </c>
      <c r="C528" s="1">
        <f ca="1">IFERROR(__xludf.DUMMYFUNCTION("""COMPUTED_VALUE"""),471.52)</f>
        <v>471.52</v>
      </c>
      <c r="D528" s="1">
        <f ca="1">IFERROR(__xludf.DUMMYFUNCTION("""COMPUTED_VALUE"""),456.18)</f>
        <v>456.18</v>
      </c>
      <c r="E528" s="1">
        <f ca="1">IFERROR(__xludf.DUMMYFUNCTION("""COMPUTED_VALUE"""),469.59)</f>
        <v>469.59</v>
      </c>
      <c r="F528" s="1">
        <f ca="1">IFERROR(__xludf.DUMMYFUNCTION("""COMPUTED_VALUE"""),23065994)</f>
        <v>23065994</v>
      </c>
    </row>
    <row r="529" spans="1:6" ht="12.6">
      <c r="A529" s="2">
        <f ca="1">IFERROR(__xludf.DUMMYFUNCTION("""COMPUTED_VALUE"""),45330.6666666666)</f>
        <v>45330.666666666599</v>
      </c>
      <c r="B529" s="1">
        <f ca="1">IFERROR(__xludf.DUMMYFUNCTION("""COMPUTED_VALUE"""),468.32)</f>
        <v>468.32</v>
      </c>
      <c r="C529" s="1">
        <f ca="1">IFERROR(__xludf.DUMMYFUNCTION("""COMPUTED_VALUE"""),470.59)</f>
        <v>470.59</v>
      </c>
      <c r="D529" s="1">
        <f ca="1">IFERROR(__xludf.DUMMYFUNCTION("""COMPUTED_VALUE"""),465.03)</f>
        <v>465.03</v>
      </c>
      <c r="E529" s="1">
        <f ca="1">IFERROR(__xludf.DUMMYFUNCTION("""COMPUTED_VALUE"""),470)</f>
        <v>470</v>
      </c>
      <c r="F529" s="1">
        <f ca="1">IFERROR(__xludf.DUMMYFUNCTION("""COMPUTED_VALUE"""),18815097)</f>
        <v>18815097</v>
      </c>
    </row>
    <row r="530" spans="1:6" ht="12.6">
      <c r="A530" s="2">
        <f ca="1">IFERROR(__xludf.DUMMYFUNCTION("""COMPUTED_VALUE"""),45331.6666666666)</f>
        <v>45331.666666666599</v>
      </c>
      <c r="B530" s="1">
        <f ca="1">IFERROR(__xludf.DUMMYFUNCTION("""COMPUTED_VALUE"""),472.95)</f>
        <v>472.95</v>
      </c>
      <c r="C530" s="1">
        <f ca="1">IFERROR(__xludf.DUMMYFUNCTION("""COMPUTED_VALUE"""),473.59)</f>
        <v>473.59</v>
      </c>
      <c r="D530" s="1">
        <f ca="1">IFERROR(__xludf.DUMMYFUNCTION("""COMPUTED_VALUE"""),467.47)</f>
        <v>467.47</v>
      </c>
      <c r="E530" s="1">
        <f ca="1">IFERROR(__xludf.DUMMYFUNCTION("""COMPUTED_VALUE"""),468.11)</f>
        <v>468.11</v>
      </c>
      <c r="F530" s="1">
        <f ca="1">IFERROR(__xludf.DUMMYFUNCTION("""COMPUTED_VALUE"""),18413137)</f>
        <v>18413137</v>
      </c>
    </row>
    <row r="531" spans="1:6" ht="12.6">
      <c r="A531" s="2">
        <f ca="1">IFERROR(__xludf.DUMMYFUNCTION("""COMPUTED_VALUE"""),45334.6666666666)</f>
        <v>45334.666666666599</v>
      </c>
      <c r="B531" s="1">
        <f ca="1">IFERROR(__xludf.DUMMYFUNCTION("""COMPUTED_VALUE"""),468.19)</f>
        <v>468.19</v>
      </c>
      <c r="C531" s="1">
        <f ca="1">IFERROR(__xludf.DUMMYFUNCTION("""COMPUTED_VALUE"""),479.15)</f>
        <v>479.15</v>
      </c>
      <c r="D531" s="1">
        <f ca="1">IFERROR(__xludf.DUMMYFUNCTION("""COMPUTED_VALUE"""),466.58)</f>
        <v>466.58</v>
      </c>
      <c r="E531" s="1">
        <f ca="1">IFERROR(__xludf.DUMMYFUNCTION("""COMPUTED_VALUE"""),468.9)</f>
        <v>468.9</v>
      </c>
      <c r="F531" s="1">
        <f ca="1">IFERROR(__xludf.DUMMYFUNCTION("""COMPUTED_VALUE"""),19381963)</f>
        <v>19381963</v>
      </c>
    </row>
    <row r="532" spans="1:6" ht="12.6">
      <c r="A532" s="2">
        <f ca="1">IFERROR(__xludf.DUMMYFUNCTION("""COMPUTED_VALUE"""),45335.6666666666)</f>
        <v>45335.666666666599</v>
      </c>
      <c r="B532" s="1">
        <f ca="1">IFERROR(__xludf.DUMMYFUNCTION("""COMPUTED_VALUE"""),456.87)</f>
        <v>456.87</v>
      </c>
      <c r="C532" s="1">
        <f ca="1">IFERROR(__xludf.DUMMYFUNCTION("""COMPUTED_VALUE"""),467.89)</f>
        <v>467.89</v>
      </c>
      <c r="D532" s="1">
        <f ca="1">IFERROR(__xludf.DUMMYFUNCTION("""COMPUTED_VALUE"""),455.09)</f>
        <v>455.09</v>
      </c>
      <c r="E532" s="1">
        <f ca="1">IFERROR(__xludf.DUMMYFUNCTION("""COMPUTED_VALUE"""),460.12)</f>
        <v>460.12</v>
      </c>
      <c r="F532" s="1">
        <f ca="1">IFERROR(__xludf.DUMMYFUNCTION("""COMPUTED_VALUE"""),20916602)</f>
        <v>20916602</v>
      </c>
    </row>
    <row r="533" spans="1:6" ht="12.6">
      <c r="A533" s="2">
        <f ca="1">IFERROR(__xludf.DUMMYFUNCTION("""COMPUTED_VALUE"""),45336.6666666666)</f>
        <v>45336.666666666599</v>
      </c>
      <c r="B533" s="1">
        <f ca="1">IFERROR(__xludf.DUMMYFUNCTION("""COMPUTED_VALUE"""),467.93)</f>
        <v>467.93</v>
      </c>
      <c r="C533" s="1">
        <f ca="1">IFERROR(__xludf.DUMMYFUNCTION("""COMPUTED_VALUE"""),474.11)</f>
        <v>474.11</v>
      </c>
      <c r="D533" s="1">
        <f ca="1">IFERROR(__xludf.DUMMYFUNCTION("""COMPUTED_VALUE"""),466.09)</f>
        <v>466.09</v>
      </c>
      <c r="E533" s="1">
        <f ca="1">IFERROR(__xludf.DUMMYFUNCTION("""COMPUTED_VALUE"""),473.28)</f>
        <v>473.28</v>
      </c>
      <c r="F533" s="1">
        <f ca="1">IFERROR(__xludf.DUMMYFUNCTION("""COMPUTED_VALUE"""),16858401)</f>
        <v>16858401</v>
      </c>
    </row>
    <row r="534" spans="1:6" ht="12.6">
      <c r="A534" s="2">
        <f ca="1">IFERROR(__xludf.DUMMYFUNCTION("""COMPUTED_VALUE"""),45337.6666666666)</f>
        <v>45337.666666666599</v>
      </c>
      <c r="B534" s="1">
        <f ca="1">IFERROR(__xludf.DUMMYFUNCTION("""COMPUTED_VALUE"""),475.28)</f>
        <v>475.28</v>
      </c>
      <c r="C534" s="1">
        <f ca="1">IFERROR(__xludf.DUMMYFUNCTION("""COMPUTED_VALUE"""),488.62)</f>
        <v>488.62</v>
      </c>
      <c r="D534" s="1">
        <f ca="1">IFERROR(__xludf.DUMMYFUNCTION("""COMPUTED_VALUE"""),472.22)</f>
        <v>472.22</v>
      </c>
      <c r="E534" s="1">
        <f ca="1">IFERROR(__xludf.DUMMYFUNCTION("""COMPUTED_VALUE"""),484.03)</f>
        <v>484.03</v>
      </c>
      <c r="F534" s="1">
        <f ca="1">IFERROR(__xludf.DUMMYFUNCTION("""COMPUTED_VALUE"""),24212326)</f>
        <v>24212326</v>
      </c>
    </row>
    <row r="535" spans="1:6" ht="12.6">
      <c r="A535" s="2">
        <f ca="1">IFERROR(__xludf.DUMMYFUNCTION("""COMPUTED_VALUE"""),45338.6666666666)</f>
        <v>45338.666666666599</v>
      </c>
      <c r="B535" s="1">
        <f ca="1">IFERROR(__xludf.DUMMYFUNCTION("""COMPUTED_VALUE"""),478.11)</f>
        <v>478.11</v>
      </c>
      <c r="C535" s="1">
        <f ca="1">IFERROR(__xludf.DUMMYFUNCTION("""COMPUTED_VALUE"""),478.96)</f>
        <v>478.96</v>
      </c>
      <c r="D535" s="1">
        <f ca="1">IFERROR(__xludf.DUMMYFUNCTION("""COMPUTED_VALUE"""),469.21)</f>
        <v>469.21</v>
      </c>
      <c r="E535" s="1">
        <f ca="1">IFERROR(__xludf.DUMMYFUNCTION("""COMPUTED_VALUE"""),473.32)</f>
        <v>473.32</v>
      </c>
      <c r="F535" s="1">
        <f ca="1">IFERROR(__xludf.DUMMYFUNCTION("""COMPUTED_VALUE"""),23324620)</f>
        <v>23324620</v>
      </c>
    </row>
    <row r="536" spans="1:6" ht="12.6">
      <c r="A536" s="2">
        <f ca="1">IFERROR(__xludf.DUMMYFUNCTION("""COMPUTED_VALUE"""),45342.6666666666)</f>
        <v>45342.666666666599</v>
      </c>
      <c r="B536" s="1">
        <f ca="1">IFERROR(__xludf.DUMMYFUNCTION("""COMPUTED_VALUE"""),469.72)</f>
        <v>469.72</v>
      </c>
      <c r="C536" s="1">
        <f ca="1">IFERROR(__xludf.DUMMYFUNCTION("""COMPUTED_VALUE"""),476.18)</f>
        <v>476.18</v>
      </c>
      <c r="D536" s="1">
        <f ca="1">IFERROR(__xludf.DUMMYFUNCTION("""COMPUTED_VALUE"""),466.56)</f>
        <v>466.56</v>
      </c>
      <c r="E536" s="1">
        <f ca="1">IFERROR(__xludf.DUMMYFUNCTION("""COMPUTED_VALUE"""),471.75)</f>
        <v>471.75</v>
      </c>
      <c r="F536" s="1">
        <f ca="1">IFERROR(__xludf.DUMMYFUNCTION("""COMPUTED_VALUE"""),18015523)</f>
        <v>18015523</v>
      </c>
    </row>
    <row r="537" spans="1:6" ht="12.6">
      <c r="A537" s="2">
        <f ca="1">IFERROR(__xludf.DUMMYFUNCTION("""COMPUTED_VALUE"""),45343.6666666666)</f>
        <v>45343.666666666599</v>
      </c>
      <c r="B537" s="1">
        <f ca="1">IFERROR(__xludf.DUMMYFUNCTION("""COMPUTED_VALUE"""),466.5)</f>
        <v>466.5</v>
      </c>
      <c r="C537" s="1">
        <f ca="1">IFERROR(__xludf.DUMMYFUNCTION("""COMPUTED_VALUE"""),469)</f>
        <v>469</v>
      </c>
      <c r="D537" s="1">
        <f ca="1">IFERROR(__xludf.DUMMYFUNCTION("""COMPUTED_VALUE"""),461.79)</f>
        <v>461.79</v>
      </c>
      <c r="E537" s="1">
        <f ca="1">IFERROR(__xludf.DUMMYFUNCTION("""COMPUTED_VALUE"""),468.03)</f>
        <v>468.03</v>
      </c>
      <c r="F537" s="1">
        <f ca="1">IFERROR(__xludf.DUMMYFUNCTION("""COMPUTED_VALUE"""),12977050)</f>
        <v>12977050</v>
      </c>
    </row>
    <row r="538" spans="1:6" ht="12.6">
      <c r="A538" s="2">
        <f ca="1">IFERROR(__xludf.DUMMYFUNCTION("""COMPUTED_VALUE"""),45344.6666666666)</f>
        <v>45344.666666666599</v>
      </c>
      <c r="B538" s="1">
        <f ca="1">IFERROR(__xludf.DUMMYFUNCTION("""COMPUTED_VALUE"""),480.24)</f>
        <v>480.24</v>
      </c>
      <c r="C538" s="1">
        <f ca="1">IFERROR(__xludf.DUMMYFUNCTION("""COMPUTED_VALUE"""),489.99)</f>
        <v>489.99</v>
      </c>
      <c r="D538" s="1">
        <f ca="1">IFERROR(__xludf.DUMMYFUNCTION("""COMPUTED_VALUE"""),476.06)</f>
        <v>476.06</v>
      </c>
      <c r="E538" s="1">
        <f ca="1">IFERROR(__xludf.DUMMYFUNCTION("""COMPUTED_VALUE"""),486.13)</f>
        <v>486.13</v>
      </c>
      <c r="F538" s="1">
        <f ca="1">IFERROR(__xludf.DUMMYFUNCTION("""COMPUTED_VALUE"""),21625805)</f>
        <v>21625805</v>
      </c>
    </row>
    <row r="539" spans="1:6" ht="12.6">
      <c r="A539" s="2">
        <f ca="1">IFERROR(__xludf.DUMMYFUNCTION("""COMPUTED_VALUE"""),45345.6666666666)</f>
        <v>45345.666666666599</v>
      </c>
      <c r="B539" s="1">
        <f ca="1">IFERROR(__xludf.DUMMYFUNCTION("""COMPUTED_VALUE"""),488.05)</f>
        <v>488.05</v>
      </c>
      <c r="C539" s="1">
        <f ca="1">IFERROR(__xludf.DUMMYFUNCTION("""COMPUTED_VALUE"""),494.36)</f>
        <v>494.36</v>
      </c>
      <c r="D539" s="1">
        <f ca="1">IFERROR(__xludf.DUMMYFUNCTION("""COMPUTED_VALUE"""),482.35)</f>
        <v>482.35</v>
      </c>
      <c r="E539" s="1">
        <f ca="1">IFERROR(__xludf.DUMMYFUNCTION("""COMPUTED_VALUE"""),484.03)</f>
        <v>484.03</v>
      </c>
      <c r="F539" s="1">
        <f ca="1">IFERROR(__xludf.DUMMYFUNCTION("""COMPUTED_VALUE"""),18374286)</f>
        <v>18374286</v>
      </c>
    </row>
    <row r="540" spans="1:6" ht="12.6">
      <c r="A540" s="2">
        <f ca="1">IFERROR(__xludf.DUMMYFUNCTION("""COMPUTED_VALUE"""),45348.6666666666)</f>
        <v>45348.666666666599</v>
      </c>
      <c r="B540" s="1">
        <f ca="1">IFERROR(__xludf.DUMMYFUNCTION("""COMPUTED_VALUE"""),483.47)</f>
        <v>483.47</v>
      </c>
      <c r="C540" s="1">
        <f ca="1">IFERROR(__xludf.DUMMYFUNCTION("""COMPUTED_VALUE"""),486.14)</f>
        <v>486.14</v>
      </c>
      <c r="D540" s="1">
        <f ca="1">IFERROR(__xludf.DUMMYFUNCTION("""COMPUTED_VALUE"""),480.6)</f>
        <v>480.6</v>
      </c>
      <c r="E540" s="1">
        <f ca="1">IFERROR(__xludf.DUMMYFUNCTION("""COMPUTED_VALUE"""),481.74)</f>
        <v>481.74</v>
      </c>
      <c r="F540" s="1">
        <f ca="1">IFERROR(__xludf.DUMMYFUNCTION("""COMPUTED_VALUE"""),12101415)</f>
        <v>12101415</v>
      </c>
    </row>
    <row r="541" spans="1:6" ht="12.6">
      <c r="A541" s="2">
        <f ca="1">IFERROR(__xludf.DUMMYFUNCTION("""COMPUTED_VALUE"""),45349.6666666666)</f>
        <v>45349.666666666599</v>
      </c>
      <c r="B541" s="1">
        <f ca="1">IFERROR(__xludf.DUMMYFUNCTION("""COMPUTED_VALUE"""),479.98)</f>
        <v>479.98</v>
      </c>
      <c r="C541" s="1">
        <f ca="1">IFERROR(__xludf.DUMMYFUNCTION("""COMPUTED_VALUE"""),487.27)</f>
        <v>487.27</v>
      </c>
      <c r="D541" s="1">
        <f ca="1">IFERROR(__xludf.DUMMYFUNCTION("""COMPUTED_VALUE"""),479.92)</f>
        <v>479.92</v>
      </c>
      <c r="E541" s="1">
        <f ca="1">IFERROR(__xludf.DUMMYFUNCTION("""COMPUTED_VALUE"""),487.05)</f>
        <v>487.05</v>
      </c>
      <c r="F541" s="1">
        <f ca="1">IFERROR(__xludf.DUMMYFUNCTION("""COMPUTED_VALUE"""),10809595)</f>
        <v>10809595</v>
      </c>
    </row>
    <row r="542" spans="1:6" ht="12.6">
      <c r="A542" s="2">
        <f ca="1">IFERROR(__xludf.DUMMYFUNCTION("""COMPUTED_VALUE"""),45350.6666666666)</f>
        <v>45350.666666666599</v>
      </c>
      <c r="B542" s="1">
        <f ca="1">IFERROR(__xludf.DUMMYFUNCTION("""COMPUTED_VALUE"""),485)</f>
        <v>485</v>
      </c>
      <c r="C542" s="1">
        <f ca="1">IFERROR(__xludf.DUMMYFUNCTION("""COMPUTED_VALUE"""),491.05)</f>
        <v>491.05</v>
      </c>
      <c r="D542" s="1">
        <f ca="1">IFERROR(__xludf.DUMMYFUNCTION("""COMPUTED_VALUE"""),482.75)</f>
        <v>482.75</v>
      </c>
      <c r="E542" s="1">
        <f ca="1">IFERROR(__xludf.DUMMYFUNCTION("""COMPUTED_VALUE"""),484.02)</f>
        <v>484.02</v>
      </c>
      <c r="F542" s="1">
        <f ca="1">IFERROR(__xludf.DUMMYFUNCTION("""COMPUTED_VALUE"""),12715486)</f>
        <v>12715486</v>
      </c>
    </row>
    <row r="543" spans="1:6" ht="12.6">
      <c r="A543" s="2">
        <f ca="1">IFERROR(__xludf.DUMMYFUNCTION("""COMPUTED_VALUE"""),45351.6666666666)</f>
        <v>45351.666666666599</v>
      </c>
      <c r="B543" s="1">
        <f ca="1">IFERROR(__xludf.DUMMYFUNCTION("""COMPUTED_VALUE"""),488.44)</f>
        <v>488.44</v>
      </c>
      <c r="C543" s="1">
        <f ca="1">IFERROR(__xludf.DUMMYFUNCTION("""COMPUTED_VALUE"""),491.7)</f>
        <v>491.7</v>
      </c>
      <c r="D543" s="1">
        <f ca="1">IFERROR(__xludf.DUMMYFUNCTION("""COMPUTED_VALUE"""),482.61)</f>
        <v>482.61</v>
      </c>
      <c r="E543" s="1">
        <f ca="1">IFERROR(__xludf.DUMMYFUNCTION("""COMPUTED_VALUE"""),490.13)</f>
        <v>490.13</v>
      </c>
      <c r="F543" s="1">
        <f ca="1">IFERROR(__xludf.DUMMYFUNCTION("""COMPUTED_VALUE"""),17732045)</f>
        <v>17732045</v>
      </c>
    </row>
    <row r="544" spans="1:6" ht="12.6">
      <c r="A544" s="2">
        <f ca="1">IFERROR(__xludf.DUMMYFUNCTION("""COMPUTED_VALUE"""),45352.6666666666)</f>
        <v>45352.666666666599</v>
      </c>
      <c r="B544" s="1">
        <f ca="1">IFERROR(__xludf.DUMMYFUNCTION("""COMPUTED_VALUE"""),492.11)</f>
        <v>492.11</v>
      </c>
      <c r="C544" s="1">
        <f ca="1">IFERROR(__xludf.DUMMYFUNCTION("""COMPUTED_VALUE"""),504.25)</f>
        <v>504.25</v>
      </c>
      <c r="D544" s="1">
        <f ca="1">IFERROR(__xludf.DUMMYFUNCTION("""COMPUTED_VALUE"""),491.85)</f>
        <v>491.85</v>
      </c>
      <c r="E544" s="1">
        <f ca="1">IFERROR(__xludf.DUMMYFUNCTION("""COMPUTED_VALUE"""),502.3)</f>
        <v>502.3</v>
      </c>
      <c r="F544" s="1">
        <f ca="1">IFERROR(__xludf.DUMMYFUNCTION("""COMPUTED_VALUE"""),15884882)</f>
        <v>15884882</v>
      </c>
    </row>
    <row r="545" spans="1:6" ht="12.6">
      <c r="A545" s="2">
        <f ca="1">IFERROR(__xludf.DUMMYFUNCTION("""COMPUTED_VALUE"""),45355.6666666666)</f>
        <v>45355.666666666599</v>
      </c>
      <c r="B545" s="1">
        <f ca="1">IFERROR(__xludf.DUMMYFUNCTION("""COMPUTED_VALUE"""),503)</f>
        <v>503</v>
      </c>
      <c r="C545" s="1">
        <f ca="1">IFERROR(__xludf.DUMMYFUNCTION("""COMPUTED_VALUE"""),504.42)</f>
        <v>504.42</v>
      </c>
      <c r="D545" s="1">
        <f ca="1">IFERROR(__xludf.DUMMYFUNCTION("""COMPUTED_VALUE"""),496.42)</f>
        <v>496.42</v>
      </c>
      <c r="E545" s="1">
        <f ca="1">IFERROR(__xludf.DUMMYFUNCTION("""COMPUTED_VALUE"""),498.19)</f>
        <v>498.19</v>
      </c>
      <c r="F545" s="1">
        <f ca="1">IFERROR(__xludf.DUMMYFUNCTION("""COMPUTED_VALUE"""),12324141)</f>
        <v>12324141</v>
      </c>
    </row>
    <row r="546" spans="1:6" ht="12.6">
      <c r="A546" s="2">
        <f ca="1">IFERROR(__xludf.DUMMYFUNCTION("""COMPUTED_VALUE"""),45356.6666666666)</f>
        <v>45356.666666666599</v>
      </c>
      <c r="B546" s="1">
        <f ca="1">IFERROR(__xludf.DUMMYFUNCTION("""COMPUTED_VALUE"""),495)</f>
        <v>495</v>
      </c>
      <c r="C546" s="1">
        <f ca="1">IFERROR(__xludf.DUMMYFUNCTION("""COMPUTED_VALUE"""),495.58)</f>
        <v>495.58</v>
      </c>
      <c r="D546" s="1">
        <f ca="1">IFERROR(__xludf.DUMMYFUNCTION("""COMPUTED_VALUE"""),487.89)</f>
        <v>487.89</v>
      </c>
      <c r="E546" s="1">
        <f ca="1">IFERROR(__xludf.DUMMYFUNCTION("""COMPUTED_VALUE"""),490.22)</f>
        <v>490.22</v>
      </c>
      <c r="F546" s="1">
        <f ca="1">IFERROR(__xludf.DUMMYFUNCTION("""COMPUTED_VALUE"""),15325299)</f>
        <v>15325299</v>
      </c>
    </row>
    <row r="547" spans="1:6" ht="12.6">
      <c r="A547" s="2">
        <f ca="1">IFERROR(__xludf.DUMMYFUNCTION("""COMPUTED_VALUE"""),45357.6666666666)</f>
        <v>45357.666666666599</v>
      </c>
      <c r="B547" s="1">
        <f ca="1">IFERROR(__xludf.DUMMYFUNCTION("""COMPUTED_VALUE"""),497.63)</f>
        <v>497.63</v>
      </c>
      <c r="C547" s="1">
        <f ca="1">IFERROR(__xludf.DUMMYFUNCTION("""COMPUTED_VALUE"""),502.97)</f>
        <v>502.97</v>
      </c>
      <c r="D547" s="1">
        <f ca="1">IFERROR(__xludf.DUMMYFUNCTION("""COMPUTED_VALUE"""),494.29)</f>
        <v>494.29</v>
      </c>
      <c r="E547" s="1">
        <f ca="1">IFERROR(__xludf.DUMMYFUNCTION("""COMPUTED_VALUE"""),496.09)</f>
        <v>496.09</v>
      </c>
      <c r="F547" s="1">
        <f ca="1">IFERROR(__xludf.DUMMYFUNCTION("""COMPUTED_VALUE"""),11757925)</f>
        <v>11757925</v>
      </c>
    </row>
    <row r="548" spans="1:6" ht="12.6">
      <c r="A548" s="2">
        <f ca="1">IFERROR(__xludf.DUMMYFUNCTION("""COMPUTED_VALUE"""),45358.6666666666)</f>
        <v>45358.666666666599</v>
      </c>
      <c r="B548" s="1">
        <f ca="1">IFERROR(__xludf.DUMMYFUNCTION("""COMPUTED_VALUE"""),503.28)</f>
        <v>503.28</v>
      </c>
      <c r="C548" s="1">
        <f ca="1">IFERROR(__xludf.DUMMYFUNCTION("""COMPUTED_VALUE"""),519.85)</f>
        <v>519.85</v>
      </c>
      <c r="D548" s="1">
        <f ca="1">IFERROR(__xludf.DUMMYFUNCTION("""COMPUTED_VALUE"""),501.38)</f>
        <v>501.38</v>
      </c>
      <c r="E548" s="1">
        <f ca="1">IFERROR(__xludf.DUMMYFUNCTION("""COMPUTED_VALUE"""),512.19)</f>
        <v>512.19000000000005</v>
      </c>
      <c r="F548" s="1">
        <f ca="1">IFERROR(__xludf.DUMMYFUNCTION("""COMPUTED_VALUE"""),18586437)</f>
        <v>18586437</v>
      </c>
    </row>
    <row r="549" spans="1:6" ht="12.6">
      <c r="A549" s="2">
        <f ca="1">IFERROR(__xludf.DUMMYFUNCTION("""COMPUTED_VALUE"""),45359.6666666666)</f>
        <v>45359.666666666599</v>
      </c>
      <c r="B549" s="1">
        <f ca="1">IFERROR(__xludf.DUMMYFUNCTION("""COMPUTED_VALUE"""),514.19)</f>
        <v>514.19000000000005</v>
      </c>
      <c r="C549" s="1">
        <f ca="1">IFERROR(__xludf.DUMMYFUNCTION("""COMPUTED_VALUE"""),523.57)</f>
        <v>523.57000000000005</v>
      </c>
      <c r="D549" s="1">
        <f ca="1">IFERROR(__xludf.DUMMYFUNCTION("""COMPUTED_VALUE"""),499.35)</f>
        <v>499.35</v>
      </c>
      <c r="E549" s="1">
        <f ca="1">IFERROR(__xludf.DUMMYFUNCTION("""COMPUTED_VALUE"""),505.95)</f>
        <v>505.95</v>
      </c>
      <c r="F549" s="1">
        <f ca="1">IFERROR(__xludf.DUMMYFUNCTION("""COMPUTED_VALUE"""),18597059)</f>
        <v>18597059</v>
      </c>
    </row>
    <row r="550" spans="1:6" ht="12.6">
      <c r="A550" s="2">
        <f ca="1">IFERROR(__xludf.DUMMYFUNCTION("""COMPUTED_VALUE"""),45362.6666666666)</f>
        <v>45362.666666666599</v>
      </c>
      <c r="B550" s="1">
        <f ca="1">IFERROR(__xludf.DUMMYFUNCTION("""COMPUTED_VALUE"""),497.01)</f>
        <v>497.01</v>
      </c>
      <c r="C550" s="1">
        <f ca="1">IFERROR(__xludf.DUMMYFUNCTION("""COMPUTED_VALUE"""),497.32)</f>
        <v>497.32</v>
      </c>
      <c r="D550" s="1">
        <f ca="1">IFERROR(__xludf.DUMMYFUNCTION("""COMPUTED_VALUE"""),476)</f>
        <v>476</v>
      </c>
      <c r="E550" s="1">
        <f ca="1">IFERROR(__xludf.DUMMYFUNCTION("""COMPUTED_VALUE"""),483.59)</f>
        <v>483.59</v>
      </c>
      <c r="F550" s="1">
        <f ca="1">IFERROR(__xludf.DUMMYFUNCTION("""COMPUTED_VALUE"""),20428274)</f>
        <v>20428274</v>
      </c>
    </row>
    <row r="551" spans="1:6" ht="12.6">
      <c r="A551" s="2">
        <f ca="1">IFERROR(__xludf.DUMMYFUNCTION("""COMPUTED_VALUE"""),45363.6666666666)</f>
        <v>45363.666666666599</v>
      </c>
      <c r="B551" s="1">
        <f ca="1">IFERROR(__xludf.DUMMYFUNCTION("""COMPUTED_VALUE"""),493.26)</f>
        <v>493.26</v>
      </c>
      <c r="C551" s="1">
        <f ca="1">IFERROR(__xludf.DUMMYFUNCTION("""COMPUTED_VALUE"""),502.31)</f>
        <v>502.31</v>
      </c>
      <c r="D551" s="1">
        <f ca="1">IFERROR(__xludf.DUMMYFUNCTION("""COMPUTED_VALUE"""),484.73)</f>
        <v>484.73</v>
      </c>
      <c r="E551" s="1">
        <f ca="1">IFERROR(__xludf.DUMMYFUNCTION("""COMPUTED_VALUE"""),499.75)</f>
        <v>499.75</v>
      </c>
      <c r="F551" s="1">
        <f ca="1">IFERROR(__xludf.DUMMYFUNCTION("""COMPUTED_VALUE"""),15448232)</f>
        <v>15448232</v>
      </c>
    </row>
    <row r="552" spans="1:6" ht="12.6">
      <c r="A552" s="2">
        <f ca="1">IFERROR(__xludf.DUMMYFUNCTION("""COMPUTED_VALUE"""),45364.6666666666)</f>
        <v>45364.666666666599</v>
      </c>
      <c r="B552" s="1">
        <f ca="1">IFERROR(__xludf.DUMMYFUNCTION("""COMPUTED_VALUE"""),495.39)</f>
        <v>495.39</v>
      </c>
      <c r="C552" s="1">
        <f ca="1">IFERROR(__xludf.DUMMYFUNCTION("""COMPUTED_VALUE"""),500.98)</f>
        <v>500.98</v>
      </c>
      <c r="D552" s="1">
        <f ca="1">IFERROR(__xludf.DUMMYFUNCTION("""COMPUTED_VALUE"""),491.03)</f>
        <v>491.03</v>
      </c>
      <c r="E552" s="1">
        <f ca="1">IFERROR(__xludf.DUMMYFUNCTION("""COMPUTED_VALUE"""),495.57)</f>
        <v>495.57</v>
      </c>
      <c r="F552" s="1">
        <f ca="1">IFERROR(__xludf.DUMMYFUNCTION("""COMPUTED_VALUE"""),12090656)</f>
        <v>12090656</v>
      </c>
    </row>
    <row r="553" spans="1:6" ht="12.6">
      <c r="A553" s="2">
        <f ca="1">IFERROR(__xludf.DUMMYFUNCTION("""COMPUTED_VALUE"""),45365.6666666666)</f>
        <v>45365.666666666599</v>
      </c>
      <c r="B553" s="1">
        <f ca="1">IFERROR(__xludf.DUMMYFUNCTION("""COMPUTED_VALUE"""),500.26)</f>
        <v>500.26</v>
      </c>
      <c r="C553" s="1">
        <f ca="1">IFERROR(__xludf.DUMMYFUNCTION("""COMPUTED_VALUE"""),501.35)</f>
        <v>501.35</v>
      </c>
      <c r="D553" s="1">
        <f ca="1">IFERROR(__xludf.DUMMYFUNCTION("""COMPUTED_VALUE"""),488.16)</f>
        <v>488.16</v>
      </c>
      <c r="E553" s="1">
        <f ca="1">IFERROR(__xludf.DUMMYFUNCTION("""COMPUTED_VALUE"""),491.83)</f>
        <v>491.83</v>
      </c>
      <c r="F553" s="1">
        <f ca="1">IFERROR(__xludf.DUMMYFUNCTION("""COMPUTED_VALUE"""),12620014)</f>
        <v>12620014</v>
      </c>
    </row>
    <row r="554" spans="1:6" ht="12.6">
      <c r="A554" s="2">
        <f ca="1">IFERROR(__xludf.DUMMYFUNCTION("""COMPUTED_VALUE"""),45366.6666666666)</f>
        <v>45366.666666666599</v>
      </c>
      <c r="B554" s="1">
        <f ca="1">IFERROR(__xludf.DUMMYFUNCTION("""COMPUTED_VALUE"""),489.01)</f>
        <v>489.01</v>
      </c>
      <c r="C554" s="1">
        <f ca="1">IFERROR(__xludf.DUMMYFUNCTION("""COMPUTED_VALUE"""),491.83)</f>
        <v>491.83</v>
      </c>
      <c r="D554" s="1">
        <f ca="1">IFERROR(__xludf.DUMMYFUNCTION("""COMPUTED_VALUE"""),481.3)</f>
        <v>481.3</v>
      </c>
      <c r="E554" s="1">
        <f ca="1">IFERROR(__xludf.DUMMYFUNCTION("""COMPUTED_VALUE"""),484.1)</f>
        <v>484.1</v>
      </c>
      <c r="F554" s="1">
        <f ca="1">IFERROR(__xludf.DUMMYFUNCTION("""COMPUTED_VALUE"""),29153576)</f>
        <v>29153576</v>
      </c>
    </row>
    <row r="555" spans="1:6" ht="12.6">
      <c r="A555" s="2">
        <f ca="1">IFERROR(__xludf.DUMMYFUNCTION("""COMPUTED_VALUE"""),45369.6666666666)</f>
        <v>45369.666666666599</v>
      </c>
      <c r="B555" s="1">
        <f ca="1">IFERROR(__xludf.DUMMYFUNCTION("""COMPUTED_VALUE"""),491.91)</f>
        <v>491.91</v>
      </c>
      <c r="C555" s="1">
        <f ca="1">IFERROR(__xludf.DUMMYFUNCTION("""COMPUTED_VALUE"""),497.42)</f>
        <v>497.42</v>
      </c>
      <c r="D555" s="1">
        <f ca="1">IFERROR(__xludf.DUMMYFUNCTION("""COMPUTED_VALUE"""),486.81)</f>
        <v>486.81</v>
      </c>
      <c r="E555" s="1">
        <f ca="1">IFERROR(__xludf.DUMMYFUNCTION("""COMPUTED_VALUE"""),496.98)</f>
        <v>496.98</v>
      </c>
      <c r="F555" s="1">
        <f ca="1">IFERROR(__xludf.DUMMYFUNCTION("""COMPUTED_VALUE"""),11755251)</f>
        <v>11755251</v>
      </c>
    </row>
    <row r="556" spans="1:6" ht="12.6">
      <c r="A556" s="2">
        <f ca="1">IFERROR(__xludf.DUMMYFUNCTION("""COMPUTED_VALUE"""),45370.6666666666)</f>
        <v>45370.666666666599</v>
      </c>
      <c r="B556" s="1">
        <f ca="1">IFERROR(__xludf.DUMMYFUNCTION("""COMPUTED_VALUE"""),488.17)</f>
        <v>488.17</v>
      </c>
      <c r="C556" s="1">
        <f ca="1">IFERROR(__xludf.DUMMYFUNCTION("""COMPUTED_VALUE"""),496.63)</f>
        <v>496.63</v>
      </c>
      <c r="D556" s="1">
        <f ca="1">IFERROR(__xludf.DUMMYFUNCTION("""COMPUTED_VALUE"""),481.28)</f>
        <v>481.28</v>
      </c>
      <c r="E556" s="1">
        <f ca="1">IFERROR(__xludf.DUMMYFUNCTION("""COMPUTED_VALUE"""),496.24)</f>
        <v>496.24</v>
      </c>
      <c r="F556" s="1">
        <f ca="1">IFERROR(__xludf.DUMMYFUNCTION("""COMPUTED_VALUE"""),10903092)</f>
        <v>10903092</v>
      </c>
    </row>
    <row r="557" spans="1:6" ht="12.6">
      <c r="A557" s="2">
        <f ca="1">IFERROR(__xludf.DUMMYFUNCTION("""COMPUTED_VALUE"""),45371.6666666666)</f>
        <v>45371.666666666599</v>
      </c>
      <c r="B557" s="1">
        <f ca="1">IFERROR(__xludf.DUMMYFUNCTION("""COMPUTED_VALUE"""),499.5)</f>
        <v>499.5</v>
      </c>
      <c r="C557" s="1">
        <f ca="1">IFERROR(__xludf.DUMMYFUNCTION("""COMPUTED_VALUE"""),508.2)</f>
        <v>508.2</v>
      </c>
      <c r="D557" s="1">
        <f ca="1">IFERROR(__xludf.DUMMYFUNCTION("""COMPUTED_VALUE"""),495.17)</f>
        <v>495.17</v>
      </c>
      <c r="E557" s="1">
        <f ca="1">IFERROR(__xludf.DUMMYFUNCTION("""COMPUTED_VALUE"""),505.52)</f>
        <v>505.52</v>
      </c>
      <c r="F557" s="1">
        <f ca="1">IFERROR(__xludf.DUMMYFUNCTION("""COMPUTED_VALUE"""),11711100)</f>
        <v>11711100</v>
      </c>
    </row>
    <row r="558" spans="1:6" ht="12.6">
      <c r="A558" s="2">
        <f ca="1">IFERROR(__xludf.DUMMYFUNCTION("""COMPUTED_VALUE"""),45372.6666666666)</f>
        <v>45372.666666666599</v>
      </c>
      <c r="B558" s="1">
        <f ca="1">IFERROR(__xludf.DUMMYFUNCTION("""COMPUTED_VALUE"""),514.71)</f>
        <v>514.71</v>
      </c>
      <c r="C558" s="1">
        <f ca="1">IFERROR(__xludf.DUMMYFUNCTION("""COMPUTED_VALUE"""),515.04)</f>
        <v>515.04</v>
      </c>
      <c r="D558" s="1">
        <f ca="1">IFERROR(__xludf.DUMMYFUNCTION("""COMPUTED_VALUE"""),506.01)</f>
        <v>506.01</v>
      </c>
      <c r="E558" s="1">
        <f ca="1">IFERROR(__xludf.DUMMYFUNCTION("""COMPUTED_VALUE"""),507.76)</f>
        <v>507.76</v>
      </c>
      <c r="F558" s="1">
        <f ca="1">IFERROR(__xludf.DUMMYFUNCTION("""COMPUTED_VALUE"""),9712549)</f>
        <v>9712549</v>
      </c>
    </row>
    <row r="559" spans="1:6" ht="12.6">
      <c r="A559" s="2">
        <f ca="1">IFERROR(__xludf.DUMMYFUNCTION("""COMPUTED_VALUE"""),45373.6666666666)</f>
        <v>45373.666666666599</v>
      </c>
      <c r="B559" s="1">
        <f ca="1">IFERROR(__xludf.DUMMYFUNCTION("""COMPUTED_VALUE"""),507)</f>
        <v>507</v>
      </c>
      <c r="C559" s="1">
        <f ca="1">IFERROR(__xludf.DUMMYFUNCTION("""COMPUTED_VALUE"""),509.97)</f>
        <v>509.97</v>
      </c>
      <c r="D559" s="1">
        <f ca="1">IFERROR(__xludf.DUMMYFUNCTION("""COMPUTED_VALUE"""),504.34)</f>
        <v>504.34</v>
      </c>
      <c r="E559" s="1">
        <f ca="1">IFERROR(__xludf.DUMMYFUNCTION("""COMPUTED_VALUE"""),509.58)</f>
        <v>509.58</v>
      </c>
      <c r="F559" s="1">
        <f ca="1">IFERROR(__xludf.DUMMYFUNCTION("""COMPUTED_VALUE"""),8120593)</f>
        <v>8120593</v>
      </c>
    </row>
    <row r="560" spans="1:6" ht="12.6">
      <c r="A560" s="2">
        <f ca="1">IFERROR(__xludf.DUMMYFUNCTION("""COMPUTED_VALUE"""),45376.6666666666)</f>
        <v>45376.666666666599</v>
      </c>
      <c r="B560" s="1">
        <f ca="1">IFERROR(__xludf.DUMMYFUNCTION("""COMPUTED_VALUE"""),505.79)</f>
        <v>505.79</v>
      </c>
      <c r="C560" s="1">
        <f ca="1">IFERROR(__xludf.DUMMYFUNCTION("""COMPUTED_VALUE"""),507.22)</f>
        <v>507.22</v>
      </c>
      <c r="D560" s="1">
        <f ca="1">IFERROR(__xludf.DUMMYFUNCTION("""COMPUTED_VALUE"""),500.24)</f>
        <v>500.24</v>
      </c>
      <c r="E560" s="1">
        <f ca="1">IFERROR(__xludf.DUMMYFUNCTION("""COMPUTED_VALUE"""),503.02)</f>
        <v>503.02</v>
      </c>
      <c r="F560" s="1">
        <f ca="1">IFERROR(__xludf.DUMMYFUNCTION("""COMPUTED_VALUE"""),8380617)</f>
        <v>8380617</v>
      </c>
    </row>
    <row r="561" spans="1:6" ht="12.6">
      <c r="A561" s="2">
        <f ca="1">IFERROR(__xludf.DUMMYFUNCTION("""COMPUTED_VALUE"""),45377.6666666666)</f>
        <v>45377.666666666599</v>
      </c>
      <c r="B561" s="1">
        <f ca="1">IFERROR(__xludf.DUMMYFUNCTION("""COMPUTED_VALUE"""),505.13)</f>
        <v>505.13</v>
      </c>
      <c r="C561" s="1">
        <f ca="1">IFERROR(__xludf.DUMMYFUNCTION("""COMPUTED_VALUE"""),510)</f>
        <v>510</v>
      </c>
      <c r="D561" s="1">
        <f ca="1">IFERROR(__xludf.DUMMYFUNCTION("""COMPUTED_VALUE"""),495.21)</f>
        <v>495.21</v>
      </c>
      <c r="E561" s="1">
        <f ca="1">IFERROR(__xludf.DUMMYFUNCTION("""COMPUTED_VALUE"""),495.89)</f>
        <v>495.89</v>
      </c>
      <c r="F561" s="1">
        <f ca="1">IFERROR(__xludf.DUMMYFUNCTION("""COMPUTED_VALUE"""),11205382)</f>
        <v>11205382</v>
      </c>
    </row>
    <row r="562" spans="1:6" ht="12.6">
      <c r="A562" s="2">
        <f ca="1">IFERROR(__xludf.DUMMYFUNCTION("""COMPUTED_VALUE"""),45378.6666666666)</f>
        <v>45378.666666666599</v>
      </c>
      <c r="B562" s="1">
        <f ca="1">IFERROR(__xludf.DUMMYFUNCTION("""COMPUTED_VALUE"""),499.3)</f>
        <v>499.3</v>
      </c>
      <c r="C562" s="1">
        <f ca="1">IFERROR(__xludf.DUMMYFUNCTION("""COMPUTED_VALUE"""),499.89)</f>
        <v>499.89</v>
      </c>
      <c r="D562" s="1">
        <f ca="1">IFERROR(__xludf.DUMMYFUNCTION("""COMPUTED_VALUE"""),488.07)</f>
        <v>488.07</v>
      </c>
      <c r="E562" s="1">
        <f ca="1">IFERROR(__xludf.DUMMYFUNCTION("""COMPUTED_VALUE"""),493.86)</f>
        <v>493.86</v>
      </c>
      <c r="F562" s="1">
        <f ca="1">IFERROR(__xludf.DUMMYFUNCTION("""COMPUTED_VALUE"""),9989676)</f>
        <v>9989676</v>
      </c>
    </row>
    <row r="563" spans="1:6" ht="12.6">
      <c r="A563" s="2">
        <f ca="1">IFERROR(__xludf.DUMMYFUNCTION("""COMPUTED_VALUE"""),45379.6666666666)</f>
        <v>45379.666666666599</v>
      </c>
      <c r="B563" s="1">
        <f ca="1">IFERROR(__xludf.DUMMYFUNCTION("""COMPUTED_VALUE"""),492.84)</f>
        <v>492.84</v>
      </c>
      <c r="C563" s="1">
        <f ca="1">IFERROR(__xludf.DUMMYFUNCTION("""COMPUTED_VALUE"""),492.89)</f>
        <v>492.89</v>
      </c>
      <c r="D563" s="1">
        <f ca="1">IFERROR(__xludf.DUMMYFUNCTION("""COMPUTED_VALUE"""),485.15)</f>
        <v>485.15</v>
      </c>
      <c r="E563" s="1">
        <f ca="1">IFERROR(__xludf.DUMMYFUNCTION("""COMPUTED_VALUE"""),485.58)</f>
        <v>485.58</v>
      </c>
      <c r="F563" s="1">
        <f ca="1">IFERROR(__xludf.DUMMYFUNCTION("""COMPUTED_VALUE"""),15212764)</f>
        <v>15212764</v>
      </c>
    </row>
    <row r="564" spans="1:6" ht="12.6">
      <c r="A564" s="2">
        <f ca="1">IFERROR(__xludf.DUMMYFUNCTION("""COMPUTED_VALUE"""),45383.6666666666)</f>
        <v>45383.666666666599</v>
      </c>
      <c r="B564" s="1">
        <f ca="1">IFERROR(__xludf.DUMMYFUNCTION("""COMPUTED_VALUE"""),487.2)</f>
        <v>487.2</v>
      </c>
      <c r="C564" s="1">
        <f ca="1">IFERROR(__xludf.DUMMYFUNCTION("""COMPUTED_VALUE"""),497.43)</f>
        <v>497.43</v>
      </c>
      <c r="D564" s="1">
        <f ca="1">IFERROR(__xludf.DUMMYFUNCTION("""COMPUTED_VALUE"""),481.78)</f>
        <v>481.78</v>
      </c>
      <c r="E564" s="1">
        <f ca="1">IFERROR(__xludf.DUMMYFUNCTION("""COMPUTED_VALUE"""),491.35)</f>
        <v>491.35</v>
      </c>
      <c r="F564" s="1">
        <f ca="1">IFERROR(__xludf.DUMMYFUNCTION("""COMPUTED_VALUE"""),9247007)</f>
        <v>9247007</v>
      </c>
    </row>
    <row r="565" spans="1:6" ht="12.6">
      <c r="A565" s="2">
        <f ca="1">IFERROR(__xludf.DUMMYFUNCTION("""COMPUTED_VALUE"""),45384.6666666666)</f>
        <v>45384.666666666599</v>
      </c>
      <c r="B565" s="1">
        <f ca="1">IFERROR(__xludf.DUMMYFUNCTION("""COMPUTED_VALUE"""),485.1)</f>
        <v>485.1</v>
      </c>
      <c r="C565" s="1">
        <f ca="1">IFERROR(__xludf.DUMMYFUNCTION("""COMPUTED_VALUE"""),497.53)</f>
        <v>497.53</v>
      </c>
      <c r="D565" s="1">
        <f ca="1">IFERROR(__xludf.DUMMYFUNCTION("""COMPUTED_VALUE"""),484.65)</f>
        <v>484.65</v>
      </c>
      <c r="E565" s="1">
        <f ca="1">IFERROR(__xludf.DUMMYFUNCTION("""COMPUTED_VALUE"""),497.37)</f>
        <v>497.37</v>
      </c>
      <c r="F565" s="1">
        <f ca="1">IFERROR(__xludf.DUMMYFUNCTION("""COMPUTED_VALUE"""),11081026)</f>
        <v>11081026</v>
      </c>
    </row>
    <row r="566" spans="1:6" ht="12.6">
      <c r="A566" s="2">
        <f ca="1">IFERROR(__xludf.DUMMYFUNCTION("""COMPUTED_VALUE"""),45385.6666666666)</f>
        <v>45385.666666666599</v>
      </c>
      <c r="B566" s="1">
        <f ca="1">IFERROR(__xludf.DUMMYFUNCTION("""COMPUTED_VALUE"""),498.93)</f>
        <v>498.93</v>
      </c>
      <c r="C566" s="1">
        <f ca="1">IFERROR(__xludf.DUMMYFUNCTION("""COMPUTED_VALUE"""),507.24)</f>
        <v>507.24</v>
      </c>
      <c r="D566" s="1">
        <f ca="1">IFERROR(__xludf.DUMMYFUNCTION("""COMPUTED_VALUE"""),498.75)</f>
        <v>498.75</v>
      </c>
      <c r="E566" s="1">
        <f ca="1">IFERROR(__xludf.DUMMYFUNCTION("""COMPUTED_VALUE"""),506.74)</f>
        <v>506.74</v>
      </c>
      <c r="F566" s="1">
        <f ca="1">IFERROR(__xludf.DUMMYFUNCTION("""COMPUTED_VALUE"""),12099171)</f>
        <v>12099171</v>
      </c>
    </row>
    <row r="567" spans="1:6" ht="12.6">
      <c r="A567" s="2">
        <f ca="1">IFERROR(__xludf.DUMMYFUNCTION("""COMPUTED_VALUE"""),45386.6666666666)</f>
        <v>45386.666666666599</v>
      </c>
      <c r="B567" s="1">
        <f ca="1">IFERROR(__xludf.DUMMYFUNCTION("""COMPUTED_VALUE"""),516.42)</f>
        <v>516.41999999999996</v>
      </c>
      <c r="C567" s="1">
        <f ca="1">IFERROR(__xludf.DUMMYFUNCTION("""COMPUTED_VALUE"""),530)</f>
        <v>530</v>
      </c>
      <c r="D567" s="1">
        <f ca="1">IFERROR(__xludf.DUMMYFUNCTION("""COMPUTED_VALUE"""),510.58)</f>
        <v>510.58</v>
      </c>
      <c r="E567" s="1">
        <f ca="1">IFERROR(__xludf.DUMMYFUNCTION("""COMPUTED_VALUE"""),510.92)</f>
        <v>510.92</v>
      </c>
      <c r="F567" s="1">
        <f ca="1">IFERROR(__xludf.DUMMYFUNCTION("""COMPUTED_VALUE"""),26476253)</f>
        <v>26476253</v>
      </c>
    </row>
    <row r="568" spans="1:6" ht="12.6">
      <c r="A568" s="2">
        <f ca="1">IFERROR(__xludf.DUMMYFUNCTION("""COMPUTED_VALUE"""),45387.6666666666)</f>
        <v>45387.666666666599</v>
      </c>
      <c r="B568" s="1">
        <f ca="1">IFERROR(__xludf.DUMMYFUNCTION("""COMPUTED_VALUE"""),516.86)</f>
        <v>516.86</v>
      </c>
      <c r="C568" s="1">
        <f ca="1">IFERROR(__xludf.DUMMYFUNCTION("""COMPUTED_VALUE"""),530.7)</f>
        <v>530.70000000000005</v>
      </c>
      <c r="D568" s="1">
        <f ca="1">IFERROR(__xludf.DUMMYFUNCTION("""COMPUTED_VALUE"""),514.41)</f>
        <v>514.41</v>
      </c>
      <c r="E568" s="1">
        <f ca="1">IFERROR(__xludf.DUMMYFUNCTION("""COMPUTED_VALUE"""),527.34)</f>
        <v>527.34</v>
      </c>
      <c r="F568" s="1">
        <f ca="1">IFERROR(__xludf.DUMMYFUNCTION("""COMPUTED_VALUE"""),19263265)</f>
        <v>19263265</v>
      </c>
    </row>
    <row r="569" spans="1:6" ht="12.6">
      <c r="A569" s="2">
        <f ca="1">IFERROR(__xludf.DUMMYFUNCTION("""COMPUTED_VALUE"""),45390.6666666666)</f>
        <v>45390.666666666599</v>
      </c>
      <c r="B569" s="1">
        <f ca="1">IFERROR(__xludf.DUMMYFUNCTION("""COMPUTED_VALUE"""),529.28)</f>
        <v>529.28</v>
      </c>
      <c r="C569" s="1">
        <f ca="1">IFERROR(__xludf.DUMMYFUNCTION("""COMPUTED_VALUE"""),531.49)</f>
        <v>531.49</v>
      </c>
      <c r="D569" s="1">
        <f ca="1">IFERROR(__xludf.DUMMYFUNCTION("""COMPUTED_VALUE"""),518.89)</f>
        <v>518.89</v>
      </c>
      <c r="E569" s="1">
        <f ca="1">IFERROR(__xludf.DUMMYFUNCTION("""COMPUTED_VALUE"""),519.25)</f>
        <v>519.25</v>
      </c>
      <c r="F569" s="1">
        <f ca="1">IFERROR(__xludf.DUMMYFUNCTION("""COMPUTED_VALUE"""),13260579)</f>
        <v>13260579</v>
      </c>
    </row>
    <row r="570" spans="1:6" ht="12.6">
      <c r="A570" s="2">
        <f ca="1">IFERROR(__xludf.DUMMYFUNCTION("""COMPUTED_VALUE"""),45391.6666666666)</f>
        <v>45391.666666666599</v>
      </c>
      <c r="B570" s="1">
        <f ca="1">IFERROR(__xludf.DUMMYFUNCTION("""COMPUTED_VALUE"""),522.23)</f>
        <v>522.23</v>
      </c>
      <c r="C570" s="1">
        <f ca="1">IFERROR(__xludf.DUMMYFUNCTION("""COMPUTED_VALUE"""),525.87)</f>
        <v>525.87</v>
      </c>
      <c r="D570" s="1">
        <f ca="1">IFERROR(__xludf.DUMMYFUNCTION("""COMPUTED_VALUE"""),506.74)</f>
        <v>506.74</v>
      </c>
      <c r="E570" s="1">
        <f ca="1">IFERROR(__xludf.DUMMYFUNCTION("""COMPUTED_VALUE"""),516.9)</f>
        <v>516.9</v>
      </c>
      <c r="F570" s="1">
        <f ca="1">IFERROR(__xludf.DUMMYFUNCTION("""COMPUTED_VALUE"""),10881445)</f>
        <v>10881445</v>
      </c>
    </row>
    <row r="571" spans="1:6" ht="12.6">
      <c r="A571" s="2">
        <f ca="1">IFERROR(__xludf.DUMMYFUNCTION("""COMPUTED_VALUE"""),45392.6666666666)</f>
        <v>45392.666666666599</v>
      </c>
      <c r="B571" s="1">
        <f ca="1">IFERROR(__xludf.DUMMYFUNCTION("""COMPUTED_VALUE"""),509.29)</f>
        <v>509.29</v>
      </c>
      <c r="C571" s="1">
        <f ca="1">IFERROR(__xludf.DUMMYFUNCTION("""COMPUTED_VALUE"""),522.56)</f>
        <v>522.55999999999995</v>
      </c>
      <c r="D571" s="1">
        <f ca="1">IFERROR(__xludf.DUMMYFUNCTION("""COMPUTED_VALUE"""),505.8)</f>
        <v>505.8</v>
      </c>
      <c r="E571" s="1">
        <f ca="1">IFERROR(__xludf.DUMMYFUNCTION("""COMPUTED_VALUE"""),519.83)</f>
        <v>519.83000000000004</v>
      </c>
      <c r="F571" s="1">
        <f ca="1">IFERROR(__xludf.DUMMYFUNCTION("""COMPUTED_VALUE"""),11418491)</f>
        <v>11418491</v>
      </c>
    </row>
    <row r="572" spans="1:6" ht="12.6">
      <c r="A572" s="2">
        <f ca="1">IFERROR(__xludf.DUMMYFUNCTION("""COMPUTED_VALUE"""),45393.6666666666)</f>
        <v>45393.666666666599</v>
      </c>
      <c r="B572" s="1">
        <f ca="1">IFERROR(__xludf.DUMMYFUNCTION("""COMPUTED_VALUE"""),521.11)</f>
        <v>521.11</v>
      </c>
      <c r="C572" s="1">
        <f ca="1">IFERROR(__xludf.DUMMYFUNCTION("""COMPUTED_VALUE"""),523.86)</f>
        <v>523.86</v>
      </c>
      <c r="D572" s="1">
        <f ca="1">IFERROR(__xludf.DUMMYFUNCTION("""COMPUTED_VALUE"""),517.29)</f>
        <v>517.29</v>
      </c>
      <c r="E572" s="1">
        <f ca="1">IFERROR(__xludf.DUMMYFUNCTION("""COMPUTED_VALUE"""),523.16)</f>
        <v>523.16</v>
      </c>
      <c r="F572" s="1">
        <f ca="1">IFERROR(__xludf.DUMMYFUNCTION("""COMPUTED_VALUE"""),10369469)</f>
        <v>10369469</v>
      </c>
    </row>
    <row r="573" spans="1:6" ht="12.6">
      <c r="A573" s="2">
        <f ca="1">IFERROR(__xludf.DUMMYFUNCTION("""COMPUTED_VALUE"""),45394.6666666666)</f>
        <v>45394.666666666599</v>
      </c>
      <c r="B573" s="1">
        <f ca="1">IFERROR(__xludf.DUMMYFUNCTION("""COMPUTED_VALUE"""),517.75)</f>
        <v>517.75</v>
      </c>
      <c r="C573" s="1">
        <f ca="1">IFERROR(__xludf.DUMMYFUNCTION("""COMPUTED_VALUE"""),520.19)</f>
        <v>520.19000000000005</v>
      </c>
      <c r="D573" s="1">
        <f ca="1">IFERROR(__xludf.DUMMYFUNCTION("""COMPUTED_VALUE"""),509.33)</f>
        <v>509.33</v>
      </c>
      <c r="E573" s="1">
        <f ca="1">IFERROR(__xludf.DUMMYFUNCTION("""COMPUTED_VALUE"""),511.9)</f>
        <v>511.9</v>
      </c>
      <c r="F573" s="1">
        <f ca="1">IFERROR(__xludf.DUMMYFUNCTION("""COMPUTED_VALUE"""),11984535)</f>
        <v>11984535</v>
      </c>
    </row>
    <row r="574" spans="1:6" ht="12.6">
      <c r="A574" s="2">
        <f ca="1">IFERROR(__xludf.DUMMYFUNCTION("""COMPUTED_VALUE"""),45397.6666666666)</f>
        <v>45397.666666666599</v>
      </c>
      <c r="B574" s="1">
        <f ca="1">IFERROR(__xludf.DUMMYFUNCTION("""COMPUTED_VALUE"""),516.72)</f>
        <v>516.72</v>
      </c>
      <c r="C574" s="1">
        <f ca="1">IFERROR(__xludf.DUMMYFUNCTION("""COMPUTED_VALUE"""),518.53)</f>
        <v>518.53</v>
      </c>
      <c r="D574" s="1">
        <f ca="1">IFERROR(__xludf.DUMMYFUNCTION("""COMPUTED_VALUE"""),497.28)</f>
        <v>497.28</v>
      </c>
      <c r="E574" s="1">
        <f ca="1">IFERROR(__xludf.DUMMYFUNCTION("""COMPUTED_VALUE"""),500.23)</f>
        <v>500.23</v>
      </c>
      <c r="F574" s="1">
        <f ca="1">IFERROR(__xludf.DUMMYFUNCTION("""COMPUTED_VALUE"""),13512893)</f>
        <v>13512893</v>
      </c>
    </row>
    <row r="575" spans="1:6" ht="12.6">
      <c r="A575" s="2">
        <f ca="1">IFERROR(__xludf.DUMMYFUNCTION("""COMPUTED_VALUE"""),45398.6666666666)</f>
        <v>45398.666666666599</v>
      </c>
      <c r="B575" s="1">
        <f ca="1">IFERROR(__xludf.DUMMYFUNCTION("""COMPUTED_VALUE"""),498.11)</f>
        <v>498.11</v>
      </c>
      <c r="C575" s="1">
        <f ca="1">IFERROR(__xludf.DUMMYFUNCTION("""COMPUTED_VALUE"""),504.77)</f>
        <v>504.77</v>
      </c>
      <c r="D575" s="1">
        <f ca="1">IFERROR(__xludf.DUMMYFUNCTION("""COMPUTED_VALUE"""),497.11)</f>
        <v>497.11</v>
      </c>
      <c r="E575" s="1">
        <f ca="1">IFERROR(__xludf.DUMMYFUNCTION("""COMPUTED_VALUE"""),499.76)</f>
        <v>499.76</v>
      </c>
      <c r="F575" s="1">
        <f ca="1">IFERROR(__xludf.DUMMYFUNCTION("""COMPUTED_VALUE"""),9847925)</f>
        <v>9847925</v>
      </c>
    </row>
    <row r="576" spans="1:6" ht="12.6">
      <c r="A576" s="2">
        <f ca="1">IFERROR(__xludf.DUMMYFUNCTION("""COMPUTED_VALUE"""),45399.6666666666)</f>
        <v>45399.666666666599</v>
      </c>
      <c r="B576" s="1">
        <f ca="1">IFERROR(__xludf.DUMMYFUNCTION("""COMPUTED_VALUE"""),503.1)</f>
        <v>503.1</v>
      </c>
      <c r="C576" s="1">
        <f ca="1">IFERROR(__xludf.DUMMYFUNCTION("""COMPUTED_VALUE"""),503.16)</f>
        <v>503.16</v>
      </c>
      <c r="D576" s="1">
        <f ca="1">IFERROR(__xludf.DUMMYFUNCTION("""COMPUTED_VALUE"""),487.14)</f>
        <v>487.14</v>
      </c>
      <c r="E576" s="1">
        <f ca="1">IFERROR(__xludf.DUMMYFUNCTION("""COMPUTED_VALUE"""),494.17)</f>
        <v>494.17</v>
      </c>
      <c r="F576" s="1">
        <f ca="1">IFERROR(__xludf.DUMMYFUNCTION("""COMPUTED_VALUE"""),12193743)</f>
        <v>12193743</v>
      </c>
    </row>
    <row r="577" spans="1:6" ht="12.6">
      <c r="A577" s="2">
        <f ca="1">IFERROR(__xludf.DUMMYFUNCTION("""COMPUTED_VALUE"""),45400.6666666666)</f>
        <v>45400.666666666599</v>
      </c>
      <c r="B577" s="1">
        <f ca="1">IFERROR(__xludf.DUMMYFUNCTION("""COMPUTED_VALUE"""),499.82)</f>
        <v>499.82</v>
      </c>
      <c r="C577" s="1">
        <f ca="1">IFERROR(__xludf.DUMMYFUNCTION("""COMPUTED_VALUE"""),512.21)</f>
        <v>512.21</v>
      </c>
      <c r="D577" s="1">
        <f ca="1">IFERROR(__xludf.DUMMYFUNCTION("""COMPUTED_VALUE"""),499.04)</f>
        <v>499.04</v>
      </c>
      <c r="E577" s="1">
        <f ca="1">IFERROR(__xludf.DUMMYFUNCTION("""COMPUTED_VALUE"""),501.8)</f>
        <v>501.8</v>
      </c>
      <c r="F577" s="1">
        <f ca="1">IFERROR(__xludf.DUMMYFUNCTION("""COMPUTED_VALUE"""),14808670)</f>
        <v>14808670</v>
      </c>
    </row>
    <row r="578" spans="1:6" ht="12.6">
      <c r="A578" s="2">
        <f ca="1">IFERROR(__xludf.DUMMYFUNCTION("""COMPUTED_VALUE"""),45401.6666666666)</f>
        <v>45401.666666666599</v>
      </c>
      <c r="B578" s="1">
        <f ca="1">IFERROR(__xludf.DUMMYFUNCTION("""COMPUTED_VALUE"""),502.8)</f>
        <v>502.8</v>
      </c>
      <c r="C578" s="1">
        <f ca="1">IFERROR(__xludf.DUMMYFUNCTION("""COMPUTED_VALUE"""),502.8)</f>
        <v>502.8</v>
      </c>
      <c r="D578" s="1">
        <f ca="1">IFERROR(__xludf.DUMMYFUNCTION("""COMPUTED_VALUE"""),475.73)</f>
        <v>475.73</v>
      </c>
      <c r="E578" s="1">
        <f ca="1">IFERROR(__xludf.DUMMYFUNCTION("""COMPUTED_VALUE"""),481.07)</f>
        <v>481.07</v>
      </c>
      <c r="F578" s="1">
        <f ca="1">IFERROR(__xludf.DUMMYFUNCTION("""COMPUTED_VALUE"""),25215364)</f>
        <v>25215364</v>
      </c>
    </row>
    <row r="579" spans="1:6" ht="12.6">
      <c r="A579" s="2">
        <f ca="1">IFERROR(__xludf.DUMMYFUNCTION("""COMPUTED_VALUE"""),45404.6666666666)</f>
        <v>45404.666666666599</v>
      </c>
      <c r="B579" s="1">
        <f ca="1">IFERROR(__xludf.DUMMYFUNCTION("""COMPUTED_VALUE"""),489.72)</f>
        <v>489.72</v>
      </c>
      <c r="C579" s="1">
        <f ca="1">IFERROR(__xludf.DUMMYFUNCTION("""COMPUTED_VALUE"""),492.01)</f>
        <v>492.01</v>
      </c>
      <c r="D579" s="1">
        <f ca="1">IFERROR(__xludf.DUMMYFUNCTION("""COMPUTED_VALUE"""),473.4)</f>
        <v>473.4</v>
      </c>
      <c r="E579" s="1">
        <f ca="1">IFERROR(__xludf.DUMMYFUNCTION("""COMPUTED_VALUE"""),481.73)</f>
        <v>481.73</v>
      </c>
      <c r="F579" s="1">
        <f ca="1">IFERROR(__xludf.DUMMYFUNCTION("""COMPUTED_VALUE"""),17271125)</f>
        <v>17271125</v>
      </c>
    </row>
    <row r="580" spans="1:6" ht="12.6">
      <c r="A580" s="2">
        <f ca="1">IFERROR(__xludf.DUMMYFUNCTION("""COMPUTED_VALUE"""),45405.6666666666)</f>
        <v>45405.666666666599</v>
      </c>
      <c r="B580" s="1">
        <f ca="1">IFERROR(__xludf.DUMMYFUNCTION("""COMPUTED_VALUE"""),491.25)</f>
        <v>491.25</v>
      </c>
      <c r="C580" s="1">
        <f ca="1">IFERROR(__xludf.DUMMYFUNCTION("""COMPUTED_VALUE"""),498.76)</f>
        <v>498.76</v>
      </c>
      <c r="D580" s="1">
        <f ca="1">IFERROR(__xludf.DUMMYFUNCTION("""COMPUTED_VALUE"""),488.97)</f>
        <v>488.97</v>
      </c>
      <c r="E580" s="1">
        <f ca="1">IFERROR(__xludf.DUMMYFUNCTION("""COMPUTED_VALUE"""),496.1)</f>
        <v>496.1</v>
      </c>
      <c r="F580" s="1">
        <f ca="1">IFERROR(__xludf.DUMMYFUNCTION("""COMPUTED_VALUE"""),15079196)</f>
        <v>15079196</v>
      </c>
    </row>
    <row r="581" spans="1:6" ht="12.6">
      <c r="A581" s="2">
        <f ca="1">IFERROR(__xludf.DUMMYFUNCTION("""COMPUTED_VALUE"""),45406.6666666666)</f>
        <v>45406.666666666599</v>
      </c>
      <c r="B581" s="1">
        <f ca="1">IFERROR(__xludf.DUMMYFUNCTION("""COMPUTED_VALUE"""),508.06)</f>
        <v>508.06</v>
      </c>
      <c r="C581" s="1">
        <f ca="1">IFERROR(__xludf.DUMMYFUNCTION("""COMPUTED_VALUE"""),510)</f>
        <v>510</v>
      </c>
      <c r="D581" s="1">
        <f ca="1">IFERROR(__xludf.DUMMYFUNCTION("""COMPUTED_VALUE"""),484.58)</f>
        <v>484.58</v>
      </c>
      <c r="E581" s="1">
        <f ca="1">IFERROR(__xludf.DUMMYFUNCTION("""COMPUTED_VALUE"""),493.5)</f>
        <v>493.5</v>
      </c>
      <c r="F581" s="1">
        <f ca="1">IFERROR(__xludf.DUMMYFUNCTION("""COMPUTED_VALUE"""),37772677)</f>
        <v>37772677</v>
      </c>
    </row>
    <row r="582" spans="1:6" ht="12.6">
      <c r="A582" s="2">
        <f ca="1">IFERROR(__xludf.DUMMYFUNCTION("""COMPUTED_VALUE"""),45407.6666666666)</f>
        <v>45407.666666666599</v>
      </c>
      <c r="B582" s="1">
        <f ca="1">IFERROR(__xludf.DUMMYFUNCTION("""COMPUTED_VALUE"""),421.4)</f>
        <v>421.4</v>
      </c>
      <c r="C582" s="1">
        <f ca="1">IFERROR(__xludf.DUMMYFUNCTION("""COMPUTED_VALUE"""),445.77)</f>
        <v>445.77</v>
      </c>
      <c r="D582" s="1">
        <f ca="1">IFERROR(__xludf.DUMMYFUNCTION("""COMPUTED_VALUE"""),414.5)</f>
        <v>414.5</v>
      </c>
      <c r="E582" s="1">
        <f ca="1">IFERROR(__xludf.DUMMYFUNCTION("""COMPUTED_VALUE"""),441.38)</f>
        <v>441.38</v>
      </c>
      <c r="F582" s="1">
        <f ca="1">IFERROR(__xludf.DUMMYFUNCTION("""COMPUTED_VALUE"""),82890741)</f>
        <v>82890741</v>
      </c>
    </row>
    <row r="583" spans="1:6" ht="12.6">
      <c r="A583" s="2">
        <f ca="1">IFERROR(__xludf.DUMMYFUNCTION("""COMPUTED_VALUE"""),45408.6666666666)</f>
        <v>45408.666666666599</v>
      </c>
      <c r="B583" s="1">
        <f ca="1">IFERROR(__xludf.DUMMYFUNCTION("""COMPUTED_VALUE"""),441.46)</f>
        <v>441.46</v>
      </c>
      <c r="C583" s="1">
        <f ca="1">IFERROR(__xludf.DUMMYFUNCTION("""COMPUTED_VALUE"""),446.44)</f>
        <v>446.44</v>
      </c>
      <c r="D583" s="1">
        <f ca="1">IFERROR(__xludf.DUMMYFUNCTION("""COMPUTED_VALUE"""),431.96)</f>
        <v>431.96</v>
      </c>
      <c r="E583" s="1">
        <f ca="1">IFERROR(__xludf.DUMMYFUNCTION("""COMPUTED_VALUE"""),443.29)</f>
        <v>443.29</v>
      </c>
      <c r="F583" s="1">
        <f ca="1">IFERROR(__xludf.DUMMYFUNCTION("""COMPUTED_VALUE"""),32691443)</f>
        <v>32691443</v>
      </c>
    </row>
    <row r="584" spans="1:6" ht="12.6">
      <c r="A584" s="2">
        <f ca="1">IFERROR(__xludf.DUMMYFUNCTION("""COMPUTED_VALUE"""),45411.6666666666)</f>
        <v>45411.666666666599</v>
      </c>
      <c r="B584" s="1">
        <f ca="1">IFERROR(__xludf.DUMMYFUNCTION("""COMPUTED_VALUE"""),439.56)</f>
        <v>439.56</v>
      </c>
      <c r="C584" s="1">
        <f ca="1">IFERROR(__xludf.DUMMYFUNCTION("""COMPUTED_VALUE"""),439.76)</f>
        <v>439.76</v>
      </c>
      <c r="D584" s="1">
        <f ca="1">IFERROR(__xludf.DUMMYFUNCTION("""COMPUTED_VALUE"""),428.56)</f>
        <v>428.56</v>
      </c>
      <c r="E584" s="1">
        <f ca="1">IFERROR(__xludf.DUMMYFUNCTION("""COMPUTED_VALUE"""),432.62)</f>
        <v>432.62</v>
      </c>
      <c r="F584" s="1">
        <f ca="1">IFERROR(__xludf.DUMMYFUNCTION("""COMPUTED_VALUE"""),21502646)</f>
        <v>21502646</v>
      </c>
    </row>
    <row r="585" spans="1:6" ht="12.6">
      <c r="A585" s="2">
        <f ca="1">IFERROR(__xludf.DUMMYFUNCTION("""COMPUTED_VALUE"""),45412.6666666666)</f>
        <v>45412.666666666599</v>
      </c>
      <c r="B585" s="1">
        <f ca="1">IFERROR(__xludf.DUMMYFUNCTION("""COMPUTED_VALUE"""),431.05)</f>
        <v>431.05</v>
      </c>
      <c r="C585" s="1">
        <f ca="1">IFERROR(__xludf.DUMMYFUNCTION("""COMPUTED_VALUE"""),439.62)</f>
        <v>439.62</v>
      </c>
      <c r="D585" s="1">
        <f ca="1">IFERROR(__xludf.DUMMYFUNCTION("""COMPUTED_VALUE"""),429.72)</f>
        <v>429.72</v>
      </c>
      <c r="E585" s="1">
        <f ca="1">IFERROR(__xludf.DUMMYFUNCTION("""COMPUTED_VALUE"""),430.17)</f>
        <v>430.17</v>
      </c>
      <c r="F585" s="1">
        <f ca="1">IFERROR(__xludf.DUMMYFUNCTION("""COMPUTED_VALUE"""),18429496)</f>
        <v>18429496</v>
      </c>
    </row>
    <row r="586" spans="1:6" ht="12.6">
      <c r="A586" s="2">
        <f ca="1">IFERROR(__xludf.DUMMYFUNCTION("""COMPUTED_VALUE"""),45413.6666666666)</f>
        <v>45413.666666666599</v>
      </c>
      <c r="B586" s="1">
        <f ca="1">IFERROR(__xludf.DUMMYFUNCTION("""COMPUTED_VALUE"""),428.6)</f>
        <v>428.6</v>
      </c>
      <c r="C586" s="1">
        <f ca="1">IFERROR(__xludf.DUMMYFUNCTION("""COMPUTED_VALUE"""),449.96)</f>
        <v>449.96</v>
      </c>
      <c r="D586" s="1">
        <f ca="1">IFERROR(__xludf.DUMMYFUNCTION("""COMPUTED_VALUE"""),427.11)</f>
        <v>427.11</v>
      </c>
      <c r="E586" s="1">
        <f ca="1">IFERROR(__xludf.DUMMYFUNCTION("""COMPUTED_VALUE"""),439.19)</f>
        <v>439.19</v>
      </c>
      <c r="F586" s="1">
        <f ca="1">IFERROR(__xludf.DUMMYFUNCTION("""COMPUTED_VALUE"""),20344947)</f>
        <v>20344947</v>
      </c>
    </row>
    <row r="587" spans="1:6" ht="12.6">
      <c r="A587" s="2">
        <f ca="1">IFERROR(__xludf.DUMMYFUNCTION("""COMPUTED_VALUE"""),45414.6666666666)</f>
        <v>45414.666666666599</v>
      </c>
      <c r="B587" s="1">
        <f ca="1">IFERROR(__xludf.DUMMYFUNCTION("""COMPUTED_VALUE"""),438.84)</f>
        <v>438.84</v>
      </c>
      <c r="C587" s="1">
        <f ca="1">IFERROR(__xludf.DUMMYFUNCTION("""COMPUTED_VALUE"""),443.96)</f>
        <v>443.96</v>
      </c>
      <c r="D587" s="1">
        <f ca="1">IFERROR(__xludf.DUMMYFUNCTION("""COMPUTED_VALUE"""),432.28)</f>
        <v>432.28</v>
      </c>
      <c r="E587" s="1">
        <f ca="1">IFERROR(__xludf.DUMMYFUNCTION("""COMPUTED_VALUE"""),441.68)</f>
        <v>441.68</v>
      </c>
      <c r="F587" s="1">
        <f ca="1">IFERROR(__xludf.DUMMYFUNCTION("""COMPUTED_VALUE"""),15221322)</f>
        <v>15221322</v>
      </c>
    </row>
    <row r="588" spans="1:6" ht="12.6">
      <c r="A588" s="2">
        <f ca="1">IFERROR(__xludf.DUMMYFUNCTION("""COMPUTED_VALUE"""),45415.6666666666)</f>
        <v>45415.666666666599</v>
      </c>
      <c r="B588" s="1">
        <f ca="1">IFERROR(__xludf.DUMMYFUNCTION("""COMPUTED_VALUE"""),445.93)</f>
        <v>445.93</v>
      </c>
      <c r="C588" s="1">
        <f ca="1">IFERROR(__xludf.DUMMYFUNCTION("""COMPUTED_VALUE"""),454.17)</f>
        <v>454.17</v>
      </c>
      <c r="D588" s="1">
        <f ca="1">IFERROR(__xludf.DUMMYFUNCTION("""COMPUTED_VALUE"""),443.85)</f>
        <v>443.85</v>
      </c>
      <c r="E588" s="1">
        <f ca="1">IFERROR(__xludf.DUMMYFUNCTION("""COMPUTED_VALUE"""),451.96)</f>
        <v>451.96</v>
      </c>
      <c r="F588" s="1">
        <f ca="1">IFERROR(__xludf.DUMMYFUNCTION("""COMPUTED_VALUE"""),16489057)</f>
        <v>16489057</v>
      </c>
    </row>
    <row r="589" spans="1:6" ht="12.6">
      <c r="A589" s="2">
        <f ca="1">IFERROR(__xludf.DUMMYFUNCTION("""COMPUTED_VALUE"""),45418.6666666666)</f>
        <v>45418.666666666599</v>
      </c>
      <c r="B589" s="1">
        <f ca="1">IFERROR(__xludf.DUMMYFUNCTION("""COMPUTED_VALUE"""),455.58)</f>
        <v>455.58</v>
      </c>
      <c r="C589" s="1">
        <f ca="1">IFERROR(__xludf.DUMMYFUNCTION("""COMPUTED_VALUE"""),466.16)</f>
        <v>466.16</v>
      </c>
      <c r="D589" s="1">
        <f ca="1">IFERROR(__xludf.DUMMYFUNCTION("""COMPUTED_VALUE"""),453.34)</f>
        <v>453.34</v>
      </c>
      <c r="E589" s="1">
        <f ca="1">IFERROR(__xludf.DUMMYFUNCTION("""COMPUTED_VALUE"""),465.68)</f>
        <v>465.68</v>
      </c>
      <c r="F589" s="1">
        <f ca="1">IFERROR(__xludf.DUMMYFUNCTION("""COMPUTED_VALUE"""),15094627)</f>
        <v>15094627</v>
      </c>
    </row>
    <row r="590" spans="1:6" ht="12.6">
      <c r="A590" s="2">
        <f ca="1">IFERROR(__xludf.DUMMYFUNCTION("""COMPUTED_VALUE"""),45419.6666666666)</f>
        <v>45419.666666666599</v>
      </c>
      <c r="B590" s="1">
        <f ca="1">IFERROR(__xludf.DUMMYFUNCTION("""COMPUTED_VALUE"""),466.29)</f>
        <v>466.29</v>
      </c>
      <c r="C590" s="1">
        <f ca="1">IFERROR(__xludf.DUMMYFUNCTION("""COMPUTED_VALUE"""),471.53)</f>
        <v>471.53</v>
      </c>
      <c r="D590" s="1">
        <f ca="1">IFERROR(__xludf.DUMMYFUNCTION("""COMPUTED_VALUE"""),461.31)</f>
        <v>461.31</v>
      </c>
      <c r="E590" s="1">
        <f ca="1">IFERROR(__xludf.DUMMYFUNCTION("""COMPUTED_VALUE"""),468.24)</f>
        <v>468.24</v>
      </c>
      <c r="F590" s="1">
        <f ca="1">IFERROR(__xludf.DUMMYFUNCTION("""COMPUTED_VALUE"""),13406816)</f>
        <v>13406816</v>
      </c>
    </row>
    <row r="591" spans="1:6" ht="12.6">
      <c r="A591" s="2">
        <f ca="1">IFERROR(__xludf.DUMMYFUNCTION("""COMPUTED_VALUE"""),45420.6666666666)</f>
        <v>45420.666666666599</v>
      </c>
      <c r="B591" s="1">
        <f ca="1">IFERROR(__xludf.DUMMYFUNCTION("""COMPUTED_VALUE"""),463.5)</f>
        <v>463.5</v>
      </c>
      <c r="C591" s="1">
        <f ca="1">IFERROR(__xludf.DUMMYFUNCTION("""COMPUTED_VALUE"""),475.58)</f>
        <v>475.58</v>
      </c>
      <c r="D591" s="1">
        <f ca="1">IFERROR(__xludf.DUMMYFUNCTION("""COMPUTED_VALUE"""),463)</f>
        <v>463</v>
      </c>
      <c r="E591" s="1">
        <f ca="1">IFERROR(__xludf.DUMMYFUNCTION("""COMPUTED_VALUE"""),472.6)</f>
        <v>472.6</v>
      </c>
      <c r="F591" s="1">
        <f ca="1">IFERROR(__xludf.DUMMYFUNCTION("""COMPUTED_VALUE"""),11683929)</f>
        <v>11683929</v>
      </c>
    </row>
    <row r="592" spans="1:6" ht="12.6">
      <c r="A592" s="2">
        <f ca="1">IFERROR(__xludf.DUMMYFUNCTION("""COMPUTED_VALUE"""),45421.6666666666)</f>
        <v>45421.666666666599</v>
      </c>
      <c r="B592" s="1">
        <f ca="1">IFERROR(__xludf.DUMMYFUNCTION("""COMPUTED_VALUE"""),470)</f>
        <v>470</v>
      </c>
      <c r="C592" s="1">
        <f ca="1">IFERROR(__xludf.DUMMYFUNCTION("""COMPUTED_VALUE"""),476.08)</f>
        <v>476.08</v>
      </c>
      <c r="D592" s="1">
        <f ca="1">IFERROR(__xludf.DUMMYFUNCTION("""COMPUTED_VALUE"""),467.63)</f>
        <v>467.63</v>
      </c>
      <c r="E592" s="1">
        <f ca="1">IFERROR(__xludf.DUMMYFUNCTION("""COMPUTED_VALUE"""),475.42)</f>
        <v>475.42</v>
      </c>
      <c r="F592" s="1">
        <f ca="1">IFERROR(__xludf.DUMMYFUNCTION("""COMPUTED_VALUE"""),9437651)</f>
        <v>9437651</v>
      </c>
    </row>
    <row r="593" spans="1:6" ht="12.6">
      <c r="A593" s="2">
        <f ca="1">IFERROR(__xludf.DUMMYFUNCTION("""COMPUTED_VALUE"""),45422.6666666666)</f>
        <v>45422.666666666599</v>
      </c>
      <c r="B593" s="1">
        <f ca="1">IFERROR(__xludf.DUMMYFUNCTION("""COMPUTED_VALUE"""),477.09)</f>
        <v>477.09</v>
      </c>
      <c r="C593" s="1">
        <f ca="1">IFERROR(__xludf.DUMMYFUNCTION("""COMPUTED_VALUE"""),477.5)</f>
        <v>477.5</v>
      </c>
      <c r="D593" s="1">
        <f ca="1">IFERROR(__xludf.DUMMYFUNCTION("""COMPUTED_VALUE"""),469.6)</f>
        <v>469.6</v>
      </c>
      <c r="E593" s="1">
        <f ca="1">IFERROR(__xludf.DUMMYFUNCTION("""COMPUTED_VALUE"""),476.2)</f>
        <v>476.2</v>
      </c>
      <c r="F593" s="1">
        <f ca="1">IFERROR(__xludf.DUMMYFUNCTION("""COMPUTED_VALUE"""),10749999)</f>
        <v>10749999</v>
      </c>
    </row>
    <row r="594" spans="1:6" ht="12.6">
      <c r="A594" s="2">
        <f ca="1">IFERROR(__xludf.DUMMYFUNCTION("""COMPUTED_VALUE"""),45425.6666666666)</f>
        <v>45425.666666666599</v>
      </c>
      <c r="B594" s="1">
        <f ca="1">IFERROR(__xludf.DUMMYFUNCTION("""COMPUTED_VALUE"""),472.75)</f>
        <v>472.75</v>
      </c>
      <c r="C594" s="1">
        <f ca="1">IFERROR(__xludf.DUMMYFUNCTION("""COMPUTED_VALUE"""),473.35)</f>
        <v>473.35</v>
      </c>
      <c r="D594" s="1">
        <f ca="1">IFERROR(__xludf.DUMMYFUNCTION("""COMPUTED_VALUE"""),462.85)</f>
        <v>462.85</v>
      </c>
      <c r="E594" s="1">
        <f ca="1">IFERROR(__xludf.DUMMYFUNCTION("""COMPUTED_VALUE"""),468.01)</f>
        <v>468.01</v>
      </c>
      <c r="F594" s="1">
        <f ca="1">IFERROR(__xludf.DUMMYFUNCTION("""COMPUTED_VALUE"""),14668798)</f>
        <v>14668798</v>
      </c>
    </row>
    <row r="595" spans="1:6" ht="12.6">
      <c r="A595" s="2">
        <f ca="1">IFERROR(__xludf.DUMMYFUNCTION("""COMPUTED_VALUE"""),45426.6666666666)</f>
        <v>45426.666666666599</v>
      </c>
      <c r="B595" s="1">
        <f ca="1">IFERROR(__xludf.DUMMYFUNCTION("""COMPUTED_VALUE"""),463.37)</f>
        <v>463.37</v>
      </c>
      <c r="C595" s="1">
        <f ca="1">IFERROR(__xludf.DUMMYFUNCTION("""COMPUTED_VALUE"""),472.54)</f>
        <v>472.54</v>
      </c>
      <c r="D595" s="1">
        <f ca="1">IFERROR(__xludf.DUMMYFUNCTION("""COMPUTED_VALUE"""),460.08)</f>
        <v>460.08</v>
      </c>
      <c r="E595" s="1">
        <f ca="1">IFERROR(__xludf.DUMMYFUNCTION("""COMPUTED_VALUE"""),471.85)</f>
        <v>471.85</v>
      </c>
      <c r="F595" s="1">
        <f ca="1">IFERROR(__xludf.DUMMYFUNCTION("""COMPUTED_VALUE"""),10478553)</f>
        <v>10478553</v>
      </c>
    </row>
    <row r="596" spans="1:6" ht="12.6">
      <c r="A596" s="2">
        <f ca="1">IFERROR(__xludf.DUMMYFUNCTION("""COMPUTED_VALUE"""),45427.6666666666)</f>
        <v>45427.666666666599</v>
      </c>
      <c r="B596" s="1">
        <f ca="1">IFERROR(__xludf.DUMMYFUNCTION("""COMPUTED_VALUE"""),474.98)</f>
        <v>474.98</v>
      </c>
      <c r="C596" s="1">
        <f ca="1">IFERROR(__xludf.DUMMYFUNCTION("""COMPUTED_VALUE"""),482.5)</f>
        <v>482.5</v>
      </c>
      <c r="D596" s="1">
        <f ca="1">IFERROR(__xludf.DUMMYFUNCTION("""COMPUTED_VALUE"""),471.2)</f>
        <v>471.2</v>
      </c>
      <c r="E596" s="1">
        <f ca="1">IFERROR(__xludf.DUMMYFUNCTION("""COMPUTED_VALUE"""),481.54)</f>
        <v>481.54</v>
      </c>
      <c r="F596" s="1">
        <f ca="1">IFERROR(__xludf.DUMMYFUNCTION("""COMPUTED_VALUE"""),13100470)</f>
        <v>13100470</v>
      </c>
    </row>
    <row r="597" spans="1:6" ht="12.6">
      <c r="A597" s="2">
        <f ca="1">IFERROR(__xludf.DUMMYFUNCTION("""COMPUTED_VALUE"""),45428.6666666666)</f>
        <v>45428.666666666599</v>
      </c>
      <c r="B597" s="1">
        <f ca="1">IFERROR(__xludf.DUMMYFUNCTION("""COMPUTED_VALUE"""),475)</f>
        <v>475</v>
      </c>
      <c r="C597" s="1">
        <f ca="1">IFERROR(__xludf.DUMMYFUNCTION("""COMPUTED_VALUE"""),477.69)</f>
        <v>477.69</v>
      </c>
      <c r="D597" s="1">
        <f ca="1">IFERROR(__xludf.DUMMYFUNCTION("""COMPUTED_VALUE"""),472.75)</f>
        <v>472.75</v>
      </c>
      <c r="E597" s="1">
        <f ca="1">IFERROR(__xludf.DUMMYFUNCTION("""COMPUTED_VALUE"""),473.23)</f>
        <v>473.23</v>
      </c>
      <c r="F597" s="1">
        <f ca="1">IFERROR(__xludf.DUMMYFUNCTION("""COMPUTED_VALUE"""),16608179)</f>
        <v>16608179</v>
      </c>
    </row>
    <row r="598" spans="1:6" ht="12.6">
      <c r="A598" s="2">
        <f ca="1">IFERROR(__xludf.DUMMYFUNCTION("""COMPUTED_VALUE"""),45429.6666666666)</f>
        <v>45429.666666666599</v>
      </c>
      <c r="B598" s="1">
        <f ca="1">IFERROR(__xludf.DUMMYFUNCTION("""COMPUTED_VALUE"""),470.83)</f>
        <v>470.83</v>
      </c>
      <c r="C598" s="1">
        <f ca="1">IFERROR(__xludf.DUMMYFUNCTION("""COMPUTED_VALUE"""),472.8)</f>
        <v>472.8</v>
      </c>
      <c r="D598" s="1">
        <f ca="1">IFERROR(__xludf.DUMMYFUNCTION("""COMPUTED_VALUE"""),468.42)</f>
        <v>468.42</v>
      </c>
      <c r="E598" s="1">
        <f ca="1">IFERROR(__xludf.DUMMYFUNCTION("""COMPUTED_VALUE"""),471.91)</f>
        <v>471.91</v>
      </c>
      <c r="F598" s="1">
        <f ca="1">IFERROR(__xludf.DUMMYFUNCTION("""COMPUTED_VALUE"""),10807289)</f>
        <v>10807289</v>
      </c>
    </row>
    <row r="599" spans="1:6" ht="12.6">
      <c r="A599" s="2">
        <f ca="1">IFERROR(__xludf.DUMMYFUNCTION("""COMPUTED_VALUE"""),45432.6666666666)</f>
        <v>45432.666666666599</v>
      </c>
      <c r="B599" s="1">
        <f ca="1">IFERROR(__xludf.DUMMYFUNCTION("""COMPUTED_VALUE"""),469.95)</f>
        <v>469.95</v>
      </c>
      <c r="C599" s="1">
        <f ca="1">IFERROR(__xludf.DUMMYFUNCTION("""COMPUTED_VALUE"""),473.2)</f>
        <v>473.2</v>
      </c>
      <c r="D599" s="1">
        <f ca="1">IFERROR(__xludf.DUMMYFUNCTION("""COMPUTED_VALUE"""),467.04)</f>
        <v>467.04</v>
      </c>
      <c r="E599" s="1">
        <f ca="1">IFERROR(__xludf.DUMMYFUNCTION("""COMPUTED_VALUE"""),468.84)</f>
        <v>468.84</v>
      </c>
      <c r="F599" s="1">
        <f ca="1">IFERROR(__xludf.DUMMYFUNCTION("""COMPUTED_VALUE"""),11745080)</f>
        <v>11745080</v>
      </c>
    </row>
    <row r="600" spans="1:6" ht="12.6">
      <c r="A600" s="2">
        <f ca="1">IFERROR(__xludf.DUMMYFUNCTION("""COMPUTED_VALUE"""),45433.6666666666)</f>
        <v>45433.666666666599</v>
      </c>
      <c r="B600" s="1">
        <f ca="1">IFERROR(__xludf.DUMMYFUNCTION("""COMPUTED_VALUE"""),467.12)</f>
        <v>467.12</v>
      </c>
      <c r="C600" s="1">
        <f ca="1">IFERROR(__xludf.DUMMYFUNCTION("""COMPUTED_VALUE"""),470.7)</f>
        <v>470.7</v>
      </c>
      <c r="D600" s="1">
        <f ca="1">IFERROR(__xludf.DUMMYFUNCTION("""COMPUTED_VALUE"""),462.27)</f>
        <v>462.27</v>
      </c>
      <c r="E600" s="1">
        <f ca="1">IFERROR(__xludf.DUMMYFUNCTION("""COMPUTED_VALUE"""),464.63)</f>
        <v>464.63</v>
      </c>
      <c r="F600" s="1">
        <f ca="1">IFERROR(__xludf.DUMMYFUNCTION("""COMPUTED_VALUE"""),11742189)</f>
        <v>11742189</v>
      </c>
    </row>
    <row r="601" spans="1:6" ht="12.6">
      <c r="A601" s="2">
        <f ca="1">IFERROR(__xludf.DUMMYFUNCTION("""COMPUTED_VALUE"""),45434.6666666666)</f>
        <v>45434.666666666599</v>
      </c>
      <c r="B601" s="1">
        <f ca="1">IFERROR(__xludf.DUMMYFUNCTION("""COMPUTED_VALUE"""),467.87)</f>
        <v>467.87</v>
      </c>
      <c r="C601" s="1">
        <f ca="1">IFERROR(__xludf.DUMMYFUNCTION("""COMPUTED_VALUE"""),473.72)</f>
        <v>473.72</v>
      </c>
      <c r="D601" s="1">
        <f ca="1">IFERROR(__xludf.DUMMYFUNCTION("""COMPUTED_VALUE"""),465.65)</f>
        <v>465.65</v>
      </c>
      <c r="E601" s="1">
        <f ca="1">IFERROR(__xludf.DUMMYFUNCTION("""COMPUTED_VALUE"""),467.78)</f>
        <v>467.78</v>
      </c>
      <c r="F601" s="1">
        <f ca="1">IFERROR(__xludf.DUMMYFUNCTION("""COMPUTED_VALUE"""),10078611)</f>
        <v>10078611</v>
      </c>
    </row>
    <row r="602" spans="1:6" ht="12.6">
      <c r="A602" s="2">
        <f ca="1">IFERROR(__xludf.DUMMYFUNCTION("""COMPUTED_VALUE"""),45435.6666666666)</f>
        <v>45435.666666666599</v>
      </c>
      <c r="B602" s="1">
        <f ca="1">IFERROR(__xludf.DUMMYFUNCTION("""COMPUTED_VALUE"""),472.88)</f>
        <v>472.88</v>
      </c>
      <c r="C602" s="1">
        <f ca="1">IFERROR(__xludf.DUMMYFUNCTION("""COMPUTED_VALUE"""),474.36)</f>
        <v>474.36</v>
      </c>
      <c r="D602" s="1">
        <f ca="1">IFERROR(__xludf.DUMMYFUNCTION("""COMPUTED_VALUE"""),461.54)</f>
        <v>461.54</v>
      </c>
      <c r="E602" s="1">
        <f ca="1">IFERROR(__xludf.DUMMYFUNCTION("""COMPUTED_VALUE"""),465.78)</f>
        <v>465.78</v>
      </c>
      <c r="F602" s="1">
        <f ca="1">IFERROR(__xludf.DUMMYFUNCTION("""COMPUTED_VALUE"""),11747913)</f>
        <v>11747913</v>
      </c>
    </row>
    <row r="603" spans="1:6" ht="12.6">
      <c r="A603" s="2">
        <f ca="1">IFERROR(__xludf.DUMMYFUNCTION("""COMPUTED_VALUE"""),45436.6666666666)</f>
        <v>45436.666666666599</v>
      </c>
      <c r="B603" s="1">
        <f ca="1">IFERROR(__xludf.DUMMYFUNCTION("""COMPUTED_VALUE"""),467.62)</f>
        <v>467.62</v>
      </c>
      <c r="C603" s="1">
        <f ca="1">IFERROR(__xludf.DUMMYFUNCTION("""COMPUTED_VALUE"""),479.85)</f>
        <v>479.85</v>
      </c>
      <c r="D603" s="1">
        <f ca="1">IFERROR(__xludf.DUMMYFUNCTION("""COMPUTED_VALUE"""),466.3)</f>
        <v>466.3</v>
      </c>
      <c r="E603" s="1">
        <f ca="1">IFERROR(__xludf.DUMMYFUNCTION("""COMPUTED_VALUE"""),478.22)</f>
        <v>478.22</v>
      </c>
      <c r="F603" s="1">
        <f ca="1">IFERROR(__xludf.DUMMYFUNCTION("""COMPUTED_VALUE"""),12024254)</f>
        <v>12024254</v>
      </c>
    </row>
    <row r="604" spans="1:6" ht="12.6">
      <c r="A604" s="2">
        <f ca="1">IFERROR(__xludf.DUMMYFUNCTION("""COMPUTED_VALUE"""),45440.6666666666)</f>
        <v>45440.666666666599</v>
      </c>
      <c r="B604" s="1">
        <f ca="1">IFERROR(__xludf.DUMMYFUNCTION("""COMPUTED_VALUE"""),476.58)</f>
        <v>476.58</v>
      </c>
      <c r="C604" s="1">
        <f ca="1">IFERROR(__xludf.DUMMYFUNCTION("""COMPUTED_VALUE"""),480.86)</f>
        <v>480.86</v>
      </c>
      <c r="D604" s="1">
        <f ca="1">IFERROR(__xludf.DUMMYFUNCTION("""COMPUTED_VALUE"""),474.84)</f>
        <v>474.84</v>
      </c>
      <c r="E604" s="1">
        <f ca="1">IFERROR(__xludf.DUMMYFUNCTION("""COMPUTED_VALUE"""),479.92)</f>
        <v>479.92</v>
      </c>
      <c r="F604" s="1">
        <f ca="1">IFERROR(__xludf.DUMMYFUNCTION("""COMPUTED_VALUE"""),10175770)</f>
        <v>10175770</v>
      </c>
    </row>
    <row r="605" spans="1:6" ht="12.6">
      <c r="A605" s="2">
        <f ca="1">IFERROR(__xludf.DUMMYFUNCTION("""COMPUTED_VALUE"""),45441.6666666666)</f>
        <v>45441.666666666599</v>
      </c>
      <c r="B605" s="1">
        <f ca="1">IFERROR(__xludf.DUMMYFUNCTION("""COMPUTED_VALUE"""),474.66)</f>
        <v>474.66</v>
      </c>
      <c r="C605" s="1">
        <f ca="1">IFERROR(__xludf.DUMMYFUNCTION("""COMPUTED_VALUE"""),479.85)</f>
        <v>479.85</v>
      </c>
      <c r="D605" s="1">
        <f ca="1">IFERROR(__xludf.DUMMYFUNCTION("""COMPUTED_VALUE"""),473.7)</f>
        <v>473.7</v>
      </c>
      <c r="E605" s="1">
        <f ca="1">IFERROR(__xludf.DUMMYFUNCTION("""COMPUTED_VALUE"""),474.36)</f>
        <v>474.36</v>
      </c>
      <c r="F605" s="1">
        <f ca="1">IFERROR(__xludf.DUMMYFUNCTION("""COMPUTED_VALUE"""),9226218)</f>
        <v>9226218</v>
      </c>
    </row>
    <row r="606" spans="1:6" ht="12.6">
      <c r="A606" s="2">
        <f ca="1">IFERROR(__xludf.DUMMYFUNCTION("""COMPUTED_VALUE"""),45442.6666666666)</f>
        <v>45442.666666666599</v>
      </c>
      <c r="B606" s="1">
        <f ca="1">IFERROR(__xludf.DUMMYFUNCTION("""COMPUTED_VALUE"""),471.67)</f>
        <v>471.67</v>
      </c>
      <c r="C606" s="1">
        <f ca="1">IFERROR(__xludf.DUMMYFUNCTION("""COMPUTED_VALUE"""),471.73)</f>
        <v>471.73</v>
      </c>
      <c r="D606" s="1">
        <f ca="1">IFERROR(__xludf.DUMMYFUNCTION("""COMPUTED_VALUE"""),464.71)</f>
        <v>464.71</v>
      </c>
      <c r="E606" s="1">
        <f ca="1">IFERROR(__xludf.DUMMYFUNCTION("""COMPUTED_VALUE"""),467.05)</f>
        <v>467.05</v>
      </c>
      <c r="F606" s="1">
        <f ca="1">IFERROR(__xludf.DUMMYFUNCTION("""COMPUTED_VALUE"""),10735226)</f>
        <v>10735226</v>
      </c>
    </row>
    <row r="607" spans="1:6" ht="12.6">
      <c r="A607" s="2">
        <f ca="1">IFERROR(__xludf.DUMMYFUNCTION("""COMPUTED_VALUE"""),45443.6666666666)</f>
        <v>45443.666666666599</v>
      </c>
      <c r="B607" s="1">
        <f ca="1">IFERROR(__xludf.DUMMYFUNCTION("""COMPUTED_VALUE"""),465.8)</f>
        <v>465.8</v>
      </c>
      <c r="C607" s="1">
        <f ca="1">IFERROR(__xludf.DUMMYFUNCTION("""COMPUTED_VALUE"""),469.12)</f>
        <v>469.12</v>
      </c>
      <c r="D607" s="1">
        <f ca="1">IFERROR(__xludf.DUMMYFUNCTION("""COMPUTED_VALUE"""),454.46)</f>
        <v>454.46</v>
      </c>
      <c r="E607" s="1">
        <f ca="1">IFERROR(__xludf.DUMMYFUNCTION("""COMPUTED_VALUE"""),466.83)</f>
        <v>466.83</v>
      </c>
      <c r="F607" s="1">
        <f ca="1">IFERROR(__xludf.DUMMYFUNCTION("""COMPUTED_VALUE"""),16919805)</f>
        <v>16919805</v>
      </c>
    </row>
    <row r="608" spans="1:6" ht="12.6">
      <c r="A608" s="2">
        <f ca="1">IFERROR(__xludf.DUMMYFUNCTION("""COMPUTED_VALUE"""),45446.6666666666)</f>
        <v>45446.666666666599</v>
      </c>
      <c r="B608" s="1">
        <f ca="1">IFERROR(__xludf.DUMMYFUNCTION("""COMPUTED_VALUE"""),470.86)</f>
        <v>470.86</v>
      </c>
      <c r="C608" s="1">
        <f ca="1">IFERROR(__xludf.DUMMYFUNCTION("""COMPUTED_VALUE"""),479.6)</f>
        <v>479.6</v>
      </c>
      <c r="D608" s="1">
        <f ca="1">IFERROR(__xludf.DUMMYFUNCTION("""COMPUTED_VALUE"""),468.24)</f>
        <v>468.24</v>
      </c>
      <c r="E608" s="1">
        <f ca="1">IFERROR(__xludf.DUMMYFUNCTION("""COMPUTED_VALUE"""),477.49)</f>
        <v>477.49</v>
      </c>
      <c r="F608" s="1">
        <f ca="1">IFERROR(__xludf.DUMMYFUNCTION("""COMPUTED_VALUE"""),11279390)</f>
        <v>11279390</v>
      </c>
    </row>
    <row r="609" spans="1:6" ht="12.6">
      <c r="A609" s="2">
        <f ca="1">IFERROR(__xludf.DUMMYFUNCTION("""COMPUTED_VALUE"""),45447.6666666666)</f>
        <v>45447.666666666599</v>
      </c>
      <c r="B609" s="1">
        <f ca="1">IFERROR(__xludf.DUMMYFUNCTION("""COMPUTED_VALUE"""),477)</f>
        <v>477</v>
      </c>
      <c r="C609" s="1">
        <f ca="1">IFERROR(__xludf.DUMMYFUNCTION("""COMPUTED_VALUE"""),478.89)</f>
        <v>478.89</v>
      </c>
      <c r="D609" s="1">
        <f ca="1">IFERROR(__xludf.DUMMYFUNCTION("""COMPUTED_VALUE"""),473.23)</f>
        <v>473.23</v>
      </c>
      <c r="E609" s="1">
        <f ca="1">IFERROR(__xludf.DUMMYFUNCTION("""COMPUTED_VALUE"""),476.99)</f>
        <v>476.99</v>
      </c>
      <c r="F609" s="1">
        <f ca="1">IFERROR(__xludf.DUMMYFUNCTION("""COMPUTED_VALUE"""),7088718)</f>
        <v>7088718</v>
      </c>
    </row>
    <row r="610" spans="1:6" ht="12.6">
      <c r="A610" s="2">
        <f ca="1">IFERROR(__xludf.DUMMYFUNCTION("""COMPUTED_VALUE"""),45448.6666666666)</f>
        <v>45448.666666666599</v>
      </c>
      <c r="B610" s="1">
        <f ca="1">IFERROR(__xludf.DUMMYFUNCTION("""COMPUTED_VALUE"""),484.45)</f>
        <v>484.45</v>
      </c>
      <c r="C610" s="1">
        <f ca="1">IFERROR(__xludf.DUMMYFUNCTION("""COMPUTED_VALUE"""),496.65)</f>
        <v>496.65</v>
      </c>
      <c r="D610" s="1">
        <f ca="1">IFERROR(__xludf.DUMMYFUNCTION("""COMPUTED_VALUE"""),483.91)</f>
        <v>483.91</v>
      </c>
      <c r="E610" s="1">
        <f ca="1">IFERROR(__xludf.DUMMYFUNCTION("""COMPUTED_VALUE"""),495.06)</f>
        <v>495.06</v>
      </c>
      <c r="F610" s="1">
        <f ca="1">IFERROR(__xludf.DUMMYFUNCTION("""COMPUTED_VALUE"""),15690484)</f>
        <v>15690484</v>
      </c>
    </row>
    <row r="611" spans="1:6" ht="12.6">
      <c r="A611" s="2">
        <f ca="1">IFERROR(__xludf.DUMMYFUNCTION("""COMPUTED_VALUE"""),45449.6666666666)</f>
        <v>45449.666666666599</v>
      </c>
      <c r="B611" s="1">
        <f ca="1">IFERROR(__xludf.DUMMYFUNCTION("""COMPUTED_VALUE"""),492.98)</f>
        <v>492.98</v>
      </c>
      <c r="C611" s="1">
        <f ca="1">IFERROR(__xludf.DUMMYFUNCTION("""COMPUTED_VALUE"""),502.82)</f>
        <v>502.82</v>
      </c>
      <c r="D611" s="1">
        <f ca="1">IFERROR(__xludf.DUMMYFUNCTION("""COMPUTED_VALUE"""),490.89)</f>
        <v>490.89</v>
      </c>
      <c r="E611" s="1">
        <f ca="1">IFERROR(__xludf.DUMMYFUNCTION("""COMPUTED_VALUE"""),493.76)</f>
        <v>493.76</v>
      </c>
      <c r="F611" s="1">
        <f ca="1">IFERROR(__xludf.DUMMYFUNCTION("""COMPUTED_VALUE"""),10667339)</f>
        <v>10667339</v>
      </c>
    </row>
    <row r="612" spans="1:6" ht="12.6">
      <c r="A612" s="2">
        <f ca="1">IFERROR(__xludf.DUMMYFUNCTION("""COMPUTED_VALUE"""),45450.6666666666)</f>
        <v>45450.666666666599</v>
      </c>
      <c r="B612" s="1">
        <f ca="1">IFERROR(__xludf.DUMMYFUNCTION("""COMPUTED_VALUE"""),495.91)</f>
        <v>495.91</v>
      </c>
      <c r="C612" s="1">
        <f ca="1">IFERROR(__xludf.DUMMYFUNCTION("""COMPUTED_VALUE"""),498.91)</f>
        <v>498.91</v>
      </c>
      <c r="D612" s="1">
        <f ca="1">IFERROR(__xludf.DUMMYFUNCTION("""COMPUTED_VALUE"""),490.17)</f>
        <v>490.17</v>
      </c>
      <c r="E612" s="1">
        <f ca="1">IFERROR(__xludf.DUMMYFUNCTION("""COMPUTED_VALUE"""),492.96)</f>
        <v>492.96</v>
      </c>
      <c r="F612" s="1">
        <f ca="1">IFERROR(__xludf.DUMMYFUNCTION("""COMPUTED_VALUE"""),9380745)</f>
        <v>9380745</v>
      </c>
    </row>
    <row r="613" spans="1:6" ht="12.6">
      <c r="A613" s="2">
        <f ca="1">IFERROR(__xludf.DUMMYFUNCTION("""COMPUTED_VALUE"""),45453.6666666666)</f>
        <v>45453.666666666599</v>
      </c>
      <c r="B613" s="1">
        <f ca="1">IFERROR(__xludf.DUMMYFUNCTION("""COMPUTED_VALUE"""),493.86)</f>
        <v>493.86</v>
      </c>
      <c r="C613" s="1">
        <f ca="1">IFERROR(__xludf.DUMMYFUNCTION("""COMPUTED_VALUE"""),502.66)</f>
        <v>502.66</v>
      </c>
      <c r="D613" s="1">
        <f ca="1">IFERROR(__xludf.DUMMYFUNCTION("""COMPUTED_VALUE"""),493.41)</f>
        <v>493.41</v>
      </c>
      <c r="E613" s="1">
        <f ca="1">IFERROR(__xludf.DUMMYFUNCTION("""COMPUTED_VALUE"""),502.6)</f>
        <v>502.6</v>
      </c>
      <c r="F613" s="1">
        <f ca="1">IFERROR(__xludf.DUMMYFUNCTION("""COMPUTED_VALUE"""),11236919)</f>
        <v>11236919</v>
      </c>
    </row>
    <row r="614" spans="1:6" ht="12.6">
      <c r="A614" s="2">
        <f ca="1">IFERROR(__xludf.DUMMYFUNCTION("""COMPUTED_VALUE"""),45454.6666666666)</f>
        <v>45454.666666666599</v>
      </c>
      <c r="B614" s="1">
        <f ca="1">IFERROR(__xludf.DUMMYFUNCTION("""COMPUTED_VALUE"""),500.16)</f>
        <v>500.16</v>
      </c>
      <c r="C614" s="1">
        <f ca="1">IFERROR(__xludf.DUMMYFUNCTION("""COMPUTED_VALUE"""),507.6)</f>
        <v>507.6</v>
      </c>
      <c r="D614" s="1">
        <f ca="1">IFERROR(__xludf.DUMMYFUNCTION("""COMPUTED_VALUE"""),498.27)</f>
        <v>498.27</v>
      </c>
      <c r="E614" s="1">
        <f ca="1">IFERROR(__xludf.DUMMYFUNCTION("""COMPUTED_VALUE"""),507.47)</f>
        <v>507.47</v>
      </c>
      <c r="F614" s="1">
        <f ca="1">IFERROR(__xludf.DUMMYFUNCTION("""COMPUTED_VALUE"""),9673715)</f>
        <v>9673715</v>
      </c>
    </row>
    <row r="615" spans="1:6" ht="12.6">
      <c r="A615" s="2">
        <f ca="1">IFERROR(__xludf.DUMMYFUNCTION("""COMPUTED_VALUE"""),45455.6666666666)</f>
        <v>45455.666666666599</v>
      </c>
      <c r="B615" s="1">
        <f ca="1">IFERROR(__xludf.DUMMYFUNCTION("""COMPUTED_VALUE"""),513.99)</f>
        <v>513.99</v>
      </c>
      <c r="C615" s="1">
        <f ca="1">IFERROR(__xludf.DUMMYFUNCTION("""COMPUTED_VALUE"""),514.01)</f>
        <v>514.01</v>
      </c>
      <c r="D615" s="1">
        <f ca="1">IFERROR(__xludf.DUMMYFUNCTION("""COMPUTED_VALUE"""),504.47)</f>
        <v>504.47</v>
      </c>
      <c r="E615" s="1">
        <f ca="1">IFERROR(__xludf.DUMMYFUNCTION("""COMPUTED_VALUE"""),508.84)</f>
        <v>508.84</v>
      </c>
      <c r="F615" s="1">
        <f ca="1">IFERROR(__xludf.DUMMYFUNCTION("""COMPUTED_VALUE"""),11983227)</f>
        <v>11983227</v>
      </c>
    </row>
    <row r="616" spans="1:6" ht="12.6">
      <c r="A616" s="2">
        <f ca="1">IFERROR(__xludf.DUMMYFUNCTION("""COMPUTED_VALUE"""),45456.6666666666)</f>
        <v>45456.666666666599</v>
      </c>
      <c r="B616" s="1">
        <f ca="1">IFERROR(__xludf.DUMMYFUNCTION("""COMPUTED_VALUE"""),505.71)</f>
        <v>505.71</v>
      </c>
      <c r="C616" s="1">
        <f ca="1">IFERROR(__xludf.DUMMYFUNCTION("""COMPUTED_VALUE"""),509.36)</f>
        <v>509.36</v>
      </c>
      <c r="D616" s="1">
        <f ca="1">IFERROR(__xludf.DUMMYFUNCTION("""COMPUTED_VALUE"""),501.36)</f>
        <v>501.36</v>
      </c>
      <c r="E616" s="1">
        <f ca="1">IFERROR(__xludf.DUMMYFUNCTION("""COMPUTED_VALUE"""),504.1)</f>
        <v>504.1</v>
      </c>
      <c r="F616" s="1">
        <f ca="1">IFERROR(__xludf.DUMMYFUNCTION("""COMPUTED_VALUE"""),9954621)</f>
        <v>9954621</v>
      </c>
    </row>
    <row r="617" spans="1:6" ht="12.6">
      <c r="A617" s="2">
        <f ca="1">IFERROR(__xludf.DUMMYFUNCTION("""COMPUTED_VALUE"""),45457.6666666666)</f>
        <v>45457.666666666599</v>
      </c>
      <c r="B617" s="1">
        <f ca="1">IFERROR(__xludf.DUMMYFUNCTION("""COMPUTED_VALUE"""),502.65)</f>
        <v>502.65</v>
      </c>
      <c r="C617" s="1">
        <f ca="1">IFERROR(__xludf.DUMMYFUNCTION("""COMPUTED_VALUE"""),507.15)</f>
        <v>507.15</v>
      </c>
      <c r="D617" s="1">
        <f ca="1">IFERROR(__xludf.DUMMYFUNCTION("""COMPUTED_VALUE"""),500.75)</f>
        <v>500.75</v>
      </c>
      <c r="E617" s="1">
        <f ca="1">IFERROR(__xludf.DUMMYFUNCTION("""COMPUTED_VALUE"""),504.16)</f>
        <v>504.16</v>
      </c>
      <c r="F617" s="1">
        <f ca="1">IFERROR(__xludf.DUMMYFUNCTION("""COMPUTED_VALUE"""),10243347)</f>
        <v>10243347</v>
      </c>
    </row>
    <row r="618" spans="1:6" ht="12.6">
      <c r="A618" s="2">
        <f ca="1">IFERROR(__xludf.DUMMYFUNCTION("""COMPUTED_VALUE"""),45460.6666666666)</f>
        <v>45460.666666666599</v>
      </c>
      <c r="B618" s="1">
        <f ca="1">IFERROR(__xludf.DUMMYFUNCTION("""COMPUTED_VALUE"""),501.67)</f>
        <v>501.67</v>
      </c>
      <c r="C618" s="1">
        <f ca="1">IFERROR(__xludf.DUMMYFUNCTION("""COMPUTED_VALUE"""),510.75)</f>
        <v>510.75</v>
      </c>
      <c r="D618" s="1">
        <f ca="1">IFERROR(__xludf.DUMMYFUNCTION("""COMPUTED_VALUE"""),496.01)</f>
        <v>496.01</v>
      </c>
      <c r="E618" s="1">
        <f ca="1">IFERROR(__xludf.DUMMYFUNCTION("""COMPUTED_VALUE"""),506.63)</f>
        <v>506.63</v>
      </c>
      <c r="F618" s="1">
        <f ca="1">IFERROR(__xludf.DUMMYFUNCTION("""COMPUTED_VALUE"""),11266601)</f>
        <v>11266601</v>
      </c>
    </row>
    <row r="619" spans="1:6" ht="12.6">
      <c r="A619" s="2">
        <f ca="1">IFERROR(__xludf.DUMMYFUNCTION("""COMPUTED_VALUE"""),45461.6666666666)</f>
        <v>45461.666666666599</v>
      </c>
      <c r="B619" s="1">
        <f ca="1">IFERROR(__xludf.DUMMYFUNCTION("""COMPUTED_VALUE"""),504.56)</f>
        <v>504.56</v>
      </c>
      <c r="C619" s="1">
        <f ca="1">IFERROR(__xludf.DUMMYFUNCTION("""COMPUTED_VALUE"""),506)</f>
        <v>506</v>
      </c>
      <c r="D619" s="1">
        <f ca="1">IFERROR(__xludf.DUMMYFUNCTION("""COMPUTED_VALUE"""),495.02)</f>
        <v>495.02</v>
      </c>
      <c r="E619" s="1">
        <f ca="1">IFERROR(__xludf.DUMMYFUNCTION("""COMPUTED_VALUE"""),499.49)</f>
        <v>499.49</v>
      </c>
      <c r="F619" s="1">
        <f ca="1">IFERROR(__xludf.DUMMYFUNCTION("""COMPUTED_VALUE"""),13060425)</f>
        <v>13060425</v>
      </c>
    </row>
    <row r="620" spans="1:6" ht="12.6">
      <c r="A620" s="2">
        <f ca="1">IFERROR(__xludf.DUMMYFUNCTION("""COMPUTED_VALUE"""),45463.6666666666)</f>
        <v>45463.666666666599</v>
      </c>
      <c r="B620" s="1">
        <f ca="1">IFERROR(__xludf.DUMMYFUNCTION("""COMPUTED_VALUE"""),502)</f>
        <v>502</v>
      </c>
      <c r="C620" s="1">
        <f ca="1">IFERROR(__xludf.DUMMYFUNCTION("""COMPUTED_VALUE"""),503.67)</f>
        <v>503.67</v>
      </c>
      <c r="D620" s="1">
        <f ca="1">IFERROR(__xludf.DUMMYFUNCTION("""COMPUTED_VALUE"""),496.77)</f>
        <v>496.77</v>
      </c>
      <c r="E620" s="1">
        <f ca="1">IFERROR(__xludf.DUMMYFUNCTION("""COMPUTED_VALUE"""),501.7)</f>
        <v>501.7</v>
      </c>
      <c r="F620" s="1">
        <f ca="1">IFERROR(__xludf.DUMMYFUNCTION("""COMPUTED_VALUE"""),11801182)</f>
        <v>11801182</v>
      </c>
    </row>
    <row r="621" spans="1:6" ht="12.6">
      <c r="A621" s="2">
        <f ca="1">IFERROR(__xludf.DUMMYFUNCTION("""COMPUTED_VALUE"""),45464.6666666666)</f>
        <v>45464.666666666599</v>
      </c>
      <c r="B621" s="1">
        <f ca="1">IFERROR(__xludf.DUMMYFUNCTION("""COMPUTED_VALUE"""),503.45)</f>
        <v>503.45</v>
      </c>
      <c r="C621" s="1">
        <f ca="1">IFERROR(__xludf.DUMMYFUNCTION("""COMPUTED_VALUE"""),503.45)</f>
        <v>503.45</v>
      </c>
      <c r="D621" s="1">
        <f ca="1">IFERROR(__xludf.DUMMYFUNCTION("""COMPUTED_VALUE"""),492.39)</f>
        <v>492.39</v>
      </c>
      <c r="E621" s="1">
        <f ca="1">IFERROR(__xludf.DUMMYFUNCTION("""COMPUTED_VALUE"""),494.78)</f>
        <v>494.78</v>
      </c>
      <c r="F621" s="1">
        <f ca="1">IFERROR(__xludf.DUMMYFUNCTION("""COMPUTED_VALUE"""),23130732)</f>
        <v>23130732</v>
      </c>
    </row>
    <row r="622" spans="1:6" ht="12.6">
      <c r="A622" s="2">
        <f ca="1">IFERROR(__xludf.DUMMYFUNCTION("""COMPUTED_VALUE"""),45467.6666666666)</f>
        <v>45467.666666666599</v>
      </c>
      <c r="B622" s="1">
        <f ca="1">IFERROR(__xludf.DUMMYFUNCTION("""COMPUTED_VALUE"""),499.2)</f>
        <v>499.2</v>
      </c>
      <c r="C622" s="1">
        <f ca="1">IFERROR(__xludf.DUMMYFUNCTION("""COMPUTED_VALUE"""),507.8)</f>
        <v>507.8</v>
      </c>
      <c r="D622" s="1">
        <f ca="1">IFERROR(__xludf.DUMMYFUNCTION("""COMPUTED_VALUE"""),494.29)</f>
        <v>494.29</v>
      </c>
      <c r="E622" s="1">
        <f ca="1">IFERROR(__xludf.DUMMYFUNCTION("""COMPUTED_VALUE"""),498.91)</f>
        <v>498.91</v>
      </c>
      <c r="F622" s="1">
        <f ca="1">IFERROR(__xludf.DUMMYFUNCTION("""COMPUTED_VALUE"""),13525278)</f>
        <v>13525278</v>
      </c>
    </row>
    <row r="623" spans="1:6" ht="12.6">
      <c r="A623" s="2">
        <f ca="1">IFERROR(__xludf.DUMMYFUNCTION("""COMPUTED_VALUE"""),45468.6666666666)</f>
        <v>45468.666666666599</v>
      </c>
      <c r="B623" s="1">
        <f ca="1">IFERROR(__xludf.DUMMYFUNCTION("""COMPUTED_VALUE"""),497.05)</f>
        <v>497.05</v>
      </c>
      <c r="C623" s="1">
        <f ca="1">IFERROR(__xludf.DUMMYFUNCTION("""COMPUTED_VALUE"""),510.71)</f>
        <v>510.71</v>
      </c>
      <c r="D623" s="1">
        <f ca="1">IFERROR(__xludf.DUMMYFUNCTION("""COMPUTED_VALUE"""),495.5)</f>
        <v>495.5</v>
      </c>
      <c r="E623" s="1">
        <f ca="1">IFERROR(__xludf.DUMMYFUNCTION("""COMPUTED_VALUE"""),510.6)</f>
        <v>510.6</v>
      </c>
      <c r="F623" s="1">
        <f ca="1">IFERROR(__xludf.DUMMYFUNCTION("""COMPUTED_VALUE"""),12109769)</f>
        <v>12109769</v>
      </c>
    </row>
    <row r="624" spans="1:6" ht="12.6">
      <c r="A624" s="2">
        <f ca="1">IFERROR(__xludf.DUMMYFUNCTION("""COMPUTED_VALUE"""),45469.6666666666)</f>
        <v>45469.666666666599</v>
      </c>
      <c r="B624" s="1">
        <f ca="1">IFERROR(__xludf.DUMMYFUNCTION("""COMPUTED_VALUE"""),506.65)</f>
        <v>506.65</v>
      </c>
      <c r="C624" s="1">
        <f ca="1">IFERROR(__xludf.DUMMYFUNCTION("""COMPUTED_VALUE"""),513.81)</f>
        <v>513.80999999999995</v>
      </c>
      <c r="D624" s="1">
        <f ca="1">IFERROR(__xludf.DUMMYFUNCTION("""COMPUTED_VALUE"""),504.68)</f>
        <v>504.68</v>
      </c>
      <c r="E624" s="1">
        <f ca="1">IFERROR(__xludf.DUMMYFUNCTION("""COMPUTED_VALUE"""),513.12)</f>
        <v>513.12</v>
      </c>
      <c r="F624" s="1">
        <f ca="1">IFERROR(__xludf.DUMMYFUNCTION("""COMPUTED_VALUE"""),8882337)</f>
        <v>8882337</v>
      </c>
    </row>
    <row r="625" spans="1:6" ht="12.6">
      <c r="A625" s="2">
        <f ca="1">IFERROR(__xludf.DUMMYFUNCTION("""COMPUTED_VALUE"""),45470.6666666666)</f>
        <v>45470.666666666599</v>
      </c>
      <c r="B625" s="1">
        <f ca="1">IFERROR(__xludf.DUMMYFUNCTION("""COMPUTED_VALUE"""),514.25)</f>
        <v>514.25</v>
      </c>
      <c r="C625" s="1">
        <f ca="1">IFERROR(__xludf.DUMMYFUNCTION("""COMPUTED_VALUE"""),522.88)</f>
        <v>522.88</v>
      </c>
      <c r="D625" s="1">
        <f ca="1">IFERROR(__xludf.DUMMYFUNCTION("""COMPUTED_VALUE"""),513.9)</f>
        <v>513.9</v>
      </c>
      <c r="E625" s="1">
        <f ca="1">IFERROR(__xludf.DUMMYFUNCTION("""COMPUTED_VALUE"""),519.56)</f>
        <v>519.55999999999995</v>
      </c>
      <c r="F625" s="1">
        <f ca="1">IFERROR(__xludf.DUMMYFUNCTION("""COMPUTED_VALUE"""),10121199)</f>
        <v>10121199</v>
      </c>
    </row>
    <row r="626" spans="1:6" ht="12.6">
      <c r="A626" s="2">
        <f ca="1">IFERROR(__xludf.DUMMYFUNCTION("""COMPUTED_VALUE"""),45471.6666666666)</f>
        <v>45471.666666666599</v>
      </c>
      <c r="B626" s="1">
        <f ca="1">IFERROR(__xludf.DUMMYFUNCTION("""COMPUTED_VALUE"""),517.15)</f>
        <v>517.15</v>
      </c>
      <c r="C626" s="1">
        <f ca="1">IFERROR(__xludf.DUMMYFUNCTION("""COMPUTED_VALUE"""),521.88)</f>
        <v>521.88</v>
      </c>
      <c r="D626" s="1">
        <f ca="1">IFERROR(__xludf.DUMMYFUNCTION("""COMPUTED_VALUE"""),503.84)</f>
        <v>503.84</v>
      </c>
      <c r="E626" s="1">
        <f ca="1">IFERROR(__xludf.DUMMYFUNCTION("""COMPUTED_VALUE"""),504.22)</f>
        <v>504.22</v>
      </c>
      <c r="F626" s="1">
        <f ca="1">IFERROR(__xludf.DUMMYFUNCTION("""COMPUTED_VALUE"""),15855137)</f>
        <v>15855137</v>
      </c>
    </row>
    <row r="627" spans="1:6" ht="12.6">
      <c r="A627" s="2">
        <f ca="1">IFERROR(__xludf.DUMMYFUNCTION("""COMPUTED_VALUE"""),45474.6666666666)</f>
        <v>45474.666666666599</v>
      </c>
      <c r="B627" s="1">
        <f ca="1">IFERROR(__xludf.DUMMYFUNCTION("""COMPUTED_VALUE"""),504.95)</f>
        <v>504.95</v>
      </c>
      <c r="C627" s="1">
        <f ca="1">IFERROR(__xludf.DUMMYFUNCTION("""COMPUTED_VALUE"""),506.58)</f>
        <v>506.58</v>
      </c>
      <c r="D627" s="1">
        <f ca="1">IFERROR(__xludf.DUMMYFUNCTION("""COMPUTED_VALUE"""),493.17)</f>
        <v>493.17</v>
      </c>
      <c r="E627" s="1">
        <f ca="1">IFERROR(__xludf.DUMMYFUNCTION("""COMPUTED_VALUE"""),504.68)</f>
        <v>504.68</v>
      </c>
      <c r="F627" s="1">
        <f ca="1">IFERROR(__xludf.DUMMYFUNCTION("""COMPUTED_VALUE"""),10328150)</f>
        <v>10328150</v>
      </c>
    </row>
    <row r="628" spans="1:6" ht="12.6">
      <c r="A628" s="2">
        <f ca="1">IFERROR(__xludf.DUMMYFUNCTION("""COMPUTED_VALUE"""),45475.6666666666)</f>
        <v>45475.666666666599</v>
      </c>
      <c r="B628" s="1">
        <f ca="1">IFERROR(__xludf.DUMMYFUNCTION("""COMPUTED_VALUE"""),500.76)</f>
        <v>500.76</v>
      </c>
      <c r="C628" s="1">
        <f ca="1">IFERROR(__xludf.DUMMYFUNCTION("""COMPUTED_VALUE"""),510.5)</f>
        <v>510.5</v>
      </c>
      <c r="D628" s="1">
        <f ca="1">IFERROR(__xludf.DUMMYFUNCTION("""COMPUTED_VALUE"""),499.45)</f>
        <v>499.45</v>
      </c>
      <c r="E628" s="1">
        <f ca="1">IFERROR(__xludf.DUMMYFUNCTION("""COMPUTED_VALUE"""),509.5)</f>
        <v>509.5</v>
      </c>
      <c r="F628" s="1">
        <f ca="1">IFERROR(__xludf.DUMMYFUNCTION("""COMPUTED_VALUE"""),7739479)</f>
        <v>7739479</v>
      </c>
    </row>
    <row r="629" spans="1:6" ht="12.6">
      <c r="A629" s="2">
        <f ca="1">IFERROR(__xludf.DUMMYFUNCTION("""COMPUTED_VALUE"""),45476.5451388888)</f>
        <v>45476.545138888803</v>
      </c>
      <c r="B629" s="1">
        <f ca="1">IFERROR(__xludf.DUMMYFUNCTION("""COMPUTED_VALUE"""),506.37)</f>
        <v>506.37</v>
      </c>
      <c r="C629" s="1">
        <f ca="1">IFERROR(__xludf.DUMMYFUNCTION("""COMPUTED_VALUE"""),511.28)</f>
        <v>511.28</v>
      </c>
      <c r="D629" s="1">
        <f ca="1">IFERROR(__xludf.DUMMYFUNCTION("""COMPUTED_VALUE"""),506.02)</f>
        <v>506.02</v>
      </c>
      <c r="E629" s="1">
        <f ca="1">IFERROR(__xludf.DUMMYFUNCTION("""COMPUTED_VALUE"""),509.96)</f>
        <v>509.96</v>
      </c>
      <c r="F629" s="1">
        <f ca="1">IFERROR(__xludf.DUMMYFUNCTION("""COMPUTED_VALUE"""),6005615)</f>
        <v>6005615</v>
      </c>
    </row>
    <row r="630" spans="1:6" ht="12.6">
      <c r="A630" s="2">
        <f ca="1">IFERROR(__xludf.DUMMYFUNCTION("""COMPUTED_VALUE"""),45478.6666666666)</f>
        <v>45478.666666666599</v>
      </c>
      <c r="B630" s="1">
        <f ca="1">IFERROR(__xludf.DUMMYFUNCTION("""COMPUTED_VALUE"""),511.6)</f>
        <v>511.6</v>
      </c>
      <c r="C630" s="1">
        <f ca="1">IFERROR(__xludf.DUMMYFUNCTION("""COMPUTED_VALUE"""),540.87)</f>
        <v>540.87</v>
      </c>
      <c r="D630" s="1">
        <f ca="1">IFERROR(__xludf.DUMMYFUNCTION("""COMPUTED_VALUE"""),511.6)</f>
        <v>511.6</v>
      </c>
      <c r="E630" s="1">
        <f ca="1">IFERROR(__xludf.DUMMYFUNCTION("""COMPUTED_VALUE"""),539.91)</f>
        <v>539.91</v>
      </c>
      <c r="F630" s="1">
        <f ca="1">IFERROR(__xludf.DUMMYFUNCTION("""COMPUTED_VALUE"""),21354093)</f>
        <v>21354093</v>
      </c>
    </row>
    <row r="631" spans="1:6" ht="12.6">
      <c r="A631" s="2">
        <f ca="1">IFERROR(__xludf.DUMMYFUNCTION("""COMPUTED_VALUE"""),45481.6666666666)</f>
        <v>45481.666666666599</v>
      </c>
      <c r="B631" s="1">
        <f ca="1">IFERROR(__xludf.DUMMYFUNCTION("""COMPUTED_VALUE"""),542.35)</f>
        <v>542.35</v>
      </c>
      <c r="C631" s="1">
        <f ca="1">IFERROR(__xludf.DUMMYFUNCTION("""COMPUTED_VALUE"""),542.81)</f>
        <v>542.80999999999995</v>
      </c>
      <c r="D631" s="1">
        <f ca="1">IFERROR(__xludf.DUMMYFUNCTION("""COMPUTED_VALUE"""),526.65)</f>
        <v>526.65</v>
      </c>
      <c r="E631" s="1">
        <f ca="1">IFERROR(__xludf.DUMMYFUNCTION("""COMPUTED_VALUE"""),529.32)</f>
        <v>529.32000000000005</v>
      </c>
      <c r="F631" s="1">
        <f ca="1">IFERROR(__xludf.DUMMYFUNCTION("""COMPUTED_VALUE"""),14917495)</f>
        <v>14917495</v>
      </c>
    </row>
    <row r="632" spans="1:6" ht="12.6">
      <c r="A632" s="2">
        <f ca="1">IFERROR(__xludf.DUMMYFUNCTION("""COMPUTED_VALUE"""),45482.6666666666)</f>
        <v>45482.666666666599</v>
      </c>
      <c r="B632" s="1">
        <f ca="1">IFERROR(__xludf.DUMMYFUNCTION("""COMPUTED_VALUE"""),533.75)</f>
        <v>533.75</v>
      </c>
      <c r="C632" s="1">
        <f ca="1">IFERROR(__xludf.DUMMYFUNCTION("""COMPUTED_VALUE"""),537.48)</f>
        <v>537.48</v>
      </c>
      <c r="D632" s="1">
        <f ca="1">IFERROR(__xludf.DUMMYFUNCTION("""COMPUTED_VALUE"""),528.19)</f>
        <v>528.19000000000005</v>
      </c>
      <c r="E632" s="1">
        <f ca="1">IFERROR(__xludf.DUMMYFUNCTION("""COMPUTED_VALUE"""),530)</f>
        <v>530</v>
      </c>
      <c r="F632" s="1">
        <f ca="1">IFERROR(__xludf.DUMMYFUNCTION("""COMPUTED_VALUE"""),8769088)</f>
        <v>8769088</v>
      </c>
    </row>
    <row r="633" spans="1:6" ht="12.6">
      <c r="A633" s="2">
        <f ca="1">IFERROR(__xludf.DUMMYFUNCTION("""COMPUTED_VALUE"""),45483.6666666666)</f>
        <v>45483.666666666599</v>
      </c>
      <c r="B633" s="1">
        <f ca="1">IFERROR(__xludf.DUMMYFUNCTION("""COMPUTED_VALUE"""),530.79)</f>
        <v>530.79</v>
      </c>
      <c r="C633" s="1">
        <f ca="1">IFERROR(__xludf.DUMMYFUNCTION("""COMPUTED_VALUE"""),538.88)</f>
        <v>538.88</v>
      </c>
      <c r="D633" s="1">
        <f ca="1">IFERROR(__xludf.DUMMYFUNCTION("""COMPUTED_VALUE"""),528.36)</f>
        <v>528.36</v>
      </c>
      <c r="E633" s="1">
        <f ca="1">IFERROR(__xludf.DUMMYFUNCTION("""COMPUTED_VALUE"""),534.69)</f>
        <v>534.69000000000005</v>
      </c>
      <c r="F633" s="1">
        <f ca="1">IFERROR(__xludf.DUMMYFUNCTION("""COMPUTED_VALUE"""),10983276)</f>
        <v>10983276</v>
      </c>
    </row>
    <row r="634" spans="1:6" ht="12.6">
      <c r="A634" s="2">
        <f ca="1">IFERROR(__xludf.DUMMYFUNCTION("""COMPUTED_VALUE"""),45484.6666666666)</f>
        <v>45484.666666666599</v>
      </c>
      <c r="B634" s="1">
        <f ca="1">IFERROR(__xludf.DUMMYFUNCTION("""COMPUTED_VALUE"""),530.89)</f>
        <v>530.89</v>
      </c>
      <c r="C634" s="1">
        <f ca="1">IFERROR(__xludf.DUMMYFUNCTION("""COMPUTED_VALUE"""),535.46)</f>
        <v>535.46</v>
      </c>
      <c r="D634" s="1">
        <f ca="1">IFERROR(__xludf.DUMMYFUNCTION("""COMPUTED_VALUE"""),508.37)</f>
        <v>508.37</v>
      </c>
      <c r="E634" s="1">
        <f ca="1">IFERROR(__xludf.DUMMYFUNCTION("""COMPUTED_VALUE"""),512.7)</f>
        <v>512.70000000000005</v>
      </c>
      <c r="F634" s="1">
        <f ca="1">IFERROR(__xludf.DUMMYFUNCTION("""COMPUTED_VALUE"""),16458253)</f>
        <v>16458253</v>
      </c>
    </row>
    <row r="635" spans="1:6" ht="12.6">
      <c r="A635" s="2">
        <f ca="1">IFERROR(__xludf.DUMMYFUNCTION("""COMPUTED_VALUE"""),45485.6666666666)</f>
        <v>45485.666666666599</v>
      </c>
      <c r="B635" s="1">
        <f ca="1">IFERROR(__xludf.DUMMYFUNCTION("""COMPUTED_VALUE"""),497.76)</f>
        <v>497.76</v>
      </c>
      <c r="C635" s="1">
        <f ca="1">IFERROR(__xludf.DUMMYFUNCTION("""COMPUTED_VALUE"""),508.09)</f>
        <v>508.09</v>
      </c>
      <c r="D635" s="1">
        <f ca="1">IFERROR(__xludf.DUMMYFUNCTION("""COMPUTED_VALUE"""),494.23)</f>
        <v>494.23</v>
      </c>
      <c r="E635" s="1">
        <f ca="1">IFERROR(__xludf.DUMMYFUNCTION("""COMPUTED_VALUE"""),498.87)</f>
        <v>498.87</v>
      </c>
      <c r="F635" s="1">
        <f ca="1">IFERROR(__xludf.DUMMYFUNCTION("""COMPUTED_VALUE"""),19750544)</f>
        <v>19750544</v>
      </c>
    </row>
    <row r="636" spans="1:6" ht="12.6">
      <c r="A636" s="2">
        <f ca="1">IFERROR(__xludf.DUMMYFUNCTION("""COMPUTED_VALUE"""),45488.6666666666)</f>
        <v>45488.666666666599</v>
      </c>
      <c r="B636" s="1">
        <f ca="1">IFERROR(__xludf.DUMMYFUNCTION("""COMPUTED_VALUE"""),498.63)</f>
        <v>498.63</v>
      </c>
      <c r="C636" s="1">
        <f ca="1">IFERROR(__xludf.DUMMYFUNCTION("""COMPUTED_VALUE"""),506.68)</f>
        <v>506.68</v>
      </c>
      <c r="D636" s="1">
        <f ca="1">IFERROR(__xludf.DUMMYFUNCTION("""COMPUTED_VALUE"""),493.37)</f>
        <v>493.37</v>
      </c>
      <c r="E636" s="1">
        <f ca="1">IFERROR(__xludf.DUMMYFUNCTION("""COMPUTED_VALUE"""),496.16)</f>
        <v>496.16</v>
      </c>
      <c r="F636" s="1">
        <f ca="1">IFERROR(__xludf.DUMMYFUNCTION("""COMPUTED_VALUE"""),12539163)</f>
        <v>12539163</v>
      </c>
    </row>
    <row r="637" spans="1:6" ht="12.6">
      <c r="A637" s="2">
        <f ca="1">IFERROR(__xludf.DUMMYFUNCTION("""COMPUTED_VALUE"""),45489.6666666666)</f>
        <v>45489.666666666599</v>
      </c>
      <c r="B637" s="1">
        <f ca="1">IFERROR(__xludf.DUMMYFUNCTION("""COMPUTED_VALUE"""),501.5)</f>
        <v>501.5</v>
      </c>
      <c r="C637" s="1">
        <f ca="1">IFERROR(__xludf.DUMMYFUNCTION("""COMPUTED_VALUE"""),503.95)</f>
        <v>503.95</v>
      </c>
      <c r="D637" s="1">
        <f ca="1">IFERROR(__xludf.DUMMYFUNCTION("""COMPUTED_VALUE"""),485.79)</f>
        <v>485.79</v>
      </c>
      <c r="E637" s="1">
        <f ca="1">IFERROR(__xludf.DUMMYFUNCTION("""COMPUTED_VALUE"""),489.79)</f>
        <v>489.79</v>
      </c>
      <c r="F637" s="1">
        <f ca="1">IFERROR(__xludf.DUMMYFUNCTION("""COMPUTED_VALUE"""),14075833)</f>
        <v>14075833</v>
      </c>
    </row>
    <row r="638" spans="1:6" ht="12.6">
      <c r="A638" s="2">
        <f ca="1">IFERROR(__xludf.DUMMYFUNCTION("""COMPUTED_VALUE"""),45490.6666666666)</f>
        <v>45490.666666666599</v>
      </c>
      <c r="B638" s="1">
        <f ca="1">IFERROR(__xludf.DUMMYFUNCTION("""COMPUTED_VALUE"""),479.17)</f>
        <v>479.17</v>
      </c>
      <c r="C638" s="1">
        <f ca="1">IFERROR(__xludf.DUMMYFUNCTION("""COMPUTED_VALUE"""),479.17)</f>
        <v>479.17</v>
      </c>
      <c r="D638" s="1">
        <f ca="1">IFERROR(__xludf.DUMMYFUNCTION("""COMPUTED_VALUE"""),459.12)</f>
        <v>459.12</v>
      </c>
      <c r="E638" s="1">
        <f ca="1">IFERROR(__xludf.DUMMYFUNCTION("""COMPUTED_VALUE"""),461.99)</f>
        <v>461.99</v>
      </c>
      <c r="F638" s="1">
        <f ca="1">IFERROR(__xludf.DUMMYFUNCTION("""COMPUTED_VALUE"""),28076595)</f>
        <v>28076595</v>
      </c>
    </row>
    <row r="639" spans="1:6" ht="12.6">
      <c r="A639" s="2">
        <f ca="1">IFERROR(__xludf.DUMMYFUNCTION("""COMPUTED_VALUE"""),45491.6666666666)</f>
        <v>45491.666666666599</v>
      </c>
      <c r="B639" s="1">
        <f ca="1">IFERROR(__xludf.DUMMYFUNCTION("""COMPUTED_VALUE"""),475)</f>
        <v>475</v>
      </c>
      <c r="C639" s="1">
        <f ca="1">IFERROR(__xludf.DUMMYFUNCTION("""COMPUTED_VALUE"""),479.24)</f>
        <v>479.24</v>
      </c>
      <c r="D639" s="1">
        <f ca="1">IFERROR(__xludf.DUMMYFUNCTION("""COMPUTED_VALUE"""),464.54)</f>
        <v>464.54</v>
      </c>
      <c r="E639" s="1">
        <f ca="1">IFERROR(__xludf.DUMMYFUNCTION("""COMPUTED_VALUE"""),475.85)</f>
        <v>475.85</v>
      </c>
      <c r="F639" s="1">
        <f ca="1">IFERROR(__xludf.DUMMYFUNCTION("""COMPUTED_VALUE"""),19267160)</f>
        <v>19267160</v>
      </c>
    </row>
    <row r="640" spans="1:6" ht="12.6">
      <c r="A640" s="2">
        <f ca="1">IFERROR(__xludf.DUMMYFUNCTION("""COMPUTED_VALUE"""),45492.6666666666)</f>
        <v>45492.666666666599</v>
      </c>
      <c r="B640" s="1">
        <f ca="1">IFERROR(__xludf.DUMMYFUNCTION("""COMPUTED_VALUE"""),476.06)</f>
        <v>476.06</v>
      </c>
      <c r="C640" s="1">
        <f ca="1">IFERROR(__xludf.DUMMYFUNCTION("""COMPUTED_VALUE"""),486.71)</f>
        <v>486.71</v>
      </c>
      <c r="D640" s="1">
        <f ca="1">IFERROR(__xludf.DUMMYFUNCTION("""COMPUTED_VALUE"""),475.71)</f>
        <v>475.71</v>
      </c>
      <c r="E640" s="1">
        <f ca="1">IFERROR(__xludf.DUMMYFUNCTION("""COMPUTED_VALUE"""),476.79)</f>
        <v>476.79</v>
      </c>
      <c r="F640" s="1">
        <f ca="1">IFERROR(__xludf.DUMMYFUNCTION("""COMPUTED_VALUE"""),15149416)</f>
        <v>15149416</v>
      </c>
    </row>
    <row r="641" spans="1:6" ht="12.6">
      <c r="A641" s="2">
        <f ca="1">IFERROR(__xludf.DUMMYFUNCTION("""COMPUTED_VALUE"""),45495.6666666666)</f>
        <v>45495.666666666599</v>
      </c>
      <c r="B641" s="1">
        <f ca="1">IFERROR(__xludf.DUMMYFUNCTION("""COMPUTED_VALUE"""),486.58)</f>
        <v>486.58</v>
      </c>
      <c r="C641" s="1">
        <f ca="1">IFERROR(__xludf.DUMMYFUNCTION("""COMPUTED_VALUE"""),492.06)</f>
        <v>492.06</v>
      </c>
      <c r="D641" s="1">
        <f ca="1">IFERROR(__xludf.DUMMYFUNCTION("""COMPUTED_VALUE"""),483.9)</f>
        <v>483.9</v>
      </c>
      <c r="E641" s="1">
        <f ca="1">IFERROR(__xludf.DUMMYFUNCTION("""COMPUTED_VALUE"""),487.4)</f>
        <v>487.4</v>
      </c>
      <c r="F641" s="1">
        <f ca="1">IFERROR(__xludf.DUMMYFUNCTION("""COMPUTED_VALUE"""),12023088)</f>
        <v>12023088</v>
      </c>
    </row>
    <row r="642" spans="1:6" ht="12.6">
      <c r="A642" s="2">
        <f ca="1">IFERROR(__xludf.DUMMYFUNCTION("""COMPUTED_VALUE"""),45496.6666666666)</f>
        <v>45496.666666666599</v>
      </c>
      <c r="B642" s="1">
        <f ca="1">IFERROR(__xludf.DUMMYFUNCTION("""COMPUTED_VALUE"""),489.84)</f>
        <v>489.84</v>
      </c>
      <c r="C642" s="1">
        <f ca="1">IFERROR(__xludf.DUMMYFUNCTION("""COMPUTED_VALUE"""),495.22)</f>
        <v>495.22</v>
      </c>
      <c r="D642" s="1">
        <f ca="1">IFERROR(__xludf.DUMMYFUNCTION("""COMPUTED_VALUE"""),487.72)</f>
        <v>487.72</v>
      </c>
      <c r="E642" s="1">
        <f ca="1">IFERROR(__xludf.DUMMYFUNCTION("""COMPUTED_VALUE"""),488.69)</f>
        <v>488.69</v>
      </c>
      <c r="F642" s="1">
        <f ca="1">IFERROR(__xludf.DUMMYFUNCTION("""COMPUTED_VALUE"""),9455527)</f>
        <v>9455527</v>
      </c>
    </row>
    <row r="643" spans="1:6" ht="12.6">
      <c r="A643" s="2">
        <f ca="1">IFERROR(__xludf.DUMMYFUNCTION("""COMPUTED_VALUE"""),45497.6666666666)</f>
        <v>45497.666666666599</v>
      </c>
      <c r="B643" s="1">
        <f ca="1">IFERROR(__xludf.DUMMYFUNCTION("""COMPUTED_VALUE"""),472.31)</f>
        <v>472.31</v>
      </c>
      <c r="C643" s="1">
        <f ca="1">IFERROR(__xludf.DUMMYFUNCTION("""COMPUTED_VALUE"""),476.3)</f>
        <v>476.3</v>
      </c>
      <c r="D643" s="1">
        <f ca="1">IFERROR(__xludf.DUMMYFUNCTION("""COMPUTED_VALUE"""),460.58)</f>
        <v>460.58</v>
      </c>
      <c r="E643" s="1">
        <f ca="1">IFERROR(__xludf.DUMMYFUNCTION("""COMPUTED_VALUE"""),461.27)</f>
        <v>461.27</v>
      </c>
      <c r="F643" s="1">
        <f ca="1">IFERROR(__xludf.DUMMYFUNCTION("""COMPUTED_VALUE"""),17649738)</f>
        <v>17649738</v>
      </c>
    </row>
    <row r="644" spans="1:6" ht="12.6">
      <c r="A644" s="2">
        <f ca="1">IFERROR(__xludf.DUMMYFUNCTION("""COMPUTED_VALUE"""),45498.6666666666)</f>
        <v>45498.666666666599</v>
      </c>
      <c r="B644" s="1">
        <f ca="1">IFERROR(__xludf.DUMMYFUNCTION("""COMPUTED_VALUE"""),463.26)</f>
        <v>463.26</v>
      </c>
      <c r="C644" s="1">
        <f ca="1">IFERROR(__xludf.DUMMYFUNCTION("""COMPUTED_VALUE"""),463.55)</f>
        <v>463.55</v>
      </c>
      <c r="D644" s="1">
        <f ca="1">IFERROR(__xludf.DUMMYFUNCTION("""COMPUTED_VALUE"""),442.65)</f>
        <v>442.65</v>
      </c>
      <c r="E644" s="1">
        <f ca="1">IFERROR(__xludf.DUMMYFUNCTION("""COMPUTED_VALUE"""),453.41)</f>
        <v>453.41</v>
      </c>
      <c r="F644" s="1">
        <f ca="1">IFERROR(__xludf.DUMMYFUNCTION("""COMPUTED_VALUE"""),18240489)</f>
        <v>18240489</v>
      </c>
    </row>
    <row r="645" spans="1:6" ht="12.6">
      <c r="A645" s="2">
        <f ca="1">IFERROR(__xludf.DUMMYFUNCTION("""COMPUTED_VALUE"""),45499.6666666666)</f>
        <v>45499.666666666599</v>
      </c>
      <c r="B645" s="1">
        <f ca="1">IFERROR(__xludf.DUMMYFUNCTION("""COMPUTED_VALUE"""),464.2)</f>
        <v>464.2</v>
      </c>
      <c r="C645" s="1">
        <f ca="1">IFERROR(__xludf.DUMMYFUNCTION("""COMPUTED_VALUE"""),469.77)</f>
        <v>469.77</v>
      </c>
      <c r="D645" s="1">
        <f ca="1">IFERROR(__xludf.DUMMYFUNCTION("""COMPUTED_VALUE"""),459.42)</f>
        <v>459.42</v>
      </c>
      <c r="E645" s="1">
        <f ca="1">IFERROR(__xludf.DUMMYFUNCTION("""COMPUTED_VALUE"""),465.7)</f>
        <v>465.7</v>
      </c>
      <c r="F645" s="1">
        <f ca="1">IFERROR(__xludf.DUMMYFUNCTION("""COMPUTED_VALUE"""),14222388)</f>
        <v>14222388</v>
      </c>
    </row>
    <row r="646" spans="1:6" ht="12.6">
      <c r="A646" s="2">
        <f ca="1">IFERROR(__xludf.DUMMYFUNCTION("""COMPUTED_VALUE"""),45502.6666666666)</f>
        <v>45502.666666666599</v>
      </c>
      <c r="B646" s="1">
        <f ca="1">IFERROR(__xludf.DUMMYFUNCTION("""COMPUTED_VALUE"""),469.88)</f>
        <v>469.88</v>
      </c>
      <c r="C646" s="1">
        <f ca="1">IFERROR(__xludf.DUMMYFUNCTION("""COMPUTED_VALUE"""),473.96)</f>
        <v>473.96</v>
      </c>
      <c r="D646" s="1">
        <f ca="1">IFERROR(__xludf.DUMMYFUNCTION("""COMPUTED_VALUE"""),465.02)</f>
        <v>465.02</v>
      </c>
      <c r="E646" s="1">
        <f ca="1">IFERROR(__xludf.DUMMYFUNCTION("""COMPUTED_VALUE"""),465.71)</f>
        <v>465.71</v>
      </c>
      <c r="F646" s="1">
        <f ca="1">IFERROR(__xludf.DUMMYFUNCTION("""COMPUTED_VALUE"""),11339630)</f>
        <v>11339630</v>
      </c>
    </row>
    <row r="647" spans="1:6" ht="12.6">
      <c r="A647" s="2">
        <f ca="1">IFERROR(__xludf.DUMMYFUNCTION("""COMPUTED_VALUE"""),45503.6666666666)</f>
        <v>45503.666666666599</v>
      </c>
      <c r="B647" s="1">
        <f ca="1">IFERROR(__xludf.DUMMYFUNCTION("""COMPUTED_VALUE"""),467)</f>
        <v>467</v>
      </c>
      <c r="C647" s="1">
        <f ca="1">IFERROR(__xludf.DUMMYFUNCTION("""COMPUTED_VALUE"""),472.73)</f>
        <v>472.73</v>
      </c>
      <c r="D647" s="1">
        <f ca="1">IFERROR(__xludf.DUMMYFUNCTION("""COMPUTED_VALUE"""),456.7)</f>
        <v>456.7</v>
      </c>
      <c r="E647" s="1">
        <f ca="1">IFERROR(__xludf.DUMMYFUNCTION("""COMPUTED_VALUE"""),463.19)</f>
        <v>463.19</v>
      </c>
      <c r="F647" s="1">
        <f ca="1">IFERROR(__xludf.DUMMYFUNCTION("""COMPUTED_VALUE"""),11390439)</f>
        <v>11390439</v>
      </c>
    </row>
    <row r="648" spans="1:6" ht="12.6">
      <c r="A648" s="2">
        <f ca="1">IFERROR(__xludf.DUMMYFUNCTION("""COMPUTED_VALUE"""),45504.6666666666)</f>
        <v>45504.666666666599</v>
      </c>
      <c r="B648" s="1">
        <f ca="1">IFERROR(__xludf.DUMMYFUNCTION("""COMPUTED_VALUE"""),471.02)</f>
        <v>471.02</v>
      </c>
      <c r="C648" s="1">
        <f ca="1">IFERROR(__xludf.DUMMYFUNCTION("""COMPUTED_VALUE"""),476.5)</f>
        <v>476.5</v>
      </c>
      <c r="D648" s="1">
        <f ca="1">IFERROR(__xludf.DUMMYFUNCTION("""COMPUTED_VALUE"""),466.75)</f>
        <v>466.75</v>
      </c>
      <c r="E648" s="1">
        <f ca="1">IFERROR(__xludf.DUMMYFUNCTION("""COMPUTED_VALUE"""),474.83)</f>
        <v>474.83</v>
      </c>
      <c r="F648" s="1">
        <f ca="1">IFERROR(__xludf.DUMMYFUNCTION("""COMPUTED_VALUE"""),24285777)</f>
        <v>24285777</v>
      </c>
    </row>
    <row r="649" spans="1:6" ht="12.6">
      <c r="A649" s="2">
        <f ca="1">IFERROR(__xludf.DUMMYFUNCTION("""COMPUTED_VALUE"""),45505.6666666666)</f>
        <v>45505.666666666599</v>
      </c>
      <c r="B649" s="1">
        <f ca="1">IFERROR(__xludf.DUMMYFUNCTION("""COMPUTED_VALUE"""),521)</f>
        <v>521</v>
      </c>
      <c r="C649" s="1">
        <f ca="1">IFERROR(__xludf.DUMMYFUNCTION("""COMPUTED_VALUE"""),527.17)</f>
        <v>527.16999999999996</v>
      </c>
      <c r="D649" s="1">
        <f ca="1">IFERROR(__xludf.DUMMYFUNCTION("""COMPUTED_VALUE"""),492.1)</f>
        <v>492.1</v>
      </c>
      <c r="E649" s="1">
        <f ca="1">IFERROR(__xludf.DUMMYFUNCTION("""COMPUTED_VALUE"""),497.74)</f>
        <v>497.74</v>
      </c>
      <c r="F649" s="1">
        <f ca="1">IFERROR(__xludf.DUMMYFUNCTION("""COMPUTED_VALUE"""),43083082)</f>
        <v>43083082</v>
      </c>
    </row>
    <row r="650" spans="1:6" ht="12.6">
      <c r="A650" s="2">
        <f ca="1">IFERROR(__xludf.DUMMYFUNCTION("""COMPUTED_VALUE"""),45506.6666666666)</f>
        <v>45506.666666666599</v>
      </c>
      <c r="B650" s="1">
        <f ca="1">IFERROR(__xludf.DUMMYFUNCTION("""COMPUTED_VALUE"""),489)</f>
        <v>489</v>
      </c>
      <c r="C650" s="1">
        <f ca="1">IFERROR(__xludf.DUMMYFUNCTION("""COMPUTED_VALUE"""),501.15)</f>
        <v>501.15</v>
      </c>
      <c r="D650" s="1">
        <f ca="1">IFERROR(__xludf.DUMMYFUNCTION("""COMPUTED_VALUE"""),476.15)</f>
        <v>476.15</v>
      </c>
      <c r="E650" s="1">
        <f ca="1">IFERROR(__xludf.DUMMYFUNCTION("""COMPUTED_VALUE"""),488.14)</f>
        <v>488.14</v>
      </c>
      <c r="F650" s="1">
        <f ca="1">IFERROR(__xludf.DUMMYFUNCTION("""COMPUTED_VALUE"""),24044658)</f>
        <v>24044658</v>
      </c>
    </row>
    <row r="651" spans="1:6" ht="12.6">
      <c r="A651" s="2">
        <f ca="1">IFERROR(__xludf.DUMMYFUNCTION("""COMPUTED_VALUE"""),45509.6666666666)</f>
        <v>45509.666666666599</v>
      </c>
      <c r="B651" s="1">
        <f ca="1">IFERROR(__xludf.DUMMYFUNCTION("""COMPUTED_VALUE"""),451.35)</f>
        <v>451.35</v>
      </c>
      <c r="C651" s="1">
        <f ca="1">IFERROR(__xludf.DUMMYFUNCTION("""COMPUTED_VALUE"""),483.48)</f>
        <v>483.48</v>
      </c>
      <c r="D651" s="1">
        <f ca="1">IFERROR(__xludf.DUMMYFUNCTION("""COMPUTED_VALUE"""),450.8)</f>
        <v>450.8</v>
      </c>
      <c r="E651" s="1">
        <f ca="1">IFERROR(__xludf.DUMMYFUNCTION("""COMPUTED_VALUE"""),475.73)</f>
        <v>475.73</v>
      </c>
      <c r="F651" s="1">
        <f ca="1">IFERROR(__xludf.DUMMYFUNCTION("""COMPUTED_VALUE"""),21396191)</f>
        <v>21396191</v>
      </c>
    </row>
    <row r="652" spans="1:6" ht="12.6">
      <c r="A652" s="2">
        <f ca="1">IFERROR(__xludf.DUMMYFUNCTION("""COMPUTED_VALUE"""),45510.6666666666)</f>
        <v>45510.666666666599</v>
      </c>
      <c r="B652" s="1">
        <f ca="1">IFERROR(__xludf.DUMMYFUNCTION("""COMPUTED_VALUE"""),479)</f>
        <v>479</v>
      </c>
      <c r="C652" s="1">
        <f ca="1">IFERROR(__xludf.DUMMYFUNCTION("""COMPUTED_VALUE"""),502.56)</f>
        <v>502.56</v>
      </c>
      <c r="D652" s="1">
        <f ca="1">IFERROR(__xludf.DUMMYFUNCTION("""COMPUTED_VALUE"""),478.65)</f>
        <v>478.65</v>
      </c>
      <c r="E652" s="1">
        <f ca="1">IFERROR(__xludf.DUMMYFUNCTION("""COMPUTED_VALUE"""),494.09)</f>
        <v>494.09</v>
      </c>
      <c r="F652" s="1">
        <f ca="1">IFERROR(__xludf.DUMMYFUNCTION("""COMPUTED_VALUE"""),20954959)</f>
        <v>20954959</v>
      </c>
    </row>
    <row r="653" spans="1:6" ht="12.6">
      <c r="A653" s="2">
        <f ca="1">IFERROR(__xludf.DUMMYFUNCTION("""COMPUTED_VALUE"""),45511.6666666666)</f>
        <v>45511.666666666599</v>
      </c>
      <c r="B653" s="1">
        <f ca="1">IFERROR(__xludf.DUMMYFUNCTION("""COMPUTED_VALUE"""),503.13)</f>
        <v>503.13</v>
      </c>
      <c r="C653" s="1">
        <f ca="1">IFERROR(__xludf.DUMMYFUNCTION("""COMPUTED_VALUE"""),510.15)</f>
        <v>510.15</v>
      </c>
      <c r="D653" s="1">
        <f ca="1">IFERROR(__xludf.DUMMYFUNCTION("""COMPUTED_VALUE"""),486.86)</f>
        <v>486.86</v>
      </c>
      <c r="E653" s="1">
        <f ca="1">IFERROR(__xludf.DUMMYFUNCTION("""COMPUTED_VALUE"""),488.92)</f>
        <v>488.92</v>
      </c>
      <c r="F653" s="1">
        <f ca="1">IFERROR(__xludf.DUMMYFUNCTION("""COMPUTED_VALUE"""),20105307)</f>
        <v>20105307</v>
      </c>
    </row>
    <row r="654" spans="1:6" ht="12.6">
      <c r="A654" s="2">
        <f ca="1">IFERROR(__xludf.DUMMYFUNCTION("""COMPUTED_VALUE"""),45512.6666666666)</f>
        <v>45512.666666666599</v>
      </c>
      <c r="B654" s="1">
        <f ca="1">IFERROR(__xludf.DUMMYFUNCTION("""COMPUTED_VALUE"""),497.5)</f>
        <v>497.5</v>
      </c>
      <c r="C654" s="1">
        <f ca="1">IFERROR(__xludf.DUMMYFUNCTION("""COMPUTED_VALUE"""),509.96)</f>
        <v>509.96</v>
      </c>
      <c r="D654" s="1">
        <f ca="1">IFERROR(__xludf.DUMMYFUNCTION("""COMPUTED_VALUE"""),494.72)</f>
        <v>494.72</v>
      </c>
      <c r="E654" s="1">
        <f ca="1">IFERROR(__xludf.DUMMYFUNCTION("""COMPUTED_VALUE"""),509.63)</f>
        <v>509.63</v>
      </c>
      <c r="F654" s="1">
        <f ca="1">IFERROR(__xludf.DUMMYFUNCTION("""COMPUTED_VALUE"""),16156843)</f>
        <v>16156843</v>
      </c>
    </row>
    <row r="655" spans="1:6" ht="12.6">
      <c r="A655" s="2">
        <f ca="1">IFERROR(__xludf.DUMMYFUNCTION("""COMPUTED_VALUE"""),45513.6666666666)</f>
        <v>45513.666666666599</v>
      </c>
      <c r="B655" s="1">
        <f ca="1">IFERROR(__xludf.DUMMYFUNCTION("""COMPUTED_VALUE"""),507.71)</f>
        <v>507.71</v>
      </c>
      <c r="C655" s="1">
        <f ca="1">IFERROR(__xludf.DUMMYFUNCTION("""COMPUTED_VALUE"""),518.34)</f>
        <v>518.34</v>
      </c>
      <c r="D655" s="1">
        <f ca="1">IFERROR(__xludf.DUMMYFUNCTION("""COMPUTED_VALUE"""),505.7)</f>
        <v>505.7</v>
      </c>
      <c r="E655" s="1">
        <f ca="1">IFERROR(__xludf.DUMMYFUNCTION("""COMPUTED_VALUE"""),517.77)</f>
        <v>517.77</v>
      </c>
      <c r="F655" s="1">
        <f ca="1">IFERROR(__xludf.DUMMYFUNCTION("""COMPUTED_VALUE"""),13696640)</f>
        <v>13696640</v>
      </c>
    </row>
    <row r="656" spans="1:6" ht="12.6">
      <c r="A656" s="2">
        <f ca="1">IFERROR(__xludf.DUMMYFUNCTION("""COMPUTED_VALUE"""),45516.6666666666)</f>
        <v>45516.666666666599</v>
      </c>
      <c r="B656" s="1">
        <f ca="1">IFERROR(__xludf.DUMMYFUNCTION("""COMPUTED_VALUE"""),516.86)</f>
        <v>516.86</v>
      </c>
      <c r="C656" s="1">
        <f ca="1">IFERROR(__xludf.DUMMYFUNCTION("""COMPUTED_VALUE"""),518.02)</f>
        <v>518.02</v>
      </c>
      <c r="D656" s="1">
        <f ca="1">IFERROR(__xludf.DUMMYFUNCTION("""COMPUTED_VALUE"""),509.1)</f>
        <v>509.1</v>
      </c>
      <c r="E656" s="1">
        <f ca="1">IFERROR(__xludf.DUMMYFUNCTION("""COMPUTED_VALUE"""),515.95)</f>
        <v>515.95000000000005</v>
      </c>
      <c r="F656" s="1">
        <f ca="1">IFERROR(__xludf.DUMMYFUNCTION("""COMPUTED_VALUE"""),9767422)</f>
        <v>9767422</v>
      </c>
    </row>
    <row r="657" spans="1:6" ht="12.6">
      <c r="A657" s="2">
        <f ca="1">IFERROR(__xludf.DUMMYFUNCTION("""COMPUTED_VALUE"""),45517.6666666666)</f>
        <v>45517.666666666599</v>
      </c>
      <c r="B657" s="1">
        <f ca="1">IFERROR(__xludf.DUMMYFUNCTION("""COMPUTED_VALUE"""),520.01)</f>
        <v>520.01</v>
      </c>
      <c r="C657" s="1">
        <f ca="1">IFERROR(__xludf.DUMMYFUNCTION("""COMPUTED_VALUE"""),531.5)</f>
        <v>531.5</v>
      </c>
      <c r="D657" s="1">
        <f ca="1">IFERROR(__xludf.DUMMYFUNCTION("""COMPUTED_VALUE"""),518.15)</f>
        <v>518.15</v>
      </c>
      <c r="E657" s="1">
        <f ca="1">IFERROR(__xludf.DUMMYFUNCTION("""COMPUTED_VALUE"""),528.54)</f>
        <v>528.54</v>
      </c>
      <c r="F657" s="1">
        <f ca="1">IFERROR(__xludf.DUMMYFUNCTION("""COMPUTED_VALUE"""),13743839)</f>
        <v>13743839</v>
      </c>
    </row>
    <row r="658" spans="1:6" ht="12.6">
      <c r="A658" s="2">
        <f ca="1">IFERROR(__xludf.DUMMYFUNCTION("""COMPUTED_VALUE"""),45518.6666666666)</f>
        <v>45518.666666666599</v>
      </c>
      <c r="B658" s="1">
        <f ca="1">IFERROR(__xludf.DUMMYFUNCTION("""COMPUTED_VALUE"""),528.06)</f>
        <v>528.05999999999995</v>
      </c>
      <c r="C658" s="1">
        <f ca="1">IFERROR(__xludf.DUMMYFUNCTION("""COMPUTED_VALUE"""),534)</f>
        <v>534</v>
      </c>
      <c r="D658" s="1">
        <f ca="1">IFERROR(__xludf.DUMMYFUNCTION("""COMPUTED_VALUE"""),523.13)</f>
        <v>523.13</v>
      </c>
      <c r="E658" s="1">
        <f ca="1">IFERROR(__xludf.DUMMYFUNCTION("""COMPUTED_VALUE"""),526.76)</f>
        <v>526.76</v>
      </c>
      <c r="F658" s="1">
        <f ca="1">IFERROR(__xludf.DUMMYFUNCTION("""COMPUTED_VALUE"""),11444189)</f>
        <v>11444189</v>
      </c>
    </row>
    <row r="659" spans="1:6" ht="12.6">
      <c r="A659" s="2">
        <f ca="1">IFERROR(__xludf.DUMMYFUNCTION("""COMPUTED_VALUE"""),45519.6666666666)</f>
        <v>45519.666666666599</v>
      </c>
      <c r="B659" s="1">
        <f ca="1">IFERROR(__xludf.DUMMYFUNCTION("""COMPUTED_VALUE"""),531.79)</f>
        <v>531.79</v>
      </c>
      <c r="C659" s="1">
        <f ca="1">IFERROR(__xludf.DUMMYFUNCTION("""COMPUTED_VALUE"""),539.77)</f>
        <v>539.77</v>
      </c>
      <c r="D659" s="1">
        <f ca="1">IFERROR(__xludf.DUMMYFUNCTION("""COMPUTED_VALUE"""),526.7)</f>
        <v>526.70000000000005</v>
      </c>
      <c r="E659" s="1">
        <f ca="1">IFERROR(__xludf.DUMMYFUNCTION("""COMPUTED_VALUE"""),537.33)</f>
        <v>537.33000000000004</v>
      </c>
      <c r="F659" s="1">
        <f ca="1">IFERROR(__xludf.DUMMYFUNCTION("""COMPUTED_VALUE"""),13482141)</f>
        <v>13482141</v>
      </c>
    </row>
    <row r="660" spans="1:6" ht="12.6">
      <c r="A660" s="2">
        <f ca="1">IFERROR(__xludf.DUMMYFUNCTION("""COMPUTED_VALUE"""),45520.6666666666)</f>
        <v>45520.666666666599</v>
      </c>
      <c r="B660" s="1">
        <f ca="1">IFERROR(__xludf.DUMMYFUNCTION("""COMPUTED_VALUE"""),531.9)</f>
        <v>531.9</v>
      </c>
      <c r="C660" s="1">
        <f ca="1">IFERROR(__xludf.DUMMYFUNCTION("""COMPUTED_VALUE"""),533.66)</f>
        <v>533.66</v>
      </c>
      <c r="D660" s="1">
        <f ca="1">IFERROR(__xludf.DUMMYFUNCTION("""COMPUTED_VALUE"""),524.66)</f>
        <v>524.66</v>
      </c>
      <c r="E660" s="1">
        <f ca="1">IFERROR(__xludf.DUMMYFUNCTION("""COMPUTED_VALUE"""),527.42)</f>
        <v>527.41999999999996</v>
      </c>
      <c r="F660" s="1">
        <f ca="1">IFERROR(__xludf.DUMMYFUNCTION("""COMPUTED_VALUE"""),14776684)</f>
        <v>14776684</v>
      </c>
    </row>
    <row r="661" spans="1:6" ht="12.6">
      <c r="A661" s="2">
        <f ca="1">IFERROR(__xludf.DUMMYFUNCTION("""COMPUTED_VALUE"""),45523.6666666666)</f>
        <v>45523.666666666599</v>
      </c>
      <c r="B661" s="1">
        <f ca="1">IFERROR(__xludf.DUMMYFUNCTION("""COMPUTED_VALUE"""),526.87)</f>
        <v>526.87</v>
      </c>
      <c r="C661" s="1">
        <f ca="1">IFERROR(__xludf.DUMMYFUNCTION("""COMPUTED_VALUE"""),531.66)</f>
        <v>531.66</v>
      </c>
      <c r="D661" s="1">
        <f ca="1">IFERROR(__xludf.DUMMYFUNCTION("""COMPUTED_VALUE"""),522.76)</f>
        <v>522.76</v>
      </c>
      <c r="E661" s="1">
        <f ca="1">IFERROR(__xludf.DUMMYFUNCTION("""COMPUTED_VALUE"""),529.28)</f>
        <v>529.28</v>
      </c>
      <c r="F661" s="1">
        <f ca="1">IFERROR(__xludf.DUMMYFUNCTION("""COMPUTED_VALUE"""),9879713)</f>
        <v>9879713</v>
      </c>
    </row>
    <row r="662" spans="1:6" ht="12.6">
      <c r="A662" s="2">
        <f ca="1">IFERROR(__xludf.DUMMYFUNCTION("""COMPUTED_VALUE"""),45524.6666666666)</f>
        <v>45524.666666666599</v>
      </c>
      <c r="B662" s="1">
        <f ca="1">IFERROR(__xludf.DUMMYFUNCTION("""COMPUTED_VALUE"""),528.35)</f>
        <v>528.35</v>
      </c>
      <c r="C662" s="1">
        <f ca="1">IFERROR(__xludf.DUMMYFUNCTION("""COMPUTED_VALUE"""),531.09)</f>
        <v>531.09</v>
      </c>
      <c r="D662" s="1">
        <f ca="1">IFERROR(__xludf.DUMMYFUNCTION("""COMPUTED_VALUE"""),525.88)</f>
        <v>525.88</v>
      </c>
      <c r="E662" s="1">
        <f ca="1">IFERROR(__xludf.DUMMYFUNCTION("""COMPUTED_VALUE"""),526.73)</f>
        <v>526.73</v>
      </c>
      <c r="F662" s="1">
        <f ca="1">IFERROR(__xludf.DUMMYFUNCTION("""COMPUTED_VALUE"""),7944391)</f>
        <v>7944391</v>
      </c>
    </row>
    <row r="663" spans="1:6" ht="12.6">
      <c r="A663" s="2">
        <f ca="1">IFERROR(__xludf.DUMMYFUNCTION("""COMPUTED_VALUE"""),45525.6666666666)</f>
        <v>45525.666666666599</v>
      </c>
      <c r="B663" s="1">
        <f ca="1">IFERROR(__xludf.DUMMYFUNCTION("""COMPUTED_VALUE"""),527.15)</f>
        <v>527.15</v>
      </c>
      <c r="C663" s="1">
        <f ca="1">IFERROR(__xludf.DUMMYFUNCTION("""COMPUTED_VALUE"""),539.4)</f>
        <v>539.4</v>
      </c>
      <c r="D663" s="1">
        <f ca="1">IFERROR(__xludf.DUMMYFUNCTION("""COMPUTED_VALUE"""),526.93)</f>
        <v>526.92999999999995</v>
      </c>
      <c r="E663" s="1">
        <f ca="1">IFERROR(__xludf.DUMMYFUNCTION("""COMPUTED_VALUE"""),535.16)</f>
        <v>535.16</v>
      </c>
      <c r="F663" s="1">
        <f ca="1">IFERROR(__xludf.DUMMYFUNCTION("""COMPUTED_VALUE"""),13423292)</f>
        <v>13423292</v>
      </c>
    </row>
    <row r="664" spans="1:6" ht="12.6">
      <c r="A664" s="2">
        <f ca="1">IFERROR(__xludf.DUMMYFUNCTION("""COMPUTED_VALUE"""),45526.6666666666)</f>
        <v>45526.666666666599</v>
      </c>
      <c r="B664" s="1">
        <f ca="1">IFERROR(__xludf.DUMMYFUNCTION("""COMPUTED_VALUE"""),537)</f>
        <v>537</v>
      </c>
      <c r="C664" s="1">
        <f ca="1">IFERROR(__xludf.DUMMYFUNCTION("""COMPUTED_VALUE"""),544.23)</f>
        <v>544.23</v>
      </c>
      <c r="D664" s="1">
        <f ca="1">IFERROR(__xludf.DUMMYFUNCTION("""COMPUTED_VALUE"""),528.59)</f>
        <v>528.59</v>
      </c>
      <c r="E664" s="1">
        <f ca="1">IFERROR(__xludf.DUMMYFUNCTION("""COMPUTED_VALUE"""),531.93)</f>
        <v>531.92999999999995</v>
      </c>
      <c r="F664" s="1">
        <f ca="1">IFERROR(__xludf.DUMMYFUNCTION("""COMPUTED_VALUE"""),15708292)</f>
        <v>15708292</v>
      </c>
    </row>
    <row r="665" spans="1:6" ht="12.6">
      <c r="A665" s="2">
        <f ca="1">IFERROR(__xludf.DUMMYFUNCTION("""COMPUTED_VALUE"""),45527.6666666666)</f>
        <v>45527.666666666599</v>
      </c>
      <c r="B665" s="1">
        <f ca="1">IFERROR(__xludf.DUMMYFUNCTION("""COMPUTED_VALUE"""),536.92)</f>
        <v>536.91999999999996</v>
      </c>
      <c r="C665" s="1">
        <f ca="1">IFERROR(__xludf.DUMMYFUNCTION("""COMPUTED_VALUE"""),539.87)</f>
        <v>539.87</v>
      </c>
      <c r="D665" s="1">
        <f ca="1">IFERROR(__xludf.DUMMYFUNCTION("""COMPUTED_VALUE"""),525.06)</f>
        <v>525.05999999999995</v>
      </c>
      <c r="E665" s="1">
        <f ca="1">IFERROR(__xludf.DUMMYFUNCTION("""COMPUTED_VALUE"""),528)</f>
        <v>528</v>
      </c>
      <c r="F665" s="1">
        <f ca="1">IFERROR(__xludf.DUMMYFUNCTION("""COMPUTED_VALUE"""),11323936)</f>
        <v>11323936</v>
      </c>
    </row>
    <row r="666" spans="1:6" ht="12.6">
      <c r="A666" s="2">
        <f ca="1">IFERROR(__xludf.DUMMYFUNCTION("""COMPUTED_VALUE"""),45530.6666666666)</f>
        <v>45530.666666666599</v>
      </c>
      <c r="B666" s="1">
        <f ca="1">IFERROR(__xludf.DUMMYFUNCTION("""COMPUTED_VALUE"""),527.6)</f>
        <v>527.6</v>
      </c>
      <c r="C666" s="1">
        <f ca="1">IFERROR(__xludf.DUMMYFUNCTION("""COMPUTED_VALUE"""),528)</f>
        <v>528</v>
      </c>
      <c r="D666" s="1">
        <f ca="1">IFERROR(__xludf.DUMMYFUNCTION("""COMPUTED_VALUE"""),514.95)</f>
        <v>514.95000000000005</v>
      </c>
      <c r="E666" s="1">
        <f ca="1">IFERROR(__xludf.DUMMYFUNCTION("""COMPUTED_VALUE"""),521.12)</f>
        <v>521.12</v>
      </c>
      <c r="F666" s="1">
        <f ca="1">IFERROR(__xludf.DUMMYFUNCTION("""COMPUTED_VALUE"""),9584002)</f>
        <v>9584002</v>
      </c>
    </row>
    <row r="667" spans="1:6" ht="12.6">
      <c r="A667" s="2">
        <f ca="1">IFERROR(__xludf.DUMMYFUNCTION("""COMPUTED_VALUE"""),45531.6666666666)</f>
        <v>45531.666666666599</v>
      </c>
      <c r="B667" s="1">
        <f ca="1">IFERROR(__xludf.DUMMYFUNCTION("""COMPUTED_VALUE"""),518.98)</f>
        <v>518.98</v>
      </c>
      <c r="C667" s="1">
        <f ca="1">IFERROR(__xludf.DUMMYFUNCTION("""COMPUTED_VALUE"""),524.01)</f>
        <v>524.01</v>
      </c>
      <c r="D667" s="1">
        <f ca="1">IFERROR(__xludf.DUMMYFUNCTION("""COMPUTED_VALUE"""),515.31)</f>
        <v>515.30999999999995</v>
      </c>
      <c r="E667" s="1">
        <f ca="1">IFERROR(__xludf.DUMMYFUNCTION("""COMPUTED_VALUE"""),519.1)</f>
        <v>519.1</v>
      </c>
      <c r="F667" s="1">
        <f ca="1">IFERROR(__xludf.DUMMYFUNCTION("""COMPUTED_VALUE"""),6282720)</f>
        <v>6282720</v>
      </c>
    </row>
    <row r="668" spans="1:6" ht="12.6">
      <c r="A668" s="2">
        <f ca="1">IFERROR(__xludf.DUMMYFUNCTION("""COMPUTED_VALUE"""),45532.6666666666)</f>
        <v>45532.666666666599</v>
      </c>
      <c r="B668" s="1">
        <f ca="1">IFERROR(__xludf.DUMMYFUNCTION("""COMPUTED_VALUE"""),517.67)</f>
        <v>517.66999999999996</v>
      </c>
      <c r="C668" s="1">
        <f ca="1">IFERROR(__xludf.DUMMYFUNCTION("""COMPUTED_VALUE"""),521.09)</f>
        <v>521.09</v>
      </c>
      <c r="D668" s="1">
        <f ca="1">IFERROR(__xludf.DUMMYFUNCTION("""COMPUTED_VALUE"""),512.45)</f>
        <v>512.45000000000005</v>
      </c>
      <c r="E668" s="1">
        <f ca="1">IFERROR(__xludf.DUMMYFUNCTION("""COMPUTED_VALUE"""),516.78)</f>
        <v>516.78</v>
      </c>
      <c r="F668" s="1">
        <f ca="1">IFERROR(__xludf.DUMMYFUNCTION("""COMPUTED_VALUE"""),9106077)</f>
        <v>9106077</v>
      </c>
    </row>
    <row r="669" spans="1:6" ht="12.6">
      <c r="A669" s="2">
        <f ca="1">IFERROR(__xludf.DUMMYFUNCTION("""COMPUTED_VALUE"""),45533.6666666666)</f>
        <v>45533.666666666599</v>
      </c>
      <c r="B669" s="1">
        <f ca="1">IFERROR(__xludf.DUMMYFUNCTION("""COMPUTED_VALUE"""),519.05)</f>
        <v>519.04999999999995</v>
      </c>
      <c r="C669" s="1">
        <f ca="1">IFERROR(__xludf.DUMMYFUNCTION("""COMPUTED_VALUE"""),527.2)</f>
        <v>527.20000000000005</v>
      </c>
      <c r="D669" s="1">
        <f ca="1">IFERROR(__xludf.DUMMYFUNCTION("""COMPUTED_VALUE"""),515.68)</f>
        <v>515.67999999999995</v>
      </c>
      <c r="E669" s="1">
        <f ca="1">IFERROR(__xludf.DUMMYFUNCTION("""COMPUTED_VALUE"""),518.22)</f>
        <v>518.22</v>
      </c>
      <c r="F669" s="1">
        <f ca="1">IFERROR(__xludf.DUMMYFUNCTION("""COMPUTED_VALUE"""),8317424)</f>
        <v>8317424</v>
      </c>
    </row>
    <row r="670" spans="1:6" ht="12.6">
      <c r="A670" s="2">
        <f ca="1">IFERROR(__xludf.DUMMYFUNCTION("""COMPUTED_VALUE"""),45534.6666666666)</f>
        <v>45534.666666666599</v>
      </c>
      <c r="B670" s="1">
        <f ca="1">IFERROR(__xludf.DUMMYFUNCTION("""COMPUTED_VALUE"""),521.35)</f>
        <v>521.35</v>
      </c>
      <c r="C670" s="1">
        <f ca="1">IFERROR(__xludf.DUMMYFUNCTION("""COMPUTED_VALUE"""),523.54)</f>
        <v>523.54</v>
      </c>
      <c r="D670" s="1">
        <f ca="1">IFERROR(__xludf.DUMMYFUNCTION("""COMPUTED_VALUE"""),515.2)</f>
        <v>515.20000000000005</v>
      </c>
      <c r="E670" s="1">
        <f ca="1">IFERROR(__xludf.DUMMYFUNCTION("""COMPUTED_VALUE"""),521.31)</f>
        <v>521.30999999999995</v>
      </c>
      <c r="F670" s="1">
        <f ca="1">IFERROR(__xludf.DUMMYFUNCTION("""COMPUTED_VALUE"""),9157541)</f>
        <v>9157541</v>
      </c>
    </row>
    <row r="671" spans="1:6" ht="12.6">
      <c r="A671" s="2">
        <f ca="1">IFERROR(__xludf.DUMMYFUNCTION("""COMPUTED_VALUE"""),45538.6666666666)</f>
        <v>45538.666666666599</v>
      </c>
      <c r="B671" s="1">
        <f ca="1">IFERROR(__xludf.DUMMYFUNCTION("""COMPUTED_VALUE"""),519.64)</f>
        <v>519.64</v>
      </c>
      <c r="C671" s="1">
        <f ca="1">IFERROR(__xludf.DUMMYFUNCTION("""COMPUTED_VALUE"""),525.49)</f>
        <v>525.49</v>
      </c>
      <c r="D671" s="1">
        <f ca="1">IFERROR(__xludf.DUMMYFUNCTION("""COMPUTED_VALUE"""),508.62)</f>
        <v>508.62</v>
      </c>
      <c r="E671" s="1">
        <f ca="1">IFERROR(__xludf.DUMMYFUNCTION("""COMPUTED_VALUE"""),511.76)</f>
        <v>511.76</v>
      </c>
      <c r="F671" s="1">
        <f ca="1">IFERROR(__xludf.DUMMYFUNCTION("""COMPUTED_VALUE"""),12459113)</f>
        <v>12459113</v>
      </c>
    </row>
    <row r="672" spans="1:6" ht="12.6">
      <c r="A672" s="2">
        <f ca="1">IFERROR(__xludf.DUMMYFUNCTION("""COMPUTED_VALUE"""),45539.6666666666)</f>
        <v>45539.666666666599</v>
      </c>
      <c r="B672" s="1">
        <f ca="1">IFERROR(__xludf.DUMMYFUNCTION("""COMPUTED_VALUE"""),506.07)</f>
        <v>506.07</v>
      </c>
      <c r="C672" s="1">
        <f ca="1">IFERROR(__xludf.DUMMYFUNCTION("""COMPUTED_VALUE"""),516.59)</f>
        <v>516.59</v>
      </c>
      <c r="D672" s="1">
        <f ca="1">IFERROR(__xludf.DUMMYFUNCTION("""COMPUTED_VALUE"""),504.07)</f>
        <v>504.07</v>
      </c>
      <c r="E672" s="1">
        <f ca="1">IFERROR(__xludf.DUMMYFUNCTION("""COMPUTED_VALUE"""),512.74)</f>
        <v>512.74</v>
      </c>
      <c r="F672" s="1">
        <f ca="1">IFERROR(__xludf.DUMMYFUNCTION("""COMPUTED_VALUE"""),8335207)</f>
        <v>8335207</v>
      </c>
    </row>
    <row r="673" spans="1:6" ht="12.6">
      <c r="A673" s="2">
        <f ca="1">IFERROR(__xludf.DUMMYFUNCTION("""COMPUTED_VALUE"""),45540.6666666666)</f>
        <v>45540.666666666599</v>
      </c>
      <c r="B673" s="1">
        <f ca="1">IFERROR(__xludf.DUMMYFUNCTION("""COMPUTED_VALUE"""),511.72)</f>
        <v>511.72</v>
      </c>
      <c r="C673" s="1">
        <f ca="1">IFERROR(__xludf.DUMMYFUNCTION("""COMPUTED_VALUE"""),521.63)</f>
        <v>521.63</v>
      </c>
      <c r="D673" s="1">
        <f ca="1">IFERROR(__xludf.DUMMYFUNCTION("""COMPUTED_VALUE"""),511.15)</f>
        <v>511.15</v>
      </c>
      <c r="E673" s="1">
        <f ca="1">IFERROR(__xludf.DUMMYFUNCTION("""COMPUTED_VALUE"""),516.86)</f>
        <v>516.86</v>
      </c>
      <c r="F673" s="1">
        <f ca="1">IFERROR(__xludf.DUMMYFUNCTION("""COMPUTED_VALUE"""),8640888)</f>
        <v>8640888</v>
      </c>
    </row>
    <row r="674" spans="1:6" ht="12.6">
      <c r="A674" s="2">
        <f ca="1">IFERROR(__xludf.DUMMYFUNCTION("""COMPUTED_VALUE"""),45541.6666666666)</f>
        <v>45541.666666666599</v>
      </c>
      <c r="B674" s="1">
        <f ca="1">IFERROR(__xludf.DUMMYFUNCTION("""COMPUTED_VALUE"""),521.88)</f>
        <v>521.88</v>
      </c>
      <c r="C674" s="1">
        <f ca="1">IFERROR(__xludf.DUMMYFUNCTION("""COMPUTED_VALUE"""),524.58)</f>
        <v>524.58000000000004</v>
      </c>
      <c r="D674" s="1">
        <f ca="1">IFERROR(__xludf.DUMMYFUNCTION("""COMPUTED_VALUE"""),498.25)</f>
        <v>498.25</v>
      </c>
      <c r="E674" s="1">
        <f ca="1">IFERROR(__xludf.DUMMYFUNCTION("""COMPUTED_VALUE"""),500.27)</f>
        <v>500.27</v>
      </c>
      <c r="F674" s="1">
        <f ca="1">IFERROR(__xludf.DUMMYFUNCTION("""COMPUTED_VALUE"""),14744521)</f>
        <v>14744521</v>
      </c>
    </row>
    <row r="675" spans="1:6" ht="12.6">
      <c r="A675" s="2">
        <f ca="1">IFERROR(__xludf.DUMMYFUNCTION("""COMPUTED_VALUE"""),45544.6666666666)</f>
        <v>45544.666666666599</v>
      </c>
      <c r="B675" s="1">
        <f ca="1">IFERROR(__xludf.DUMMYFUNCTION("""COMPUTED_VALUE"""),506.16)</f>
        <v>506.16</v>
      </c>
      <c r="C675" s="1">
        <f ca="1">IFERROR(__xludf.DUMMYFUNCTION("""COMPUTED_VALUE"""),511.33)</f>
        <v>511.33</v>
      </c>
      <c r="D675" s="1">
        <f ca="1">IFERROR(__xludf.DUMMYFUNCTION("""COMPUTED_VALUE"""),502.08)</f>
        <v>502.08</v>
      </c>
      <c r="E675" s="1">
        <f ca="1">IFERROR(__xludf.DUMMYFUNCTION("""COMPUTED_VALUE"""),504.79)</f>
        <v>504.79</v>
      </c>
      <c r="F675" s="1">
        <f ca="1">IFERROR(__xludf.DUMMYFUNCTION("""COMPUTED_VALUE"""),11047828)</f>
        <v>11047828</v>
      </c>
    </row>
    <row r="676" spans="1:6" ht="12.6">
      <c r="A676" s="2">
        <f ca="1">IFERROR(__xludf.DUMMYFUNCTION("""COMPUTED_VALUE"""),45545.6666666666)</f>
        <v>45545.666666666599</v>
      </c>
      <c r="B676" s="1">
        <f ca="1">IFERROR(__xludf.DUMMYFUNCTION("""COMPUTED_VALUE"""),508.16)</f>
        <v>508.16</v>
      </c>
      <c r="C676" s="1">
        <f ca="1">IFERROR(__xludf.DUMMYFUNCTION("""COMPUTED_VALUE"""),514.18)</f>
        <v>514.17999999999995</v>
      </c>
      <c r="D676" s="1">
        <f ca="1">IFERROR(__xludf.DUMMYFUNCTION("""COMPUTED_VALUE"""),500.03)</f>
        <v>500.03</v>
      </c>
      <c r="E676" s="1">
        <f ca="1">IFERROR(__xludf.DUMMYFUNCTION("""COMPUTED_VALUE"""),504.79)</f>
        <v>504.79</v>
      </c>
      <c r="F676" s="1">
        <f ca="1">IFERROR(__xludf.DUMMYFUNCTION("""COMPUTED_VALUE"""),9899022)</f>
        <v>9899022</v>
      </c>
    </row>
    <row r="677" spans="1:6" ht="12.6">
      <c r="A677" s="2">
        <f ca="1">IFERROR(__xludf.DUMMYFUNCTION("""COMPUTED_VALUE"""),45546.6666666666)</f>
        <v>45546.666666666599</v>
      </c>
      <c r="B677" s="1">
        <f ca="1">IFERROR(__xludf.DUMMYFUNCTION("""COMPUTED_VALUE"""),507.01)</f>
        <v>507.01</v>
      </c>
      <c r="C677" s="1">
        <f ca="1">IFERROR(__xludf.DUMMYFUNCTION("""COMPUTED_VALUE"""),513.12)</f>
        <v>513.12</v>
      </c>
      <c r="D677" s="1">
        <f ca="1">IFERROR(__xludf.DUMMYFUNCTION("""COMPUTED_VALUE"""),495.6)</f>
        <v>495.6</v>
      </c>
      <c r="E677" s="1">
        <f ca="1">IFERROR(__xludf.DUMMYFUNCTION("""COMPUTED_VALUE"""),511.83)</f>
        <v>511.83</v>
      </c>
      <c r="F677" s="1">
        <f ca="1">IFERROR(__xludf.DUMMYFUNCTION("""COMPUTED_VALUE"""),10782532)</f>
        <v>10782532</v>
      </c>
    </row>
    <row r="678" spans="1:6" ht="12.6">
      <c r="A678" s="2">
        <f ca="1">IFERROR(__xludf.DUMMYFUNCTION("""COMPUTED_VALUE"""),45547.6666666666)</f>
        <v>45547.666666666599</v>
      </c>
      <c r="B678" s="1">
        <f ca="1">IFERROR(__xludf.DUMMYFUNCTION("""COMPUTED_VALUE"""),517.05)</f>
        <v>517.04999999999995</v>
      </c>
      <c r="C678" s="1">
        <f ca="1">IFERROR(__xludf.DUMMYFUNCTION("""COMPUTED_VALUE"""),526.71)</f>
        <v>526.71</v>
      </c>
      <c r="D678" s="1">
        <f ca="1">IFERROR(__xludf.DUMMYFUNCTION("""COMPUTED_VALUE"""),515.22)</f>
        <v>515.22</v>
      </c>
      <c r="E678" s="1">
        <f ca="1">IFERROR(__xludf.DUMMYFUNCTION("""COMPUTED_VALUE"""),525.6)</f>
        <v>525.6</v>
      </c>
      <c r="F678" s="1">
        <f ca="1">IFERROR(__xludf.DUMMYFUNCTION("""COMPUTED_VALUE"""),11993342)</f>
        <v>11993342</v>
      </c>
    </row>
    <row r="679" spans="1:6" ht="12.6">
      <c r="A679" s="2">
        <f ca="1">IFERROR(__xludf.DUMMYFUNCTION("""COMPUTED_VALUE"""),45548.6666666666)</f>
        <v>45548.666666666599</v>
      </c>
      <c r="B679" s="1">
        <f ca="1">IFERROR(__xludf.DUMMYFUNCTION("""COMPUTED_VALUE"""),520.34)</f>
        <v>520.34</v>
      </c>
      <c r="C679" s="1">
        <f ca="1">IFERROR(__xludf.DUMMYFUNCTION("""COMPUTED_VALUE"""),527.58)</f>
        <v>527.58000000000004</v>
      </c>
      <c r="D679" s="1">
        <f ca="1">IFERROR(__xludf.DUMMYFUNCTION("""COMPUTED_VALUE"""),517.11)</f>
        <v>517.11</v>
      </c>
      <c r="E679" s="1">
        <f ca="1">IFERROR(__xludf.DUMMYFUNCTION("""COMPUTED_VALUE"""),524.62)</f>
        <v>524.62</v>
      </c>
      <c r="F679" s="1">
        <f ca="1">IFERROR(__xludf.DUMMYFUNCTION("""COMPUTED_VALUE"""),10321422)</f>
        <v>10321422</v>
      </c>
    </row>
    <row r="680" spans="1:6" ht="12.6">
      <c r="A680" s="2">
        <f ca="1">IFERROR(__xludf.DUMMYFUNCTION("""COMPUTED_VALUE"""),45551.6666666666)</f>
        <v>45551.666666666599</v>
      </c>
      <c r="B680" s="1">
        <f ca="1">IFERROR(__xludf.DUMMYFUNCTION("""COMPUTED_VALUE"""),524.54)</f>
        <v>524.54</v>
      </c>
      <c r="C680" s="1">
        <f ca="1">IFERROR(__xludf.DUMMYFUNCTION("""COMPUTED_VALUE"""),534.1)</f>
        <v>534.1</v>
      </c>
      <c r="D680" s="1">
        <f ca="1">IFERROR(__xludf.DUMMYFUNCTION("""COMPUTED_VALUE"""),517.4)</f>
        <v>517.4</v>
      </c>
      <c r="E680" s="1">
        <f ca="1">IFERROR(__xludf.DUMMYFUNCTION("""COMPUTED_VALUE"""),533.28)</f>
        <v>533.28</v>
      </c>
      <c r="F680" s="1">
        <f ca="1">IFERROR(__xludf.DUMMYFUNCTION("""COMPUTED_VALUE"""),9527646)</f>
        <v>9527646</v>
      </c>
    </row>
    <row r="681" spans="1:6" ht="12.6">
      <c r="A681" s="2">
        <f ca="1">IFERROR(__xludf.DUMMYFUNCTION("""COMPUTED_VALUE"""),45552.6666666666)</f>
        <v>45552.666666666599</v>
      </c>
      <c r="B681" s="1">
        <f ca="1">IFERROR(__xludf.DUMMYFUNCTION("""COMPUTED_VALUE"""),537.6)</f>
        <v>537.6</v>
      </c>
      <c r="C681" s="1">
        <f ca="1">IFERROR(__xludf.DUMMYFUNCTION("""COMPUTED_VALUE"""),542.1)</f>
        <v>542.1</v>
      </c>
      <c r="D681" s="1">
        <f ca="1">IFERROR(__xludf.DUMMYFUNCTION("""COMPUTED_VALUE"""),530.57)</f>
        <v>530.57000000000005</v>
      </c>
      <c r="E681" s="1">
        <f ca="1">IFERROR(__xludf.DUMMYFUNCTION("""COMPUTED_VALUE"""),536.32)</f>
        <v>536.32000000000005</v>
      </c>
      <c r="F681" s="1">
        <f ca="1">IFERROR(__xludf.DUMMYFUNCTION("""COMPUTED_VALUE"""),11690779)</f>
        <v>11690779</v>
      </c>
    </row>
    <row r="682" spans="1:6" ht="12.6">
      <c r="A682" s="2">
        <f ca="1">IFERROR(__xludf.DUMMYFUNCTION("""COMPUTED_VALUE"""),45553.6666666666)</f>
        <v>45553.666666666599</v>
      </c>
      <c r="B682" s="1">
        <f ca="1">IFERROR(__xludf.DUMMYFUNCTION("""COMPUTED_VALUE"""),537.07)</f>
        <v>537.07000000000005</v>
      </c>
      <c r="C682" s="1">
        <f ca="1">IFERROR(__xludf.DUMMYFUNCTION("""COMPUTED_VALUE"""),544.2)</f>
        <v>544.20000000000005</v>
      </c>
      <c r="D682" s="1">
        <f ca="1">IFERROR(__xludf.DUMMYFUNCTION("""COMPUTED_VALUE"""),533.9)</f>
        <v>533.9</v>
      </c>
      <c r="E682" s="1">
        <f ca="1">IFERROR(__xludf.DUMMYFUNCTION("""COMPUTED_VALUE"""),537.95)</f>
        <v>537.95000000000005</v>
      </c>
      <c r="F682" s="1">
        <f ca="1">IFERROR(__xludf.DUMMYFUNCTION("""COMPUTED_VALUE"""),10323537)</f>
        <v>10323537</v>
      </c>
    </row>
    <row r="683" spans="1:6" ht="12.6">
      <c r="A683" s="2">
        <f ca="1">IFERROR(__xludf.DUMMYFUNCTION("""COMPUTED_VALUE"""),45554.6666666666)</f>
        <v>45554.666666666599</v>
      </c>
      <c r="B683" s="1">
        <f ca="1">IFERROR(__xludf.DUMMYFUNCTION("""COMPUTED_VALUE"""),550)</f>
        <v>550</v>
      </c>
      <c r="C683" s="1">
        <f ca="1">IFERROR(__xludf.DUMMYFUNCTION("""COMPUTED_VALUE"""),562.07)</f>
        <v>562.07000000000005</v>
      </c>
      <c r="D683" s="1">
        <f ca="1">IFERROR(__xludf.DUMMYFUNCTION("""COMPUTED_VALUE"""),546.52)</f>
        <v>546.52</v>
      </c>
      <c r="E683" s="1">
        <f ca="1">IFERROR(__xludf.DUMMYFUNCTION("""COMPUTED_VALUE"""),559.1)</f>
        <v>559.1</v>
      </c>
      <c r="F683" s="1">
        <f ca="1">IFERROR(__xludf.DUMMYFUNCTION("""COMPUTED_VALUE"""),15646951)</f>
        <v>15646951</v>
      </c>
    </row>
    <row r="684" spans="1:6" ht="12.6">
      <c r="A684" s="2">
        <f ca="1">IFERROR(__xludf.DUMMYFUNCTION("""COMPUTED_VALUE"""),45555.6666666666)</f>
        <v>45555.666666666599</v>
      </c>
      <c r="B684" s="1">
        <f ca="1">IFERROR(__xludf.DUMMYFUNCTION("""COMPUTED_VALUE"""),560)</f>
        <v>560</v>
      </c>
      <c r="C684" s="1">
        <f ca="1">IFERROR(__xludf.DUMMYFUNCTION("""COMPUTED_VALUE"""),564.5)</f>
        <v>564.5</v>
      </c>
      <c r="D684" s="1">
        <f ca="1">IFERROR(__xludf.DUMMYFUNCTION("""COMPUTED_VALUE"""),556.3)</f>
        <v>556.29999999999995</v>
      </c>
      <c r="E684" s="1">
        <f ca="1">IFERROR(__xludf.DUMMYFUNCTION("""COMPUTED_VALUE"""),561.35)</f>
        <v>561.35</v>
      </c>
      <c r="F684" s="1">
        <f ca="1">IFERROR(__xludf.DUMMYFUNCTION("""COMPUTED_VALUE"""),22066817)</f>
        <v>22066817</v>
      </c>
    </row>
    <row r="685" spans="1:6" ht="12.6">
      <c r="A685" s="2">
        <f ca="1">IFERROR(__xludf.DUMMYFUNCTION("""COMPUTED_VALUE"""),45558.6666666666)</f>
        <v>45558.666666666599</v>
      </c>
      <c r="B685" s="1">
        <f ca="1">IFERROR(__xludf.DUMMYFUNCTION("""COMPUTED_VALUE"""),569.5)</f>
        <v>569.5</v>
      </c>
      <c r="C685" s="1">
        <f ca="1">IFERROR(__xludf.DUMMYFUNCTION("""COMPUTED_VALUE"""),573.98)</f>
        <v>573.98</v>
      </c>
      <c r="D685" s="1">
        <f ca="1">IFERROR(__xludf.DUMMYFUNCTION("""COMPUTED_VALUE"""),562.41)</f>
        <v>562.41</v>
      </c>
      <c r="E685" s="1">
        <f ca="1">IFERROR(__xludf.DUMMYFUNCTION("""COMPUTED_VALUE"""),564.41)</f>
        <v>564.41</v>
      </c>
      <c r="F685" s="1">
        <f ca="1">IFERROR(__xludf.DUMMYFUNCTION("""COMPUTED_VALUE"""),12830669)</f>
        <v>12830669</v>
      </c>
    </row>
    <row r="686" spans="1:6" ht="12.6">
      <c r="A686" s="2">
        <f ca="1">IFERROR(__xludf.DUMMYFUNCTION("""COMPUTED_VALUE"""),45559.6666666666)</f>
        <v>45559.666666666599</v>
      </c>
      <c r="B686" s="1">
        <f ca="1">IFERROR(__xludf.DUMMYFUNCTION("""COMPUTED_VALUE"""),566.68)</f>
        <v>566.67999999999995</v>
      </c>
      <c r="C686" s="1">
        <f ca="1">IFERROR(__xludf.DUMMYFUNCTION("""COMPUTED_VALUE"""),567.75)</f>
        <v>567.75</v>
      </c>
      <c r="D686" s="1">
        <f ca="1">IFERROR(__xludf.DUMMYFUNCTION("""COMPUTED_VALUE"""),554.19)</f>
        <v>554.19000000000005</v>
      </c>
      <c r="E686" s="1">
        <f ca="1">IFERROR(__xludf.DUMMYFUNCTION("""COMPUTED_VALUE"""),563.33)</f>
        <v>563.33000000000004</v>
      </c>
      <c r="F686" s="1">
        <f ca="1">IFERROR(__xludf.DUMMYFUNCTION("""COMPUTED_VALUE"""),12992956)</f>
        <v>12992956</v>
      </c>
    </row>
    <row r="687" spans="1:6" ht="12.6">
      <c r="A687" s="2">
        <f ca="1">IFERROR(__xludf.DUMMYFUNCTION("""COMPUTED_VALUE"""),45560.6666666666)</f>
        <v>45560.666666666599</v>
      </c>
      <c r="B687" s="1">
        <f ca="1">IFERROR(__xludf.DUMMYFUNCTION("""COMPUTED_VALUE"""),564.05)</f>
        <v>564.04999999999995</v>
      </c>
      <c r="C687" s="1">
        <f ca="1">IFERROR(__xludf.DUMMYFUNCTION("""COMPUTED_VALUE"""),576.88)</f>
        <v>576.88</v>
      </c>
      <c r="D687" s="1">
        <f ca="1">IFERROR(__xludf.DUMMYFUNCTION("""COMPUTED_VALUE"""),563.72)</f>
        <v>563.72</v>
      </c>
      <c r="E687" s="1">
        <f ca="1">IFERROR(__xludf.DUMMYFUNCTION("""COMPUTED_VALUE"""),568.31)</f>
        <v>568.30999999999995</v>
      </c>
      <c r="F687" s="1">
        <f ca="1">IFERROR(__xludf.DUMMYFUNCTION("""COMPUTED_VALUE"""),16543350)</f>
        <v>16543350</v>
      </c>
    </row>
    <row r="688" spans="1:6" ht="12.6">
      <c r="A688" s="2">
        <f ca="1">IFERROR(__xludf.DUMMYFUNCTION("""COMPUTED_VALUE"""),45561.6666666666)</f>
        <v>45561.666666666599</v>
      </c>
      <c r="B688" s="1">
        <f ca="1">IFERROR(__xludf.DUMMYFUNCTION("""COMPUTED_VALUE"""),575.73)</f>
        <v>575.73</v>
      </c>
      <c r="C688" s="1">
        <f ca="1">IFERROR(__xludf.DUMMYFUNCTION("""COMPUTED_VALUE"""),577.4)</f>
        <v>577.4</v>
      </c>
      <c r="D688" s="1">
        <f ca="1">IFERROR(__xludf.DUMMYFUNCTION("""COMPUTED_VALUE"""),562.35)</f>
        <v>562.35</v>
      </c>
      <c r="E688" s="1">
        <f ca="1">IFERROR(__xludf.DUMMYFUNCTION("""COMPUTED_VALUE"""),567.84)</f>
        <v>567.84</v>
      </c>
      <c r="F688" s="1">
        <f ca="1">IFERROR(__xludf.DUMMYFUNCTION("""COMPUTED_VALUE"""),14400787)</f>
        <v>14400787</v>
      </c>
    </row>
    <row r="689" spans="1:6" ht="12.6">
      <c r="A689" s="2">
        <f ca="1">IFERROR(__xludf.DUMMYFUNCTION("""COMPUTED_VALUE"""),45562.6666666666)</f>
        <v>45562.666666666599</v>
      </c>
      <c r="B689" s="1">
        <f ca="1">IFERROR(__xludf.DUMMYFUNCTION("""COMPUTED_VALUE"""),570.1)</f>
        <v>570.1</v>
      </c>
      <c r="C689" s="1">
        <f ca="1">IFERROR(__xludf.DUMMYFUNCTION("""COMPUTED_VALUE"""),570.84)</f>
        <v>570.84</v>
      </c>
      <c r="D689" s="1">
        <f ca="1">IFERROR(__xludf.DUMMYFUNCTION("""COMPUTED_VALUE"""),564.51)</f>
        <v>564.51</v>
      </c>
      <c r="E689" s="1">
        <f ca="1">IFERROR(__xludf.DUMMYFUNCTION("""COMPUTED_VALUE"""),567.36)</f>
        <v>567.36</v>
      </c>
      <c r="F689" s="1">
        <f ca="1">IFERROR(__xludf.DUMMYFUNCTION("""COMPUTED_VALUE"""),9398367)</f>
        <v>9398367</v>
      </c>
    </row>
    <row r="690" spans="1:6" ht="12.6">
      <c r="A690" s="2">
        <f ca="1">IFERROR(__xludf.DUMMYFUNCTION("""COMPUTED_VALUE"""),45565.6666666666)</f>
        <v>45565.666666666599</v>
      </c>
      <c r="B690" s="1">
        <f ca="1">IFERROR(__xludf.DUMMYFUNCTION("""COMPUTED_VALUE"""),567.7)</f>
        <v>567.70000000000005</v>
      </c>
      <c r="C690" s="1">
        <f ca="1">IFERROR(__xludf.DUMMYFUNCTION("""COMPUTED_VALUE"""),574.68)</f>
        <v>574.67999999999995</v>
      </c>
      <c r="D690" s="1">
        <f ca="1">IFERROR(__xludf.DUMMYFUNCTION("""COMPUTED_VALUE"""),564.8)</f>
        <v>564.79999999999995</v>
      </c>
      <c r="E690" s="1">
        <f ca="1">IFERROR(__xludf.DUMMYFUNCTION("""COMPUTED_VALUE"""),572.44)</f>
        <v>572.44000000000005</v>
      </c>
      <c r="F690" s="1">
        <f ca="1">IFERROR(__xludf.DUMMYFUNCTION("""COMPUTED_VALUE"""),12807206)</f>
        <v>12807206</v>
      </c>
    </row>
    <row r="691" spans="1:6" ht="12.6">
      <c r="A691" s="2">
        <f ca="1">IFERROR(__xludf.DUMMYFUNCTION("""COMPUTED_VALUE"""),45566.6666666666)</f>
        <v>45566.666666666599</v>
      </c>
      <c r="B691" s="1">
        <f ca="1">IFERROR(__xludf.DUMMYFUNCTION("""COMPUTED_VALUE"""),577.98)</f>
        <v>577.98</v>
      </c>
      <c r="C691" s="1">
        <f ca="1">IFERROR(__xludf.DUMMYFUNCTION("""COMPUTED_VALUE"""),583.04)</f>
        <v>583.04</v>
      </c>
      <c r="D691" s="1">
        <f ca="1">IFERROR(__xludf.DUMMYFUNCTION("""COMPUTED_VALUE"""),570.1)</f>
        <v>570.1</v>
      </c>
      <c r="E691" s="1">
        <f ca="1">IFERROR(__xludf.DUMMYFUNCTION("""COMPUTED_VALUE"""),576.47)</f>
        <v>576.47</v>
      </c>
      <c r="F691" s="1">
        <f ca="1">IFERROR(__xludf.DUMMYFUNCTION("""COMPUTED_VALUE"""),15259274)</f>
        <v>15259274</v>
      </c>
    </row>
    <row r="692" spans="1:6" ht="12.6">
      <c r="A692" s="2">
        <f ca="1">IFERROR(__xludf.DUMMYFUNCTION("""COMPUTED_VALUE"""),45567.6666666666)</f>
        <v>45567.666666666599</v>
      </c>
      <c r="B692" s="1">
        <f ca="1">IFERROR(__xludf.DUMMYFUNCTION("""COMPUTED_VALUE"""),574.86)</f>
        <v>574.86</v>
      </c>
      <c r="C692" s="1">
        <f ca="1">IFERROR(__xludf.DUMMYFUNCTION("""COMPUTED_VALUE"""),576)</f>
        <v>576</v>
      </c>
      <c r="D692" s="1">
        <f ca="1">IFERROR(__xludf.DUMMYFUNCTION("""COMPUTED_VALUE"""),569.34)</f>
        <v>569.34</v>
      </c>
      <c r="E692" s="1">
        <f ca="1">IFERROR(__xludf.DUMMYFUNCTION("""COMPUTED_VALUE"""),572.81)</f>
        <v>572.80999999999995</v>
      </c>
      <c r="F692" s="1">
        <f ca="1">IFERROR(__xludf.DUMMYFUNCTION("""COMPUTED_VALUE"""),6524650)</f>
        <v>6524650</v>
      </c>
    </row>
    <row r="693" spans="1:6" ht="12.6">
      <c r="A693" s="2">
        <f ca="1">IFERROR(__xludf.DUMMYFUNCTION("""COMPUTED_VALUE"""),45568.6666666666)</f>
        <v>45568.666666666599</v>
      </c>
      <c r="B693" s="1">
        <f ca="1">IFERROR(__xludf.DUMMYFUNCTION("""COMPUTED_VALUE"""),570.15)</f>
        <v>570.15</v>
      </c>
      <c r="C693" s="1">
        <f ca="1">IFERROR(__xludf.DUMMYFUNCTION("""COMPUTED_VALUE"""),583.36)</f>
        <v>583.36</v>
      </c>
      <c r="D693" s="1">
        <f ca="1">IFERROR(__xludf.DUMMYFUNCTION("""COMPUTED_VALUE"""),568.73)</f>
        <v>568.73</v>
      </c>
      <c r="E693" s="1">
        <f ca="1">IFERROR(__xludf.DUMMYFUNCTION("""COMPUTED_VALUE"""),582.77)</f>
        <v>582.77</v>
      </c>
      <c r="F693" s="1">
        <f ca="1">IFERROR(__xludf.DUMMYFUNCTION("""COMPUTED_VALUE"""),11580980)</f>
        <v>11580980</v>
      </c>
    </row>
    <row r="694" spans="1:6" ht="12.6">
      <c r="A694" s="2">
        <f ca="1">IFERROR(__xludf.DUMMYFUNCTION("""COMPUTED_VALUE"""),45569.6666666666)</f>
        <v>45569.666666666599</v>
      </c>
      <c r="B694" s="1">
        <f ca="1">IFERROR(__xludf.DUMMYFUNCTION("""COMPUTED_VALUE"""),583.73)</f>
        <v>583.73</v>
      </c>
      <c r="C694" s="1">
        <f ca="1">IFERROR(__xludf.DUMMYFUNCTION("""COMPUTED_VALUE"""),596.85)</f>
        <v>596.85</v>
      </c>
      <c r="D694" s="1">
        <f ca="1">IFERROR(__xludf.DUMMYFUNCTION("""COMPUTED_VALUE"""),581.43)</f>
        <v>581.42999999999995</v>
      </c>
      <c r="E694" s="1">
        <f ca="1">IFERROR(__xludf.DUMMYFUNCTION("""COMPUTED_VALUE"""),595.94)</f>
        <v>595.94000000000005</v>
      </c>
      <c r="F694" s="1">
        <f ca="1">IFERROR(__xludf.DUMMYFUNCTION("""COMPUTED_VALUE"""),14199788)</f>
        <v>14199788</v>
      </c>
    </row>
    <row r="695" spans="1:6" ht="12.6">
      <c r="A695" s="2">
        <f ca="1">IFERROR(__xludf.DUMMYFUNCTION("""COMPUTED_VALUE"""),45572.6666666666)</f>
        <v>45572.666666666599</v>
      </c>
      <c r="B695" s="1">
        <f ca="1">IFERROR(__xludf.DUMMYFUNCTION("""COMPUTED_VALUE"""),598.22)</f>
        <v>598.22</v>
      </c>
      <c r="C695" s="1">
        <f ca="1">IFERROR(__xludf.DUMMYFUNCTION("""COMPUTED_VALUE"""),602.95)</f>
        <v>602.95000000000005</v>
      </c>
      <c r="D695" s="1">
        <f ca="1">IFERROR(__xludf.DUMMYFUNCTION("""COMPUTED_VALUE"""),584.04)</f>
        <v>584.04</v>
      </c>
      <c r="E695" s="1">
        <f ca="1">IFERROR(__xludf.DUMMYFUNCTION("""COMPUTED_VALUE"""),584.78)</f>
        <v>584.78</v>
      </c>
      <c r="F695" s="1">
        <f ca="1">IFERROR(__xludf.DUMMYFUNCTION("""COMPUTED_VALUE"""),12014198)</f>
        <v>12014198</v>
      </c>
    </row>
    <row r="696" spans="1:6" ht="12.6">
      <c r="A696" s="2">
        <f ca="1">IFERROR(__xludf.DUMMYFUNCTION("""COMPUTED_VALUE"""),45573.6666666666)</f>
        <v>45573.666666666599</v>
      </c>
      <c r="B696" s="1">
        <f ca="1">IFERROR(__xludf.DUMMYFUNCTION("""COMPUTED_VALUE"""),589.69)</f>
        <v>589.69000000000005</v>
      </c>
      <c r="C696" s="1">
        <f ca="1">IFERROR(__xludf.DUMMYFUNCTION("""COMPUTED_VALUE"""),593.56)</f>
        <v>593.55999999999995</v>
      </c>
      <c r="D696" s="1">
        <f ca="1">IFERROR(__xludf.DUMMYFUNCTION("""COMPUTED_VALUE"""),585.97)</f>
        <v>585.97</v>
      </c>
      <c r="E696" s="1">
        <f ca="1">IFERROR(__xludf.DUMMYFUNCTION("""COMPUTED_VALUE"""),592.89)</f>
        <v>592.89</v>
      </c>
      <c r="F696" s="1">
        <f ca="1">IFERROR(__xludf.DUMMYFUNCTION("""COMPUTED_VALUE"""),7857377)</f>
        <v>7857377</v>
      </c>
    </row>
    <row r="697" spans="1:6" ht="12.6">
      <c r="A697" s="2">
        <f ca="1">IFERROR(__xludf.DUMMYFUNCTION("""COMPUTED_VALUE"""),45574.6666666666)</f>
        <v>45574.666666666599</v>
      </c>
      <c r="B697" s="1">
        <f ca="1">IFERROR(__xludf.DUMMYFUNCTION("""COMPUTED_VALUE"""),593.99)</f>
        <v>593.99</v>
      </c>
      <c r="C697" s="1">
        <f ca="1">IFERROR(__xludf.DUMMYFUNCTION("""COMPUTED_VALUE"""),594.39)</f>
        <v>594.39</v>
      </c>
      <c r="D697" s="1">
        <f ca="1">IFERROR(__xludf.DUMMYFUNCTION("""COMPUTED_VALUE"""),581.61)</f>
        <v>581.61</v>
      </c>
      <c r="E697" s="1">
        <f ca="1">IFERROR(__xludf.DUMMYFUNCTION("""COMPUTED_VALUE"""),590.51)</f>
        <v>590.51</v>
      </c>
      <c r="F697" s="1">
        <f ca="1">IFERROR(__xludf.DUMMYFUNCTION("""COMPUTED_VALUE"""),9529707)</f>
        <v>9529707</v>
      </c>
    </row>
    <row r="698" spans="1:6" ht="12.6">
      <c r="A698" s="2">
        <f ca="1">IFERROR(__xludf.DUMMYFUNCTION("""COMPUTED_VALUE"""),45575.6666666666)</f>
        <v>45575.666666666599</v>
      </c>
      <c r="B698" s="1">
        <f ca="1">IFERROR(__xludf.DUMMYFUNCTION("""COMPUTED_VALUE"""),587.57)</f>
        <v>587.57000000000005</v>
      </c>
      <c r="C698" s="1">
        <f ca="1">IFERROR(__xludf.DUMMYFUNCTION("""COMPUTED_VALUE"""),590.23)</f>
        <v>590.23</v>
      </c>
      <c r="D698" s="1">
        <f ca="1">IFERROR(__xludf.DUMMYFUNCTION("""COMPUTED_VALUE"""),582.52)</f>
        <v>582.52</v>
      </c>
      <c r="E698" s="1">
        <f ca="1">IFERROR(__xludf.DUMMYFUNCTION("""COMPUTED_VALUE"""),583.83)</f>
        <v>583.83000000000004</v>
      </c>
      <c r="F698" s="1">
        <f ca="1">IFERROR(__xludf.DUMMYFUNCTION("""COMPUTED_VALUE"""),7740449)</f>
        <v>7740449</v>
      </c>
    </row>
    <row r="699" spans="1:6" ht="12.6">
      <c r="A699" s="2">
        <f ca="1">IFERROR(__xludf.DUMMYFUNCTION("""COMPUTED_VALUE"""),45576.6666666666)</f>
        <v>45576.666666666599</v>
      </c>
      <c r="B699" s="1">
        <f ca="1">IFERROR(__xludf.DUMMYFUNCTION("""COMPUTED_VALUE"""),584.83)</f>
        <v>584.83000000000004</v>
      </c>
      <c r="C699" s="1">
        <f ca="1">IFERROR(__xludf.DUMMYFUNCTION("""COMPUTED_VALUE"""),591.21)</f>
        <v>591.21</v>
      </c>
      <c r="D699" s="1">
        <f ca="1">IFERROR(__xludf.DUMMYFUNCTION("""COMPUTED_VALUE"""),582.71)</f>
        <v>582.71</v>
      </c>
      <c r="E699" s="1">
        <f ca="1">IFERROR(__xludf.DUMMYFUNCTION("""COMPUTED_VALUE"""),589.95)</f>
        <v>589.95000000000005</v>
      </c>
      <c r="F699" s="1">
        <f ca="1">IFERROR(__xludf.DUMMYFUNCTION("""COMPUTED_VALUE"""),8587051)</f>
        <v>8587051</v>
      </c>
    </row>
    <row r="700" spans="1:6" ht="12.6">
      <c r="A700" s="2">
        <f ca="1">IFERROR(__xludf.DUMMYFUNCTION("""COMPUTED_VALUE"""),45579.6666666666)</f>
        <v>45579.666666666599</v>
      </c>
      <c r="B700" s="1">
        <f ca="1">IFERROR(__xludf.DUMMYFUNCTION("""COMPUTED_VALUE"""),594.22)</f>
        <v>594.22</v>
      </c>
      <c r="C700" s="1">
        <f ca="1">IFERROR(__xludf.DUMMYFUNCTION("""COMPUTED_VALUE"""),600.1)</f>
        <v>600.1</v>
      </c>
      <c r="D700" s="1">
        <f ca="1">IFERROR(__xludf.DUMMYFUNCTION("""COMPUTED_VALUE"""),589.96)</f>
        <v>589.96</v>
      </c>
      <c r="E700" s="1">
        <f ca="1">IFERROR(__xludf.DUMMYFUNCTION("""COMPUTED_VALUE"""),590.42)</f>
        <v>590.41999999999996</v>
      </c>
      <c r="F700" s="1">
        <f ca="1">IFERROR(__xludf.DUMMYFUNCTION("""COMPUTED_VALUE"""),8251971)</f>
        <v>8251971</v>
      </c>
    </row>
    <row r="701" spans="1:6" ht="12.6">
      <c r="A701" s="2">
        <f ca="1">IFERROR(__xludf.DUMMYFUNCTION("""COMPUTED_VALUE"""),45580.6666666666)</f>
        <v>45580.666666666599</v>
      </c>
      <c r="B701" s="1">
        <f ca="1">IFERROR(__xludf.DUMMYFUNCTION("""COMPUTED_VALUE"""),590.16)</f>
        <v>590.16</v>
      </c>
      <c r="C701" s="1">
        <f ca="1">IFERROR(__xludf.DUMMYFUNCTION("""COMPUTED_VALUE"""),590.61)</f>
        <v>590.61</v>
      </c>
      <c r="D701" s="1">
        <f ca="1">IFERROR(__xludf.DUMMYFUNCTION("""COMPUTED_VALUE"""),580.14)</f>
        <v>580.14</v>
      </c>
      <c r="E701" s="1">
        <f ca="1">IFERROR(__xludf.DUMMYFUNCTION("""COMPUTED_VALUE"""),586.27)</f>
        <v>586.27</v>
      </c>
      <c r="F701" s="1">
        <f ca="1">IFERROR(__xludf.DUMMYFUNCTION("""COMPUTED_VALUE"""),9564236)</f>
        <v>9564236</v>
      </c>
    </row>
    <row r="702" spans="1:6" ht="12.6">
      <c r="A702" s="2">
        <f ca="1">IFERROR(__xludf.DUMMYFUNCTION("""COMPUTED_VALUE"""),45581.6666666666)</f>
        <v>45581.666666666599</v>
      </c>
      <c r="B702" s="1">
        <f ca="1">IFERROR(__xludf.DUMMYFUNCTION("""COMPUTED_VALUE"""),581.4)</f>
        <v>581.4</v>
      </c>
      <c r="C702" s="1">
        <f ca="1">IFERROR(__xludf.DUMMYFUNCTION("""COMPUTED_VALUE"""),582.08)</f>
        <v>582.08000000000004</v>
      </c>
      <c r="D702" s="1">
        <f ca="1">IFERROR(__xludf.DUMMYFUNCTION("""COMPUTED_VALUE"""),574.03)</f>
        <v>574.03</v>
      </c>
      <c r="E702" s="1">
        <f ca="1">IFERROR(__xludf.DUMMYFUNCTION("""COMPUTED_VALUE"""),576.79)</f>
        <v>576.79</v>
      </c>
      <c r="F702" s="1">
        <f ca="1">IFERROR(__xludf.DUMMYFUNCTION("""COMPUTED_VALUE"""),11268384)</f>
        <v>11268384</v>
      </c>
    </row>
    <row r="703" spans="1:6" ht="12.6">
      <c r="A703" s="2">
        <f ca="1">IFERROR(__xludf.DUMMYFUNCTION("""COMPUTED_VALUE"""),45582.6666666666)</f>
        <v>45582.666666666599</v>
      </c>
      <c r="B703" s="1">
        <f ca="1">IFERROR(__xludf.DUMMYFUNCTION("""COMPUTED_VALUE"""),583.33)</f>
        <v>583.33000000000004</v>
      </c>
      <c r="C703" s="1">
        <f ca="1">IFERROR(__xludf.DUMMYFUNCTION("""COMPUTED_VALUE"""),584.97)</f>
        <v>584.97</v>
      </c>
      <c r="D703" s="1">
        <f ca="1">IFERROR(__xludf.DUMMYFUNCTION("""COMPUTED_VALUE"""),575.2)</f>
        <v>575.20000000000005</v>
      </c>
      <c r="E703" s="1">
        <f ca="1">IFERROR(__xludf.DUMMYFUNCTION("""COMPUTED_VALUE"""),576.93)</f>
        <v>576.92999999999995</v>
      </c>
      <c r="F703" s="1">
        <f ca="1">IFERROR(__xludf.DUMMYFUNCTION("""COMPUTED_VALUE"""),8701158)</f>
        <v>8701158</v>
      </c>
    </row>
    <row r="704" spans="1:6" ht="12.6">
      <c r="A704" s="2">
        <f ca="1">IFERROR(__xludf.DUMMYFUNCTION("""COMPUTED_VALUE"""),45583.6666666666)</f>
        <v>45583.666666666599</v>
      </c>
      <c r="B704" s="1">
        <f ca="1">IFERROR(__xludf.DUMMYFUNCTION("""COMPUTED_VALUE"""),581.1)</f>
        <v>581.1</v>
      </c>
      <c r="C704" s="1">
        <f ca="1">IFERROR(__xludf.DUMMYFUNCTION("""COMPUTED_VALUE"""),583.97)</f>
        <v>583.97</v>
      </c>
      <c r="D704" s="1">
        <f ca="1">IFERROR(__xludf.DUMMYFUNCTION("""COMPUTED_VALUE"""),575.25)</f>
        <v>575.25</v>
      </c>
      <c r="E704" s="1">
        <f ca="1">IFERROR(__xludf.DUMMYFUNCTION("""COMPUTED_VALUE"""),576.47)</f>
        <v>576.47</v>
      </c>
      <c r="F704" s="1">
        <f ca="1">IFERROR(__xludf.DUMMYFUNCTION("""COMPUTED_VALUE"""),7694274)</f>
        <v>7694274</v>
      </c>
    </row>
    <row r="705" spans="1:6" ht="12.6">
      <c r="A705" s="2">
        <f ca="1">IFERROR(__xludf.DUMMYFUNCTION("""COMPUTED_VALUE"""),45586.6666666666)</f>
        <v>45586.666666666599</v>
      </c>
      <c r="B705" s="1">
        <f ca="1">IFERROR(__xludf.DUMMYFUNCTION("""COMPUTED_VALUE"""),576.03)</f>
        <v>576.03</v>
      </c>
      <c r="C705" s="1">
        <f ca="1">IFERROR(__xludf.DUMMYFUNCTION("""COMPUTED_VALUE"""),577.24)</f>
        <v>577.24</v>
      </c>
      <c r="D705" s="1">
        <f ca="1">IFERROR(__xludf.DUMMYFUNCTION("""COMPUTED_VALUE"""),569.11)</f>
        <v>569.11</v>
      </c>
      <c r="E705" s="1">
        <f ca="1">IFERROR(__xludf.DUMMYFUNCTION("""COMPUTED_VALUE"""),575.16)</f>
        <v>575.16</v>
      </c>
      <c r="F705" s="1">
        <f ca="1">IFERROR(__xludf.DUMMYFUNCTION("""COMPUTED_VALUE"""),8171879)</f>
        <v>8171879</v>
      </c>
    </row>
    <row r="706" spans="1:6" ht="12.6">
      <c r="A706" s="2">
        <f ca="1">IFERROR(__xludf.DUMMYFUNCTION("""COMPUTED_VALUE"""),45587.6666666666)</f>
        <v>45587.666666666599</v>
      </c>
      <c r="B706" s="1">
        <f ca="1">IFERROR(__xludf.DUMMYFUNCTION("""COMPUTED_VALUE"""),574.29)</f>
        <v>574.29</v>
      </c>
      <c r="C706" s="1">
        <f ca="1">IFERROR(__xludf.DUMMYFUNCTION("""COMPUTED_VALUE"""),583.53)</f>
        <v>583.53</v>
      </c>
      <c r="D706" s="1">
        <f ca="1">IFERROR(__xludf.DUMMYFUNCTION("""COMPUTED_VALUE"""),572.12)</f>
        <v>572.12</v>
      </c>
      <c r="E706" s="1">
        <f ca="1">IFERROR(__xludf.DUMMYFUNCTION("""COMPUTED_VALUE"""),582.01)</f>
        <v>582.01</v>
      </c>
      <c r="F706" s="1">
        <f ca="1">IFERROR(__xludf.DUMMYFUNCTION("""COMPUTED_VALUE"""),8544463)</f>
        <v>8544463</v>
      </c>
    </row>
    <row r="707" spans="1:6" ht="12.6">
      <c r="A707" s="2">
        <f ca="1">IFERROR(__xludf.DUMMYFUNCTION("""COMPUTED_VALUE"""),45588.6666666666)</f>
        <v>45588.666666666599</v>
      </c>
      <c r="B707" s="1">
        <f ca="1">IFERROR(__xludf.DUMMYFUNCTION("""COMPUTED_VALUE"""),579.97)</f>
        <v>579.97</v>
      </c>
      <c r="C707" s="1">
        <f ca="1">IFERROR(__xludf.DUMMYFUNCTION("""COMPUTED_VALUE"""),585)</f>
        <v>585</v>
      </c>
      <c r="D707" s="1">
        <f ca="1">IFERROR(__xludf.DUMMYFUNCTION("""COMPUTED_VALUE"""),562.5)</f>
        <v>562.5</v>
      </c>
      <c r="E707" s="1">
        <f ca="1">IFERROR(__xludf.DUMMYFUNCTION("""COMPUTED_VALUE"""),563.69)</f>
        <v>563.69000000000005</v>
      </c>
      <c r="F707" s="1">
        <f ca="1">IFERROR(__xludf.DUMMYFUNCTION("""COMPUTED_VALUE"""),14248419)</f>
        <v>14248419</v>
      </c>
    </row>
    <row r="708" spans="1:6" ht="12.6">
      <c r="A708" s="2">
        <f ca="1">IFERROR(__xludf.DUMMYFUNCTION("""COMPUTED_VALUE"""),45589.6666666666)</f>
        <v>45589.666666666599</v>
      </c>
      <c r="B708" s="1">
        <f ca="1">IFERROR(__xludf.DUMMYFUNCTION("""COMPUTED_VALUE"""),567.13)</f>
        <v>567.13</v>
      </c>
      <c r="C708" s="1">
        <f ca="1">IFERROR(__xludf.DUMMYFUNCTION("""COMPUTED_VALUE"""),568.88)</f>
        <v>568.88</v>
      </c>
      <c r="D708" s="1">
        <f ca="1">IFERROR(__xludf.DUMMYFUNCTION("""COMPUTED_VALUE"""),561.52)</f>
        <v>561.52</v>
      </c>
      <c r="E708" s="1">
        <f ca="1">IFERROR(__xludf.DUMMYFUNCTION("""COMPUTED_VALUE"""),567.78)</f>
        <v>567.78</v>
      </c>
      <c r="F708" s="1">
        <f ca="1">IFERROR(__xludf.DUMMYFUNCTION("""COMPUTED_VALUE"""),7184651)</f>
        <v>7184651</v>
      </c>
    </row>
    <row r="709" spans="1:6" ht="12.6">
      <c r="A709" s="2">
        <f ca="1">IFERROR(__xludf.DUMMYFUNCTION("""COMPUTED_VALUE"""),45590.6666666666)</f>
        <v>45590.666666666599</v>
      </c>
      <c r="B709" s="1">
        <f ca="1">IFERROR(__xludf.DUMMYFUNCTION("""COMPUTED_VALUE"""),573.93)</f>
        <v>573.92999999999995</v>
      </c>
      <c r="C709" s="1">
        <f ca="1">IFERROR(__xludf.DUMMYFUNCTION("""COMPUTED_VALUE"""),581.29)</f>
        <v>581.29</v>
      </c>
      <c r="D709" s="1">
        <f ca="1">IFERROR(__xludf.DUMMYFUNCTION("""COMPUTED_VALUE"""),571.72)</f>
        <v>571.72</v>
      </c>
      <c r="E709" s="1">
        <f ca="1">IFERROR(__xludf.DUMMYFUNCTION("""COMPUTED_VALUE"""),573.25)</f>
        <v>573.25</v>
      </c>
      <c r="F709" s="1">
        <f ca="1">IFERROR(__xludf.DUMMYFUNCTION("""COMPUTED_VALUE"""),11337874)</f>
        <v>11337874</v>
      </c>
    </row>
    <row r="710" spans="1:6" ht="12.6">
      <c r="A710" s="2">
        <f ca="1">IFERROR(__xludf.DUMMYFUNCTION("""COMPUTED_VALUE"""),45593.6666666666)</f>
        <v>45593.666666666599</v>
      </c>
      <c r="B710" s="1">
        <f ca="1">IFERROR(__xludf.DUMMYFUNCTION("""COMPUTED_VALUE"""),582)</f>
        <v>582</v>
      </c>
      <c r="C710" s="1">
        <f ca="1">IFERROR(__xludf.DUMMYFUNCTION("""COMPUTED_VALUE"""),583.75)</f>
        <v>583.75</v>
      </c>
      <c r="D710" s="1">
        <f ca="1">IFERROR(__xludf.DUMMYFUNCTION("""COMPUTED_VALUE"""),574.12)</f>
        <v>574.12</v>
      </c>
      <c r="E710" s="1">
        <f ca="1">IFERROR(__xludf.DUMMYFUNCTION("""COMPUTED_VALUE"""),578.16)</f>
        <v>578.16</v>
      </c>
      <c r="F710" s="1">
        <f ca="1">IFERROR(__xludf.DUMMYFUNCTION("""COMPUTED_VALUE"""),10925131)</f>
        <v>10925131</v>
      </c>
    </row>
    <row r="711" spans="1:6" ht="12.6">
      <c r="A711" s="2">
        <f ca="1">IFERROR(__xludf.DUMMYFUNCTION("""COMPUTED_VALUE"""),45594.6666666666)</f>
        <v>45594.666666666599</v>
      </c>
      <c r="B711" s="1">
        <f ca="1">IFERROR(__xludf.DUMMYFUNCTION("""COMPUTED_VALUE"""),580.15)</f>
        <v>580.15</v>
      </c>
      <c r="C711" s="1">
        <f ca="1">IFERROR(__xludf.DUMMYFUNCTION("""COMPUTED_VALUE"""),593.67)</f>
        <v>593.66999999999996</v>
      </c>
      <c r="D711" s="1">
        <f ca="1">IFERROR(__xludf.DUMMYFUNCTION("""COMPUTED_VALUE"""),575.4)</f>
        <v>575.4</v>
      </c>
      <c r="E711" s="1">
        <f ca="1">IFERROR(__xludf.DUMMYFUNCTION("""COMPUTED_VALUE"""),593.28)</f>
        <v>593.28</v>
      </c>
      <c r="F711" s="1">
        <f ca="1">IFERROR(__xludf.DUMMYFUNCTION("""COMPUTED_VALUE"""),13019092)</f>
        <v>13019092</v>
      </c>
    </row>
    <row r="712" spans="1:6" ht="12.6">
      <c r="A712" s="2">
        <f ca="1">IFERROR(__xludf.DUMMYFUNCTION("""COMPUTED_VALUE"""),45595.6666666666)</f>
        <v>45595.666666666599</v>
      </c>
      <c r="B712" s="1">
        <f ca="1">IFERROR(__xludf.DUMMYFUNCTION("""COMPUTED_VALUE"""),600.98)</f>
        <v>600.98</v>
      </c>
      <c r="C712" s="1">
        <f ca="1">IFERROR(__xludf.DUMMYFUNCTION("""COMPUTED_VALUE"""),601.2)</f>
        <v>601.20000000000005</v>
      </c>
      <c r="D712" s="1">
        <f ca="1">IFERROR(__xludf.DUMMYFUNCTION("""COMPUTED_VALUE"""),589.38)</f>
        <v>589.38</v>
      </c>
      <c r="E712" s="1">
        <f ca="1">IFERROR(__xludf.DUMMYFUNCTION("""COMPUTED_VALUE"""),591.8)</f>
        <v>591.79999999999995</v>
      </c>
      <c r="F712" s="1">
        <f ca="1">IFERROR(__xludf.DUMMYFUNCTION("""COMPUTED_VALUE"""),26864925)</f>
        <v>26864925</v>
      </c>
    </row>
    <row r="713" spans="1:6" ht="12.6">
      <c r="A713" s="2">
        <f ca="1">IFERROR(__xludf.DUMMYFUNCTION("""COMPUTED_VALUE"""),45596.6666666666)</f>
        <v>45596.666666666599</v>
      </c>
      <c r="B713" s="1">
        <f ca="1">IFERROR(__xludf.DUMMYFUNCTION("""COMPUTED_VALUE"""),585)</f>
        <v>585</v>
      </c>
      <c r="C713" s="1">
        <f ca="1">IFERROR(__xludf.DUMMYFUNCTION("""COMPUTED_VALUE"""),589.9)</f>
        <v>589.9</v>
      </c>
      <c r="D713" s="1">
        <f ca="1">IFERROR(__xludf.DUMMYFUNCTION("""COMPUTED_VALUE"""),563.01)</f>
        <v>563.01</v>
      </c>
      <c r="E713" s="1">
        <f ca="1">IFERROR(__xludf.DUMMYFUNCTION("""COMPUTED_VALUE"""),567.58)</f>
        <v>567.58000000000004</v>
      </c>
      <c r="F713" s="1">
        <f ca="1">IFERROR(__xludf.DUMMYFUNCTION("""COMPUTED_VALUE"""),26838395)</f>
        <v>26838395</v>
      </c>
    </row>
    <row r="714" spans="1:6" ht="12.6">
      <c r="A714" s="2">
        <f ca="1">IFERROR(__xludf.DUMMYFUNCTION("""COMPUTED_VALUE"""),45597.6666666666)</f>
        <v>45597.666666666599</v>
      </c>
      <c r="B714" s="1">
        <f ca="1">IFERROR(__xludf.DUMMYFUNCTION("""COMPUTED_VALUE"""),567.61)</f>
        <v>567.61</v>
      </c>
      <c r="C714" s="1">
        <f ca="1">IFERROR(__xludf.DUMMYFUNCTION("""COMPUTED_VALUE"""),573.67)</f>
        <v>573.66999999999996</v>
      </c>
      <c r="D714" s="1">
        <f ca="1">IFERROR(__xludf.DUMMYFUNCTION("""COMPUTED_VALUE"""),562.56)</f>
        <v>562.55999999999995</v>
      </c>
      <c r="E714" s="1">
        <f ca="1">IFERROR(__xludf.DUMMYFUNCTION("""COMPUTED_VALUE"""),567.16)</f>
        <v>567.16</v>
      </c>
      <c r="F714" s="1">
        <f ca="1">IFERROR(__xludf.DUMMYFUNCTION("""COMPUTED_VALUE"""),15303235)</f>
        <v>15303235</v>
      </c>
    </row>
    <row r="715" spans="1:6" ht="12.6">
      <c r="A715" s="2">
        <f ca="1">IFERROR(__xludf.DUMMYFUNCTION("""COMPUTED_VALUE"""),45600.6666666666)</f>
        <v>45600.666666666599</v>
      </c>
      <c r="B715" s="1">
        <f ca="1">IFERROR(__xludf.DUMMYFUNCTION("""COMPUTED_VALUE"""),564.1)</f>
        <v>564.1</v>
      </c>
      <c r="C715" s="1">
        <f ca="1">IFERROR(__xludf.DUMMYFUNCTION("""COMPUTED_VALUE"""),568.69)</f>
        <v>568.69000000000005</v>
      </c>
      <c r="D715" s="1">
        <f ca="1">IFERROR(__xludf.DUMMYFUNCTION("""COMPUTED_VALUE"""),557.89)</f>
        <v>557.89</v>
      </c>
      <c r="E715" s="1">
        <f ca="1">IFERROR(__xludf.DUMMYFUNCTION("""COMPUTED_VALUE"""),560.68)</f>
        <v>560.67999999999995</v>
      </c>
      <c r="F715" s="1">
        <f ca="1">IFERROR(__xludf.DUMMYFUNCTION("""COMPUTED_VALUE"""),12064601)</f>
        <v>12064601</v>
      </c>
    </row>
    <row r="716" spans="1:6" ht="12.6">
      <c r="A716" s="2">
        <f ca="1">IFERROR(__xludf.DUMMYFUNCTION("""COMPUTED_VALUE"""),45601.6666666666)</f>
        <v>45601.666666666599</v>
      </c>
      <c r="B716" s="1">
        <f ca="1">IFERROR(__xludf.DUMMYFUNCTION("""COMPUTED_VALUE"""),567.3)</f>
        <v>567.29999999999995</v>
      </c>
      <c r="C716" s="1">
        <f ca="1">IFERROR(__xludf.DUMMYFUNCTION("""COMPUTED_VALUE"""),573.48)</f>
        <v>573.48</v>
      </c>
      <c r="D716" s="1">
        <f ca="1">IFERROR(__xludf.DUMMYFUNCTION("""COMPUTED_VALUE"""),566.67)</f>
        <v>566.66999999999996</v>
      </c>
      <c r="E716" s="1">
        <f ca="1">IFERROR(__xludf.DUMMYFUNCTION("""COMPUTED_VALUE"""),572.43)</f>
        <v>572.42999999999995</v>
      </c>
      <c r="F716" s="1">
        <f ca="1">IFERROR(__xludf.DUMMYFUNCTION("""COMPUTED_VALUE"""),9775379)</f>
        <v>9775379</v>
      </c>
    </row>
    <row r="717" spans="1:6" ht="12.6">
      <c r="A717" s="2">
        <f ca="1">IFERROR(__xludf.DUMMYFUNCTION("""COMPUTED_VALUE"""),45602.6666666666)</f>
        <v>45602.666666666599</v>
      </c>
      <c r="B717" s="1">
        <f ca="1">IFERROR(__xludf.DUMMYFUNCTION("""COMPUTED_VALUE"""),562.75)</f>
        <v>562.75</v>
      </c>
      <c r="C717" s="1">
        <f ca="1">IFERROR(__xludf.DUMMYFUNCTION("""COMPUTED_VALUE"""),573)</f>
        <v>573</v>
      </c>
      <c r="D717" s="1">
        <f ca="1">IFERROR(__xludf.DUMMYFUNCTION("""COMPUTED_VALUE"""),555.17)</f>
        <v>555.16999999999996</v>
      </c>
      <c r="E717" s="1">
        <f ca="1">IFERROR(__xludf.DUMMYFUNCTION("""COMPUTED_VALUE"""),572.05)</f>
        <v>572.04999999999995</v>
      </c>
      <c r="F717" s="1">
        <f ca="1">IFERROR(__xludf.DUMMYFUNCTION("""COMPUTED_VALUE"""),18305429)</f>
        <v>18305429</v>
      </c>
    </row>
    <row r="718" spans="1:6" ht="12.6">
      <c r="A718" s="2">
        <f ca="1">IFERROR(__xludf.DUMMYFUNCTION("""COMPUTED_VALUE"""),45603.6666666666)</f>
        <v>45603.666666666599</v>
      </c>
      <c r="B718" s="1">
        <f ca="1">IFERROR(__xludf.DUMMYFUNCTION("""COMPUTED_VALUE"""),576.89)</f>
        <v>576.89</v>
      </c>
      <c r="C718" s="1">
        <f ca="1">IFERROR(__xludf.DUMMYFUNCTION("""COMPUTED_VALUE"""),594.8)</f>
        <v>594.79999999999995</v>
      </c>
      <c r="D718" s="1">
        <f ca="1">IFERROR(__xludf.DUMMYFUNCTION("""COMPUTED_VALUE"""),575.21)</f>
        <v>575.21</v>
      </c>
      <c r="E718" s="1">
        <f ca="1">IFERROR(__xludf.DUMMYFUNCTION("""COMPUTED_VALUE"""),591.7)</f>
        <v>591.70000000000005</v>
      </c>
      <c r="F718" s="1">
        <f ca="1">IFERROR(__xludf.DUMMYFUNCTION("""COMPUTED_VALUE"""),14653708)</f>
        <v>14653708</v>
      </c>
    </row>
    <row r="719" spans="1:6" ht="12.6">
      <c r="A719" s="2">
        <f ca="1">IFERROR(__xludf.DUMMYFUNCTION("""COMPUTED_VALUE"""),45604.6666666666)</f>
        <v>45604.666666666599</v>
      </c>
      <c r="B719" s="1">
        <f ca="1">IFERROR(__xludf.DUMMYFUNCTION("""COMPUTED_VALUE"""),591.54)</f>
        <v>591.54</v>
      </c>
      <c r="C719" s="1">
        <f ca="1">IFERROR(__xludf.DUMMYFUNCTION("""COMPUTED_VALUE"""),593.1)</f>
        <v>593.1</v>
      </c>
      <c r="D719" s="1">
        <f ca="1">IFERROR(__xludf.DUMMYFUNCTION("""COMPUTED_VALUE"""),584.52)</f>
        <v>584.52</v>
      </c>
      <c r="E719" s="1">
        <f ca="1">IFERROR(__xludf.DUMMYFUNCTION("""COMPUTED_VALUE"""),589.34)</f>
        <v>589.34</v>
      </c>
      <c r="F719" s="1">
        <f ca="1">IFERROR(__xludf.DUMMYFUNCTION("""COMPUTED_VALUE"""),9415699)</f>
        <v>9415699</v>
      </c>
    </row>
    <row r="720" spans="1:6" ht="12.6">
      <c r="A720" s="2">
        <f ca="1">IFERROR(__xludf.DUMMYFUNCTION("""COMPUTED_VALUE"""),45607.6666666666)</f>
        <v>45607.666666666599</v>
      </c>
      <c r="B720" s="1">
        <f ca="1">IFERROR(__xludf.DUMMYFUNCTION("""COMPUTED_VALUE"""),586.36)</f>
        <v>586.36</v>
      </c>
      <c r="C720" s="1">
        <f ca="1">IFERROR(__xludf.DUMMYFUNCTION("""COMPUTED_VALUE"""),587)</f>
        <v>587</v>
      </c>
      <c r="D720" s="1">
        <f ca="1">IFERROR(__xludf.DUMMYFUNCTION("""COMPUTED_VALUE"""),576.51)</f>
        <v>576.51</v>
      </c>
      <c r="E720" s="1">
        <f ca="1">IFERROR(__xludf.DUMMYFUNCTION("""COMPUTED_VALUE"""),583.17)</f>
        <v>583.16999999999996</v>
      </c>
      <c r="F720" s="1">
        <f ca="1">IFERROR(__xludf.DUMMYFUNCTION("""COMPUTED_VALUE"""),10209051)</f>
        <v>10209051</v>
      </c>
    </row>
    <row r="721" spans="1:6" ht="12.6">
      <c r="A721" s="2">
        <f ca="1">IFERROR(__xludf.DUMMYFUNCTION("""COMPUTED_VALUE"""),45608.6666666666)</f>
        <v>45608.666666666599</v>
      </c>
      <c r="B721" s="1">
        <f ca="1">IFERROR(__xludf.DUMMYFUNCTION("""COMPUTED_VALUE"""),588.54)</f>
        <v>588.54</v>
      </c>
      <c r="C721" s="1">
        <f ca="1">IFERROR(__xludf.DUMMYFUNCTION("""COMPUTED_VALUE"""),599.66)</f>
        <v>599.66</v>
      </c>
      <c r="D721" s="1">
        <f ca="1">IFERROR(__xludf.DUMMYFUNCTION("""COMPUTED_VALUE"""),580.38)</f>
        <v>580.38</v>
      </c>
      <c r="E721" s="1">
        <f ca="1">IFERROR(__xludf.DUMMYFUNCTION("""COMPUTED_VALUE"""),584.82)</f>
        <v>584.82000000000005</v>
      </c>
      <c r="F721" s="1">
        <f ca="1">IFERROR(__xludf.DUMMYFUNCTION("""COMPUTED_VALUE"""),16287724)</f>
        <v>16287724</v>
      </c>
    </row>
    <row r="722" spans="1:6" ht="12.6">
      <c r="A722" s="2">
        <f ca="1">IFERROR(__xludf.DUMMYFUNCTION("""COMPUTED_VALUE"""),45609.6666666666)</f>
        <v>45609.666666666599</v>
      </c>
      <c r="B722" s="1">
        <f ca="1">IFERROR(__xludf.DUMMYFUNCTION("""COMPUTED_VALUE"""),582.61)</f>
        <v>582.61</v>
      </c>
      <c r="C722" s="1">
        <f ca="1">IFERROR(__xludf.DUMMYFUNCTION("""COMPUTED_VALUE"""),585.64)</f>
        <v>585.64</v>
      </c>
      <c r="D722" s="1">
        <f ca="1">IFERROR(__xludf.DUMMYFUNCTION("""COMPUTED_VALUE"""),575.17)</f>
        <v>575.16999999999996</v>
      </c>
      <c r="E722" s="1">
        <f ca="1">IFERROR(__xludf.DUMMYFUNCTION("""COMPUTED_VALUE"""),580)</f>
        <v>580</v>
      </c>
      <c r="F722" s="1">
        <f ca="1">IFERROR(__xludf.DUMMYFUNCTION("""COMPUTED_VALUE"""),10757583)</f>
        <v>10757583</v>
      </c>
    </row>
    <row r="723" spans="1:6" ht="12.6">
      <c r="A723" s="2">
        <f ca="1">IFERROR(__xludf.DUMMYFUNCTION("""COMPUTED_VALUE"""),45610.6666666666)</f>
        <v>45610.666666666599</v>
      </c>
      <c r="B723" s="1">
        <f ca="1">IFERROR(__xludf.DUMMYFUNCTION("""COMPUTED_VALUE"""),577)</f>
        <v>577</v>
      </c>
      <c r="C723" s="1">
        <f ca="1">IFERROR(__xludf.DUMMYFUNCTION("""COMPUTED_VALUE"""),580.76)</f>
        <v>580.76</v>
      </c>
      <c r="D723" s="1">
        <f ca="1">IFERROR(__xludf.DUMMYFUNCTION("""COMPUTED_VALUE"""),573.01)</f>
        <v>573.01</v>
      </c>
      <c r="E723" s="1">
        <f ca="1">IFERROR(__xludf.DUMMYFUNCTION("""COMPUTED_VALUE"""),577.16)</f>
        <v>577.16</v>
      </c>
      <c r="F723" s="1">
        <f ca="1">IFERROR(__xludf.DUMMYFUNCTION("""COMPUTED_VALUE"""),11053743)</f>
        <v>11053743</v>
      </c>
    </row>
    <row r="724" spans="1:6" ht="12.6">
      <c r="A724" s="2">
        <f ca="1">IFERROR(__xludf.DUMMYFUNCTION("""COMPUTED_VALUE"""),45611.6666666666)</f>
        <v>45611.666666666599</v>
      </c>
      <c r="B724" s="1">
        <f ca="1">IFERROR(__xludf.DUMMYFUNCTION("""COMPUTED_VALUE"""),571.22)</f>
        <v>571.22</v>
      </c>
      <c r="C724" s="1">
        <f ca="1">IFERROR(__xludf.DUMMYFUNCTION("""COMPUTED_VALUE"""),572.57)</f>
        <v>572.57000000000005</v>
      </c>
      <c r="D724" s="1">
        <f ca="1">IFERROR(__xludf.DUMMYFUNCTION("""COMPUTED_VALUE"""),551.5)</f>
        <v>551.5</v>
      </c>
      <c r="E724" s="1">
        <f ca="1">IFERROR(__xludf.DUMMYFUNCTION("""COMPUTED_VALUE"""),554.08)</f>
        <v>554.08000000000004</v>
      </c>
      <c r="F724" s="1">
        <f ca="1">IFERROR(__xludf.DUMMYFUNCTION("""COMPUTED_VALUE"""),17712864)</f>
        <v>17712864</v>
      </c>
    </row>
    <row r="725" spans="1:6" ht="12.6">
      <c r="A725" s="2">
        <f ca="1">IFERROR(__xludf.DUMMYFUNCTION("""COMPUTED_VALUE"""),45614.6666666666)</f>
        <v>45614.666666666599</v>
      </c>
      <c r="B725" s="1">
        <f ca="1">IFERROR(__xludf.DUMMYFUNCTION("""COMPUTED_VALUE"""),557.04)</f>
        <v>557.04</v>
      </c>
      <c r="C725" s="1">
        <f ca="1">IFERROR(__xludf.DUMMYFUNCTION("""COMPUTED_VALUE"""),559.9)</f>
        <v>559.9</v>
      </c>
      <c r="D725" s="1">
        <f ca="1">IFERROR(__xludf.DUMMYFUNCTION("""COMPUTED_VALUE"""),550.09)</f>
        <v>550.09</v>
      </c>
      <c r="E725" s="1">
        <f ca="1">IFERROR(__xludf.DUMMYFUNCTION("""COMPUTED_VALUE"""),554.4)</f>
        <v>554.4</v>
      </c>
      <c r="F725" s="1">
        <f ca="1">IFERROR(__xludf.DUMMYFUNCTION("""COMPUTED_VALUE"""),14346715)</f>
        <v>14346715</v>
      </c>
    </row>
    <row r="726" spans="1:6" ht="12.6">
      <c r="A726" s="2">
        <f ca="1">IFERROR(__xludf.DUMMYFUNCTION("""COMPUTED_VALUE"""),45615.6666666666)</f>
        <v>45615.666666666599</v>
      </c>
      <c r="B726" s="1">
        <f ca="1">IFERROR(__xludf.DUMMYFUNCTION("""COMPUTED_VALUE"""),551.86)</f>
        <v>551.86</v>
      </c>
      <c r="C726" s="1">
        <f ca="1">IFERROR(__xludf.DUMMYFUNCTION("""COMPUTED_VALUE"""),561.43)</f>
        <v>561.42999999999995</v>
      </c>
      <c r="D726" s="1">
        <f ca="1">IFERROR(__xludf.DUMMYFUNCTION("""COMPUTED_VALUE"""),550.6)</f>
        <v>550.6</v>
      </c>
      <c r="E726" s="1">
        <f ca="1">IFERROR(__xludf.DUMMYFUNCTION("""COMPUTED_VALUE"""),561.09)</f>
        <v>561.09</v>
      </c>
      <c r="F726" s="1">
        <f ca="1">IFERROR(__xludf.DUMMYFUNCTION("""COMPUTED_VALUE"""),9522445)</f>
        <v>9522445</v>
      </c>
    </row>
    <row r="727" spans="1:6" ht="12.6">
      <c r="A727" s="2">
        <f ca="1">IFERROR(__xludf.DUMMYFUNCTION("""COMPUTED_VALUE"""),45616.6666666666)</f>
        <v>45616.666666666599</v>
      </c>
      <c r="B727" s="1">
        <f ca="1">IFERROR(__xludf.DUMMYFUNCTION("""COMPUTED_VALUE"""),562.93)</f>
        <v>562.92999999999995</v>
      </c>
      <c r="C727" s="1">
        <f ca="1">IFERROR(__xludf.DUMMYFUNCTION("""COMPUTED_VALUE"""),566.35)</f>
        <v>566.35</v>
      </c>
      <c r="D727" s="1">
        <f ca="1">IFERROR(__xludf.DUMMYFUNCTION("""COMPUTED_VALUE"""),554.2)</f>
        <v>554.20000000000005</v>
      </c>
      <c r="E727" s="1">
        <f ca="1">IFERROR(__xludf.DUMMYFUNCTION("""COMPUTED_VALUE"""),565.52)</f>
        <v>565.52</v>
      </c>
      <c r="F727" s="1">
        <f ca="1">IFERROR(__xludf.DUMMYFUNCTION("""COMPUTED_VALUE"""),9797339)</f>
        <v>9797339</v>
      </c>
    </row>
    <row r="728" spans="1:6" ht="12.6">
      <c r="A728" s="2">
        <f ca="1">IFERROR(__xludf.DUMMYFUNCTION("""COMPUTED_VALUE"""),45617.6666666666)</f>
        <v>45617.666666666599</v>
      </c>
      <c r="B728" s="1">
        <f ca="1">IFERROR(__xludf.DUMMYFUNCTION("""COMPUTED_VALUE"""),569.52)</f>
        <v>569.52</v>
      </c>
      <c r="C728" s="1">
        <f ca="1">IFERROR(__xludf.DUMMYFUNCTION("""COMPUTED_VALUE"""),570)</f>
        <v>570</v>
      </c>
      <c r="D728" s="1">
        <f ca="1">IFERROR(__xludf.DUMMYFUNCTION("""COMPUTED_VALUE"""),549.05)</f>
        <v>549.04999999999995</v>
      </c>
      <c r="E728" s="1">
        <f ca="1">IFERROR(__xludf.DUMMYFUNCTION("""COMPUTED_VALUE"""),563.09)</f>
        <v>563.09</v>
      </c>
      <c r="F728" s="1">
        <f ca="1">IFERROR(__xludf.DUMMYFUNCTION("""COMPUTED_VALUE"""),11154749)</f>
        <v>11154749</v>
      </c>
    </row>
    <row r="729" spans="1:6" ht="12.6">
      <c r="A729" s="2">
        <f ca="1">IFERROR(__xludf.DUMMYFUNCTION("""COMPUTED_VALUE"""),45618.6666666666)</f>
        <v>45618.666666666599</v>
      </c>
      <c r="B729" s="1">
        <f ca="1">IFERROR(__xludf.DUMMYFUNCTION("""COMPUTED_VALUE"""),563.55)</f>
        <v>563.54999999999995</v>
      </c>
      <c r="C729" s="1">
        <f ca="1">IFERROR(__xludf.DUMMYFUNCTION("""COMPUTED_VALUE"""),563.83)</f>
        <v>563.83000000000004</v>
      </c>
      <c r="D729" s="1">
        <f ca="1">IFERROR(__xludf.DUMMYFUNCTION("""COMPUTED_VALUE"""),554.59)</f>
        <v>554.59</v>
      </c>
      <c r="E729" s="1">
        <f ca="1">IFERROR(__xludf.DUMMYFUNCTION("""COMPUTED_VALUE"""),559.14)</f>
        <v>559.14</v>
      </c>
      <c r="F729" s="1">
        <f ca="1">IFERROR(__xludf.DUMMYFUNCTION("""COMPUTED_VALUE"""),9164004)</f>
        <v>9164004</v>
      </c>
    </row>
    <row r="730" spans="1:6" ht="12.6">
      <c r="A730" s="2">
        <f ca="1">IFERROR(__xludf.DUMMYFUNCTION("""COMPUTED_VALUE"""),45621.6666666666)</f>
        <v>45621.666666666599</v>
      </c>
      <c r="B730" s="1">
        <f ca="1">IFERROR(__xludf.DUMMYFUNCTION("""COMPUTED_VALUE"""),562.1)</f>
        <v>562.1</v>
      </c>
      <c r="C730" s="1">
        <f ca="1">IFERROR(__xludf.DUMMYFUNCTION("""COMPUTED_VALUE"""),572.59)</f>
        <v>572.59</v>
      </c>
      <c r="D730" s="1">
        <f ca="1">IFERROR(__xludf.DUMMYFUNCTION("""COMPUTED_VALUE"""),556.39)</f>
        <v>556.39</v>
      </c>
      <c r="E730" s="1">
        <f ca="1">IFERROR(__xludf.DUMMYFUNCTION("""COMPUTED_VALUE"""),565.11)</f>
        <v>565.11</v>
      </c>
      <c r="F730" s="1">
        <f ca="1">IFERROR(__xludf.DUMMYFUNCTION("""COMPUTED_VALUE"""),13599830)</f>
        <v>13599830</v>
      </c>
    </row>
    <row r="731" spans="1:6" ht="12.6">
      <c r="A731" s="2">
        <f ca="1">IFERROR(__xludf.DUMMYFUNCTION("""COMPUTED_VALUE"""),45622.6666666666)</f>
        <v>45622.666666666599</v>
      </c>
      <c r="B731" s="1">
        <f ca="1">IFERROR(__xludf.DUMMYFUNCTION("""COMPUTED_VALUE"""),566)</f>
        <v>566</v>
      </c>
      <c r="C731" s="1">
        <f ca="1">IFERROR(__xludf.DUMMYFUNCTION("""COMPUTED_VALUE"""),577.5)</f>
        <v>577.5</v>
      </c>
      <c r="D731" s="1">
        <f ca="1">IFERROR(__xludf.DUMMYFUNCTION("""COMPUTED_VALUE"""),565.2)</f>
        <v>565.20000000000005</v>
      </c>
      <c r="E731" s="1">
        <f ca="1">IFERROR(__xludf.DUMMYFUNCTION("""COMPUTED_VALUE"""),573.54)</f>
        <v>573.54</v>
      </c>
      <c r="F731" s="1">
        <f ca="1">IFERROR(__xludf.DUMMYFUNCTION("""COMPUTED_VALUE"""),10356550)</f>
        <v>10356550</v>
      </c>
    </row>
    <row r="732" spans="1:6" ht="12.6">
      <c r="A732" s="2">
        <f ca="1">IFERROR(__xludf.DUMMYFUNCTION("""COMPUTED_VALUE"""),45623.6666666666)</f>
        <v>45623.666666666599</v>
      </c>
      <c r="B732" s="1">
        <f ca="1">IFERROR(__xludf.DUMMYFUNCTION("""COMPUTED_VALUE"""),574.89)</f>
        <v>574.89</v>
      </c>
      <c r="C732" s="1">
        <f ca="1">IFERROR(__xludf.DUMMYFUNCTION("""COMPUTED_VALUE"""),574.98)</f>
        <v>574.98</v>
      </c>
      <c r="D732" s="1">
        <f ca="1">IFERROR(__xludf.DUMMYFUNCTION("""COMPUTED_VALUE"""),564.1)</f>
        <v>564.1</v>
      </c>
      <c r="E732" s="1">
        <f ca="1">IFERROR(__xludf.DUMMYFUNCTION("""COMPUTED_VALUE"""),569.2)</f>
        <v>569.20000000000005</v>
      </c>
      <c r="F732" s="1">
        <f ca="1">IFERROR(__xludf.DUMMYFUNCTION("""COMPUTED_VALUE"""),7200228)</f>
        <v>7200228</v>
      </c>
    </row>
    <row r="733" spans="1:6" ht="12.6">
      <c r="A733" s="2">
        <f ca="1">IFERROR(__xludf.DUMMYFUNCTION("""COMPUTED_VALUE"""),45625.5451388888)</f>
        <v>45625.545138888803</v>
      </c>
      <c r="B733" s="1">
        <f ca="1">IFERROR(__xludf.DUMMYFUNCTION("""COMPUTED_VALUE"""),569)</f>
        <v>569</v>
      </c>
      <c r="C733" s="1">
        <f ca="1">IFERROR(__xludf.DUMMYFUNCTION("""COMPUTED_VALUE"""),578.46)</f>
        <v>578.46</v>
      </c>
      <c r="D733" s="1">
        <f ca="1">IFERROR(__xludf.DUMMYFUNCTION("""COMPUTED_VALUE"""),566.9)</f>
        <v>566.9</v>
      </c>
      <c r="E733" s="1">
        <f ca="1">IFERROR(__xludf.DUMMYFUNCTION("""COMPUTED_VALUE"""),574.32)</f>
        <v>574.32000000000005</v>
      </c>
      <c r="F733" s="1">
        <f ca="1">IFERROR(__xludf.DUMMYFUNCTION("""COMPUTED_VALUE"""),7130519)</f>
        <v>7130519</v>
      </c>
    </row>
    <row r="734" spans="1:6" ht="12.6">
      <c r="A734" s="2">
        <f ca="1">IFERROR(__xludf.DUMMYFUNCTION("""COMPUTED_VALUE"""),45628.6666666666)</f>
        <v>45628.666666666599</v>
      </c>
      <c r="B734" s="1">
        <f ca="1">IFERROR(__xludf.DUMMYFUNCTION("""COMPUTED_VALUE"""),577.5)</f>
        <v>577.5</v>
      </c>
      <c r="C734" s="1">
        <f ca="1">IFERROR(__xludf.DUMMYFUNCTION("""COMPUTED_VALUE"""),594.5)</f>
        <v>594.5</v>
      </c>
      <c r="D734" s="1">
        <f ca="1">IFERROR(__xludf.DUMMYFUNCTION("""COMPUTED_VALUE"""),575.57)</f>
        <v>575.57000000000005</v>
      </c>
      <c r="E734" s="1">
        <f ca="1">IFERROR(__xludf.DUMMYFUNCTION("""COMPUTED_VALUE"""),592.83)</f>
        <v>592.83000000000004</v>
      </c>
      <c r="F734" s="1">
        <f ca="1">IFERROR(__xludf.DUMMYFUNCTION("""COMPUTED_VALUE"""),12522371)</f>
        <v>12522371</v>
      </c>
    </row>
    <row r="735" spans="1:6" ht="12.6">
      <c r="A735" s="2">
        <f ca="1">IFERROR(__xludf.DUMMYFUNCTION("""COMPUTED_VALUE"""),45629.6666666666)</f>
        <v>45629.666666666599</v>
      </c>
      <c r="B735" s="1">
        <f ca="1">IFERROR(__xludf.DUMMYFUNCTION("""COMPUTED_VALUE"""),595)</f>
        <v>595</v>
      </c>
      <c r="C735" s="1">
        <f ca="1">IFERROR(__xludf.DUMMYFUNCTION("""COMPUTED_VALUE"""),614.2)</f>
        <v>614.20000000000005</v>
      </c>
      <c r="D735" s="1">
        <f ca="1">IFERROR(__xludf.DUMMYFUNCTION("""COMPUTED_VALUE"""),591.25)</f>
        <v>591.25</v>
      </c>
      <c r="E735" s="1">
        <f ca="1">IFERROR(__xludf.DUMMYFUNCTION("""COMPUTED_VALUE"""),613.65)</f>
        <v>613.65</v>
      </c>
      <c r="F735" s="1">
        <f ca="1">IFERROR(__xludf.DUMMYFUNCTION("""COMPUTED_VALUE"""),14907164)</f>
        <v>14907164</v>
      </c>
    </row>
    <row r="736" spans="1:6" ht="12.6">
      <c r="A736" s="2">
        <f ca="1">IFERROR(__xludf.DUMMYFUNCTION("""COMPUTED_VALUE"""),45630.6666666666)</f>
        <v>45630.666666666599</v>
      </c>
      <c r="B736" s="1">
        <f ca="1">IFERROR(__xludf.DUMMYFUNCTION("""COMPUTED_VALUE"""),612.96)</f>
        <v>612.96</v>
      </c>
      <c r="C736" s="1">
        <f ca="1">IFERROR(__xludf.DUMMYFUNCTION("""COMPUTED_VALUE"""),617.78)</f>
        <v>617.78</v>
      </c>
      <c r="D736" s="1">
        <f ca="1">IFERROR(__xludf.DUMMYFUNCTION("""COMPUTED_VALUE"""),605.1)</f>
        <v>605.1</v>
      </c>
      <c r="E736" s="1">
        <f ca="1">IFERROR(__xludf.DUMMYFUNCTION("""COMPUTED_VALUE"""),613.78)</f>
        <v>613.78</v>
      </c>
      <c r="F736" s="1">
        <f ca="1">IFERROR(__xludf.DUMMYFUNCTION("""COMPUTED_VALUE"""),14697006)</f>
        <v>14697006</v>
      </c>
    </row>
    <row r="737" spans="1:6" ht="12.6">
      <c r="A737" s="2">
        <f ca="1">IFERROR(__xludf.DUMMYFUNCTION("""COMPUTED_VALUE"""),45631.6666666666)</f>
        <v>45631.666666666599</v>
      </c>
      <c r="B737" s="1">
        <f ca="1">IFERROR(__xludf.DUMMYFUNCTION("""COMPUTED_VALUE"""),617.08)</f>
        <v>617.08000000000004</v>
      </c>
      <c r="C737" s="1">
        <f ca="1">IFERROR(__xludf.DUMMYFUNCTION("""COMPUTED_VALUE"""),619.9)</f>
        <v>619.9</v>
      </c>
      <c r="D737" s="1">
        <f ca="1">IFERROR(__xludf.DUMMYFUNCTION("""COMPUTED_VALUE"""),607.05)</f>
        <v>607.04999999999995</v>
      </c>
      <c r="E737" s="1">
        <f ca="1">IFERROR(__xludf.DUMMYFUNCTION("""COMPUTED_VALUE"""),608.93)</f>
        <v>608.92999999999995</v>
      </c>
      <c r="F737" s="1">
        <f ca="1">IFERROR(__xludf.DUMMYFUNCTION("""COMPUTED_VALUE"""),8081212)</f>
        <v>8081212</v>
      </c>
    </row>
    <row r="738" spans="1:6" ht="12.6">
      <c r="A738" s="2">
        <f ca="1">IFERROR(__xludf.DUMMYFUNCTION("""COMPUTED_VALUE"""),45632.6666666666)</f>
        <v>45632.666666666599</v>
      </c>
      <c r="B738" s="1">
        <f ca="1">IFERROR(__xludf.DUMMYFUNCTION("""COMPUTED_VALUE"""),610.1)</f>
        <v>610.1</v>
      </c>
      <c r="C738" s="1">
        <f ca="1">IFERROR(__xludf.DUMMYFUNCTION("""COMPUTED_VALUE"""),629.79)</f>
        <v>629.79</v>
      </c>
      <c r="D738" s="1">
        <f ca="1">IFERROR(__xludf.DUMMYFUNCTION("""COMPUTED_VALUE"""),608.53)</f>
        <v>608.53</v>
      </c>
      <c r="E738" s="1">
        <f ca="1">IFERROR(__xludf.DUMMYFUNCTION("""COMPUTED_VALUE"""),623.77)</f>
        <v>623.77</v>
      </c>
      <c r="F738" s="1">
        <f ca="1">IFERROR(__xludf.DUMMYFUNCTION("""COMPUTED_VALUE"""),16935503)</f>
        <v>16935503</v>
      </c>
    </row>
    <row r="739" spans="1:6" ht="12.6">
      <c r="A739" s="2">
        <f ca="1">IFERROR(__xludf.DUMMYFUNCTION("""COMPUTED_VALUE"""),45635.6666666666)</f>
        <v>45635.666666666599</v>
      </c>
      <c r="B739" s="1">
        <f ca="1">IFERROR(__xludf.DUMMYFUNCTION("""COMPUTED_VALUE"""),623.92)</f>
        <v>623.91999999999996</v>
      </c>
      <c r="C739" s="1">
        <f ca="1">IFERROR(__xludf.DUMMYFUNCTION("""COMPUTED_VALUE"""),626.4)</f>
        <v>626.4</v>
      </c>
      <c r="D739" s="1">
        <f ca="1">IFERROR(__xludf.DUMMYFUNCTION("""COMPUTED_VALUE"""),606.17)</f>
        <v>606.16999999999996</v>
      </c>
      <c r="E739" s="1">
        <f ca="1">IFERROR(__xludf.DUMMYFUNCTION("""COMPUTED_VALUE"""),613.57)</f>
        <v>613.57000000000005</v>
      </c>
      <c r="F739" s="1">
        <f ca="1">IFERROR(__xludf.DUMMYFUNCTION("""COMPUTED_VALUE"""),11426015)</f>
        <v>11426015</v>
      </c>
    </row>
    <row r="740" spans="1:6" ht="12.6">
      <c r="A740" s="2">
        <f ca="1">IFERROR(__xludf.DUMMYFUNCTION("""COMPUTED_VALUE"""),45636.6666666666)</f>
        <v>45636.666666666599</v>
      </c>
      <c r="B740" s="1">
        <f ca="1">IFERROR(__xludf.DUMMYFUNCTION("""COMPUTED_VALUE"""),617.56)</f>
        <v>617.55999999999995</v>
      </c>
      <c r="C740" s="1">
        <f ca="1">IFERROR(__xludf.DUMMYFUNCTION("""COMPUTED_VALUE"""),625.59)</f>
        <v>625.59</v>
      </c>
      <c r="D740" s="1">
        <f ca="1">IFERROR(__xludf.DUMMYFUNCTION("""COMPUTED_VALUE"""),612.74)</f>
        <v>612.74</v>
      </c>
      <c r="E740" s="1">
        <f ca="1">IFERROR(__xludf.DUMMYFUNCTION("""COMPUTED_VALUE"""),619.32)</f>
        <v>619.32000000000005</v>
      </c>
      <c r="F740" s="1">
        <f ca="1">IFERROR(__xludf.DUMMYFUNCTION("""COMPUTED_VALUE"""),10938854)</f>
        <v>10938854</v>
      </c>
    </row>
    <row r="741" spans="1:6" ht="12.6">
      <c r="A741" s="2">
        <f ca="1">IFERROR(__xludf.DUMMYFUNCTION("""COMPUTED_VALUE"""),45637.6666666666)</f>
        <v>45637.666666666599</v>
      </c>
      <c r="B741" s="1">
        <f ca="1">IFERROR(__xludf.DUMMYFUNCTION("""COMPUTED_VALUE"""),623.37)</f>
        <v>623.37</v>
      </c>
      <c r="C741" s="1">
        <f ca="1">IFERROR(__xludf.DUMMYFUNCTION("""COMPUTED_VALUE"""),638.4)</f>
        <v>638.4</v>
      </c>
      <c r="D741" s="1">
        <f ca="1">IFERROR(__xludf.DUMMYFUNCTION("""COMPUTED_VALUE"""),621.53)</f>
        <v>621.53</v>
      </c>
      <c r="E741" s="1">
        <f ca="1">IFERROR(__xludf.DUMMYFUNCTION("""COMPUTED_VALUE"""),632.68)</f>
        <v>632.67999999999995</v>
      </c>
      <c r="F741" s="1">
        <f ca="1">IFERROR(__xludf.DUMMYFUNCTION("""COMPUTED_VALUE"""),10837228)</f>
        <v>10837228</v>
      </c>
    </row>
    <row r="742" spans="1:6" ht="12.6">
      <c r="A742" s="2">
        <f ca="1">IFERROR(__xludf.DUMMYFUNCTION("""COMPUTED_VALUE"""),45638.6666666666)</f>
        <v>45638.666666666599</v>
      </c>
      <c r="B742" s="1">
        <f ca="1">IFERROR(__xludf.DUMMYFUNCTION("""COMPUTED_VALUE"""),631.5)</f>
        <v>631.5</v>
      </c>
      <c r="C742" s="1">
        <f ca="1">IFERROR(__xludf.DUMMYFUNCTION("""COMPUTED_VALUE"""),636.66)</f>
        <v>636.66</v>
      </c>
      <c r="D742" s="1">
        <f ca="1">IFERROR(__xludf.DUMMYFUNCTION("""COMPUTED_VALUE"""),627.21)</f>
        <v>627.21</v>
      </c>
      <c r="E742" s="1">
        <f ca="1">IFERROR(__xludf.DUMMYFUNCTION("""COMPUTED_VALUE"""),630.79)</f>
        <v>630.79</v>
      </c>
      <c r="F742" s="1">
        <f ca="1">IFERROR(__xludf.DUMMYFUNCTION("""COMPUTED_VALUE"""),7474717)</f>
        <v>7474717</v>
      </c>
    </row>
    <row r="743" spans="1:6" ht="12.6">
      <c r="A743" s="2">
        <f ca="1">IFERROR(__xludf.DUMMYFUNCTION("""COMPUTED_VALUE"""),45639.6666666666)</f>
        <v>45639.666666666599</v>
      </c>
      <c r="B743" s="1">
        <f ca="1">IFERROR(__xludf.DUMMYFUNCTION("""COMPUTED_VALUE"""),627.22)</f>
        <v>627.22</v>
      </c>
      <c r="C743" s="1">
        <f ca="1">IFERROR(__xludf.DUMMYFUNCTION("""COMPUTED_VALUE"""),631.08)</f>
        <v>631.08000000000004</v>
      </c>
      <c r="D743" s="1">
        <f ca="1">IFERROR(__xludf.DUMMYFUNCTION("""COMPUTED_VALUE"""),616.89)</f>
        <v>616.89</v>
      </c>
      <c r="E743" s="1">
        <f ca="1">IFERROR(__xludf.DUMMYFUNCTION("""COMPUTED_VALUE"""),620.35)</f>
        <v>620.35</v>
      </c>
      <c r="F743" s="1">
        <f ca="1">IFERROR(__xludf.DUMMYFUNCTION("""COMPUTED_VALUE"""),8453349)</f>
        <v>8453349</v>
      </c>
    </row>
    <row r="744" spans="1:6" ht="12.6">
      <c r="A744" s="2">
        <f ca="1">IFERROR(__xludf.DUMMYFUNCTION("""COMPUTED_VALUE"""),45642.6666666666)</f>
        <v>45642.666666666599</v>
      </c>
      <c r="B744" s="1">
        <f ca="1">IFERROR(__xludf.DUMMYFUNCTION("""COMPUTED_VALUE"""),629.98)</f>
        <v>629.98</v>
      </c>
      <c r="C744" s="1">
        <f ca="1">IFERROR(__xludf.DUMMYFUNCTION("""COMPUTED_VALUE"""),631.15)</f>
        <v>631.15</v>
      </c>
      <c r="D744" s="1">
        <f ca="1">IFERROR(__xludf.DUMMYFUNCTION("""COMPUTED_VALUE"""),618.58)</f>
        <v>618.58000000000004</v>
      </c>
      <c r="E744" s="1">
        <f ca="1">IFERROR(__xludf.DUMMYFUNCTION("""COMPUTED_VALUE"""),624.24)</f>
        <v>624.24</v>
      </c>
      <c r="F744" s="1">
        <f ca="1">IFERROR(__xludf.DUMMYFUNCTION("""COMPUTED_VALUE"""),10885625)</f>
        <v>10885625</v>
      </c>
    </row>
    <row r="745" spans="1:6" ht="12.6">
      <c r="A745" s="2">
        <f ca="1">IFERROR(__xludf.DUMMYFUNCTION("""COMPUTED_VALUE"""),45643.6666666666)</f>
        <v>45643.666666666599</v>
      </c>
      <c r="B745" s="1">
        <f ca="1">IFERROR(__xludf.DUMMYFUNCTION("""COMPUTED_VALUE"""),626.17)</f>
        <v>626.16999999999996</v>
      </c>
      <c r="C745" s="1">
        <f ca="1">IFERROR(__xludf.DUMMYFUNCTION("""COMPUTED_VALUE"""),632.37)</f>
        <v>632.37</v>
      </c>
      <c r="D745" s="1">
        <f ca="1">IFERROR(__xludf.DUMMYFUNCTION("""COMPUTED_VALUE"""),616.54)</f>
        <v>616.54</v>
      </c>
      <c r="E745" s="1">
        <f ca="1">IFERROR(__xludf.DUMMYFUNCTION("""COMPUTED_VALUE"""),619.44)</f>
        <v>619.44000000000005</v>
      </c>
      <c r="F745" s="1">
        <f ca="1">IFERROR(__xludf.DUMMYFUNCTION("""COMPUTED_VALUE"""),12897842)</f>
        <v>12897842</v>
      </c>
    </row>
    <row r="746" spans="1:6" ht="12.6">
      <c r="A746" s="2">
        <f ca="1">IFERROR(__xludf.DUMMYFUNCTION("""COMPUTED_VALUE"""),45644.6666666666)</f>
        <v>45644.666666666599</v>
      </c>
      <c r="B746" s="1">
        <f ca="1">IFERROR(__xludf.DUMMYFUNCTION("""COMPUTED_VALUE"""),621)</f>
        <v>621</v>
      </c>
      <c r="C746" s="1">
        <f ca="1">IFERROR(__xludf.DUMMYFUNCTION("""COMPUTED_VALUE"""),627.36)</f>
        <v>627.36</v>
      </c>
      <c r="D746" s="1">
        <f ca="1">IFERROR(__xludf.DUMMYFUNCTION("""COMPUTED_VALUE"""),596.32)</f>
        <v>596.32000000000005</v>
      </c>
      <c r="E746" s="1">
        <f ca="1">IFERROR(__xludf.DUMMYFUNCTION("""COMPUTED_VALUE"""),597.19)</f>
        <v>597.19000000000005</v>
      </c>
      <c r="F746" s="1">
        <f ca="1">IFERROR(__xludf.DUMMYFUNCTION("""COMPUTED_VALUE"""),17075480)</f>
        <v>17075480</v>
      </c>
    </row>
    <row r="747" spans="1:6" ht="12.6">
      <c r="A747" s="2">
        <f ca="1">IFERROR(__xludf.DUMMYFUNCTION("""COMPUTED_VALUE"""),45645.6666666666)</f>
        <v>45645.666666666599</v>
      </c>
      <c r="B747" s="1">
        <f ca="1">IFERROR(__xludf.DUMMYFUNCTION("""COMPUTED_VALUE"""),610.39)</f>
        <v>610.39</v>
      </c>
      <c r="C747" s="1">
        <f ca="1">IFERROR(__xludf.DUMMYFUNCTION("""COMPUTED_VALUE"""),611.52)</f>
        <v>611.52</v>
      </c>
      <c r="D747" s="1">
        <f ca="1">IFERROR(__xludf.DUMMYFUNCTION("""COMPUTED_VALUE"""),595)</f>
        <v>595</v>
      </c>
      <c r="E747" s="1">
        <f ca="1">IFERROR(__xludf.DUMMYFUNCTION("""COMPUTED_VALUE"""),595.57)</f>
        <v>595.57000000000005</v>
      </c>
      <c r="F747" s="1">
        <f ca="1">IFERROR(__xludf.DUMMYFUNCTION("""COMPUTED_VALUE"""),14958082)</f>
        <v>14958082</v>
      </c>
    </row>
    <row r="748" spans="1:6" ht="12.6">
      <c r="A748" s="2">
        <f ca="1">IFERROR(__xludf.DUMMYFUNCTION("""COMPUTED_VALUE"""),45646.6666666666)</f>
        <v>45646.666666666599</v>
      </c>
      <c r="B748" s="1">
        <f ca="1">IFERROR(__xludf.DUMMYFUNCTION("""COMPUTED_VALUE"""),590.58)</f>
        <v>590.58000000000004</v>
      </c>
      <c r="C748" s="1">
        <f ca="1">IFERROR(__xludf.DUMMYFUNCTION("""COMPUTED_VALUE"""),603.11)</f>
        <v>603.11</v>
      </c>
      <c r="D748" s="1">
        <f ca="1">IFERROR(__xludf.DUMMYFUNCTION("""COMPUTED_VALUE"""),580)</f>
        <v>580</v>
      </c>
      <c r="E748" s="1">
        <f ca="1">IFERROR(__xludf.DUMMYFUNCTION("""COMPUTED_VALUE"""),585.25)</f>
        <v>585.25</v>
      </c>
      <c r="F748" s="1">
        <f ca="1">IFERROR(__xludf.DUMMYFUNCTION("""COMPUTED_VALUE"""),48989390)</f>
        <v>48989390</v>
      </c>
    </row>
    <row r="749" spans="1:6" ht="12.6">
      <c r="A749" s="2">
        <f ca="1">IFERROR(__xludf.DUMMYFUNCTION("""COMPUTED_VALUE"""),45649.6666666666)</f>
        <v>45649.666666666599</v>
      </c>
      <c r="B749" s="1">
        <f ca="1">IFERROR(__xludf.DUMMYFUNCTION("""COMPUTED_VALUE"""),589.6)</f>
        <v>589.6</v>
      </c>
      <c r="C749" s="1">
        <f ca="1">IFERROR(__xludf.DUMMYFUNCTION("""COMPUTED_VALUE"""),601.09)</f>
        <v>601.09</v>
      </c>
      <c r="D749" s="1">
        <f ca="1">IFERROR(__xludf.DUMMYFUNCTION("""COMPUTED_VALUE"""),586.25)</f>
        <v>586.25</v>
      </c>
      <c r="E749" s="1">
        <f ca="1">IFERROR(__xludf.DUMMYFUNCTION("""COMPUTED_VALUE"""),599.85)</f>
        <v>599.85</v>
      </c>
      <c r="F749" s="1">
        <f ca="1">IFERROR(__xludf.DUMMYFUNCTION("""COMPUTED_VALUE"""),10205750)</f>
        <v>10205750</v>
      </c>
    </row>
    <row r="750" spans="1:6" ht="12.6">
      <c r="A750" s="2">
        <f ca="1">IFERROR(__xludf.DUMMYFUNCTION("""COMPUTED_VALUE"""),45650.5451388888)</f>
        <v>45650.545138888803</v>
      </c>
      <c r="B750" s="1">
        <f ca="1">IFERROR(__xludf.DUMMYFUNCTION("""COMPUTED_VALUE"""),602.72)</f>
        <v>602.72</v>
      </c>
      <c r="C750" s="1">
        <f ca="1">IFERROR(__xludf.DUMMYFUNCTION("""COMPUTED_VALUE"""),607.99)</f>
        <v>607.99</v>
      </c>
      <c r="D750" s="1">
        <f ca="1">IFERROR(__xludf.DUMMYFUNCTION("""COMPUTED_VALUE"""),599.28)</f>
        <v>599.28</v>
      </c>
      <c r="E750" s="1">
        <f ca="1">IFERROR(__xludf.DUMMYFUNCTION("""COMPUTED_VALUE"""),607.75)</f>
        <v>607.75</v>
      </c>
      <c r="F750" s="1">
        <f ca="1">IFERROR(__xludf.DUMMYFUNCTION("""COMPUTED_VALUE"""),4726056)</f>
        <v>4726056</v>
      </c>
    </row>
    <row r="751" spans="1:6" ht="12.6">
      <c r="A751" s="2">
        <f ca="1">IFERROR(__xludf.DUMMYFUNCTION("""COMPUTED_VALUE"""),45652.6666666666)</f>
        <v>45652.666666666599</v>
      </c>
      <c r="B751" s="1">
        <f ca="1">IFERROR(__xludf.DUMMYFUNCTION("""COMPUTED_VALUE"""),605.48)</f>
        <v>605.48</v>
      </c>
      <c r="C751" s="1">
        <f ca="1">IFERROR(__xludf.DUMMYFUNCTION("""COMPUTED_VALUE"""),606.3)</f>
        <v>606.29999999999995</v>
      </c>
      <c r="D751" s="1">
        <f ca="1">IFERROR(__xludf.DUMMYFUNCTION("""COMPUTED_VALUE"""),598.94)</f>
        <v>598.94000000000005</v>
      </c>
      <c r="E751" s="1">
        <f ca="1">IFERROR(__xludf.DUMMYFUNCTION("""COMPUTED_VALUE"""),603.35)</f>
        <v>603.35</v>
      </c>
      <c r="F751" s="1">
        <f ca="1">IFERROR(__xludf.DUMMYFUNCTION("""COMPUTED_VALUE"""),6091239)</f>
        <v>6091239</v>
      </c>
    </row>
    <row r="752" spans="1:6" ht="12.6">
      <c r="A752" s="2">
        <f ca="1">IFERROR(__xludf.DUMMYFUNCTION("""COMPUTED_VALUE"""),45653.6666666666)</f>
        <v>45653.666666666599</v>
      </c>
      <c r="B752" s="1">
        <f ca="1">IFERROR(__xludf.DUMMYFUNCTION("""COMPUTED_VALUE"""),599.41)</f>
        <v>599.41</v>
      </c>
      <c r="C752" s="1">
        <f ca="1">IFERROR(__xludf.DUMMYFUNCTION("""COMPUTED_VALUE"""),601.85)</f>
        <v>601.85</v>
      </c>
      <c r="D752" s="1">
        <f ca="1">IFERROR(__xludf.DUMMYFUNCTION("""COMPUTED_VALUE"""),589.8)</f>
        <v>589.79999999999995</v>
      </c>
      <c r="E752" s="1">
        <f ca="1">IFERROR(__xludf.DUMMYFUNCTION("""COMPUTED_VALUE"""),599.81)</f>
        <v>599.80999999999995</v>
      </c>
      <c r="F752" s="1">
        <f ca="1">IFERROR(__xludf.DUMMYFUNCTION("""COMPUTED_VALUE"""),8084229)</f>
        <v>8084229</v>
      </c>
    </row>
    <row r="753" spans="1:6" ht="12.6">
      <c r="A753" s="2">
        <f ca="1">IFERROR(__xludf.DUMMYFUNCTION("""COMPUTED_VALUE"""),45656.6666666666)</f>
        <v>45656.666666666599</v>
      </c>
      <c r="B753" s="1">
        <f ca="1">IFERROR(__xludf.DUMMYFUNCTION("""COMPUTED_VALUE"""),588.75)</f>
        <v>588.75</v>
      </c>
      <c r="C753" s="1">
        <f ca="1">IFERROR(__xludf.DUMMYFUNCTION("""COMPUTED_VALUE"""),596.94)</f>
        <v>596.94000000000005</v>
      </c>
      <c r="D753" s="1">
        <f ca="1">IFERROR(__xludf.DUMMYFUNCTION("""COMPUTED_VALUE"""),585.58)</f>
        <v>585.58000000000004</v>
      </c>
      <c r="E753" s="1">
        <f ca="1">IFERROR(__xludf.DUMMYFUNCTION("""COMPUTED_VALUE"""),591.24)</f>
        <v>591.24</v>
      </c>
      <c r="F753" s="1">
        <f ca="1">IFERROR(__xludf.DUMMYFUNCTION("""COMPUTED_VALUE"""),7025864)</f>
        <v>7025864</v>
      </c>
    </row>
    <row r="754" spans="1:6" ht="12.6">
      <c r="A754" s="2">
        <f ca="1">IFERROR(__xludf.DUMMYFUNCTION("""COMPUTED_VALUE"""),45657.6666666666)</f>
        <v>45657.666666666599</v>
      </c>
      <c r="B754" s="1">
        <f ca="1">IFERROR(__xludf.DUMMYFUNCTION("""COMPUTED_VALUE"""),592.27)</f>
        <v>592.27</v>
      </c>
      <c r="C754" s="1">
        <f ca="1">IFERROR(__xludf.DUMMYFUNCTION("""COMPUTED_VALUE"""),593.97)</f>
        <v>593.97</v>
      </c>
      <c r="D754" s="1">
        <f ca="1">IFERROR(__xludf.DUMMYFUNCTION("""COMPUTED_VALUE"""),583.85)</f>
        <v>583.85</v>
      </c>
      <c r="E754" s="1">
        <f ca="1">IFERROR(__xludf.DUMMYFUNCTION("""COMPUTED_VALUE"""),585.51)</f>
        <v>585.51</v>
      </c>
      <c r="F754" s="1">
        <f ca="1">IFERROR(__xludf.DUMMYFUNCTION("""COMPUTED_VALUE"""),6019520)</f>
        <v>6019520</v>
      </c>
    </row>
    <row r="755" spans="1:6" ht="12.6">
      <c r="A755" s="2">
        <f ca="1">IFERROR(__xludf.DUMMYFUNCTION("""COMPUTED_VALUE"""),45659.6666666666)</f>
        <v>45659.666666666599</v>
      </c>
      <c r="B755" s="1">
        <f ca="1">IFERROR(__xludf.DUMMYFUNCTION("""COMPUTED_VALUE"""),589.72)</f>
        <v>589.72</v>
      </c>
      <c r="C755" s="1">
        <f ca="1">IFERROR(__xludf.DUMMYFUNCTION("""COMPUTED_VALUE"""),604.91)</f>
        <v>604.91</v>
      </c>
      <c r="D755" s="1">
        <f ca="1">IFERROR(__xludf.DUMMYFUNCTION("""COMPUTED_VALUE"""),587.82)</f>
        <v>587.82000000000005</v>
      </c>
      <c r="E755" s="1">
        <f ca="1">IFERROR(__xludf.DUMMYFUNCTION("""COMPUTED_VALUE"""),599.24)</f>
        <v>599.24</v>
      </c>
      <c r="F755" s="1">
        <f ca="1">IFERROR(__xludf.DUMMYFUNCTION("""COMPUTED_VALUE"""),12682269)</f>
        <v>12682269</v>
      </c>
    </row>
    <row r="756" spans="1:6" ht="12.6">
      <c r="A756" s="2">
        <f ca="1">IFERROR(__xludf.DUMMYFUNCTION("""COMPUTED_VALUE"""),45660.6666666666)</f>
        <v>45660.666666666599</v>
      </c>
      <c r="B756" s="1">
        <f ca="1">IFERROR(__xludf.DUMMYFUNCTION("""COMPUTED_VALUE"""),604.76)</f>
        <v>604.76</v>
      </c>
      <c r="C756" s="1">
        <f ca="1">IFERROR(__xludf.DUMMYFUNCTION("""COMPUTED_VALUE"""),609.5)</f>
        <v>609.5</v>
      </c>
      <c r="D756" s="1">
        <f ca="1">IFERROR(__xludf.DUMMYFUNCTION("""COMPUTED_VALUE"""),596.41)</f>
        <v>596.41</v>
      </c>
      <c r="E756" s="1">
        <f ca="1">IFERROR(__xludf.DUMMYFUNCTION("""COMPUTED_VALUE"""),604.63)</f>
        <v>604.63</v>
      </c>
      <c r="F756" s="1">
        <f ca="1">IFERROR(__xludf.DUMMYFUNCTION("""COMPUTED_VALUE"""),11436784)</f>
        <v>11436784</v>
      </c>
    </row>
    <row r="757" spans="1:6" ht="12.6">
      <c r="A757" s="2">
        <f ca="1">IFERROR(__xludf.DUMMYFUNCTION("""COMPUTED_VALUE"""),45663.6666666666)</f>
        <v>45663.666666666599</v>
      </c>
      <c r="B757" s="1">
        <f ca="1">IFERROR(__xludf.DUMMYFUNCTION("""COMPUTED_VALUE"""),611.83)</f>
        <v>611.83000000000004</v>
      </c>
      <c r="C757" s="1">
        <f ca="1">IFERROR(__xludf.DUMMYFUNCTION("""COMPUTED_VALUE"""),630.99)</f>
        <v>630.99</v>
      </c>
      <c r="D757" s="1">
        <f ca="1">IFERROR(__xludf.DUMMYFUNCTION("""COMPUTED_VALUE"""),605.62)</f>
        <v>605.62</v>
      </c>
      <c r="E757" s="1">
        <f ca="1">IFERROR(__xludf.DUMMYFUNCTION("""COMPUTED_VALUE"""),630.2)</f>
        <v>630.20000000000005</v>
      </c>
      <c r="F757" s="1">
        <f ca="1">IFERROR(__xludf.DUMMYFUNCTION("""COMPUTED_VALUE"""),14560754)</f>
        <v>14560754</v>
      </c>
    </row>
    <row r="758" spans="1:6" ht="12.6">
      <c r="A758" s="2">
        <f ca="1">IFERROR(__xludf.DUMMYFUNCTION("""COMPUTED_VALUE"""),45664.6666666666)</f>
        <v>45664.666666666599</v>
      </c>
      <c r="B758" s="1">
        <f ca="1">IFERROR(__xludf.DUMMYFUNCTION("""COMPUTED_VALUE"""),631.7)</f>
        <v>631.70000000000005</v>
      </c>
      <c r="C758" s="1">
        <f ca="1">IFERROR(__xludf.DUMMYFUNCTION("""COMPUTED_VALUE"""),632.1)</f>
        <v>632.1</v>
      </c>
      <c r="D758" s="1">
        <f ca="1">IFERROR(__xludf.DUMMYFUNCTION("""COMPUTED_VALUE"""),608.23)</f>
        <v>608.23</v>
      </c>
      <c r="E758" s="1">
        <f ca="1">IFERROR(__xludf.DUMMYFUNCTION("""COMPUTED_VALUE"""),617.89)</f>
        <v>617.89</v>
      </c>
      <c r="F758" s="1">
        <f ca="1">IFERROR(__xludf.DUMMYFUNCTION("""COMPUTED_VALUE"""),12071479)</f>
        <v>12071479</v>
      </c>
    </row>
    <row r="759" spans="1:6" ht="12.6">
      <c r="A759" s="2">
        <f ca="1">IFERROR(__xludf.DUMMYFUNCTION("""COMPUTED_VALUE"""),45665.6666666666)</f>
        <v>45665.666666666599</v>
      </c>
      <c r="B759" s="1">
        <f ca="1">IFERROR(__xludf.DUMMYFUNCTION("""COMPUTED_VALUE"""),613.4)</f>
        <v>613.4</v>
      </c>
      <c r="C759" s="1">
        <f ca="1">IFERROR(__xludf.DUMMYFUNCTION("""COMPUTED_VALUE"""),616.44)</f>
        <v>616.44000000000005</v>
      </c>
      <c r="D759" s="1">
        <f ca="1">IFERROR(__xludf.DUMMYFUNCTION("""COMPUTED_VALUE"""),602.79)</f>
        <v>602.79</v>
      </c>
      <c r="E759" s="1">
        <f ca="1">IFERROR(__xludf.DUMMYFUNCTION("""COMPUTED_VALUE"""),610.72)</f>
        <v>610.72</v>
      </c>
      <c r="F759" s="1">
        <f ca="1">IFERROR(__xludf.DUMMYFUNCTION("""COMPUTED_VALUE"""),10085846)</f>
        <v>10085846</v>
      </c>
    </row>
    <row r="760" spans="1:6" ht="12.6">
      <c r="A760" s="2">
        <f ca="1">IFERROR(__xludf.DUMMYFUNCTION("""COMPUTED_VALUE"""),45667.6666666666)</f>
        <v>45667.666666666599</v>
      </c>
      <c r="B760" s="1">
        <f ca="1">IFERROR(__xludf.DUMMYFUNCTION("""COMPUTED_VALUE"""),610.03)</f>
        <v>610.03</v>
      </c>
      <c r="C760" s="1">
        <f ca="1">IFERROR(__xludf.DUMMYFUNCTION("""COMPUTED_VALUE"""),629.91)</f>
        <v>629.91</v>
      </c>
      <c r="D760" s="1">
        <f ca="1">IFERROR(__xludf.DUMMYFUNCTION("""COMPUTED_VALUE"""),597.34)</f>
        <v>597.34</v>
      </c>
      <c r="E760" s="1">
        <f ca="1">IFERROR(__xludf.DUMMYFUNCTION("""COMPUTED_VALUE"""),615.86)</f>
        <v>615.86</v>
      </c>
      <c r="F760" s="1">
        <f ca="1">IFERROR(__xludf.DUMMYFUNCTION("""COMPUTED_VALUE"""),19256564)</f>
        <v>19256564</v>
      </c>
    </row>
    <row r="761" spans="1:6" ht="12.6">
      <c r="A761" s="2">
        <f ca="1">IFERROR(__xludf.DUMMYFUNCTION("""COMPUTED_VALUE"""),45670.6666666666)</f>
        <v>45670.666666666599</v>
      </c>
      <c r="B761" s="1">
        <f ca="1">IFERROR(__xludf.DUMMYFUNCTION("""COMPUTED_VALUE"""),607.1)</f>
        <v>607.1</v>
      </c>
      <c r="C761" s="1">
        <f ca="1">IFERROR(__xludf.DUMMYFUNCTION("""COMPUTED_VALUE"""),608.97)</f>
        <v>608.97</v>
      </c>
      <c r="D761" s="1">
        <f ca="1">IFERROR(__xludf.DUMMYFUNCTION("""COMPUTED_VALUE"""),598.45)</f>
        <v>598.45000000000005</v>
      </c>
      <c r="E761" s="1">
        <f ca="1">IFERROR(__xludf.DUMMYFUNCTION("""COMPUTED_VALUE"""),608.33)</f>
        <v>608.33000000000004</v>
      </c>
      <c r="F761" s="1">
        <f ca="1">IFERROR(__xludf.DUMMYFUNCTION("""COMPUTED_VALUE"""),10785031)</f>
        <v>10785031</v>
      </c>
    </row>
    <row r="762" spans="1:6" ht="12.6">
      <c r="A762" s="2">
        <f ca="1">IFERROR(__xludf.DUMMYFUNCTION("""COMPUTED_VALUE"""),45671.6666666666)</f>
        <v>45671.666666666599</v>
      </c>
      <c r="B762" s="1">
        <f ca="1">IFERROR(__xludf.DUMMYFUNCTION("""COMPUTED_VALUE"""),605.07)</f>
        <v>605.07000000000005</v>
      </c>
      <c r="C762" s="1">
        <f ca="1">IFERROR(__xludf.DUMMYFUNCTION("""COMPUTED_VALUE"""),605.49)</f>
        <v>605.49</v>
      </c>
      <c r="D762" s="1">
        <f ca="1">IFERROR(__xludf.DUMMYFUNCTION("""COMPUTED_VALUE"""),588.55)</f>
        <v>588.54999999999995</v>
      </c>
      <c r="E762" s="1">
        <f ca="1">IFERROR(__xludf.DUMMYFUNCTION("""COMPUTED_VALUE"""),594.25)</f>
        <v>594.25</v>
      </c>
      <c r="F762" s="1">
        <f ca="1">IFERROR(__xludf.DUMMYFUNCTION("""COMPUTED_VALUE"""),13597992)</f>
        <v>13597992</v>
      </c>
    </row>
    <row r="763" spans="1:6" ht="12.6">
      <c r="A763" s="2">
        <f ca="1">IFERROR(__xludf.DUMMYFUNCTION("""COMPUTED_VALUE"""),45672.6666666666)</f>
        <v>45672.666666666599</v>
      </c>
      <c r="B763" s="1">
        <f ca="1">IFERROR(__xludf.DUMMYFUNCTION("""COMPUTED_VALUE"""),610.21)</f>
        <v>610.21</v>
      </c>
      <c r="C763" s="1">
        <f ca="1">IFERROR(__xludf.DUMMYFUNCTION("""COMPUTED_VALUE"""),622.46)</f>
        <v>622.46</v>
      </c>
      <c r="D763" s="1">
        <f ca="1">IFERROR(__xludf.DUMMYFUNCTION("""COMPUTED_VALUE"""),606.5)</f>
        <v>606.5</v>
      </c>
      <c r="E763" s="1">
        <f ca="1">IFERROR(__xludf.DUMMYFUNCTION("""COMPUTED_VALUE"""),617.12)</f>
        <v>617.12</v>
      </c>
      <c r="F763" s="1">
        <f ca="1">IFERROR(__xludf.DUMMYFUNCTION("""COMPUTED_VALUE"""),15524302)</f>
        <v>15524302</v>
      </c>
    </row>
    <row r="764" spans="1:6" ht="12.6">
      <c r="A764" s="2">
        <f ca="1">IFERROR(__xludf.DUMMYFUNCTION("""COMPUTED_VALUE"""),45673.6666666666)</f>
        <v>45673.666666666599</v>
      </c>
      <c r="B764" s="1">
        <f ca="1">IFERROR(__xludf.DUMMYFUNCTION("""COMPUTED_VALUE"""),611.5)</f>
        <v>611.5</v>
      </c>
      <c r="C764" s="1">
        <f ca="1">IFERROR(__xludf.DUMMYFUNCTION("""COMPUTED_VALUE"""),616.25)</f>
        <v>616.25</v>
      </c>
      <c r="D764" s="1">
        <f ca="1">IFERROR(__xludf.DUMMYFUNCTION("""COMPUTED_VALUE"""),609.71)</f>
        <v>609.71</v>
      </c>
      <c r="E764" s="1">
        <f ca="1">IFERROR(__xludf.DUMMYFUNCTION("""COMPUTED_VALUE"""),611.3)</f>
        <v>611.29999999999995</v>
      </c>
      <c r="F764" s="1">
        <f ca="1">IFERROR(__xludf.DUMMYFUNCTION("""COMPUTED_VALUE"""),8355349)</f>
        <v>8355349</v>
      </c>
    </row>
    <row r="765" spans="1:6" ht="12.6">
      <c r="A765" s="2">
        <f ca="1">IFERROR(__xludf.DUMMYFUNCTION("""COMPUTED_VALUE"""),45674.6666666666)</f>
        <v>45674.666666666599</v>
      </c>
      <c r="B765" s="1">
        <f ca="1">IFERROR(__xludf.DUMMYFUNCTION("""COMPUTED_VALUE"""),624.05)</f>
        <v>624.04999999999995</v>
      </c>
      <c r="C765" s="1">
        <f ca="1">IFERROR(__xludf.DUMMYFUNCTION("""COMPUTED_VALUE"""),624.97)</f>
        <v>624.97</v>
      </c>
      <c r="D765" s="1">
        <f ca="1">IFERROR(__xludf.DUMMYFUNCTION("""COMPUTED_VALUE"""),603.67)</f>
        <v>603.66999999999996</v>
      </c>
      <c r="E765" s="1">
        <f ca="1">IFERROR(__xludf.DUMMYFUNCTION("""COMPUTED_VALUE"""),612.77)</f>
        <v>612.77</v>
      </c>
      <c r="F765" s="1">
        <f ca="1">IFERROR(__xludf.DUMMYFUNCTION("""COMPUTED_VALUE"""),17280600)</f>
        <v>17280600</v>
      </c>
    </row>
    <row r="766" spans="1:6" ht="12.6">
      <c r="A766" s="2">
        <f ca="1">IFERROR(__xludf.DUMMYFUNCTION("""COMPUTED_VALUE"""),45678.6666666666)</f>
        <v>45678.666666666599</v>
      </c>
      <c r="B766" s="1">
        <f ca="1">IFERROR(__xludf.DUMMYFUNCTION("""COMPUTED_VALUE"""),617.83)</f>
        <v>617.83000000000004</v>
      </c>
      <c r="C766" s="1">
        <f ca="1">IFERROR(__xludf.DUMMYFUNCTION("""COMPUTED_VALUE"""),621.5)</f>
        <v>621.5</v>
      </c>
      <c r="D766" s="1">
        <f ca="1">IFERROR(__xludf.DUMMYFUNCTION("""COMPUTED_VALUE"""),609.01)</f>
        <v>609.01</v>
      </c>
      <c r="E766" s="1">
        <f ca="1">IFERROR(__xludf.DUMMYFUNCTION("""COMPUTED_VALUE"""),616.46)</f>
        <v>616.46</v>
      </c>
      <c r="F766" s="1">
        <f ca="1">IFERROR(__xludf.DUMMYFUNCTION("""COMPUTED_VALUE"""),11674016)</f>
        <v>11674016</v>
      </c>
    </row>
    <row r="767" spans="1:6" ht="12.6">
      <c r="A767" s="2">
        <f ca="1">IFERROR(__xludf.DUMMYFUNCTION("""COMPUTED_VALUE"""),45679.6666666666)</f>
        <v>45679.666666666599</v>
      </c>
      <c r="B767" s="1">
        <f ca="1">IFERROR(__xludf.DUMMYFUNCTION("""COMPUTED_VALUE"""),623.3)</f>
        <v>623.29999999999995</v>
      </c>
      <c r="C767" s="1">
        <f ca="1">IFERROR(__xludf.DUMMYFUNCTION("""COMPUTED_VALUE"""),633.7)</f>
        <v>633.70000000000005</v>
      </c>
      <c r="D767" s="1">
        <f ca="1">IFERROR(__xludf.DUMMYFUNCTION("""COMPUTED_VALUE"""),619.43)</f>
        <v>619.42999999999995</v>
      </c>
      <c r="E767" s="1">
        <f ca="1">IFERROR(__xludf.DUMMYFUNCTION("""COMPUTED_VALUE"""),623.5)</f>
        <v>623.5</v>
      </c>
      <c r="F767" s="1">
        <f ca="1">IFERROR(__xludf.DUMMYFUNCTION("""COMPUTED_VALUE"""),12274011)</f>
        <v>12274011</v>
      </c>
    </row>
    <row r="768" spans="1:6" ht="12.6">
      <c r="A768" s="2">
        <f ca="1">IFERROR(__xludf.DUMMYFUNCTION("""COMPUTED_VALUE"""),45680.6666666666)</f>
        <v>45680.666666666599</v>
      </c>
      <c r="B768" s="1">
        <f ca="1">IFERROR(__xludf.DUMMYFUNCTION("""COMPUTED_VALUE"""),627.36)</f>
        <v>627.36</v>
      </c>
      <c r="C768" s="1">
        <f ca="1">IFERROR(__xludf.DUMMYFUNCTION("""COMPUTED_VALUE"""),636.6)</f>
        <v>636.6</v>
      </c>
      <c r="D768" s="1">
        <f ca="1">IFERROR(__xludf.DUMMYFUNCTION("""COMPUTED_VALUE"""),621.15)</f>
        <v>621.15</v>
      </c>
      <c r="E768" s="1">
        <f ca="1">IFERROR(__xludf.DUMMYFUNCTION("""COMPUTED_VALUE"""),636.45)</f>
        <v>636.45000000000005</v>
      </c>
      <c r="F768" s="1">
        <f ca="1">IFERROR(__xludf.DUMMYFUNCTION("""COMPUTED_VALUE"""),9910163)</f>
        <v>9910163</v>
      </c>
    </row>
    <row r="769" spans="1:6" ht="12.6">
      <c r="A769" s="2">
        <f ca="1">IFERROR(__xludf.DUMMYFUNCTION("""COMPUTED_VALUE"""),45681.6666666666)</f>
        <v>45681.666666666599</v>
      </c>
      <c r="B769" s="1">
        <f ca="1">IFERROR(__xludf.DUMMYFUNCTION("""COMPUTED_VALUE"""),636.4)</f>
        <v>636.4</v>
      </c>
      <c r="C769" s="1">
        <f ca="1">IFERROR(__xludf.DUMMYFUNCTION("""COMPUTED_VALUE"""),652)</f>
        <v>652</v>
      </c>
      <c r="D769" s="1">
        <f ca="1">IFERROR(__xludf.DUMMYFUNCTION("""COMPUTED_VALUE"""),634.2)</f>
        <v>634.20000000000005</v>
      </c>
      <c r="E769" s="1">
        <f ca="1">IFERROR(__xludf.DUMMYFUNCTION("""COMPUTED_VALUE"""),647.49)</f>
        <v>647.49</v>
      </c>
      <c r="F769" s="1">
        <f ca="1">IFERROR(__xludf.DUMMYFUNCTION("""COMPUTED_VALUE"""),19065329)</f>
        <v>19065329</v>
      </c>
    </row>
    <row r="770" spans="1:6" ht="12.6">
      <c r="A770" s="2">
        <f ca="1">IFERROR(__xludf.DUMMYFUNCTION("""COMPUTED_VALUE"""),45684.6666666666)</f>
        <v>45684.666666666599</v>
      </c>
      <c r="B770" s="1">
        <f ca="1">IFERROR(__xludf.DUMMYFUNCTION("""COMPUTED_VALUE"""),626.61)</f>
        <v>626.61</v>
      </c>
      <c r="C770" s="1">
        <f ca="1">IFERROR(__xludf.DUMMYFUNCTION("""COMPUTED_VALUE"""),663.87)</f>
        <v>663.87</v>
      </c>
      <c r="D770" s="1">
        <f ca="1">IFERROR(__xludf.DUMMYFUNCTION("""COMPUTED_VALUE"""),625.1)</f>
        <v>625.1</v>
      </c>
      <c r="E770" s="1">
        <f ca="1">IFERROR(__xludf.DUMMYFUNCTION("""COMPUTED_VALUE"""),659.88)</f>
        <v>659.88</v>
      </c>
      <c r="F770" s="1">
        <f ca="1">IFERROR(__xludf.DUMMYFUNCTION("""COMPUTED_VALUE"""),28399190)</f>
        <v>28399190</v>
      </c>
    </row>
    <row r="771" spans="1:6" ht="12.6">
      <c r="A771" s="2">
        <f ca="1">IFERROR(__xludf.DUMMYFUNCTION("""COMPUTED_VALUE"""),45685.6666666666)</f>
        <v>45685.666666666599</v>
      </c>
      <c r="B771" s="1">
        <f ca="1">IFERROR(__xludf.DUMMYFUNCTION("""COMPUTED_VALUE"""),666)</f>
        <v>666</v>
      </c>
      <c r="C771" s="1">
        <f ca="1">IFERROR(__xludf.DUMMYFUNCTION("""COMPUTED_VALUE"""),682.58)</f>
        <v>682.58</v>
      </c>
      <c r="D771" s="1">
        <f ca="1">IFERROR(__xludf.DUMMYFUNCTION("""COMPUTED_VALUE"""),659.47)</f>
        <v>659.47</v>
      </c>
      <c r="E771" s="1">
        <f ca="1">IFERROR(__xludf.DUMMYFUNCTION("""COMPUTED_VALUE"""),674.33)</f>
        <v>674.33</v>
      </c>
      <c r="F771" s="1">
        <f ca="1">IFERROR(__xludf.DUMMYFUNCTION("""COMPUTED_VALUE"""),20950107)</f>
        <v>20950107</v>
      </c>
    </row>
    <row r="772" spans="1:6" ht="12.6">
      <c r="A772" s="2">
        <f ca="1">IFERROR(__xludf.DUMMYFUNCTION("""COMPUTED_VALUE"""),45686.6666666666)</f>
        <v>45686.666666666599</v>
      </c>
      <c r="B772" s="1">
        <f ca="1">IFERROR(__xludf.DUMMYFUNCTION("""COMPUTED_VALUE"""),675)</f>
        <v>675</v>
      </c>
      <c r="C772" s="1">
        <f ca="1">IFERROR(__xludf.DUMMYFUNCTION("""COMPUTED_VALUE"""),681.05)</f>
        <v>681.05</v>
      </c>
      <c r="D772" s="1">
        <f ca="1">IFERROR(__xludf.DUMMYFUNCTION("""COMPUTED_VALUE"""),665.67)</f>
        <v>665.67</v>
      </c>
      <c r="E772" s="1">
        <f ca="1">IFERROR(__xludf.DUMMYFUNCTION("""COMPUTED_VALUE"""),676.49)</f>
        <v>676.49</v>
      </c>
      <c r="F772" s="1">
        <f ca="1">IFERROR(__xludf.DUMMYFUNCTION("""COMPUTED_VALUE"""),21377820)</f>
        <v>21377820</v>
      </c>
    </row>
    <row r="773" spans="1:6" ht="12.6">
      <c r="A773" s="2">
        <f ca="1">IFERROR(__xludf.DUMMYFUNCTION("""COMPUTED_VALUE"""),45687.6666666666)</f>
        <v>45687.666666666599</v>
      </c>
      <c r="B773" s="1">
        <f ca="1">IFERROR(__xludf.DUMMYFUNCTION("""COMPUTED_VALUE"""),696.82)</f>
        <v>696.82</v>
      </c>
      <c r="C773" s="1">
        <f ca="1">IFERROR(__xludf.DUMMYFUNCTION("""COMPUTED_VALUE"""),710.79)</f>
        <v>710.79</v>
      </c>
      <c r="D773" s="1">
        <f ca="1">IFERROR(__xludf.DUMMYFUNCTION("""COMPUTED_VALUE"""),676.1)</f>
        <v>676.1</v>
      </c>
      <c r="E773" s="1">
        <f ca="1">IFERROR(__xludf.DUMMYFUNCTION("""COMPUTED_VALUE"""),687)</f>
        <v>687</v>
      </c>
      <c r="F773" s="1">
        <f ca="1">IFERROR(__xludf.DUMMYFUNCTION("""COMPUTED_VALUE"""),29322898)</f>
        <v>29322898</v>
      </c>
    </row>
    <row r="774" spans="1:6" ht="12.6">
      <c r="A774" s="2">
        <f ca="1">IFERROR(__xludf.DUMMYFUNCTION("""COMPUTED_VALUE"""),45688.6666666666)</f>
        <v>45688.666666666599</v>
      </c>
      <c r="B774" s="1">
        <f ca="1">IFERROR(__xludf.DUMMYFUNCTION("""COMPUTED_VALUE"""),691)</f>
        <v>691</v>
      </c>
      <c r="C774" s="1">
        <f ca="1">IFERROR(__xludf.DUMMYFUNCTION("""COMPUTED_VALUE"""),705.3)</f>
        <v>705.3</v>
      </c>
      <c r="D774" s="1">
        <f ca="1">IFERROR(__xludf.DUMMYFUNCTION("""COMPUTED_VALUE"""),685.58)</f>
        <v>685.58</v>
      </c>
      <c r="E774" s="1">
        <f ca="1">IFERROR(__xludf.DUMMYFUNCTION("""COMPUTED_VALUE"""),689.18)</f>
        <v>689.18</v>
      </c>
      <c r="F774" s="1">
        <f ca="1">IFERROR(__xludf.DUMMYFUNCTION("""COMPUTED_VALUE"""),19331660)</f>
        <v>19331660</v>
      </c>
    </row>
    <row r="775" spans="1:6" ht="12.6">
      <c r="A775" s="2">
        <f ca="1">IFERROR(__xludf.DUMMYFUNCTION("""COMPUTED_VALUE"""),45691.6666666666)</f>
        <v>45691.666666666599</v>
      </c>
      <c r="B775" s="1">
        <f ca="1">IFERROR(__xludf.DUMMYFUNCTION("""COMPUTED_VALUE"""),675.91)</f>
        <v>675.91</v>
      </c>
      <c r="C775" s="1">
        <f ca="1">IFERROR(__xludf.DUMMYFUNCTION("""COMPUTED_VALUE"""),704)</f>
        <v>704</v>
      </c>
      <c r="D775" s="1">
        <f ca="1">IFERROR(__xludf.DUMMYFUNCTION("""COMPUTED_VALUE"""),675.25)</f>
        <v>675.25</v>
      </c>
      <c r="E775" s="1">
        <f ca="1">IFERROR(__xludf.DUMMYFUNCTION("""COMPUTED_VALUE"""),697.46)</f>
        <v>697.46</v>
      </c>
      <c r="F775" s="1">
        <f ca="1">IFERROR(__xludf.DUMMYFUNCTION("""COMPUTED_VALUE"""),21415739)</f>
        <v>21415739</v>
      </c>
    </row>
    <row r="776" spans="1:6" ht="12.6">
      <c r="A776" s="2">
        <f ca="1">IFERROR(__xludf.DUMMYFUNCTION("""COMPUTED_VALUE"""),45692.6666666666)</f>
        <v>45692.666666666599</v>
      </c>
      <c r="B776" s="1">
        <f ca="1">IFERROR(__xludf.DUMMYFUNCTION("""COMPUTED_VALUE"""),702.5)</f>
        <v>702.5</v>
      </c>
      <c r="C776" s="1">
        <f ca="1">IFERROR(__xludf.DUMMYFUNCTION("""COMPUTED_VALUE"""),707.71)</f>
        <v>707.71</v>
      </c>
      <c r="D776" s="1">
        <f ca="1">IFERROR(__xludf.DUMMYFUNCTION("""COMPUTED_VALUE"""),691.61)</f>
        <v>691.61</v>
      </c>
      <c r="E776" s="1">
        <f ca="1">IFERROR(__xludf.DUMMYFUNCTION("""COMPUTED_VALUE"""),704.19)</f>
        <v>704.19</v>
      </c>
      <c r="F776" s="1">
        <f ca="1">IFERROR(__xludf.DUMMYFUNCTION("""COMPUTED_VALUE"""),13826270)</f>
        <v>13826270</v>
      </c>
    </row>
    <row r="777" spans="1:6" ht="12.6">
      <c r="A777" s="2">
        <f ca="1">IFERROR(__xludf.DUMMYFUNCTION("""COMPUTED_VALUE"""),45693.6666666666)</f>
        <v>45693.666666666599</v>
      </c>
      <c r="B777" s="1">
        <f ca="1">IFERROR(__xludf.DUMMYFUNCTION("""COMPUTED_VALUE"""),703.55)</f>
        <v>703.55</v>
      </c>
      <c r="C777" s="1">
        <f ca="1">IFERROR(__xludf.DUMMYFUNCTION("""COMPUTED_VALUE"""),718.14)</f>
        <v>718.14</v>
      </c>
      <c r="D777" s="1">
        <f ca="1">IFERROR(__xludf.DUMMYFUNCTION("""COMPUTED_VALUE"""),699.01)</f>
        <v>699.01</v>
      </c>
      <c r="E777" s="1">
        <f ca="1">IFERROR(__xludf.DUMMYFUNCTION("""COMPUTED_VALUE"""),704.87)</f>
        <v>704.87</v>
      </c>
      <c r="F777" s="1">
        <f ca="1">IFERROR(__xludf.DUMMYFUNCTION("""COMPUTED_VALUE"""),17793766)</f>
        <v>17793766</v>
      </c>
    </row>
    <row r="778" spans="1:6" ht="12.6">
      <c r="A778" s="2">
        <f ca="1">IFERROR(__xludf.DUMMYFUNCTION("""COMPUTED_VALUE"""),45694.6666666666)</f>
        <v>45694.666666666599</v>
      </c>
      <c r="B778" s="1">
        <f ca="1">IFERROR(__xludf.DUMMYFUNCTION("""COMPUTED_VALUE"""),705.88)</f>
        <v>705.88</v>
      </c>
      <c r="C778" s="1">
        <f ca="1">IFERROR(__xludf.DUMMYFUNCTION("""COMPUTED_VALUE"""),718.9)</f>
        <v>718.9</v>
      </c>
      <c r="D778" s="1">
        <f ca="1">IFERROR(__xludf.DUMMYFUNCTION("""COMPUTED_VALUE"""),703.5)</f>
        <v>703.5</v>
      </c>
      <c r="E778" s="1">
        <f ca="1">IFERROR(__xludf.DUMMYFUNCTION("""COMPUTED_VALUE"""),711.99)</f>
        <v>711.99</v>
      </c>
      <c r="F778" s="1">
        <f ca="1">IFERROR(__xludf.DUMMYFUNCTION("""COMPUTED_VALUE"""),13080690)</f>
        <v>13080690</v>
      </c>
    </row>
    <row r="779" spans="1:6" ht="12.6">
      <c r="A779" s="2">
        <f ca="1">IFERROR(__xludf.DUMMYFUNCTION("""COMPUTED_VALUE"""),45695.6666666666)</f>
        <v>45695.666666666599</v>
      </c>
      <c r="B779" s="1">
        <f ca="1">IFERROR(__xludf.DUMMYFUNCTION("""COMPUTED_VALUE"""),716.8)</f>
        <v>716.8</v>
      </c>
      <c r="C779" s="1">
        <f ca="1">IFERROR(__xludf.DUMMYFUNCTION("""COMPUTED_VALUE"""),725.01)</f>
        <v>725.01</v>
      </c>
      <c r="D779" s="1">
        <f ca="1">IFERROR(__xludf.DUMMYFUNCTION("""COMPUTED_VALUE"""),711.75)</f>
        <v>711.75</v>
      </c>
      <c r="E779" s="1">
        <f ca="1">IFERROR(__xludf.DUMMYFUNCTION("""COMPUTED_VALUE"""),714.52)</f>
        <v>714.52</v>
      </c>
      <c r="F779" s="1">
        <f ca="1">IFERROR(__xludf.DUMMYFUNCTION("""COMPUTED_VALUE"""),16427067)</f>
        <v>16427067</v>
      </c>
    </row>
    <row r="780" spans="1:6" ht="12.6">
      <c r="A780" s="2">
        <f ca="1">IFERROR(__xludf.DUMMYFUNCTION("""COMPUTED_VALUE"""),45698.6666666666)</f>
        <v>45698.666666666599</v>
      </c>
      <c r="B780" s="1">
        <f ca="1">IFERROR(__xludf.DUMMYFUNCTION("""COMPUTED_VALUE"""),718.56)</f>
        <v>718.56</v>
      </c>
      <c r="C780" s="1">
        <f ca="1">IFERROR(__xludf.DUMMYFUNCTION("""COMPUTED_VALUE"""),721.2)</f>
        <v>721.2</v>
      </c>
      <c r="D780" s="1">
        <f ca="1">IFERROR(__xludf.DUMMYFUNCTION("""COMPUTED_VALUE"""),711.33)</f>
        <v>711.33</v>
      </c>
      <c r="E780" s="1">
        <f ca="1">IFERROR(__xludf.DUMMYFUNCTION("""COMPUTED_VALUE"""),717.4)</f>
        <v>717.4</v>
      </c>
      <c r="F780" s="1">
        <f ca="1">IFERROR(__xludf.DUMMYFUNCTION("""COMPUTED_VALUE"""),12904317)</f>
        <v>12904317</v>
      </c>
    </row>
    <row r="781" spans="1:6" ht="12.6">
      <c r="A781" s="2">
        <f ca="1">IFERROR(__xludf.DUMMYFUNCTION("""COMPUTED_VALUE"""),45699.6666666666)</f>
        <v>45699.666666666599</v>
      </c>
      <c r="B781" s="1">
        <f ca="1">IFERROR(__xludf.DUMMYFUNCTION("""COMPUTED_VALUE"""),713.32)</f>
        <v>713.32</v>
      </c>
      <c r="C781" s="1">
        <f ca="1">IFERROR(__xludf.DUMMYFUNCTION("""COMPUTED_VALUE"""),723.66)</f>
        <v>723.66</v>
      </c>
      <c r="D781" s="1">
        <f ca="1">IFERROR(__xludf.DUMMYFUNCTION("""COMPUTED_VALUE"""),710.04)</f>
        <v>710.04</v>
      </c>
      <c r="E781" s="1">
        <f ca="1">IFERROR(__xludf.DUMMYFUNCTION("""COMPUTED_VALUE"""),719.8)</f>
        <v>719.8</v>
      </c>
      <c r="F781" s="1">
        <f ca="1">IFERROR(__xludf.DUMMYFUNCTION("""COMPUTED_VALUE"""),12997959)</f>
        <v>12997959</v>
      </c>
    </row>
    <row r="782" spans="1:6" ht="12.6">
      <c r="A782" s="2">
        <f ca="1">IFERROR(__xludf.DUMMYFUNCTION("""COMPUTED_VALUE"""),45700.6666666666)</f>
        <v>45700.666666666599</v>
      </c>
      <c r="B782" s="1">
        <f ca="1">IFERROR(__xludf.DUMMYFUNCTION("""COMPUTED_VALUE"""),715.3)</f>
        <v>715.3</v>
      </c>
      <c r="C782" s="1">
        <f ca="1">IFERROR(__xludf.DUMMYFUNCTION("""COMPUTED_VALUE"""),727.1)</f>
        <v>727.1</v>
      </c>
      <c r="D782" s="1">
        <f ca="1">IFERROR(__xludf.DUMMYFUNCTION("""COMPUTED_VALUE"""),712.6)</f>
        <v>712.6</v>
      </c>
      <c r="E782" s="1">
        <f ca="1">IFERROR(__xludf.DUMMYFUNCTION("""COMPUTED_VALUE"""),725.38)</f>
        <v>725.38</v>
      </c>
      <c r="F782" s="1">
        <f ca="1">IFERROR(__xludf.DUMMYFUNCTION("""COMPUTED_VALUE"""),12016517)</f>
        <v>12016517</v>
      </c>
    </row>
    <row r="783" spans="1:6" ht="12.6">
      <c r="A783" s="2">
        <f ca="1">IFERROR(__xludf.DUMMYFUNCTION("""COMPUTED_VALUE"""),45701.6666666666)</f>
        <v>45701.666666666599</v>
      </c>
      <c r="B783" s="1">
        <f ca="1">IFERROR(__xludf.DUMMYFUNCTION("""COMPUTED_VALUE"""),721.52)</f>
        <v>721.52</v>
      </c>
      <c r="C783" s="1">
        <f ca="1">IFERROR(__xludf.DUMMYFUNCTION("""COMPUTED_VALUE"""),729)</f>
        <v>729</v>
      </c>
      <c r="D783" s="1">
        <f ca="1">IFERROR(__xludf.DUMMYFUNCTION("""COMPUTED_VALUE"""),718.04)</f>
        <v>718.04</v>
      </c>
      <c r="E783" s="1">
        <f ca="1">IFERROR(__xludf.DUMMYFUNCTION("""COMPUTED_VALUE"""),728.56)</f>
        <v>728.56</v>
      </c>
      <c r="F783" s="1">
        <f ca="1">IFERROR(__xludf.DUMMYFUNCTION("""COMPUTED_VALUE"""),12569064)</f>
        <v>12569064</v>
      </c>
    </row>
    <row r="784" spans="1:6" ht="12.6">
      <c r="A784" s="2">
        <f ca="1">IFERROR(__xludf.DUMMYFUNCTION("""COMPUTED_VALUE"""),45702.6666666666)</f>
        <v>45702.666666666599</v>
      </c>
      <c r="B784" s="1">
        <f ca="1">IFERROR(__xludf.DUMMYFUNCTION("""COMPUTED_VALUE"""),726.14)</f>
        <v>726.14</v>
      </c>
      <c r="C784" s="1">
        <f ca="1">IFERROR(__xludf.DUMMYFUNCTION("""COMPUTED_VALUE"""),740.91)</f>
        <v>740.91</v>
      </c>
      <c r="D784" s="1">
        <f ca="1">IFERROR(__xludf.DUMMYFUNCTION("""COMPUTED_VALUE"""),725.62)</f>
        <v>725.62</v>
      </c>
      <c r="E784" s="1">
        <f ca="1">IFERROR(__xludf.DUMMYFUNCTION("""COMPUTED_VALUE"""),736.67)</f>
        <v>736.67</v>
      </c>
      <c r="F784" s="1">
        <f ca="1">IFERROR(__xludf.DUMMYFUNCTION("""COMPUTED_VALUE"""),16901249)</f>
        <v>16901249</v>
      </c>
    </row>
    <row r="785" spans="1:6" ht="12.6">
      <c r="A785" s="2">
        <f ca="1">IFERROR(__xludf.DUMMYFUNCTION("""COMPUTED_VALUE"""),45706.6666666666)</f>
        <v>45706.666666666599</v>
      </c>
      <c r="B785" s="1">
        <f ca="1">IFERROR(__xludf.DUMMYFUNCTION("""COMPUTED_VALUE"""),736)</f>
        <v>736</v>
      </c>
      <c r="C785" s="1">
        <f ca="1">IFERROR(__xludf.DUMMYFUNCTION("""COMPUTED_VALUE"""),737)</f>
        <v>737</v>
      </c>
      <c r="D785" s="1">
        <f ca="1">IFERROR(__xludf.DUMMYFUNCTION("""COMPUTED_VALUE"""),706.44)</f>
        <v>706.44</v>
      </c>
      <c r="E785" s="1">
        <f ca="1">IFERROR(__xludf.DUMMYFUNCTION("""COMPUTED_VALUE"""),716.37)</f>
        <v>716.37</v>
      </c>
      <c r="F785" s="1">
        <f ca="1">IFERROR(__xludf.DUMMYFUNCTION("""COMPUTED_VALUE"""),21938703)</f>
        <v>21938703</v>
      </c>
    </row>
    <row r="786" spans="1:6" ht="12.6">
      <c r="A786" s="2">
        <f ca="1">IFERROR(__xludf.DUMMYFUNCTION("""COMPUTED_VALUE"""),45707.6666666666)</f>
        <v>45707.666666666599</v>
      </c>
      <c r="B786" s="1">
        <f ca="1">IFERROR(__xludf.DUMMYFUNCTION("""COMPUTED_VALUE"""),704.1)</f>
        <v>704.1</v>
      </c>
      <c r="C786" s="1">
        <f ca="1">IFERROR(__xludf.DUMMYFUNCTION("""COMPUTED_VALUE"""),707)</f>
        <v>707</v>
      </c>
      <c r="D786" s="1">
        <f ca="1">IFERROR(__xludf.DUMMYFUNCTION("""COMPUTED_VALUE"""),695.39)</f>
        <v>695.39</v>
      </c>
      <c r="E786" s="1">
        <f ca="1">IFERROR(__xludf.DUMMYFUNCTION("""COMPUTED_VALUE"""),703.77)</f>
        <v>703.77</v>
      </c>
      <c r="F786" s="1">
        <f ca="1">IFERROR(__xludf.DUMMYFUNCTION("""COMPUTED_VALUE"""),17535480)</f>
        <v>17535480</v>
      </c>
    </row>
    <row r="787" spans="1:6" ht="12.6">
      <c r="A787" s="2">
        <f ca="1">IFERROR(__xludf.DUMMYFUNCTION("""COMPUTED_VALUE"""),45708.6666666666)</f>
        <v>45708.666666666599</v>
      </c>
      <c r="B787" s="1">
        <f ca="1">IFERROR(__xludf.DUMMYFUNCTION("""COMPUTED_VALUE"""),697.28)</f>
        <v>697.28</v>
      </c>
      <c r="C787" s="1">
        <f ca="1">IFERROR(__xludf.DUMMYFUNCTION("""COMPUTED_VALUE"""),705.63)</f>
        <v>705.63</v>
      </c>
      <c r="D787" s="1">
        <f ca="1">IFERROR(__xludf.DUMMYFUNCTION("""COMPUTED_VALUE"""),693.64)</f>
        <v>693.64</v>
      </c>
      <c r="E787" s="1">
        <f ca="1">IFERROR(__xludf.DUMMYFUNCTION("""COMPUTED_VALUE"""),694.84)</f>
        <v>694.84</v>
      </c>
      <c r="F787" s="1">
        <f ca="1">IFERROR(__xludf.DUMMYFUNCTION("""COMPUTED_VALUE"""),12587408)</f>
        <v>12587408</v>
      </c>
    </row>
    <row r="788" spans="1:6" ht="12.6">
      <c r="A788" s="2">
        <f ca="1">IFERROR(__xludf.DUMMYFUNCTION("""COMPUTED_VALUE"""),45709.6666666666)</f>
        <v>45709.666666666599</v>
      </c>
      <c r="B788" s="1">
        <f ca="1">IFERROR(__xludf.DUMMYFUNCTION("""COMPUTED_VALUE"""),696.58)</f>
        <v>696.58</v>
      </c>
      <c r="C788" s="1">
        <f ca="1">IFERROR(__xludf.DUMMYFUNCTION("""COMPUTED_VALUE"""),703.87)</f>
        <v>703.87</v>
      </c>
      <c r="D788" s="1">
        <f ca="1">IFERROR(__xludf.DUMMYFUNCTION("""COMPUTED_VALUE"""),682.36)</f>
        <v>682.36</v>
      </c>
      <c r="E788" s="1">
        <f ca="1">IFERROR(__xludf.DUMMYFUNCTION("""COMPUTED_VALUE"""),683.55)</f>
        <v>683.55</v>
      </c>
      <c r="F788" s="1">
        <f ca="1">IFERROR(__xludf.DUMMYFUNCTION("""COMPUTED_VALUE"""),15660355)</f>
        <v>15660355</v>
      </c>
    </row>
    <row r="789" spans="1:6" ht="12.6">
      <c r="A789" s="2">
        <f ca="1">IFERROR(__xludf.DUMMYFUNCTION("""COMPUTED_VALUE"""),45712.6666666666)</f>
        <v>45712.666666666599</v>
      </c>
      <c r="B789" s="1">
        <f ca="1">IFERROR(__xludf.DUMMYFUNCTION("""COMPUTED_VALUE"""),686.28)</f>
        <v>686.28</v>
      </c>
      <c r="C789" s="1">
        <f ca="1">IFERROR(__xludf.DUMMYFUNCTION("""COMPUTED_VALUE"""),687.27)</f>
        <v>687.27</v>
      </c>
      <c r="D789" s="1">
        <f ca="1">IFERROR(__xludf.DUMMYFUNCTION("""COMPUTED_VALUE"""),662.45)</f>
        <v>662.45</v>
      </c>
      <c r="E789" s="1">
        <f ca="1">IFERROR(__xludf.DUMMYFUNCTION("""COMPUTED_VALUE"""),668.13)</f>
        <v>668.13</v>
      </c>
      <c r="F789" s="1">
        <f ca="1">IFERROR(__xludf.DUMMYFUNCTION("""COMPUTED_VALUE"""),15676994)</f>
        <v>15676994</v>
      </c>
    </row>
    <row r="790" spans="1:6" ht="12.6">
      <c r="A790" s="2">
        <f ca="1">IFERROR(__xludf.DUMMYFUNCTION("""COMPUTED_VALUE"""),45713.6666666666)</f>
        <v>45713.666666666599</v>
      </c>
      <c r="B790" s="1">
        <f ca="1">IFERROR(__xludf.DUMMYFUNCTION("""COMPUTED_VALUE"""),665.97)</f>
        <v>665.97</v>
      </c>
      <c r="C790" s="1">
        <f ca="1">IFERROR(__xludf.DUMMYFUNCTION("""COMPUTED_VALUE"""),668)</f>
        <v>668</v>
      </c>
      <c r="D790" s="1">
        <f ca="1">IFERROR(__xludf.DUMMYFUNCTION("""COMPUTED_VALUE"""),641.86)</f>
        <v>641.86</v>
      </c>
      <c r="E790" s="1">
        <f ca="1">IFERROR(__xludf.DUMMYFUNCTION("""COMPUTED_VALUE"""),657.5)</f>
        <v>657.5</v>
      </c>
      <c r="F790" s="1">
        <f ca="1">IFERROR(__xludf.DUMMYFUNCTION("""COMPUTED_VALUE"""),20579662)</f>
        <v>20579662</v>
      </c>
    </row>
    <row r="791" spans="1:6" ht="12.6">
      <c r="A791" s="2">
        <f ca="1">IFERROR(__xludf.DUMMYFUNCTION("""COMPUTED_VALUE"""),45714.6666666666)</f>
        <v>45714.666666666599</v>
      </c>
      <c r="B791" s="1">
        <f ca="1">IFERROR(__xludf.DUMMYFUNCTION("""COMPUTED_VALUE"""),659.65)</f>
        <v>659.65</v>
      </c>
      <c r="C791" s="1">
        <f ca="1">IFERROR(__xludf.DUMMYFUNCTION("""COMPUTED_VALUE"""),683.01)</f>
        <v>683.01</v>
      </c>
      <c r="D791" s="1">
        <f ca="1">IFERROR(__xludf.DUMMYFUNCTION("""COMPUTED_VALUE"""),658)</f>
        <v>658</v>
      </c>
      <c r="E791" s="1">
        <f ca="1">IFERROR(__xludf.DUMMYFUNCTION("""COMPUTED_VALUE"""),673.7)</f>
        <v>673.7</v>
      </c>
      <c r="F791" s="1">
        <f ca="1">IFERROR(__xludf.DUMMYFUNCTION("""COMPUTED_VALUE"""),14488705)</f>
        <v>14488705</v>
      </c>
    </row>
    <row r="792" spans="1:6" ht="12.6">
      <c r="A792" s="2">
        <f ca="1">IFERROR(__xludf.DUMMYFUNCTION("""COMPUTED_VALUE"""),45715.6666666666)</f>
        <v>45715.666666666599</v>
      </c>
      <c r="B792" s="1">
        <f ca="1">IFERROR(__xludf.DUMMYFUNCTION("""COMPUTED_VALUE"""),682.45)</f>
        <v>682.45</v>
      </c>
      <c r="C792" s="1">
        <f ca="1">IFERROR(__xludf.DUMMYFUNCTION("""COMPUTED_VALUE"""),688.65)</f>
        <v>688.65</v>
      </c>
      <c r="D792" s="1">
        <f ca="1">IFERROR(__xludf.DUMMYFUNCTION("""COMPUTED_VALUE"""),657.57)</f>
        <v>657.57</v>
      </c>
      <c r="E792" s="1">
        <f ca="1">IFERROR(__xludf.DUMMYFUNCTION("""COMPUTED_VALUE"""),658.24)</f>
        <v>658.24</v>
      </c>
      <c r="F792" s="1">
        <f ca="1">IFERROR(__xludf.DUMMYFUNCTION("""COMPUTED_VALUE"""),12500013)</f>
        <v>12500013</v>
      </c>
    </row>
    <row r="793" spans="1:6" ht="12.6">
      <c r="A793" s="2">
        <f ca="1">IFERROR(__xludf.DUMMYFUNCTION("""COMPUTED_VALUE"""),45716.6666666666)</f>
        <v>45716.666666666599</v>
      </c>
      <c r="B793" s="1">
        <f ca="1">IFERROR(__xludf.DUMMYFUNCTION("""COMPUTED_VALUE"""),658.04)</f>
        <v>658.04</v>
      </c>
      <c r="C793" s="1">
        <f ca="1">IFERROR(__xludf.DUMMYFUNCTION("""COMPUTED_VALUE"""),669.63)</f>
        <v>669.63</v>
      </c>
      <c r="D793" s="1">
        <f ca="1">IFERROR(__xludf.DUMMYFUNCTION("""COMPUTED_VALUE"""),642.6)</f>
        <v>642.6</v>
      </c>
      <c r="E793" s="1">
        <f ca="1">IFERROR(__xludf.DUMMYFUNCTION("""COMPUTED_VALUE"""),668.2)</f>
        <v>668.2</v>
      </c>
      <c r="F793" s="1">
        <f ca="1">IFERROR(__xludf.DUMMYFUNCTION("""COMPUTED_VALUE"""),17534168)</f>
        <v>17534168</v>
      </c>
    </row>
    <row r="794" spans="1:6" ht="12.6">
      <c r="A794" s="2">
        <f ca="1">IFERROR(__xludf.DUMMYFUNCTION("""COMPUTED_VALUE"""),45719.6666666666)</f>
        <v>45719.666666666599</v>
      </c>
      <c r="B794" s="1">
        <f ca="1">IFERROR(__xludf.DUMMYFUNCTION("""COMPUTED_VALUE"""),673.68)</f>
        <v>673.68</v>
      </c>
      <c r="C794" s="1">
        <f ca="1">IFERROR(__xludf.DUMMYFUNCTION("""COMPUTED_VALUE"""),681.25)</f>
        <v>681.25</v>
      </c>
      <c r="D794" s="1">
        <f ca="1">IFERROR(__xludf.DUMMYFUNCTION("""COMPUTED_VALUE"""),650.84)</f>
        <v>650.84</v>
      </c>
      <c r="E794" s="1">
        <f ca="1">IFERROR(__xludf.DUMMYFUNCTION("""COMPUTED_VALUE"""),655.05)</f>
        <v>655.04999999999995</v>
      </c>
      <c r="F794" s="1">
        <f ca="1">IFERROR(__xludf.DUMMYFUNCTION("""COMPUTED_VALUE"""),10843763)</f>
        <v>10843763</v>
      </c>
    </row>
    <row r="795" spans="1:6" ht="12.6">
      <c r="A795" s="2">
        <f ca="1">IFERROR(__xludf.DUMMYFUNCTION("""COMPUTED_VALUE"""),45720.6666666666)</f>
        <v>45720.666666666599</v>
      </c>
      <c r="B795" s="1">
        <f ca="1">IFERROR(__xludf.DUMMYFUNCTION("""COMPUTED_VALUE"""),645.51)</f>
        <v>645.51</v>
      </c>
      <c r="C795" s="1">
        <f ca="1">IFERROR(__xludf.DUMMYFUNCTION("""COMPUTED_VALUE"""),649.75)</f>
        <v>649.75</v>
      </c>
      <c r="D795" s="1">
        <f ca="1">IFERROR(__xludf.DUMMYFUNCTION("""COMPUTED_VALUE"""),623.65)</f>
        <v>623.65</v>
      </c>
      <c r="E795" s="1">
        <f ca="1">IFERROR(__xludf.DUMMYFUNCTION("""COMPUTED_VALUE"""),640)</f>
        <v>640</v>
      </c>
      <c r="F795" s="1">
        <f ca="1">IFERROR(__xludf.DUMMYFUNCTION("""COMPUTED_VALUE"""),21495208)</f>
        <v>21495208</v>
      </c>
    </row>
    <row r="796" spans="1:6" ht="12.6">
      <c r="A796" s="2">
        <f ca="1">IFERROR(__xludf.DUMMYFUNCTION("""COMPUTED_VALUE"""),45721.6666666666)</f>
        <v>45721.666666666599</v>
      </c>
      <c r="B796" s="1">
        <f ca="1">IFERROR(__xludf.DUMMYFUNCTION("""COMPUTED_VALUE"""),641)</f>
        <v>641</v>
      </c>
      <c r="C796" s="1">
        <f ca="1">IFERROR(__xludf.DUMMYFUNCTION("""COMPUTED_VALUE"""),659.5)</f>
        <v>659.5</v>
      </c>
      <c r="D796" s="1">
        <f ca="1">IFERROR(__xludf.DUMMYFUNCTION("""COMPUTED_VALUE"""),637.66)</f>
        <v>637.66</v>
      </c>
      <c r="E796" s="1">
        <f ca="1">IFERROR(__xludf.DUMMYFUNCTION("""COMPUTED_VALUE"""),656.47)</f>
        <v>656.47</v>
      </c>
      <c r="F796" s="1">
        <f ca="1">IFERROR(__xludf.DUMMYFUNCTION("""COMPUTED_VALUE"""),13770026)</f>
        <v>13770026</v>
      </c>
    </row>
    <row r="797" spans="1:6" ht="12.6">
      <c r="A797" s="2">
        <f ca="1">IFERROR(__xludf.DUMMYFUNCTION("""COMPUTED_VALUE"""),45722.6666666666)</f>
        <v>45722.666666666599</v>
      </c>
      <c r="B797" s="1">
        <f ca="1">IFERROR(__xludf.DUMMYFUNCTION("""COMPUTED_VALUE"""),648)</f>
        <v>648</v>
      </c>
      <c r="C797" s="1">
        <f ca="1">IFERROR(__xludf.DUMMYFUNCTION("""COMPUTED_VALUE"""),650.56)</f>
        <v>650.55999999999995</v>
      </c>
      <c r="D797" s="1">
        <f ca="1">IFERROR(__xludf.DUMMYFUNCTION("""COMPUTED_VALUE"""),624.11)</f>
        <v>624.11</v>
      </c>
      <c r="E797" s="1">
        <f ca="1">IFERROR(__xludf.DUMMYFUNCTION("""COMPUTED_VALUE"""),627.93)</f>
        <v>627.92999999999995</v>
      </c>
      <c r="F797" s="1">
        <f ca="1">IFERROR(__xludf.DUMMYFUNCTION("""COMPUTED_VALUE"""),13446454)</f>
        <v>13446454</v>
      </c>
    </row>
    <row r="798" spans="1:6" ht="12.6">
      <c r="A798" s="2">
        <f ca="1">IFERROR(__xludf.DUMMYFUNCTION("""COMPUTED_VALUE"""),45723.6666666666)</f>
        <v>45723.666666666599</v>
      </c>
      <c r="B798" s="1">
        <f ca="1">IFERROR(__xludf.DUMMYFUNCTION("""COMPUTED_VALUE"""),625.37)</f>
        <v>625.37</v>
      </c>
      <c r="C798" s="1">
        <f ca="1">IFERROR(__xludf.DUMMYFUNCTION("""COMPUTED_VALUE"""),634.79)</f>
        <v>634.79</v>
      </c>
      <c r="D798" s="1">
        <f ca="1">IFERROR(__xludf.DUMMYFUNCTION("""COMPUTED_VALUE"""),600.61)</f>
        <v>600.61</v>
      </c>
      <c r="E798" s="1">
        <f ca="1">IFERROR(__xludf.DUMMYFUNCTION("""COMPUTED_VALUE"""),625.66)</f>
        <v>625.66</v>
      </c>
      <c r="F798" s="1">
        <f ca="1">IFERROR(__xludf.DUMMYFUNCTION("""COMPUTED_VALUE"""),21375671)</f>
        <v>21375671</v>
      </c>
    </row>
    <row r="799" spans="1:6" ht="12.6">
      <c r="A799" s="2">
        <f ca="1">IFERROR(__xludf.DUMMYFUNCTION("""COMPUTED_VALUE"""),45726.6666666666)</f>
        <v>45726.666666666599</v>
      </c>
      <c r="B799" s="1">
        <f ca="1">IFERROR(__xludf.DUMMYFUNCTION("""COMPUTED_VALUE"""),608.07)</f>
        <v>608.07000000000005</v>
      </c>
      <c r="C799" s="1">
        <f ca="1">IFERROR(__xludf.DUMMYFUNCTION("""COMPUTED_VALUE"""),610.11)</f>
        <v>610.11</v>
      </c>
      <c r="D799" s="1">
        <f ca="1">IFERROR(__xludf.DUMMYFUNCTION("""COMPUTED_VALUE"""),586.87)</f>
        <v>586.87</v>
      </c>
      <c r="E799" s="1">
        <f ca="1">IFERROR(__xludf.DUMMYFUNCTION("""COMPUTED_VALUE"""),597.99)</f>
        <v>597.99</v>
      </c>
      <c r="F799" s="1">
        <f ca="1">IFERROR(__xludf.DUMMYFUNCTION("""COMPUTED_VALUE"""),21999943)</f>
        <v>21999943</v>
      </c>
    </row>
    <row r="800" spans="1:6" ht="12.6">
      <c r="A800" s="2">
        <f ca="1">IFERROR(__xludf.DUMMYFUNCTION("""COMPUTED_VALUE"""),45727.6666666666)</f>
        <v>45727.666666666599</v>
      </c>
      <c r="B800" s="1">
        <f ca="1">IFERROR(__xludf.DUMMYFUNCTION("""COMPUTED_VALUE"""),595.05)</f>
        <v>595.04999999999995</v>
      </c>
      <c r="C800" s="1">
        <f ca="1">IFERROR(__xludf.DUMMYFUNCTION("""COMPUTED_VALUE"""),614.93)</f>
        <v>614.92999999999995</v>
      </c>
      <c r="D800" s="1">
        <f ca="1">IFERROR(__xludf.DUMMYFUNCTION("""COMPUTED_VALUE"""),593.33)</f>
        <v>593.33000000000004</v>
      </c>
      <c r="E800" s="1">
        <f ca="1">IFERROR(__xludf.DUMMYFUNCTION("""COMPUTED_VALUE"""),605.71)</f>
        <v>605.71</v>
      </c>
      <c r="F800" s="1">
        <f ca="1">IFERROR(__xludf.DUMMYFUNCTION("""COMPUTED_VALUE"""),17401469)</f>
        <v>17401469</v>
      </c>
    </row>
    <row r="801" spans="1:6" ht="12.6">
      <c r="A801" s="2">
        <f ca="1">IFERROR(__xludf.DUMMYFUNCTION("""COMPUTED_VALUE"""),45728.6666666666)</f>
        <v>45728.666666666599</v>
      </c>
      <c r="B801" s="1">
        <f ca="1">IFERROR(__xludf.DUMMYFUNCTION("""COMPUTED_VALUE"""),629.9)</f>
        <v>629.9</v>
      </c>
      <c r="C801" s="1">
        <f ca="1">IFERROR(__xludf.DUMMYFUNCTION("""COMPUTED_VALUE"""),633.33)</f>
        <v>633.33000000000004</v>
      </c>
      <c r="D801" s="1">
        <f ca="1">IFERROR(__xludf.DUMMYFUNCTION("""COMPUTED_VALUE"""),609.35)</f>
        <v>609.35</v>
      </c>
      <c r="E801" s="1">
        <f ca="1">IFERROR(__xludf.DUMMYFUNCTION("""COMPUTED_VALUE"""),619.56)</f>
        <v>619.55999999999995</v>
      </c>
      <c r="F801" s="1">
        <f ca="1">IFERROR(__xludf.DUMMYFUNCTION("""COMPUTED_VALUE"""),15746966)</f>
        <v>15746966</v>
      </c>
    </row>
    <row r="802" spans="1:6" ht="12.6">
      <c r="A802" s="2">
        <f ca="1">IFERROR(__xludf.DUMMYFUNCTION("""COMPUTED_VALUE"""),45729.6666666666)</f>
        <v>45729.666666666599</v>
      </c>
      <c r="B802" s="1">
        <f ca="1">IFERROR(__xludf.DUMMYFUNCTION("""COMPUTED_VALUE"""),620.25)</f>
        <v>620.25</v>
      </c>
      <c r="C802" s="1">
        <f ca="1">IFERROR(__xludf.DUMMYFUNCTION("""COMPUTED_VALUE"""),620.5)</f>
        <v>620.5</v>
      </c>
      <c r="D802" s="1">
        <f ca="1">IFERROR(__xludf.DUMMYFUNCTION("""COMPUTED_VALUE"""),586.51)</f>
        <v>586.51</v>
      </c>
      <c r="E802" s="1">
        <f ca="1">IFERROR(__xludf.DUMMYFUNCTION("""COMPUTED_VALUE"""),590.64)</f>
        <v>590.64</v>
      </c>
      <c r="F802" s="1">
        <f ca="1">IFERROR(__xludf.DUMMYFUNCTION("""COMPUTED_VALUE"""),16480324)</f>
        <v>16480324</v>
      </c>
    </row>
    <row r="803" spans="1:6" ht="12.6">
      <c r="A803" s="2">
        <f ca="1">IFERROR(__xludf.DUMMYFUNCTION("""COMPUTED_VALUE"""),45730.6666666666)</f>
        <v>45730.666666666599</v>
      </c>
      <c r="B803" s="1">
        <f ca="1">IFERROR(__xludf.DUMMYFUNCTION("""COMPUTED_VALUE"""),602.8)</f>
        <v>602.79999999999995</v>
      </c>
      <c r="C803" s="1">
        <f ca="1">IFERROR(__xludf.DUMMYFUNCTION("""COMPUTED_VALUE"""),608.86)</f>
        <v>608.86</v>
      </c>
      <c r="D803" s="1">
        <f ca="1">IFERROR(__xludf.DUMMYFUNCTION("""COMPUTED_VALUE"""),594.78)</f>
        <v>594.78</v>
      </c>
      <c r="E803" s="1">
        <f ca="1">IFERROR(__xludf.DUMMYFUNCTION("""COMPUTED_VALUE"""),607.6)</f>
        <v>607.6</v>
      </c>
      <c r="F803" s="1">
        <f ca="1">IFERROR(__xludf.DUMMYFUNCTION("""COMPUTED_VALUE"""),12364505)</f>
        <v>12364505</v>
      </c>
    </row>
    <row r="804" spans="1:6" ht="12.6">
      <c r="A804" s="2">
        <f ca="1">IFERROR(__xludf.DUMMYFUNCTION("""COMPUTED_VALUE"""),45733.6666666666)</f>
        <v>45733.666666666599</v>
      </c>
      <c r="B804" s="1">
        <f ca="1">IFERROR(__xludf.DUMMYFUNCTION("""COMPUTED_VALUE"""),607.46)</f>
        <v>607.46</v>
      </c>
      <c r="C804" s="1">
        <f ca="1">IFERROR(__xludf.DUMMYFUNCTION("""COMPUTED_VALUE"""),613.1)</f>
        <v>613.1</v>
      </c>
      <c r="D804" s="1">
        <f ca="1">IFERROR(__xludf.DUMMYFUNCTION("""COMPUTED_VALUE"""),598)</f>
        <v>598</v>
      </c>
      <c r="E804" s="1">
        <f ca="1">IFERROR(__xludf.DUMMYFUNCTION("""COMPUTED_VALUE"""),604.9)</f>
        <v>604.9</v>
      </c>
      <c r="F804" s="1">
        <f ca="1">IFERROR(__xludf.DUMMYFUNCTION("""COMPUTED_VALUE"""),15473909)</f>
        <v>15473909</v>
      </c>
    </row>
    <row r="805" spans="1:6" ht="12.6">
      <c r="A805" s="2">
        <f ca="1">IFERROR(__xludf.DUMMYFUNCTION("""COMPUTED_VALUE"""),45734.6666666666)</f>
        <v>45734.666666666599</v>
      </c>
      <c r="B805" s="1">
        <f ca="1">IFERROR(__xludf.DUMMYFUNCTION("""COMPUTED_VALUE"""),600.05)</f>
        <v>600.04999999999995</v>
      </c>
      <c r="C805" s="1">
        <f ca="1">IFERROR(__xludf.DUMMYFUNCTION("""COMPUTED_VALUE"""),600.25)</f>
        <v>600.25</v>
      </c>
      <c r="D805" s="1">
        <f ca="1">IFERROR(__xludf.DUMMYFUNCTION("""COMPUTED_VALUE"""),574.66)</f>
        <v>574.66</v>
      </c>
      <c r="E805" s="1">
        <f ca="1">IFERROR(__xludf.DUMMYFUNCTION("""COMPUTED_VALUE"""),582.36)</f>
        <v>582.36</v>
      </c>
      <c r="F805" s="1">
        <f ca="1">IFERROR(__xludf.DUMMYFUNCTION("""COMPUTED_VALUE"""),20297708)</f>
        <v>20297708</v>
      </c>
    </row>
    <row r="806" spans="1:6" ht="12.6">
      <c r="A806" s="2">
        <f ca="1">IFERROR(__xludf.DUMMYFUNCTION("""COMPUTED_VALUE"""),45735.6666666666)</f>
        <v>45735.666666666599</v>
      </c>
      <c r="B806" s="1">
        <f ca="1">IFERROR(__xludf.DUMMYFUNCTION("""COMPUTED_VALUE"""),584.28)</f>
        <v>584.28</v>
      </c>
      <c r="C806" s="1">
        <f ca="1">IFERROR(__xludf.DUMMYFUNCTION("""COMPUTED_VALUE"""),592.32)</f>
        <v>592.32000000000005</v>
      </c>
      <c r="D806" s="1">
        <f ca="1">IFERROR(__xludf.DUMMYFUNCTION("""COMPUTED_VALUE"""),574.77)</f>
        <v>574.77</v>
      </c>
      <c r="E806" s="1">
        <f ca="1">IFERROR(__xludf.DUMMYFUNCTION("""COMPUTED_VALUE"""),584.06)</f>
        <v>584.05999999999995</v>
      </c>
      <c r="F806" s="1">
        <f ca="1">IFERROR(__xludf.DUMMYFUNCTION("""COMPUTED_VALUE"""),20537498)</f>
        <v>20537498</v>
      </c>
    </row>
    <row r="807" spans="1:6" ht="12.6">
      <c r="A807" s="2">
        <f ca="1">IFERROR(__xludf.DUMMYFUNCTION("""COMPUTED_VALUE"""),45736.6666666666)</f>
        <v>45736.666666666599</v>
      </c>
      <c r="B807" s="1">
        <f ca="1">IFERROR(__xludf.DUMMYFUNCTION("""COMPUTED_VALUE"""),582.76)</f>
        <v>582.76</v>
      </c>
      <c r="C807" s="1">
        <f ca="1">IFERROR(__xludf.DUMMYFUNCTION("""COMPUTED_VALUE"""),610.2)</f>
        <v>610.20000000000005</v>
      </c>
      <c r="D807" s="1">
        <f ca="1">IFERROR(__xludf.DUMMYFUNCTION("""COMPUTED_VALUE"""),579.51)</f>
        <v>579.51</v>
      </c>
      <c r="E807" s="1">
        <f ca="1">IFERROR(__xludf.DUMMYFUNCTION("""COMPUTED_VALUE"""),586)</f>
        <v>586</v>
      </c>
      <c r="F807" s="1">
        <f ca="1">IFERROR(__xludf.DUMMYFUNCTION("""COMPUTED_VALUE"""),24336505)</f>
        <v>24336505</v>
      </c>
    </row>
    <row r="808" spans="1:6" ht="12.6">
      <c r="A808" s="2">
        <f ca="1">IFERROR(__xludf.DUMMYFUNCTION("""COMPUTED_VALUE"""),45737.6666666666)</f>
        <v>45737.666666666599</v>
      </c>
      <c r="B808" s="1">
        <f ca="1">IFERROR(__xludf.DUMMYFUNCTION("""COMPUTED_VALUE"""),583.42)</f>
        <v>583.41999999999996</v>
      </c>
      <c r="C808" s="1">
        <f ca="1">IFERROR(__xludf.DUMMYFUNCTION("""COMPUTED_VALUE"""),597.54)</f>
        <v>597.54</v>
      </c>
      <c r="D808" s="1">
        <f ca="1">IFERROR(__xludf.DUMMYFUNCTION("""COMPUTED_VALUE"""),580.95)</f>
        <v>580.95000000000005</v>
      </c>
      <c r="E808" s="1">
        <f ca="1">IFERROR(__xludf.DUMMYFUNCTION("""COMPUTED_VALUE"""),596.25)</f>
        <v>596.25</v>
      </c>
      <c r="F808" s="1">
        <f ca="1">IFERROR(__xludf.DUMMYFUNCTION("""COMPUTED_VALUE"""),25015864)</f>
        <v>25015864</v>
      </c>
    </row>
    <row r="809" spans="1:6" ht="12.6">
      <c r="A809" s="2">
        <f ca="1">IFERROR(__xludf.DUMMYFUNCTION("""COMPUTED_VALUE"""),45740.6666666666)</f>
        <v>45740.666666666599</v>
      </c>
      <c r="B809" s="1">
        <f ca="1">IFERROR(__xludf.DUMMYFUNCTION("""COMPUTED_VALUE"""),614.97)</f>
        <v>614.97</v>
      </c>
      <c r="C809" s="1">
        <f ca="1">IFERROR(__xludf.DUMMYFUNCTION("""COMPUTED_VALUE"""),622.54)</f>
        <v>622.54</v>
      </c>
      <c r="D809" s="1">
        <f ca="1">IFERROR(__xludf.DUMMYFUNCTION("""COMPUTED_VALUE"""),612.2)</f>
        <v>612.20000000000005</v>
      </c>
      <c r="E809" s="1">
        <f ca="1">IFERROR(__xludf.DUMMYFUNCTION("""COMPUTED_VALUE"""),618.85)</f>
        <v>618.85</v>
      </c>
      <c r="F809" s="1">
        <f ca="1">IFERROR(__xludf.DUMMYFUNCTION("""COMPUTED_VALUE"""),15741274)</f>
        <v>15741274</v>
      </c>
    </row>
    <row r="810" spans="1:6" ht="12.6">
      <c r="A810" s="2">
        <f ca="1">IFERROR(__xludf.DUMMYFUNCTION("""COMPUTED_VALUE"""),45741.6666666666)</f>
        <v>45741.666666666599</v>
      </c>
      <c r="B810" s="1">
        <f ca="1">IFERROR(__xludf.DUMMYFUNCTION("""COMPUTED_VALUE"""),626.76)</f>
        <v>626.76</v>
      </c>
      <c r="C810" s="1">
        <f ca="1">IFERROR(__xludf.DUMMYFUNCTION("""COMPUTED_VALUE"""),633.88)</f>
        <v>633.88</v>
      </c>
      <c r="D810" s="1">
        <f ca="1">IFERROR(__xludf.DUMMYFUNCTION("""COMPUTED_VALUE"""),621.18)</f>
        <v>621.17999999999995</v>
      </c>
      <c r="E810" s="1">
        <f ca="1">IFERROR(__xludf.DUMMYFUNCTION("""COMPUTED_VALUE"""),626.31)</f>
        <v>626.30999999999995</v>
      </c>
      <c r="F810" s="1">
        <f ca="1">IFERROR(__xludf.DUMMYFUNCTION("""COMPUTED_VALUE"""),15312540)</f>
        <v>15312540</v>
      </c>
    </row>
    <row r="811" spans="1:6" ht="12.6">
      <c r="A811" s="2">
        <f ca="1">IFERROR(__xludf.DUMMYFUNCTION("""COMPUTED_VALUE"""),45742.6666666666)</f>
        <v>45742.666666666599</v>
      </c>
      <c r="B811" s="1">
        <f ca="1">IFERROR(__xludf.DUMMYFUNCTION("""COMPUTED_VALUE"""),624.89)</f>
        <v>624.89</v>
      </c>
      <c r="C811" s="1">
        <f ca="1">IFERROR(__xludf.DUMMYFUNCTION("""COMPUTED_VALUE"""),626.75)</f>
        <v>626.75</v>
      </c>
      <c r="D811" s="1">
        <f ca="1">IFERROR(__xludf.DUMMYFUNCTION("""COMPUTED_VALUE"""),606.61)</f>
        <v>606.61</v>
      </c>
      <c r="E811" s="1">
        <f ca="1">IFERROR(__xludf.DUMMYFUNCTION("""COMPUTED_VALUE"""),610.98)</f>
        <v>610.98</v>
      </c>
      <c r="F811" s="1">
        <f ca="1">IFERROR(__xludf.DUMMYFUNCTION("""COMPUTED_VALUE"""),12661891)</f>
        <v>12661891</v>
      </c>
    </row>
    <row r="812" spans="1:6" ht="12.6">
      <c r="A812" s="2">
        <f ca="1">IFERROR(__xludf.DUMMYFUNCTION("""COMPUTED_VALUE"""),45743.6666666666)</f>
        <v>45743.666666666599</v>
      </c>
      <c r="B812" s="1">
        <f ca="1">IFERROR(__xludf.DUMMYFUNCTION("""COMPUTED_VALUE"""),602)</f>
        <v>602</v>
      </c>
      <c r="C812" s="1">
        <f ca="1">IFERROR(__xludf.DUMMYFUNCTION("""COMPUTED_VALUE"""),614.25)</f>
        <v>614.25</v>
      </c>
      <c r="D812" s="1">
        <f ca="1">IFERROR(__xludf.DUMMYFUNCTION("""COMPUTED_VALUE"""),600.1)</f>
        <v>600.1</v>
      </c>
      <c r="E812" s="1">
        <f ca="1">IFERROR(__xludf.DUMMYFUNCTION("""COMPUTED_VALUE"""),602.58)</f>
        <v>602.58000000000004</v>
      </c>
      <c r="F812" s="1">
        <f ca="1">IFERROR(__xludf.DUMMYFUNCTION("""COMPUTED_VALUE"""),10436524)</f>
        <v>10436524</v>
      </c>
    </row>
    <row r="813" spans="1:6" ht="12.6">
      <c r="A813" s="2">
        <f ca="1">IFERROR(__xludf.DUMMYFUNCTION("""COMPUTED_VALUE"""),45744.6666666666)</f>
        <v>45744.666666666599</v>
      </c>
      <c r="B813" s="1">
        <f ca="1">IFERROR(__xludf.DUMMYFUNCTION("""COMPUTED_VALUE"""),600.31)</f>
        <v>600.30999999999995</v>
      </c>
      <c r="C813" s="1">
        <f ca="1">IFERROR(__xludf.DUMMYFUNCTION("""COMPUTED_VALUE"""),601.75)</f>
        <v>601.75</v>
      </c>
      <c r="D813" s="1">
        <f ca="1">IFERROR(__xludf.DUMMYFUNCTION("""COMPUTED_VALUE"""),573.92)</f>
        <v>573.91999999999996</v>
      </c>
      <c r="E813" s="1">
        <f ca="1">IFERROR(__xludf.DUMMYFUNCTION("""COMPUTED_VALUE"""),576.74)</f>
        <v>576.74</v>
      </c>
      <c r="F813" s="1">
        <f ca="1">IFERROR(__xludf.DUMMYFUNCTION("""COMPUTED_VALUE"""),17602823)</f>
        <v>17602823</v>
      </c>
    </row>
    <row r="814" spans="1:6" ht="12.6">
      <c r="A814" s="2">
        <f ca="1">IFERROR(__xludf.DUMMYFUNCTION("""COMPUTED_VALUE"""),45747.6666666666)</f>
        <v>45747.666666666599</v>
      </c>
      <c r="B814" s="1">
        <f ca="1">IFERROR(__xludf.DUMMYFUNCTION("""COMPUTED_VALUE"""),563.5)</f>
        <v>563.5</v>
      </c>
      <c r="C814" s="1">
        <f ca="1">IFERROR(__xludf.DUMMYFUNCTION("""COMPUTED_VALUE"""),578.7)</f>
        <v>578.70000000000005</v>
      </c>
      <c r="D814" s="1">
        <f ca="1">IFERROR(__xludf.DUMMYFUNCTION("""COMPUTED_VALUE"""),553.3)</f>
        <v>553.29999999999995</v>
      </c>
      <c r="E814" s="1">
        <f ca="1">IFERROR(__xludf.DUMMYFUNCTION("""COMPUTED_VALUE"""),576.36)</f>
        <v>576.36</v>
      </c>
      <c r="F814" s="1">
        <f ca="1">IFERROR(__xludf.DUMMYFUNCTION("""COMPUTED_VALUE"""),21124677)</f>
        <v>21124677</v>
      </c>
    </row>
    <row r="815" spans="1:6" ht="12.6">
      <c r="A815" s="2">
        <f ca="1">IFERROR(__xludf.DUMMYFUNCTION("""COMPUTED_VALUE"""),45748.6666666666)</f>
        <v>45748.666666666599</v>
      </c>
      <c r="B815" s="1">
        <f ca="1">IFERROR(__xludf.DUMMYFUNCTION("""COMPUTED_VALUE"""),570.84)</f>
        <v>570.84</v>
      </c>
      <c r="C815" s="1">
        <f ca="1">IFERROR(__xludf.DUMMYFUNCTION("""COMPUTED_VALUE"""),589.91)</f>
        <v>589.91</v>
      </c>
      <c r="D815" s="1">
        <f ca="1">IFERROR(__xludf.DUMMYFUNCTION("""COMPUTED_VALUE"""),570)</f>
        <v>570</v>
      </c>
      <c r="E815" s="1">
        <f ca="1">IFERROR(__xludf.DUMMYFUNCTION("""COMPUTED_VALUE"""),586)</f>
        <v>586</v>
      </c>
      <c r="F815" s="1">
        <f ca="1">IFERROR(__xludf.DUMMYFUNCTION("""COMPUTED_VALUE"""),12836574)</f>
        <v>12836574</v>
      </c>
    </row>
    <row r="816" spans="1:6" ht="12.6">
      <c r="A816" s="2">
        <f ca="1">IFERROR(__xludf.DUMMYFUNCTION("""COMPUTED_VALUE"""),45749.6666666666)</f>
        <v>45749.666666666599</v>
      </c>
      <c r="B816" s="1">
        <f ca="1">IFERROR(__xludf.DUMMYFUNCTION("""COMPUTED_VALUE"""),574.91)</f>
        <v>574.91</v>
      </c>
      <c r="C816" s="1">
        <f ca="1">IFERROR(__xludf.DUMMYFUNCTION("""COMPUTED_VALUE"""),592.66)</f>
        <v>592.66</v>
      </c>
      <c r="D816" s="1">
        <f ca="1">IFERROR(__xludf.DUMMYFUNCTION("""COMPUTED_VALUE"""),573.36)</f>
        <v>573.36</v>
      </c>
      <c r="E816" s="1">
        <f ca="1">IFERROR(__xludf.DUMMYFUNCTION("""COMPUTED_VALUE"""),583.93)</f>
        <v>583.92999999999995</v>
      </c>
      <c r="F816" s="1">
        <f ca="1">IFERROR(__xludf.DUMMYFUNCTION("""COMPUTED_VALUE"""),13470778)</f>
        <v>13470778</v>
      </c>
    </row>
    <row r="817" spans="1:6" ht="12.6">
      <c r="A817" s="2">
        <f ca="1">IFERROR(__xludf.DUMMYFUNCTION("""COMPUTED_VALUE"""),45750.6666666666)</f>
        <v>45750.666666666599</v>
      </c>
      <c r="B817" s="1">
        <f ca="1">IFERROR(__xludf.DUMMYFUNCTION("""COMPUTED_VALUE"""),546.22)</f>
        <v>546.22</v>
      </c>
      <c r="C817" s="1">
        <f ca="1">IFERROR(__xludf.DUMMYFUNCTION("""COMPUTED_VALUE"""),552.56)</f>
        <v>552.55999999999995</v>
      </c>
      <c r="D817" s="1">
        <f ca="1">IFERROR(__xludf.DUMMYFUNCTION("""COMPUTED_VALUE"""),530.3)</f>
        <v>530.29999999999995</v>
      </c>
      <c r="E817" s="1">
        <f ca="1">IFERROR(__xludf.DUMMYFUNCTION("""COMPUTED_VALUE"""),531.62)</f>
        <v>531.62</v>
      </c>
      <c r="F817" s="1">
        <f ca="1">IFERROR(__xludf.DUMMYFUNCTION("""COMPUTED_VALUE"""),34777460)</f>
        <v>34777460</v>
      </c>
    </row>
    <row r="818" spans="1:6" ht="12.6">
      <c r="A818" s="2">
        <f ca="1">IFERROR(__xludf.DUMMYFUNCTION("""COMPUTED_VALUE"""),45751.6666666666)</f>
        <v>45751.666666666599</v>
      </c>
      <c r="B818" s="1">
        <f ca="1">IFERROR(__xludf.DUMMYFUNCTION("""COMPUTED_VALUE"""),506.62)</f>
        <v>506.62</v>
      </c>
      <c r="C818" s="1">
        <f ca="1">IFERROR(__xludf.DUMMYFUNCTION("""COMPUTED_VALUE"""),518)</f>
        <v>518</v>
      </c>
      <c r="D818" s="1">
        <f ca="1">IFERROR(__xludf.DUMMYFUNCTION("""COMPUTED_VALUE"""),494.2)</f>
        <v>494.2</v>
      </c>
      <c r="E818" s="1">
        <f ca="1">IFERROR(__xludf.DUMMYFUNCTION("""COMPUTED_VALUE"""),504.73)</f>
        <v>504.73</v>
      </c>
      <c r="F818" s="1">
        <f ca="1">IFERROR(__xludf.DUMMYFUNCTION("""COMPUTED_VALUE"""),38589814)</f>
        <v>38589814</v>
      </c>
    </row>
    <row r="819" spans="1:6" ht="12.6">
      <c r="A819" s="2">
        <f ca="1">IFERROR(__xludf.DUMMYFUNCTION("""COMPUTED_VALUE"""),45754.6666666666)</f>
        <v>45754.666666666599</v>
      </c>
      <c r="B819" s="1">
        <f ca="1">IFERROR(__xludf.DUMMYFUNCTION("""COMPUTED_VALUE"""),485.1)</f>
        <v>485.1</v>
      </c>
      <c r="C819" s="1">
        <f ca="1">IFERROR(__xludf.DUMMYFUNCTION("""COMPUTED_VALUE"""),539.37)</f>
        <v>539.37</v>
      </c>
      <c r="D819" s="1">
        <f ca="1">IFERROR(__xludf.DUMMYFUNCTION("""COMPUTED_VALUE"""),481.9)</f>
        <v>481.9</v>
      </c>
      <c r="E819" s="1">
        <f ca="1">IFERROR(__xludf.DUMMYFUNCTION("""COMPUTED_VALUE"""),516.25)</f>
        <v>516.25</v>
      </c>
      <c r="F819" s="1">
        <f ca="1">IFERROR(__xludf.DUMMYFUNCTION("""COMPUTED_VALUE"""),36606136)</f>
        <v>36606136</v>
      </c>
    </row>
    <row r="820" spans="1:6" ht="12.6">
      <c r="A820" s="2">
        <f ca="1">IFERROR(__xludf.DUMMYFUNCTION("""COMPUTED_VALUE"""),45755.6666666666)</f>
        <v>45755.666666666599</v>
      </c>
      <c r="B820" s="1">
        <f ca="1">IFERROR(__xludf.DUMMYFUNCTION("""COMPUTED_VALUE"""),543.25)</f>
        <v>543.25</v>
      </c>
      <c r="C820" s="1">
        <f ca="1">IFERROR(__xludf.DUMMYFUNCTION("""COMPUTED_VALUE"""),547.43)</f>
        <v>547.42999999999995</v>
      </c>
      <c r="D820" s="1">
        <f ca="1">IFERROR(__xludf.DUMMYFUNCTION("""COMPUTED_VALUE"""),502.86)</f>
        <v>502.86</v>
      </c>
      <c r="E820" s="1">
        <f ca="1">IFERROR(__xludf.DUMMYFUNCTION("""COMPUTED_VALUE"""),510.45)</f>
        <v>510.45</v>
      </c>
      <c r="F820" s="1">
        <f ca="1">IFERROR(__xludf.DUMMYFUNCTION("""COMPUTED_VALUE"""),28034211)</f>
        <v>28034211</v>
      </c>
    </row>
    <row r="821" spans="1:6" ht="12.6">
      <c r="A821" s="2">
        <f ca="1">IFERROR(__xludf.DUMMYFUNCTION("""COMPUTED_VALUE"""),45756.6666666666)</f>
        <v>45756.666666666599</v>
      </c>
      <c r="B821" s="1">
        <f ca="1">IFERROR(__xludf.DUMMYFUNCTION("""COMPUTED_VALUE"""),509.27)</f>
        <v>509.27</v>
      </c>
      <c r="C821" s="1">
        <f ca="1">IFERROR(__xludf.DUMMYFUNCTION("""COMPUTED_VALUE"""),587.89)</f>
        <v>587.89</v>
      </c>
      <c r="D821" s="1">
        <f ca="1">IFERROR(__xludf.DUMMYFUNCTION("""COMPUTED_VALUE"""),502.11)</f>
        <v>502.11</v>
      </c>
      <c r="E821" s="1">
        <f ca="1">IFERROR(__xludf.DUMMYFUNCTION("""COMPUTED_VALUE"""),585.77)</f>
        <v>585.77</v>
      </c>
      <c r="F821" s="1">
        <f ca="1">IFERROR(__xludf.DUMMYFUNCTION("""COMPUTED_VALUE"""),39216578)</f>
        <v>39216578</v>
      </c>
    </row>
    <row r="822" spans="1:6" ht="12.6">
      <c r="A822" s="2">
        <f ca="1">IFERROR(__xludf.DUMMYFUNCTION("""COMPUTED_VALUE"""),45757.6666666666)</f>
        <v>45757.666666666599</v>
      </c>
      <c r="B822" s="1">
        <f ca="1">IFERROR(__xludf.DUMMYFUNCTION("""COMPUTED_VALUE"""),575.49)</f>
        <v>575.49</v>
      </c>
      <c r="C822" s="1">
        <f ca="1">IFERROR(__xludf.DUMMYFUNCTION("""COMPUTED_VALUE"""),581.3)</f>
        <v>581.29999999999995</v>
      </c>
      <c r="D822" s="1">
        <f ca="1">IFERROR(__xludf.DUMMYFUNCTION("""COMPUTED_VALUE"""),535.3)</f>
        <v>535.29999999999995</v>
      </c>
      <c r="E822" s="1">
        <f ca="1">IFERROR(__xludf.DUMMYFUNCTION("""COMPUTED_VALUE"""),546.29)</f>
        <v>546.29</v>
      </c>
      <c r="F822" s="1">
        <f ca="1">IFERROR(__xludf.DUMMYFUNCTION("""COMPUTED_VALUE"""),28173491)</f>
        <v>28173491</v>
      </c>
    </row>
    <row r="823" spans="1:6" ht="12.6">
      <c r="A823" s="2">
        <f ca="1">IFERROR(__xludf.DUMMYFUNCTION("""COMPUTED_VALUE"""),45758.6666666666)</f>
        <v>45758.666666666599</v>
      </c>
      <c r="B823" s="1">
        <f ca="1">IFERROR(__xludf.DUMMYFUNCTION("""COMPUTED_VALUE"""),535.51)</f>
        <v>535.51</v>
      </c>
      <c r="C823" s="1">
        <f ca="1">IFERROR(__xludf.DUMMYFUNCTION("""COMPUTED_VALUE"""),547.4)</f>
        <v>547.4</v>
      </c>
      <c r="D823" s="1">
        <f ca="1">IFERROR(__xludf.DUMMYFUNCTION("""COMPUTED_VALUE"""),528.59)</f>
        <v>528.59</v>
      </c>
      <c r="E823" s="1">
        <f ca="1">IFERROR(__xludf.DUMMYFUNCTION("""COMPUTED_VALUE"""),543.57)</f>
        <v>543.57000000000005</v>
      </c>
      <c r="F823" s="1">
        <f ca="1">IFERROR(__xludf.DUMMYFUNCTION("""COMPUTED_VALUE"""),17642327)</f>
        <v>17642327</v>
      </c>
    </row>
    <row r="824" spans="1:6" ht="12.6">
      <c r="A824" s="2">
        <f ca="1">IFERROR(__xludf.DUMMYFUNCTION("""COMPUTED_VALUE"""),45761.6666666666)</f>
        <v>45761.666666666599</v>
      </c>
      <c r="B824" s="1">
        <f ca="1">IFERROR(__xludf.DUMMYFUNCTION("""COMPUTED_VALUE"""),556.17)</f>
        <v>556.16999999999996</v>
      </c>
      <c r="C824" s="1">
        <f ca="1">IFERROR(__xludf.DUMMYFUNCTION("""COMPUTED_VALUE"""),557.77)</f>
        <v>557.77</v>
      </c>
      <c r="D824" s="1">
        <f ca="1">IFERROR(__xludf.DUMMYFUNCTION("""COMPUTED_VALUE"""),528.28)</f>
        <v>528.28</v>
      </c>
      <c r="E824" s="1">
        <f ca="1">IFERROR(__xludf.DUMMYFUNCTION("""COMPUTED_VALUE"""),531.48)</f>
        <v>531.48</v>
      </c>
      <c r="F824" s="1">
        <f ca="1">IFERROR(__xludf.DUMMYFUNCTION("""COMPUTED_VALUE"""),14130928)</f>
        <v>14130928</v>
      </c>
    </row>
    <row r="825" spans="1:6" ht="12.6">
      <c r="A825" s="2">
        <f ca="1">IFERROR(__xludf.DUMMYFUNCTION("""COMPUTED_VALUE"""),45762.6666666666)</f>
        <v>45762.666666666599</v>
      </c>
      <c r="B825" s="1">
        <f ca="1">IFERROR(__xludf.DUMMYFUNCTION("""COMPUTED_VALUE"""),532.11)</f>
        <v>532.11</v>
      </c>
      <c r="C825" s="1">
        <f ca="1">IFERROR(__xludf.DUMMYFUNCTION("""COMPUTED_VALUE"""),537.94)</f>
        <v>537.94000000000005</v>
      </c>
      <c r="D825" s="1">
        <f ca="1">IFERROR(__xludf.DUMMYFUNCTION("""COMPUTED_VALUE"""),517.5)</f>
        <v>517.5</v>
      </c>
      <c r="E825" s="1">
        <f ca="1">IFERROR(__xludf.DUMMYFUNCTION("""COMPUTED_VALUE"""),521.52)</f>
        <v>521.52</v>
      </c>
      <c r="F825" s="1">
        <f ca="1">IFERROR(__xludf.DUMMYFUNCTION("""COMPUTED_VALUE"""),15558659)</f>
        <v>15558659</v>
      </c>
    </row>
    <row r="826" spans="1:6" ht="12.6">
      <c r="A826" s="2">
        <f ca="1">IFERROR(__xludf.DUMMYFUNCTION("""COMPUTED_VALUE"""),45763.6666666666)</f>
        <v>45763.666666666599</v>
      </c>
      <c r="B826" s="1">
        <f ca="1">IFERROR(__xludf.DUMMYFUNCTION("""COMPUTED_VALUE"""),508.51)</f>
        <v>508.51</v>
      </c>
      <c r="C826" s="1">
        <f ca="1">IFERROR(__xludf.DUMMYFUNCTION("""COMPUTED_VALUE"""),513.37)</f>
        <v>513.37</v>
      </c>
      <c r="D826" s="1">
        <f ca="1">IFERROR(__xludf.DUMMYFUNCTION("""COMPUTED_VALUE"""),495.63)</f>
        <v>495.63</v>
      </c>
      <c r="E826" s="1">
        <f ca="1">IFERROR(__xludf.DUMMYFUNCTION("""COMPUTED_VALUE"""),502.31)</f>
        <v>502.31</v>
      </c>
      <c r="F826" s="1">
        <f ca="1">IFERROR(__xludf.DUMMYFUNCTION("""COMPUTED_VALUE"""),18735075)</f>
        <v>18735075</v>
      </c>
    </row>
    <row r="827" spans="1:6" ht="12.6">
      <c r="A827" s="2">
        <f ca="1">IFERROR(__xludf.DUMMYFUNCTION("""COMPUTED_VALUE"""),45764.6666666666)</f>
        <v>45764.666666666599</v>
      </c>
      <c r="B827" s="1">
        <f ca="1">IFERROR(__xludf.DUMMYFUNCTION("""COMPUTED_VALUE"""),505.25)</f>
        <v>505.25</v>
      </c>
      <c r="C827" s="1">
        <f ca="1">IFERROR(__xludf.DUMMYFUNCTION("""COMPUTED_VALUE"""),507.3)</f>
        <v>507.3</v>
      </c>
      <c r="D827" s="1">
        <f ca="1">IFERROR(__xludf.DUMMYFUNCTION("""COMPUTED_VALUE"""),498.01)</f>
        <v>498.01</v>
      </c>
      <c r="E827" s="1">
        <f ca="1">IFERROR(__xludf.DUMMYFUNCTION("""COMPUTED_VALUE"""),501.48)</f>
        <v>501.48</v>
      </c>
      <c r="F827" s="1">
        <f ca="1">IFERROR(__xludf.DUMMYFUNCTION("""COMPUTED_VALUE"""),14593508)</f>
        <v>14593508</v>
      </c>
    </row>
    <row r="828" spans="1:6" ht="12.6">
      <c r="A828" s="2">
        <f ca="1">IFERROR(__xludf.DUMMYFUNCTION("""COMPUTED_VALUE"""),45768.6666666666)</f>
        <v>45768.666666666599</v>
      </c>
      <c r="B828" s="1">
        <f ca="1">IFERROR(__xludf.DUMMYFUNCTION("""COMPUTED_VALUE"""),491.33)</f>
        <v>491.33</v>
      </c>
      <c r="C828" s="1">
        <f ca="1">IFERROR(__xludf.DUMMYFUNCTION("""COMPUTED_VALUE"""),493.5)</f>
        <v>493.5</v>
      </c>
      <c r="D828" s="1">
        <f ca="1">IFERROR(__xludf.DUMMYFUNCTION("""COMPUTED_VALUE"""),479.8)</f>
        <v>479.8</v>
      </c>
      <c r="E828" s="1">
        <f ca="1">IFERROR(__xludf.DUMMYFUNCTION("""COMPUTED_VALUE"""),484.66)</f>
        <v>484.66</v>
      </c>
      <c r="F828" s="1">
        <f ca="1">IFERROR(__xludf.DUMMYFUNCTION("""COMPUTED_VALUE"""),16165982)</f>
        <v>16165982</v>
      </c>
    </row>
    <row r="829" spans="1:6" ht="12.6">
      <c r="A829" s="2">
        <f ca="1">IFERROR(__xludf.DUMMYFUNCTION("""COMPUTED_VALUE"""),45769.6666666666)</f>
        <v>45769.666666666599</v>
      </c>
      <c r="B829" s="1">
        <f ca="1">IFERROR(__xludf.DUMMYFUNCTION("""COMPUTED_VALUE"""),491.87)</f>
        <v>491.87</v>
      </c>
      <c r="C829" s="1">
        <f ca="1">IFERROR(__xludf.DUMMYFUNCTION("""COMPUTED_VALUE"""),506.88)</f>
        <v>506.88</v>
      </c>
      <c r="D829" s="1">
        <f ca="1">IFERROR(__xludf.DUMMYFUNCTION("""COMPUTED_VALUE"""),486.36)</f>
        <v>486.36</v>
      </c>
      <c r="E829" s="1">
        <f ca="1">IFERROR(__xludf.DUMMYFUNCTION("""COMPUTED_VALUE"""),500.28)</f>
        <v>500.28</v>
      </c>
      <c r="F829" s="1">
        <f ca="1">IFERROR(__xludf.DUMMYFUNCTION("""COMPUTED_VALUE"""),17399408)</f>
        <v>17399408</v>
      </c>
    </row>
    <row r="830" spans="1:6" ht="12.6">
      <c r="A830" s="2">
        <f ca="1">IFERROR(__xludf.DUMMYFUNCTION("""COMPUTED_VALUE"""),45770.6666666666)</f>
        <v>45770.666666666599</v>
      </c>
      <c r="B830" s="1">
        <f ca="1">IFERROR(__xludf.DUMMYFUNCTION("""COMPUTED_VALUE"""),528.53)</f>
        <v>528.53</v>
      </c>
      <c r="C830" s="1">
        <f ca="1">IFERROR(__xludf.DUMMYFUNCTION("""COMPUTED_VALUE"""),535.34)</f>
        <v>535.34</v>
      </c>
      <c r="D830" s="1">
        <f ca="1">IFERROR(__xludf.DUMMYFUNCTION("""COMPUTED_VALUE"""),516.52)</f>
        <v>516.52</v>
      </c>
      <c r="E830" s="1">
        <f ca="1">IFERROR(__xludf.DUMMYFUNCTION("""COMPUTED_VALUE"""),520.27)</f>
        <v>520.27</v>
      </c>
      <c r="F830" s="1">
        <f ca="1">IFERROR(__xludf.DUMMYFUNCTION("""COMPUTED_VALUE"""),18173910)</f>
        <v>18173910</v>
      </c>
    </row>
    <row r="831" spans="1:6" ht="12.6">
      <c r="A831" s="2">
        <f ca="1">IFERROR(__xludf.DUMMYFUNCTION("""COMPUTED_VALUE"""),45771.6666666666)</f>
        <v>45771.666666666599</v>
      </c>
      <c r="B831" s="1">
        <f ca="1">IFERROR(__xludf.DUMMYFUNCTION("""COMPUTED_VALUE"""),518.73)</f>
        <v>518.73</v>
      </c>
      <c r="C831" s="1">
        <f ca="1">IFERROR(__xludf.DUMMYFUNCTION("""COMPUTED_VALUE"""),533.9)</f>
        <v>533.9</v>
      </c>
      <c r="D831" s="1">
        <f ca="1">IFERROR(__xludf.DUMMYFUNCTION("""COMPUTED_VALUE"""),517.5)</f>
        <v>517.5</v>
      </c>
      <c r="E831" s="1">
        <f ca="1">IFERROR(__xludf.DUMMYFUNCTION("""COMPUTED_VALUE"""),533.15)</f>
        <v>533.15</v>
      </c>
      <c r="F831" s="1">
        <f ca="1">IFERROR(__xludf.DUMMYFUNCTION("""COMPUTED_VALUE"""),13910011)</f>
        <v>13910011</v>
      </c>
    </row>
    <row r="832" spans="1:6" ht="12.6">
      <c r="A832" s="2">
        <f ca="1">IFERROR(__xludf.DUMMYFUNCTION("""COMPUTED_VALUE"""),45772.6666666666)</f>
        <v>45772.666666666599</v>
      </c>
      <c r="B832" s="1">
        <f ca="1">IFERROR(__xludf.DUMMYFUNCTION("""COMPUTED_VALUE"""),546.8)</f>
        <v>546.79999999999995</v>
      </c>
      <c r="C832" s="1">
        <f ca="1">IFERROR(__xludf.DUMMYFUNCTION("""COMPUTED_VALUE"""),549.86)</f>
        <v>549.86</v>
      </c>
      <c r="D832" s="1">
        <f ca="1">IFERROR(__xludf.DUMMYFUNCTION("""COMPUTED_VALUE"""),536.25)</f>
        <v>536.25</v>
      </c>
      <c r="E832" s="1">
        <f ca="1">IFERROR(__xludf.DUMMYFUNCTION("""COMPUTED_VALUE"""),547.27)</f>
        <v>547.27</v>
      </c>
      <c r="F832" s="1">
        <f ca="1">IFERROR(__xludf.DUMMYFUNCTION("""COMPUTED_VALUE"""),17098921)</f>
        <v>17098921</v>
      </c>
    </row>
    <row r="833" spans="1:6" ht="12.6">
      <c r="A833" s="2">
        <f ca="1">IFERROR(__xludf.DUMMYFUNCTION("""COMPUTED_VALUE"""),45775.6666666666)</f>
        <v>45775.666666666599</v>
      </c>
      <c r="B833" s="1">
        <f ca="1">IFERROR(__xludf.DUMMYFUNCTION("""COMPUTED_VALUE"""),555.64)</f>
        <v>555.64</v>
      </c>
      <c r="C833" s="1">
        <f ca="1">IFERROR(__xludf.DUMMYFUNCTION("""COMPUTED_VALUE"""),558.49)</f>
        <v>558.49</v>
      </c>
      <c r="D833" s="1">
        <f ca="1">IFERROR(__xludf.DUMMYFUNCTION("""COMPUTED_VALUE"""),540.59)</f>
        <v>540.59</v>
      </c>
      <c r="E833" s="1">
        <f ca="1">IFERROR(__xludf.DUMMYFUNCTION("""COMPUTED_VALUE"""),549.74)</f>
        <v>549.74</v>
      </c>
      <c r="F833" s="1">
        <f ca="1">IFERROR(__xludf.DUMMYFUNCTION("""COMPUTED_VALUE"""),15178995)</f>
        <v>15178995</v>
      </c>
    </row>
    <row r="834" spans="1:6" ht="12.6">
      <c r="A834" s="2">
        <f ca="1">IFERROR(__xludf.DUMMYFUNCTION("""COMPUTED_VALUE"""),45776.6666666666)</f>
        <v>45776.666666666599</v>
      </c>
      <c r="B834" s="1">
        <f ca="1">IFERROR(__xludf.DUMMYFUNCTION("""COMPUTED_VALUE"""),546)</f>
        <v>546</v>
      </c>
      <c r="C834" s="1">
        <f ca="1">IFERROR(__xludf.DUMMYFUNCTION("""COMPUTED_VALUE"""),556.57)</f>
        <v>556.57000000000005</v>
      </c>
      <c r="D834" s="1">
        <f ca="1">IFERROR(__xludf.DUMMYFUNCTION("""COMPUTED_VALUE"""),544.12)</f>
        <v>544.12</v>
      </c>
      <c r="E834" s="1">
        <f ca="1">IFERROR(__xludf.DUMMYFUNCTION("""COMPUTED_VALUE"""),554.44)</f>
        <v>554.44000000000005</v>
      </c>
      <c r="F834" s="1">
        <f ca="1">IFERROR(__xludf.DUMMYFUNCTION("""COMPUTED_VALUE"""),11835036)</f>
        <v>11835036</v>
      </c>
    </row>
    <row r="835" spans="1:6" ht="12.6">
      <c r="A835" s="2">
        <f ca="1">IFERROR(__xludf.DUMMYFUNCTION("""COMPUTED_VALUE"""),45777.6666666666)</f>
        <v>45777.666666666599</v>
      </c>
      <c r="B835" s="1">
        <f ca="1">IFERROR(__xludf.DUMMYFUNCTION("""COMPUTED_VALUE"""),538.4)</f>
        <v>538.4</v>
      </c>
      <c r="C835" s="1">
        <f ca="1">IFERROR(__xludf.DUMMYFUNCTION("""COMPUTED_VALUE"""),549.1)</f>
        <v>549.1</v>
      </c>
      <c r="D835" s="1">
        <f ca="1">IFERROR(__xludf.DUMMYFUNCTION("""COMPUTED_VALUE"""),529.5)</f>
        <v>529.5</v>
      </c>
      <c r="E835" s="1">
        <f ca="1">IFERROR(__xludf.DUMMYFUNCTION("""COMPUTED_VALUE"""),549)</f>
        <v>549</v>
      </c>
      <c r="F835" s="1">
        <f ca="1">IFERROR(__xludf.DUMMYFUNCTION("""COMPUTED_VALUE"""),29243971)</f>
        <v>29243971</v>
      </c>
    </row>
    <row r="836" spans="1:6" ht="12.6">
      <c r="A836" s="2">
        <f ca="1">IFERROR(__xludf.DUMMYFUNCTION("""COMPUTED_VALUE"""),45778.6666666666)</f>
        <v>45778.666666666599</v>
      </c>
      <c r="B836" s="1">
        <f ca="1">IFERROR(__xludf.DUMMYFUNCTION("""COMPUTED_VALUE"""),592.08)</f>
        <v>592.08000000000004</v>
      </c>
      <c r="C836" s="1">
        <f ca="1">IFERROR(__xludf.DUMMYFUNCTION("""COMPUTED_VALUE"""),592.95)</f>
        <v>592.95000000000005</v>
      </c>
      <c r="D836" s="1">
        <f ca="1">IFERROR(__xludf.DUMMYFUNCTION("""COMPUTED_VALUE"""),570.5)</f>
        <v>570.5</v>
      </c>
      <c r="E836" s="1">
        <f ca="1">IFERROR(__xludf.DUMMYFUNCTION("""COMPUTED_VALUE"""),572.21)</f>
        <v>572.21</v>
      </c>
      <c r="F836" s="1">
        <f ca="1">IFERROR(__xludf.DUMMYFUNCTION("""COMPUTED_VALUE"""),31159033)</f>
        <v>31159033</v>
      </c>
    </row>
    <row r="837" spans="1:6" ht="12.6">
      <c r="A837" s="2">
        <f ca="1">IFERROR(__xludf.DUMMYFUNCTION("""COMPUTED_VALUE"""),45779.6666666666)</f>
        <v>45779.666666666599</v>
      </c>
      <c r="B837" s="1">
        <f ca="1">IFERROR(__xludf.DUMMYFUNCTION("""COMPUTED_VALUE"""),583.46)</f>
        <v>583.46</v>
      </c>
      <c r="C837" s="1">
        <f ca="1">IFERROR(__xludf.DUMMYFUNCTION("""COMPUTED_VALUE"""),604.34)</f>
        <v>604.34</v>
      </c>
      <c r="D837" s="1">
        <f ca="1">IFERROR(__xludf.DUMMYFUNCTION("""COMPUTED_VALUE"""),578.33)</f>
        <v>578.33000000000004</v>
      </c>
      <c r="E837" s="1">
        <f ca="1">IFERROR(__xludf.DUMMYFUNCTION("""COMPUTED_VALUE"""),597.02)</f>
        <v>597.02</v>
      </c>
      <c r="F837" s="1">
        <f ca="1">IFERROR(__xludf.DUMMYFUNCTION("""COMPUTED_VALUE"""),24739260)</f>
        <v>24739260</v>
      </c>
    </row>
    <row r="838" spans="1:6" ht="12.6">
      <c r="A838" s="2">
        <f ca="1">IFERROR(__xludf.DUMMYFUNCTION("""COMPUTED_VALUE"""),45782.6666666666)</f>
        <v>45782.666666666599</v>
      </c>
      <c r="B838" s="1">
        <f ca="1">IFERROR(__xludf.DUMMYFUNCTION("""COMPUTED_VALUE"""),591.22)</f>
        <v>591.22</v>
      </c>
      <c r="C838" s="1">
        <f ca="1">IFERROR(__xludf.DUMMYFUNCTION("""COMPUTED_VALUE"""),603.21)</f>
        <v>603.21</v>
      </c>
      <c r="D838" s="1">
        <f ca="1">IFERROR(__xludf.DUMMYFUNCTION("""COMPUTED_VALUE"""),588.05)</f>
        <v>588.04999999999995</v>
      </c>
      <c r="E838" s="1">
        <f ca="1">IFERROR(__xludf.DUMMYFUNCTION("""COMPUTED_VALUE"""),599.27)</f>
        <v>599.27</v>
      </c>
      <c r="F838" s="1">
        <f ca="1">IFERROR(__xludf.DUMMYFUNCTION("""COMPUTED_VALUE"""),13887724)</f>
        <v>13887724</v>
      </c>
    </row>
    <row r="839" spans="1:6" ht="12.6">
      <c r="A839" s="2">
        <f ca="1">IFERROR(__xludf.DUMMYFUNCTION("""COMPUTED_VALUE"""),45783.6666666666)</f>
        <v>45783.666666666599</v>
      </c>
      <c r="B839" s="1">
        <f ca="1">IFERROR(__xludf.DUMMYFUNCTION("""COMPUTED_VALUE"""),592.53)</f>
        <v>592.53</v>
      </c>
      <c r="C839" s="1">
        <f ca="1">IFERROR(__xludf.DUMMYFUNCTION("""COMPUTED_VALUE"""),596.03)</f>
        <v>596.03</v>
      </c>
      <c r="D839" s="1">
        <f ca="1">IFERROR(__xludf.DUMMYFUNCTION("""COMPUTED_VALUE"""),586.58)</f>
        <v>586.58000000000004</v>
      </c>
      <c r="E839" s="1">
        <f ca="1">IFERROR(__xludf.DUMMYFUNCTION("""COMPUTED_VALUE"""),587.31)</f>
        <v>587.30999999999995</v>
      </c>
      <c r="F839" s="1">
        <f ca="1">IFERROR(__xludf.DUMMYFUNCTION("""COMPUTED_VALUE"""),10600650)</f>
        <v>10600650</v>
      </c>
    </row>
    <row r="840" spans="1:6" ht="12.6">
      <c r="A840" s="2">
        <f ca="1">IFERROR(__xludf.DUMMYFUNCTION("""COMPUTED_VALUE"""),45784.6666666666)</f>
        <v>45784.666666666599</v>
      </c>
      <c r="B840" s="1">
        <f ca="1">IFERROR(__xludf.DUMMYFUNCTION("""COMPUTED_VALUE"""),590.36)</f>
        <v>590.36</v>
      </c>
      <c r="C840" s="1">
        <f ca="1">IFERROR(__xludf.DUMMYFUNCTION("""COMPUTED_VALUE"""),603.08)</f>
        <v>603.08000000000004</v>
      </c>
      <c r="D840" s="1">
        <f ca="1">IFERROR(__xludf.DUMMYFUNCTION("""COMPUTED_VALUE"""),586.67)</f>
        <v>586.66999999999996</v>
      </c>
      <c r="E840" s="1">
        <f ca="1">IFERROR(__xludf.DUMMYFUNCTION("""COMPUTED_VALUE"""),596.81)</f>
        <v>596.80999999999995</v>
      </c>
      <c r="F840" s="1">
        <f ca="1">IFERROR(__xludf.DUMMYFUNCTION("""COMPUTED_VALUE"""),13160976)</f>
        <v>13160976</v>
      </c>
    </row>
    <row r="841" spans="1:6" ht="12.6">
      <c r="A841" s="2">
        <f ca="1">IFERROR(__xludf.DUMMYFUNCTION("""COMPUTED_VALUE"""),45785.6666666666)</f>
        <v>45785.666666666599</v>
      </c>
      <c r="B841" s="1">
        <f ca="1">IFERROR(__xludf.DUMMYFUNCTION("""COMPUTED_VALUE"""),606.29)</f>
        <v>606.29</v>
      </c>
      <c r="C841" s="1">
        <f ca="1">IFERROR(__xludf.DUMMYFUNCTION("""COMPUTED_VALUE"""),611.3)</f>
        <v>611.29999999999995</v>
      </c>
      <c r="D841" s="1">
        <f ca="1">IFERROR(__xludf.DUMMYFUNCTION("""COMPUTED_VALUE"""),596.62)</f>
        <v>596.62</v>
      </c>
      <c r="E841" s="1">
        <f ca="1">IFERROR(__xludf.DUMMYFUNCTION("""COMPUTED_VALUE"""),598.01)</f>
        <v>598.01</v>
      </c>
      <c r="F841" s="1">
        <f ca="1">IFERROR(__xludf.DUMMYFUNCTION("""COMPUTED_VALUE"""),14622805)</f>
        <v>14622805</v>
      </c>
    </row>
    <row r="842" spans="1:6" ht="12.6">
      <c r="A842" s="2">
        <f ca="1">IFERROR(__xludf.DUMMYFUNCTION("""COMPUTED_VALUE"""),45786.6666666666)</f>
        <v>45786.666666666599</v>
      </c>
      <c r="B842" s="1">
        <f ca="1">IFERROR(__xludf.DUMMYFUNCTION("""COMPUTED_VALUE"""),603.72)</f>
        <v>603.72</v>
      </c>
      <c r="C842" s="1">
        <f ca="1">IFERROR(__xludf.DUMMYFUNCTION("""COMPUTED_VALUE"""),606.97)</f>
        <v>606.97</v>
      </c>
      <c r="D842" s="1">
        <f ca="1">IFERROR(__xludf.DUMMYFUNCTION("""COMPUTED_VALUE"""),591.71)</f>
        <v>591.71</v>
      </c>
      <c r="E842" s="1">
        <f ca="1">IFERROR(__xludf.DUMMYFUNCTION("""COMPUTED_VALUE"""),592.49)</f>
        <v>592.49</v>
      </c>
      <c r="F842" s="1">
        <f ca="1">IFERROR(__xludf.DUMMYFUNCTION("""COMPUTED_VALUE"""),10427286)</f>
        <v>10427286</v>
      </c>
    </row>
    <row r="843" spans="1:6" ht="12.6">
      <c r="A843" s="2">
        <f ca="1">IFERROR(__xludf.DUMMYFUNCTION("""COMPUTED_VALUE"""),45789.6666666666)</f>
        <v>45789.666666666599</v>
      </c>
      <c r="B843" s="1">
        <f ca="1">IFERROR(__xludf.DUMMYFUNCTION("""COMPUTED_VALUE"""),630.92)</f>
        <v>630.91999999999996</v>
      </c>
      <c r="C843" s="1">
        <f ca="1">IFERROR(__xludf.DUMMYFUNCTION("""COMPUTED_VALUE"""),640.39)</f>
        <v>640.39</v>
      </c>
      <c r="D843" s="1">
        <f ca="1">IFERROR(__xludf.DUMMYFUNCTION("""COMPUTED_VALUE"""),621.03)</f>
        <v>621.03</v>
      </c>
      <c r="E843" s="1">
        <f ca="1">IFERROR(__xludf.DUMMYFUNCTION("""COMPUTED_VALUE"""),639.43)</f>
        <v>639.42999999999995</v>
      </c>
      <c r="F843" s="1">
        <f ca="1">IFERROR(__xludf.DUMMYFUNCTION("""COMPUTED_VALUE"""),21965085)</f>
        <v>21965085</v>
      </c>
    </row>
    <row r="844" spans="1:6" ht="12.6">
      <c r="A844" s="2">
        <f ca="1">IFERROR(__xludf.DUMMYFUNCTION("""COMPUTED_VALUE"""),45790.6666666666)</f>
        <v>45790.666666666599</v>
      </c>
      <c r="B844" s="1">
        <f ca="1">IFERROR(__xludf.DUMMYFUNCTION("""COMPUTED_VALUE"""),645.54)</f>
        <v>645.54</v>
      </c>
      <c r="C844" s="1">
        <f ca="1">IFERROR(__xludf.DUMMYFUNCTION("""COMPUTED_VALUE"""),660.92)</f>
        <v>660.92</v>
      </c>
      <c r="D844" s="1">
        <f ca="1">IFERROR(__xludf.DUMMYFUNCTION("""COMPUTED_VALUE"""),642.83)</f>
        <v>642.83000000000004</v>
      </c>
      <c r="E844" s="1">
        <f ca="1">IFERROR(__xludf.DUMMYFUNCTION("""COMPUTED_VALUE"""),656.03)</f>
        <v>656.03</v>
      </c>
      <c r="F844" s="1">
        <f ca="1">IFERROR(__xludf.DUMMYFUNCTION("""COMPUTED_VALUE"""),18570821)</f>
        <v>18570821</v>
      </c>
    </row>
    <row r="845" spans="1:6" ht="12.6">
      <c r="A845" s="2">
        <f ca="1">IFERROR(__xludf.DUMMYFUNCTION("""COMPUTED_VALUE"""),45791.6666666666)</f>
        <v>45791.666666666599</v>
      </c>
      <c r="B845" s="1">
        <f ca="1">IFERROR(__xludf.DUMMYFUNCTION("""COMPUTED_VALUE"""),661.21)</f>
        <v>661.21</v>
      </c>
      <c r="C845" s="1">
        <f ca="1">IFERROR(__xludf.DUMMYFUNCTION("""COMPUTED_VALUE"""),662.67)</f>
        <v>662.67</v>
      </c>
      <c r="D845" s="1">
        <f ca="1">IFERROR(__xludf.DUMMYFUNCTION("""COMPUTED_VALUE"""),654.31)</f>
        <v>654.30999999999995</v>
      </c>
      <c r="E845" s="1">
        <f ca="1">IFERROR(__xludf.DUMMYFUNCTION("""COMPUTED_VALUE"""),659.36)</f>
        <v>659.36</v>
      </c>
      <c r="F845" s="1">
        <f ca="1">IFERROR(__xludf.DUMMYFUNCTION("""COMPUTED_VALUE"""),12348179)</f>
        <v>12348179</v>
      </c>
    </row>
    <row r="846" spans="1:6" ht="12.6">
      <c r="A846" s="2">
        <f ca="1">IFERROR(__xludf.DUMMYFUNCTION("""COMPUTED_VALUE"""),45792.6666666666)</f>
        <v>45792.666666666599</v>
      </c>
      <c r="B846" s="1">
        <f ca="1">IFERROR(__xludf.DUMMYFUNCTION("""COMPUTED_VALUE"""),654.28)</f>
        <v>654.28</v>
      </c>
      <c r="C846" s="1">
        <f ca="1">IFERROR(__xludf.DUMMYFUNCTION("""COMPUTED_VALUE"""),657.31)</f>
        <v>657.31</v>
      </c>
      <c r="D846" s="1">
        <f ca="1">IFERROR(__xludf.DUMMYFUNCTION("""COMPUTED_VALUE"""),638.58)</f>
        <v>638.58000000000004</v>
      </c>
      <c r="E846" s="1">
        <f ca="1">IFERROR(__xludf.DUMMYFUNCTION("""COMPUTED_VALUE"""),643.88)</f>
        <v>643.88</v>
      </c>
      <c r="F846" s="1">
        <f ca="1">IFERROR(__xludf.DUMMYFUNCTION("""COMPUTED_VALUE"""),14341835)</f>
        <v>14341835</v>
      </c>
    </row>
    <row r="847" spans="1:6" ht="12.6">
      <c r="A847" s="2">
        <f ca="1">IFERROR(__xludf.DUMMYFUNCTION("""COMPUTED_VALUE"""),45793.6666666666)</f>
        <v>45793.666666666599</v>
      </c>
      <c r="B847" s="1">
        <f ca="1">IFERROR(__xludf.DUMMYFUNCTION("""COMPUTED_VALUE"""),637.96)</f>
        <v>637.96</v>
      </c>
      <c r="C847" s="1">
        <f ca="1">IFERROR(__xludf.DUMMYFUNCTION("""COMPUTED_VALUE"""),640.44)</f>
        <v>640.44000000000005</v>
      </c>
      <c r="D847" s="1">
        <f ca="1">IFERROR(__xludf.DUMMYFUNCTION("""COMPUTED_VALUE"""),626.15)</f>
        <v>626.15</v>
      </c>
      <c r="E847" s="1">
        <f ca="1">IFERROR(__xludf.DUMMYFUNCTION("""COMPUTED_VALUE"""),640.34)</f>
        <v>640.34</v>
      </c>
      <c r="F847" s="1">
        <f ca="1">IFERROR(__xludf.DUMMYFUNCTION("""COMPUTED_VALUE"""),18518972)</f>
        <v>18518972</v>
      </c>
    </row>
    <row r="848" spans="1:6" ht="12.6">
      <c r="A848" s="2">
        <f ca="1">IFERROR(__xludf.DUMMYFUNCTION("""COMPUTED_VALUE"""),45796.6666666666)</f>
        <v>45796.666666666599</v>
      </c>
      <c r="B848" s="1">
        <f ca="1">IFERROR(__xludf.DUMMYFUNCTION("""COMPUTED_VALUE"""),628.25)</f>
        <v>628.25</v>
      </c>
      <c r="C848" s="1">
        <f ca="1">IFERROR(__xludf.DUMMYFUNCTION("""COMPUTED_VALUE"""),643)</f>
        <v>643</v>
      </c>
      <c r="D848" s="1">
        <f ca="1">IFERROR(__xludf.DUMMYFUNCTION("""COMPUTED_VALUE"""),627.8)</f>
        <v>627.79999999999995</v>
      </c>
      <c r="E848" s="1">
        <f ca="1">IFERROR(__xludf.DUMMYFUNCTION("""COMPUTED_VALUE"""),640.43)</f>
        <v>640.42999999999995</v>
      </c>
      <c r="F848" s="1">
        <f ca="1">IFERROR(__xludf.DUMMYFUNCTION("""COMPUTED_VALUE"""),9592374)</f>
        <v>9592374</v>
      </c>
    </row>
    <row r="849" spans="1:6" ht="12.6">
      <c r="A849" s="2">
        <f ca="1">IFERROR(__xludf.DUMMYFUNCTION("""COMPUTED_VALUE"""),45797.6666666666)</f>
        <v>45797.666666666599</v>
      </c>
      <c r="B849" s="1">
        <f ca="1">IFERROR(__xludf.DUMMYFUNCTION("""COMPUTED_VALUE"""),636.01)</f>
        <v>636.01</v>
      </c>
      <c r="C849" s="1">
        <f ca="1">IFERROR(__xludf.DUMMYFUNCTION("""COMPUTED_VALUE"""),639.35)</f>
        <v>639.35</v>
      </c>
      <c r="D849" s="1">
        <f ca="1">IFERROR(__xludf.DUMMYFUNCTION("""COMPUTED_VALUE"""),632.26)</f>
        <v>632.26</v>
      </c>
      <c r="E849" s="1">
        <f ca="1">IFERROR(__xludf.DUMMYFUNCTION("""COMPUTED_VALUE"""),637.1)</f>
        <v>637.1</v>
      </c>
      <c r="F849" s="1">
        <f ca="1">IFERROR(__xludf.DUMMYFUNCTION("""COMPUTED_VALUE"""),6743473)</f>
        <v>6743473</v>
      </c>
    </row>
    <row r="850" spans="1:6" ht="12.6">
      <c r="A850" s="2">
        <f ca="1">IFERROR(__xludf.DUMMYFUNCTION("""COMPUTED_VALUE"""),45798.6666666666)</f>
        <v>45798.666666666599</v>
      </c>
      <c r="B850" s="1">
        <f ca="1">IFERROR(__xludf.DUMMYFUNCTION("""COMPUTED_VALUE"""),631.79)</f>
        <v>631.79</v>
      </c>
      <c r="C850" s="1">
        <f ca="1">IFERROR(__xludf.DUMMYFUNCTION("""COMPUTED_VALUE"""),646.61)</f>
        <v>646.61</v>
      </c>
      <c r="D850" s="1">
        <f ca="1">IFERROR(__xludf.DUMMYFUNCTION("""COMPUTED_VALUE"""),630.17)</f>
        <v>630.16999999999996</v>
      </c>
      <c r="E850" s="1">
        <f ca="1">IFERROR(__xludf.DUMMYFUNCTION("""COMPUTED_VALUE"""),635.5)</f>
        <v>635.5</v>
      </c>
      <c r="F850" s="1">
        <f ca="1">IFERROR(__xludf.DUMMYFUNCTION("""COMPUTED_VALUE"""),11464569)</f>
        <v>11464569</v>
      </c>
    </row>
    <row r="851" spans="1:6" ht="12.6">
      <c r="A851" s="2">
        <f ca="1">IFERROR(__xludf.DUMMYFUNCTION("""COMPUTED_VALUE"""),45799.6666666666)</f>
        <v>45799.666666666599</v>
      </c>
      <c r="B851" s="1">
        <f ca="1">IFERROR(__xludf.DUMMYFUNCTION("""COMPUTED_VALUE"""),634.05)</f>
        <v>634.04999999999995</v>
      </c>
      <c r="C851" s="1">
        <f ca="1">IFERROR(__xludf.DUMMYFUNCTION("""COMPUTED_VALUE"""),643.25)</f>
        <v>643.25</v>
      </c>
      <c r="D851" s="1">
        <f ca="1">IFERROR(__xludf.DUMMYFUNCTION("""COMPUTED_VALUE"""),630.71)</f>
        <v>630.71</v>
      </c>
      <c r="E851" s="1">
        <f ca="1">IFERROR(__xludf.DUMMYFUNCTION("""COMPUTED_VALUE"""),636.57)</f>
        <v>636.57000000000005</v>
      </c>
      <c r="F851" s="1">
        <f ca="1">IFERROR(__xludf.DUMMYFUNCTION("""COMPUTED_VALUE"""),8228443)</f>
        <v>8228443</v>
      </c>
    </row>
    <row r="852" spans="1:6" ht="12.6">
      <c r="A852" s="2">
        <f ca="1">IFERROR(__xludf.DUMMYFUNCTION("""COMPUTED_VALUE"""),45800.6666666666)</f>
        <v>45800.666666666599</v>
      </c>
      <c r="B852" s="1">
        <f ca="1">IFERROR(__xludf.DUMMYFUNCTION("""COMPUTED_VALUE"""),624)</f>
        <v>624</v>
      </c>
      <c r="C852" s="1">
        <f ca="1">IFERROR(__xludf.DUMMYFUNCTION("""COMPUTED_VALUE"""),632.45)</f>
        <v>632.45000000000005</v>
      </c>
      <c r="D852" s="1">
        <f ca="1">IFERROR(__xludf.DUMMYFUNCTION("""COMPUTED_VALUE"""),622.65)</f>
        <v>622.65</v>
      </c>
      <c r="E852" s="1">
        <f ca="1">IFERROR(__xludf.DUMMYFUNCTION("""COMPUTED_VALUE"""),627.06)</f>
        <v>627.05999999999995</v>
      </c>
      <c r="F852" s="1">
        <f ca="1">IFERROR(__xludf.DUMMYFUNCTION("""COMPUTED_VALUE"""),8454067)</f>
        <v>8454067</v>
      </c>
    </row>
    <row r="853" spans="1:6" ht="12.6">
      <c r="A853" s="2">
        <f ca="1">IFERROR(__xludf.DUMMYFUNCTION("""COMPUTED_VALUE"""),45804.6666666666)</f>
        <v>45804.666666666599</v>
      </c>
      <c r="B853" s="1">
        <f ca="1">IFERROR(__xludf.DUMMYFUNCTION("""COMPUTED_VALUE"""),635.41)</f>
        <v>635.41</v>
      </c>
      <c r="C853" s="1">
        <f ca="1">IFERROR(__xludf.DUMMYFUNCTION("""COMPUTED_VALUE"""),643.08)</f>
        <v>643.08000000000004</v>
      </c>
      <c r="D853" s="1">
        <f ca="1">IFERROR(__xludf.DUMMYFUNCTION("""COMPUTED_VALUE"""),632.75)</f>
        <v>632.75</v>
      </c>
      <c r="E853" s="1">
        <f ca="1">IFERROR(__xludf.DUMMYFUNCTION("""COMPUTED_VALUE"""),642.32)</f>
        <v>642.32000000000005</v>
      </c>
      <c r="F853" s="1">
        <f ca="1">IFERROR(__xludf.DUMMYFUNCTION("""COMPUTED_VALUE"""),9508367)</f>
        <v>9508367</v>
      </c>
    </row>
    <row r="854" spans="1:6" ht="12.6">
      <c r="A854" s="2">
        <f ca="1">IFERROR(__xludf.DUMMYFUNCTION("""COMPUTED_VALUE"""),45805.6666666666)</f>
        <v>45805.666666666599</v>
      </c>
      <c r="B854" s="1">
        <f ca="1">IFERROR(__xludf.DUMMYFUNCTION("""COMPUTED_VALUE"""),642.6)</f>
        <v>642.6</v>
      </c>
      <c r="C854" s="1">
        <f ca="1">IFERROR(__xludf.DUMMYFUNCTION("""COMPUTED_VALUE"""),650.88)</f>
        <v>650.88</v>
      </c>
      <c r="D854" s="1">
        <f ca="1">IFERROR(__xludf.DUMMYFUNCTION("""COMPUTED_VALUE"""),642.55)</f>
        <v>642.54999999999995</v>
      </c>
      <c r="E854" s="1">
        <f ca="1">IFERROR(__xludf.DUMMYFUNCTION("""COMPUTED_VALUE"""),643.58)</f>
        <v>643.58000000000004</v>
      </c>
      <c r="F854" s="1">
        <f ca="1">IFERROR(__xludf.DUMMYFUNCTION("""COMPUTED_VALUE"""),9042874)</f>
        <v>9042874</v>
      </c>
    </row>
    <row r="855" spans="1:6" ht="12.6">
      <c r="A855" s="2">
        <f ca="1">IFERROR(__xludf.DUMMYFUNCTION("""COMPUTED_VALUE"""),45806.6666666666)</f>
        <v>45806.666666666599</v>
      </c>
      <c r="B855" s="1">
        <f ca="1">IFERROR(__xludf.DUMMYFUNCTION("""COMPUTED_VALUE"""),651.65)</f>
        <v>651.65</v>
      </c>
      <c r="C855" s="1">
        <f ca="1">IFERROR(__xludf.DUMMYFUNCTION("""COMPUTED_VALUE"""),653.32)</f>
        <v>653.32000000000005</v>
      </c>
      <c r="D855" s="1">
        <f ca="1">IFERROR(__xludf.DUMMYFUNCTION("""COMPUTED_VALUE"""),639.5)</f>
        <v>639.5</v>
      </c>
      <c r="E855" s="1">
        <f ca="1">IFERROR(__xludf.DUMMYFUNCTION("""COMPUTED_VALUE"""),645.05)</f>
        <v>645.04999999999995</v>
      </c>
      <c r="F855" s="1">
        <f ca="1">IFERROR(__xludf.DUMMYFUNCTION("""COMPUTED_VALUE"""),8883436)</f>
        <v>8883436</v>
      </c>
    </row>
    <row r="856" spans="1:6" ht="12.6">
      <c r="A856" s="2">
        <f ca="1">IFERROR(__xludf.DUMMYFUNCTION("""COMPUTED_VALUE"""),45807.6666666666)</f>
        <v>45807.666666666599</v>
      </c>
      <c r="B856" s="1">
        <f ca="1">IFERROR(__xludf.DUMMYFUNCTION("""COMPUTED_VALUE"""),642.5)</f>
        <v>642.5</v>
      </c>
      <c r="C856" s="1">
        <f ca="1">IFERROR(__xludf.DUMMYFUNCTION("""COMPUTED_VALUE"""),649.41)</f>
        <v>649.41</v>
      </c>
      <c r="D856" s="1">
        <f ca="1">IFERROR(__xludf.DUMMYFUNCTION("""COMPUTED_VALUE"""),632.78)</f>
        <v>632.78</v>
      </c>
      <c r="E856" s="1">
        <f ca="1">IFERROR(__xludf.DUMMYFUNCTION("""COMPUTED_VALUE"""),647.49)</f>
        <v>647.49</v>
      </c>
      <c r="F856" s="1">
        <f ca="1">IFERROR(__xludf.DUMMYFUNCTION("""COMPUTED_VALUE"""),16240951)</f>
        <v>16240951</v>
      </c>
    </row>
    <row r="857" spans="1:6" ht="12.6">
      <c r="A857" s="2">
        <f ca="1">IFERROR(__xludf.DUMMYFUNCTION("""COMPUTED_VALUE"""),45810.6666666666)</f>
        <v>45810.666666666599</v>
      </c>
      <c r="B857" s="1">
        <f ca="1">IFERROR(__xludf.DUMMYFUNCTION("""COMPUTED_VALUE"""),644.39)</f>
        <v>644.39</v>
      </c>
      <c r="C857" s="1">
        <f ca="1">IFERROR(__xludf.DUMMYFUNCTION("""COMPUTED_VALUE"""),673.26)</f>
        <v>673.26</v>
      </c>
      <c r="D857" s="1">
        <f ca="1">IFERROR(__xludf.DUMMYFUNCTION("""COMPUTED_VALUE"""),644.26)</f>
        <v>644.26</v>
      </c>
      <c r="E857" s="1">
        <f ca="1">IFERROR(__xludf.DUMMYFUNCTION("""COMPUTED_VALUE"""),670.9)</f>
        <v>670.9</v>
      </c>
      <c r="F857" s="1">
        <f ca="1">IFERROR(__xludf.DUMMYFUNCTION("""COMPUTED_VALUE"""),15766258)</f>
        <v>15766258</v>
      </c>
    </row>
    <row r="858" spans="1:6" ht="12.6">
      <c r="A858" s="2">
        <f ca="1">IFERROR(__xludf.DUMMYFUNCTION("""COMPUTED_VALUE"""),45811.6666666666)</f>
        <v>45811.666666666599</v>
      </c>
      <c r="B858" s="1">
        <f ca="1">IFERROR(__xludf.DUMMYFUNCTION("""COMPUTED_VALUE"""),671.45)</f>
        <v>671.45</v>
      </c>
      <c r="C858" s="1">
        <f ca="1">IFERROR(__xludf.DUMMYFUNCTION("""COMPUTED_VALUE"""),675.58)</f>
        <v>675.58</v>
      </c>
      <c r="D858" s="1">
        <f ca="1">IFERROR(__xludf.DUMMYFUNCTION("""COMPUTED_VALUE"""),665.03)</f>
        <v>665.03</v>
      </c>
      <c r="E858" s="1">
        <f ca="1">IFERROR(__xludf.DUMMYFUNCTION("""COMPUTED_VALUE"""),666.85)</f>
        <v>666.85</v>
      </c>
      <c r="F858" s="1">
        <f ca="1">IFERROR(__xludf.DUMMYFUNCTION("""COMPUTED_VALUE"""),11585031)</f>
        <v>11585031</v>
      </c>
    </row>
    <row r="859" spans="1:6" ht="12.6">
      <c r="A859" s="2">
        <f ca="1">IFERROR(__xludf.DUMMYFUNCTION("""COMPUTED_VALUE"""),45812.6666666666)</f>
        <v>45812.666666666599</v>
      </c>
      <c r="B859" s="1">
        <f ca="1">IFERROR(__xludf.DUMMYFUNCTION("""COMPUTED_VALUE"""),669.32)</f>
        <v>669.32</v>
      </c>
      <c r="C859" s="1">
        <f ca="1">IFERROR(__xludf.DUMMYFUNCTION("""COMPUTED_VALUE"""),689)</f>
        <v>689</v>
      </c>
      <c r="D859" s="1">
        <f ca="1">IFERROR(__xludf.DUMMYFUNCTION("""COMPUTED_VALUE"""),668.57)</f>
        <v>668.57</v>
      </c>
      <c r="E859" s="1">
        <f ca="1">IFERROR(__xludf.DUMMYFUNCTION("""COMPUTED_VALUE"""),687.95)</f>
        <v>687.95</v>
      </c>
      <c r="F859" s="1">
        <f ca="1">IFERROR(__xludf.DUMMYFUNCTION("""COMPUTED_VALUE"""),14031931)</f>
        <v>14031931</v>
      </c>
    </row>
    <row r="860" spans="1:6" ht="12.6">
      <c r="A860" s="2">
        <f ca="1">IFERROR(__xludf.DUMMYFUNCTION("""COMPUTED_VALUE"""),45813.6666666666)</f>
        <v>45813.666666666599</v>
      </c>
      <c r="B860" s="1">
        <f ca="1">IFERROR(__xludf.DUMMYFUNCTION("""COMPUTED_VALUE"""),691.66)</f>
        <v>691.66</v>
      </c>
      <c r="C860" s="1">
        <f ca="1">IFERROR(__xludf.DUMMYFUNCTION("""COMPUTED_VALUE"""),694.38)</f>
        <v>694.38</v>
      </c>
      <c r="D860" s="1">
        <f ca="1">IFERROR(__xludf.DUMMYFUNCTION("""COMPUTED_VALUE"""),682.25)</f>
        <v>682.25</v>
      </c>
      <c r="E860" s="1">
        <f ca="1">IFERROR(__xludf.DUMMYFUNCTION("""COMPUTED_VALUE"""),684.62)</f>
        <v>684.62</v>
      </c>
      <c r="F860" s="1">
        <f ca="1">IFERROR(__xludf.DUMMYFUNCTION("""COMPUTED_VALUE"""),13120335)</f>
        <v>13120335</v>
      </c>
    </row>
    <row r="861" spans="1:6" ht="12.6">
      <c r="A861" s="2">
        <f ca="1">IFERROR(__xludf.DUMMYFUNCTION("""COMPUTED_VALUE"""),45814.6666666666)</f>
        <v>45814.666666666599</v>
      </c>
      <c r="B861" s="1">
        <f ca="1">IFERROR(__xludf.DUMMYFUNCTION("""COMPUTED_VALUE"""),696.17)</f>
        <v>696.17</v>
      </c>
      <c r="C861" s="1">
        <f ca="1">IFERROR(__xludf.DUMMYFUNCTION("""COMPUTED_VALUE"""),702.81)</f>
        <v>702.81</v>
      </c>
      <c r="D861" s="1">
        <f ca="1">IFERROR(__xludf.DUMMYFUNCTION("""COMPUTED_VALUE"""),691.87)</f>
        <v>691.87</v>
      </c>
      <c r="E861" s="1">
        <f ca="1">IFERROR(__xludf.DUMMYFUNCTION("""COMPUTED_VALUE"""),697.71)</f>
        <v>697.71</v>
      </c>
      <c r="F861" s="1">
        <f ca="1">IFERROR(__xludf.DUMMYFUNCTION("""COMPUTED_VALUE"""),11727961)</f>
        <v>11727961</v>
      </c>
    </row>
    <row r="862" spans="1:6" ht="12.6">
      <c r="A862" s="2">
        <f ca="1">IFERROR(__xludf.DUMMYFUNCTION("""COMPUTED_VALUE"""),45817.6666666666)</f>
        <v>45817.666666666599</v>
      </c>
      <c r="B862" s="1">
        <f ca="1">IFERROR(__xludf.DUMMYFUNCTION("""COMPUTED_VALUE"""),698.46)</f>
        <v>698.46</v>
      </c>
      <c r="C862" s="1">
        <f ca="1">IFERROR(__xludf.DUMMYFUNCTION("""COMPUTED_VALUE"""),705.19)</f>
        <v>705.19</v>
      </c>
      <c r="D862" s="1">
        <f ca="1">IFERROR(__xludf.DUMMYFUNCTION("""COMPUTED_VALUE"""),693.94)</f>
        <v>693.94</v>
      </c>
      <c r="E862" s="1">
        <f ca="1">IFERROR(__xludf.DUMMYFUNCTION("""COMPUTED_VALUE"""),694.06)</f>
        <v>694.06</v>
      </c>
      <c r="F862" s="1">
        <f ca="1">IFERROR(__xludf.DUMMYFUNCTION("""COMPUTED_VALUE"""),12773221)</f>
        <v>12773221</v>
      </c>
    </row>
    <row r="863" spans="1:6" ht="12.6">
      <c r="A863" s="2">
        <f ca="1">IFERROR(__xludf.DUMMYFUNCTION("""COMPUTED_VALUE"""),45818.6666666666)</f>
        <v>45818.666666666599</v>
      </c>
      <c r="B863" s="1">
        <f ca="1">IFERROR(__xludf.DUMMYFUNCTION("""COMPUTED_VALUE"""),701.35)</f>
        <v>701.35</v>
      </c>
      <c r="C863" s="1">
        <f ca="1">IFERROR(__xludf.DUMMYFUNCTION("""COMPUTED_VALUE"""),703.23)</f>
        <v>703.23</v>
      </c>
      <c r="D863" s="1">
        <f ca="1">IFERROR(__xludf.DUMMYFUNCTION("""COMPUTED_VALUE"""),691.56)</f>
        <v>691.56</v>
      </c>
      <c r="E863" s="1">
        <f ca="1">IFERROR(__xludf.DUMMYFUNCTION("""COMPUTED_VALUE"""),702.4)</f>
        <v>702.4</v>
      </c>
      <c r="F863" s="1">
        <f ca="1">IFERROR(__xludf.DUMMYFUNCTION("""COMPUTED_VALUE"""),10850146)</f>
        <v>10850146</v>
      </c>
    </row>
    <row r="864" spans="1:6" ht="12.6">
      <c r="A864" s="2">
        <f ca="1">IFERROR(__xludf.DUMMYFUNCTION("""COMPUTED_VALUE"""),45819.6666666666)</f>
        <v>45819.666666666599</v>
      </c>
      <c r="B864" s="1">
        <f ca="1">IFERROR(__xludf.DUMMYFUNCTION("""COMPUTED_VALUE"""),703.71)</f>
        <v>703.71</v>
      </c>
      <c r="C864" s="1">
        <f ca="1">IFERROR(__xludf.DUMMYFUNCTION("""COMPUTED_VALUE"""),708.87)</f>
        <v>708.87</v>
      </c>
      <c r="D864" s="1">
        <f ca="1">IFERROR(__xludf.DUMMYFUNCTION("""COMPUTED_VALUE"""),691.99)</f>
        <v>691.99</v>
      </c>
      <c r="E864" s="1">
        <f ca="1">IFERROR(__xludf.DUMMYFUNCTION("""COMPUTED_VALUE"""),694.14)</f>
        <v>694.14</v>
      </c>
      <c r="F864" s="1">
        <f ca="1">IFERROR(__xludf.DUMMYFUNCTION("""COMPUTED_VALUE"""),9582508)</f>
        <v>9582508</v>
      </c>
    </row>
    <row r="865" spans="1:6" ht="12.6">
      <c r="A865" s="2">
        <f ca="1">IFERROR(__xludf.DUMMYFUNCTION("""COMPUTED_VALUE"""),45820.6666666666)</f>
        <v>45820.666666666599</v>
      </c>
      <c r="B865" s="1">
        <f ca="1">IFERROR(__xludf.DUMMYFUNCTION("""COMPUTED_VALUE"""),693.3)</f>
        <v>693.3</v>
      </c>
      <c r="C865" s="1">
        <f ca="1">IFERROR(__xludf.DUMMYFUNCTION("""COMPUTED_VALUE"""),695.38)</f>
        <v>695.38</v>
      </c>
      <c r="D865" s="1">
        <f ca="1">IFERROR(__xludf.DUMMYFUNCTION("""COMPUTED_VALUE"""),687)</f>
        <v>687</v>
      </c>
      <c r="E865" s="1">
        <f ca="1">IFERROR(__xludf.DUMMYFUNCTION("""COMPUTED_VALUE"""),693.36)</f>
        <v>693.36</v>
      </c>
      <c r="F865" s="1">
        <f ca="1">IFERROR(__xludf.DUMMYFUNCTION("""COMPUTED_VALUE"""),7322730)</f>
        <v>7322730</v>
      </c>
    </row>
    <row r="866" spans="1:6" ht="12.6">
      <c r="A866" s="2">
        <f ca="1">IFERROR(__xludf.DUMMYFUNCTION("""COMPUTED_VALUE"""),45821.6666666666)</f>
        <v>45821.666666666599</v>
      </c>
      <c r="B866" s="1">
        <f ca="1">IFERROR(__xludf.DUMMYFUNCTION("""COMPUTED_VALUE"""),687.95)</f>
        <v>687.95</v>
      </c>
      <c r="C866" s="1">
        <f ca="1">IFERROR(__xludf.DUMMYFUNCTION("""COMPUTED_VALUE"""),694.57)</f>
        <v>694.57</v>
      </c>
      <c r="D866" s="1">
        <f ca="1">IFERROR(__xludf.DUMMYFUNCTION("""COMPUTED_VALUE"""),681.01)</f>
        <v>681.01</v>
      </c>
      <c r="E866" s="1">
        <f ca="1">IFERROR(__xludf.DUMMYFUNCTION("""COMPUTED_VALUE"""),682.87)</f>
        <v>682.87</v>
      </c>
      <c r="F866" s="1">
        <f ca="1">IFERROR(__xludf.DUMMYFUNCTION("""COMPUTED_VALUE"""),9274441)</f>
        <v>9274441</v>
      </c>
    </row>
    <row r="867" spans="1:6" ht="12.6">
      <c r="A867" s="2">
        <f ca="1">IFERROR(__xludf.DUMMYFUNCTION("""COMPUTED_VALUE"""),45824.6666666666)</f>
        <v>45824.666666666599</v>
      </c>
      <c r="B867" s="1">
        <f ca="1">IFERROR(__xludf.DUMMYFUNCTION("""COMPUTED_VALUE"""),699.33)</f>
        <v>699.33</v>
      </c>
      <c r="C867" s="1">
        <f ca="1">IFERROR(__xludf.DUMMYFUNCTION("""COMPUTED_VALUE"""),707.15)</f>
        <v>707.15</v>
      </c>
      <c r="D867" s="1">
        <f ca="1">IFERROR(__xludf.DUMMYFUNCTION("""COMPUTED_VALUE"""),693.51)</f>
        <v>693.51</v>
      </c>
      <c r="E867" s="1">
        <f ca="1">IFERROR(__xludf.DUMMYFUNCTION("""COMPUTED_VALUE"""),702.12)</f>
        <v>702.12</v>
      </c>
      <c r="F867" s="1">
        <f ca="1">IFERROR(__xludf.DUMMYFUNCTION("""COMPUTED_VALUE"""),13720288)</f>
        <v>13720288</v>
      </c>
    </row>
    <row r="868" spans="1:6" ht="12.6">
      <c r="A868" s="2">
        <f ca="1">IFERROR(__xludf.DUMMYFUNCTION("""COMPUTED_VALUE"""),45825.6666666666)</f>
        <v>45825.666666666599</v>
      </c>
      <c r="B868" s="1">
        <f ca="1">IFERROR(__xludf.DUMMYFUNCTION("""COMPUTED_VALUE"""),702)</f>
        <v>702</v>
      </c>
      <c r="C868" s="1">
        <f ca="1">IFERROR(__xludf.DUMMYFUNCTION("""COMPUTED_VALUE"""),705.97)</f>
        <v>705.97</v>
      </c>
      <c r="D868" s="1">
        <f ca="1">IFERROR(__xludf.DUMMYFUNCTION("""COMPUTED_VALUE"""),696.06)</f>
        <v>696.06</v>
      </c>
      <c r="E868" s="1">
        <f ca="1">IFERROR(__xludf.DUMMYFUNCTION("""COMPUTED_VALUE"""),697.23)</f>
        <v>697.23</v>
      </c>
      <c r="F868" s="1">
        <f ca="1">IFERROR(__xludf.DUMMYFUNCTION("""COMPUTED_VALUE"""),10066110)</f>
        <v>10066110</v>
      </c>
    </row>
    <row r="869" spans="1:6" ht="12.6">
      <c r="A869" s="2">
        <f ca="1">IFERROR(__xludf.DUMMYFUNCTION("""COMPUTED_VALUE"""),45826.6666666666)</f>
        <v>45826.666666666599</v>
      </c>
      <c r="B869" s="1">
        <f ca="1">IFERROR(__xludf.DUMMYFUNCTION("""COMPUTED_VALUE"""),698.18)</f>
        <v>698.18</v>
      </c>
      <c r="C869" s="1">
        <f ca="1">IFERROR(__xludf.DUMMYFUNCTION("""COMPUTED_VALUE"""),701.59)</f>
        <v>701.59</v>
      </c>
      <c r="D869" s="1">
        <f ca="1">IFERROR(__xludf.DUMMYFUNCTION("""COMPUTED_VALUE"""),694.9)</f>
        <v>694.9</v>
      </c>
      <c r="E869" s="1">
        <f ca="1">IFERROR(__xludf.DUMMYFUNCTION("""COMPUTED_VALUE"""),695.77)</f>
        <v>695.77</v>
      </c>
      <c r="F869" s="1">
        <f ca="1">IFERROR(__xludf.DUMMYFUNCTION("""COMPUTED_VALUE"""),10068255)</f>
        <v>10068255</v>
      </c>
    </row>
    <row r="870" spans="1:6" ht="12.6">
      <c r="A870" s="2">
        <f ca="1">IFERROR(__xludf.DUMMYFUNCTION("""COMPUTED_VALUE"""),45828.6666666666)</f>
        <v>45828.666666666599</v>
      </c>
      <c r="B870" s="1">
        <f ca="1">IFERROR(__xludf.DUMMYFUNCTION("""COMPUTED_VALUE"""),700.75)</f>
        <v>700.75</v>
      </c>
      <c r="C870" s="1">
        <f ca="1">IFERROR(__xludf.DUMMYFUNCTION("""COMPUTED_VALUE"""),701.82)</f>
        <v>701.82</v>
      </c>
      <c r="D870" s="1">
        <f ca="1">IFERROR(__xludf.DUMMYFUNCTION("""COMPUTED_VALUE"""),678.67)</f>
        <v>678.67</v>
      </c>
      <c r="E870" s="1">
        <f ca="1">IFERROR(__xludf.DUMMYFUNCTION("""COMPUTED_VALUE"""),682.35)</f>
        <v>682.35</v>
      </c>
      <c r="F870" s="1">
        <f ca="1">IFERROR(__xludf.DUMMYFUNCTION("""COMPUTED_VALUE"""),22538640)</f>
        <v>22538640</v>
      </c>
    </row>
    <row r="871" spans="1:6" ht="12.6">
      <c r="A871" s="2">
        <f ca="1">IFERROR(__xludf.DUMMYFUNCTION("""COMPUTED_VALUE"""),45831.6666666666)</f>
        <v>45831.666666666599</v>
      </c>
      <c r="B871" s="1">
        <f ca="1">IFERROR(__xludf.DUMMYFUNCTION("""COMPUTED_VALUE"""),700.75)</f>
        <v>700.75</v>
      </c>
      <c r="C871" s="1">
        <f ca="1">IFERROR(__xludf.DUMMYFUNCTION("""COMPUTED_VALUE"""),701.82)</f>
        <v>701.82</v>
      </c>
      <c r="D871" s="1">
        <f ca="1">IFERROR(__xludf.DUMMYFUNCTION("""COMPUTED_VALUE"""),678.67)</f>
        <v>678.67</v>
      </c>
      <c r="E871" s="1">
        <f ca="1">IFERROR(__xludf.DUMMYFUNCTION("""COMPUTED_VALUE"""),682.35)</f>
        <v>682.35</v>
      </c>
      <c r="F871" s="1">
        <f ca="1">IFERROR(__xludf.DUMMYFUNCTION("""COMPUTED_VALUE"""),174613)</f>
        <v>174613</v>
      </c>
    </row>
    <row r="872" spans="1:6" ht="12.6">
      <c r="A872" s="2">
        <f ca="1">IFERROR(__xludf.DUMMYFUNCTION("""COMPUTED_VALUE"""),45832.6666666666)</f>
        <v>45832.666666666599</v>
      </c>
      <c r="B872" s="1">
        <f ca="1">IFERROR(__xludf.DUMMYFUNCTION("""COMPUTED_VALUE"""),704.89)</f>
        <v>704.89</v>
      </c>
      <c r="C872" s="1">
        <f ca="1">IFERROR(__xludf.DUMMYFUNCTION("""COMPUTED_VALUE"""),713.19)</f>
        <v>713.19</v>
      </c>
      <c r="D872" s="1">
        <f ca="1">IFERROR(__xludf.DUMMYFUNCTION("""COMPUTED_VALUE"""),702.11)</f>
        <v>702.11</v>
      </c>
      <c r="E872" s="1">
        <f ca="1">IFERROR(__xludf.DUMMYFUNCTION("""COMPUTED_VALUE"""),712.2)</f>
        <v>712.2</v>
      </c>
      <c r="F872" s="1">
        <f ca="1">IFERROR(__xludf.DUMMYFUNCTION("""COMPUTED_VALUE"""),13823180)</f>
        <v>13823180</v>
      </c>
    </row>
    <row r="873" spans="1:6" ht="12.6">
      <c r="A873" s="2">
        <f ca="1">IFERROR(__xludf.DUMMYFUNCTION("""COMPUTED_VALUE"""),45833.6666666666)</f>
        <v>45833.666666666599</v>
      </c>
      <c r="B873" s="1">
        <f ca="1">IFERROR(__xludf.DUMMYFUNCTION("""COMPUTED_VALUE"""),713.32)</f>
        <v>713.32</v>
      </c>
      <c r="C873" s="1">
        <f ca="1">IFERROR(__xludf.DUMMYFUNCTION("""COMPUTED_VALUE"""),716.58)</f>
        <v>716.58</v>
      </c>
      <c r="D873" s="1">
        <f ca="1">IFERROR(__xludf.DUMMYFUNCTION("""COMPUTED_VALUE"""),705.38)</f>
        <v>705.38</v>
      </c>
      <c r="E873" s="1">
        <f ca="1">IFERROR(__xludf.DUMMYFUNCTION("""COMPUTED_VALUE"""),708.68)</f>
        <v>708.68</v>
      </c>
      <c r="F873" s="1">
        <f ca="1">IFERROR(__xludf.DUMMYFUNCTION("""COMPUTED_VALUE"""),9320436)</f>
        <v>9320436</v>
      </c>
    </row>
    <row r="874" spans="1:6" ht="12.6">
      <c r="A874" s="2">
        <f ca="1">IFERROR(__xludf.DUMMYFUNCTION("""COMPUTED_VALUE"""),45834.6666666666)</f>
        <v>45834.666666666599</v>
      </c>
      <c r="B874" s="1">
        <f ca="1">IFERROR(__xludf.DUMMYFUNCTION("""COMPUTED_VALUE"""),713.32)</f>
        <v>713.32</v>
      </c>
      <c r="C874" s="1">
        <f ca="1">IFERROR(__xludf.DUMMYFUNCTION("""COMPUTED_VALUE"""),716.58)</f>
        <v>716.58</v>
      </c>
      <c r="D874" s="1">
        <f ca="1">IFERROR(__xludf.DUMMYFUNCTION("""COMPUTED_VALUE"""),705.38)</f>
        <v>705.38</v>
      </c>
      <c r="E874" s="1">
        <f ca="1">IFERROR(__xludf.DUMMYFUNCTION("""COMPUTED_VALUE"""),708.68)</f>
        <v>708.68</v>
      </c>
      <c r="F874" s="1">
        <f ca="1">IFERROR(__xludf.DUMMYFUNCTION("""COMPUTED_VALUE"""),128423)</f>
        <v>128423</v>
      </c>
    </row>
    <row r="875" spans="1:6" ht="12.6">
      <c r="A875" s="2">
        <f ca="1">IFERROR(__xludf.DUMMYFUNCTION("""COMPUTED_VALUE"""),45835.6666666666)</f>
        <v>45835.666666666599</v>
      </c>
      <c r="B875" s="1">
        <f ca="1">IFERROR(__xludf.DUMMYFUNCTION("""COMPUTED_VALUE"""),726.52)</f>
        <v>726.52</v>
      </c>
      <c r="C875" s="1">
        <f ca="1">IFERROR(__xludf.DUMMYFUNCTION("""COMPUTED_VALUE"""),735.43)</f>
        <v>735.43</v>
      </c>
      <c r="D875" s="1">
        <f ca="1">IFERROR(__xludf.DUMMYFUNCTION("""COMPUTED_VALUE"""),725.86)</f>
        <v>725.86</v>
      </c>
      <c r="E875" s="1">
        <f ca="1">IFERROR(__xludf.DUMMYFUNCTION("""COMPUTED_VALUE"""),733.63)</f>
        <v>733.63</v>
      </c>
      <c r="F875" s="1">
        <f ca="1">IFERROR(__xludf.DUMMYFUNCTION("""COMPUTED_VALUE"""),18775735)</f>
        <v>18775735</v>
      </c>
    </row>
    <row r="876" spans="1:6" ht="12.6">
      <c r="A876" s="2">
        <f ca="1">IFERROR(__xludf.DUMMYFUNCTION("""COMPUTED_VALUE"""),45838.6666666666)</f>
        <v>45838.666666666599</v>
      </c>
      <c r="B876" s="1">
        <f ca="1">IFERROR(__xludf.DUMMYFUNCTION("""COMPUTED_VALUE"""),744.55)</f>
        <v>744.55</v>
      </c>
      <c r="C876" s="1">
        <f ca="1">IFERROR(__xludf.DUMMYFUNCTION("""COMPUTED_VALUE"""),747.9)</f>
        <v>747.9</v>
      </c>
      <c r="D876" s="1">
        <f ca="1">IFERROR(__xludf.DUMMYFUNCTION("""COMPUTED_VALUE"""),734.25)</f>
        <v>734.25</v>
      </c>
      <c r="E876" s="1">
        <f ca="1">IFERROR(__xludf.DUMMYFUNCTION("""COMPUTED_VALUE"""),738.09)</f>
        <v>738.09</v>
      </c>
      <c r="F876" s="1">
        <f ca="1">IFERROR(__xludf.DUMMYFUNCTION("""COMPUTED_VALUE"""),15402105)</f>
        <v>15402105</v>
      </c>
    </row>
    <row r="877" spans="1:6" ht="12.6">
      <c r="A877" s="2">
        <f ca="1">IFERROR(__xludf.DUMMYFUNCTION("""COMPUTED_VALUE"""),45839.6666666666)</f>
        <v>45839.666666666599</v>
      </c>
      <c r="B877" s="1">
        <f ca="1">IFERROR(__xludf.DUMMYFUNCTION("""COMPUTED_VALUE"""),736.88)</f>
        <v>736.88</v>
      </c>
      <c r="C877" s="1">
        <f ca="1">IFERROR(__xludf.DUMMYFUNCTION("""COMPUTED_VALUE"""),737.75)</f>
        <v>737.75</v>
      </c>
      <c r="D877" s="1">
        <f ca="1">IFERROR(__xludf.DUMMYFUNCTION("""COMPUTED_VALUE"""),715.37)</f>
        <v>715.37</v>
      </c>
      <c r="E877" s="1">
        <f ca="1">IFERROR(__xludf.DUMMYFUNCTION("""COMPUTED_VALUE"""),719.22)</f>
        <v>719.22</v>
      </c>
      <c r="F877" s="1">
        <f ca="1">IFERROR(__xludf.DUMMYFUNCTION("""COMPUTED_VALUE"""),13431248)</f>
        <v>13431248</v>
      </c>
    </row>
    <row r="878" spans="1:6" ht="12.6">
      <c r="A878" s="2">
        <f ca="1">IFERROR(__xludf.DUMMYFUNCTION("""COMPUTED_VALUE"""),45840.6666666666)</f>
        <v>45840.666666666599</v>
      </c>
      <c r="B878" s="1">
        <f ca="1">IFERROR(__xludf.DUMMYFUNCTION("""COMPUTED_VALUE"""),715.33)</f>
        <v>715.33</v>
      </c>
      <c r="C878" s="1">
        <f ca="1">IFERROR(__xludf.DUMMYFUNCTION("""COMPUTED_VALUE"""),720.3)</f>
        <v>720.3</v>
      </c>
      <c r="D878" s="1">
        <f ca="1">IFERROR(__xludf.DUMMYFUNCTION("""COMPUTED_VALUE"""),712.8)</f>
        <v>712.8</v>
      </c>
      <c r="E878" s="1">
        <f ca="1">IFERROR(__xludf.DUMMYFUNCTION("""COMPUTED_VALUE"""),713.57)</f>
        <v>713.57</v>
      </c>
      <c r="F878" s="1">
        <f ca="1">IFERROR(__xludf.DUMMYFUNCTION("""COMPUTED_VALUE"""),9336740)</f>
        <v>9336740</v>
      </c>
    </row>
    <row r="879" spans="1:6" ht="12.6">
      <c r="A879" s="2">
        <f ca="1">IFERROR(__xludf.DUMMYFUNCTION("""COMPUTED_VALUE"""),45841.5451388888)</f>
        <v>45841.545138888803</v>
      </c>
      <c r="B879" s="1">
        <f ca="1">IFERROR(__xludf.DUMMYFUNCTION("""COMPUTED_VALUE"""),715.33)</f>
        <v>715.33</v>
      </c>
      <c r="C879" s="1">
        <f ca="1">IFERROR(__xludf.DUMMYFUNCTION("""COMPUTED_VALUE"""),720.3)</f>
        <v>720.3</v>
      </c>
      <c r="D879" s="1">
        <f ca="1">IFERROR(__xludf.DUMMYFUNCTION("""COMPUTED_VALUE"""),712.8)</f>
        <v>712.8</v>
      </c>
      <c r="E879" s="1">
        <f ca="1">IFERROR(__xludf.DUMMYFUNCTION("""COMPUTED_VALUE"""),713.57)</f>
        <v>713.57</v>
      </c>
      <c r="F879" s="1">
        <f ca="1">IFERROR(__xludf.DUMMYFUNCTION("""COMPUTED_VALUE"""),319976)</f>
        <v>319976</v>
      </c>
    </row>
    <row r="880" spans="1:6" ht="12.6">
      <c r="A880" s="2">
        <f ca="1">IFERROR(__xludf.DUMMYFUNCTION("""COMPUTED_VALUE"""),45845.6666666666)</f>
        <v>45845.666666666599</v>
      </c>
      <c r="B880" s="1">
        <f ca="1">IFERROR(__xludf.DUMMYFUNCTION("""COMPUTED_VALUE"""),717.6)</f>
        <v>717.6</v>
      </c>
      <c r="C880" s="1">
        <f ca="1">IFERROR(__xludf.DUMMYFUNCTION("""COMPUTED_VALUE"""),727)</f>
        <v>727</v>
      </c>
      <c r="D880" s="1">
        <f ca="1">IFERROR(__xludf.DUMMYFUNCTION("""COMPUTED_VALUE"""),713.51)</f>
        <v>713.51</v>
      </c>
      <c r="E880" s="1">
        <f ca="1">IFERROR(__xludf.DUMMYFUNCTION("""COMPUTED_VALUE"""),718.35)</f>
        <v>718.35</v>
      </c>
      <c r="F880" s="1">
        <f ca="1">IFERROR(__xludf.DUMMYFUNCTION("""COMPUTED_VALUE"""),9457080)</f>
        <v>9457080</v>
      </c>
    </row>
    <row r="881" spans="1:6" ht="12.6">
      <c r="A881" s="2">
        <f ca="1">IFERROR(__xludf.DUMMYFUNCTION("""COMPUTED_VALUE"""),45846.6666666666)</f>
        <v>45846.666666666599</v>
      </c>
      <c r="B881" s="1">
        <f ca="1">IFERROR(__xludf.DUMMYFUNCTION("""COMPUTED_VALUE"""),721.57)</f>
        <v>721.57</v>
      </c>
      <c r="C881" s="1">
        <f ca="1">IFERROR(__xludf.DUMMYFUNCTION("""COMPUTED_VALUE"""),722.91)</f>
        <v>722.91</v>
      </c>
      <c r="D881" s="1">
        <f ca="1">IFERROR(__xludf.DUMMYFUNCTION("""COMPUTED_VALUE"""),714.81)</f>
        <v>714.81</v>
      </c>
      <c r="E881" s="1">
        <f ca="1">IFERROR(__xludf.DUMMYFUNCTION("""COMPUTED_VALUE"""),720.67)</f>
        <v>720.67</v>
      </c>
      <c r="F881" s="1">
        <f ca="1">IFERROR(__xludf.DUMMYFUNCTION("""COMPUTED_VALUE"""),7770693)</f>
        <v>7770693</v>
      </c>
    </row>
    <row r="882" spans="1:6" ht="12.6">
      <c r="A882" s="2">
        <f ca="1">IFERROR(__xludf.DUMMYFUNCTION("""COMPUTED_VALUE"""),45847.6666666666)</f>
        <v>45847.666666666599</v>
      </c>
      <c r="B882" s="1">
        <f ca="1">IFERROR(__xludf.DUMMYFUNCTION("""COMPUTED_VALUE"""),722.72)</f>
        <v>722.72</v>
      </c>
      <c r="C882" s="1">
        <f ca="1">IFERROR(__xludf.DUMMYFUNCTION("""COMPUTED_VALUE"""),737.53)</f>
        <v>737.53</v>
      </c>
      <c r="D882" s="1">
        <f ca="1">IFERROR(__xludf.DUMMYFUNCTION("""COMPUTED_VALUE"""),722.72)</f>
        <v>722.72</v>
      </c>
      <c r="E882" s="1">
        <f ca="1">IFERROR(__xludf.DUMMYFUNCTION("""COMPUTED_VALUE"""),732.78)</f>
        <v>732.78</v>
      </c>
      <c r="F882" s="1">
        <f ca="1">IFERROR(__xludf.DUMMYFUNCTION("""COMPUTED_VALUE"""),11417963)</f>
        <v>11417963</v>
      </c>
    </row>
    <row r="883" spans="1:6" ht="12.6">
      <c r="A883" s="2">
        <f ca="1">IFERROR(__xludf.DUMMYFUNCTION("""COMPUTED_VALUE"""),45848.6666666666)</f>
        <v>45848.666666666599</v>
      </c>
      <c r="B883" s="1">
        <f ca="1">IFERROR(__xludf.DUMMYFUNCTION("""COMPUTED_VALUE"""),731.55)</f>
        <v>731.55</v>
      </c>
      <c r="C883" s="1">
        <f ca="1">IFERROR(__xludf.DUMMYFUNCTION("""COMPUTED_VALUE"""),735.8)</f>
        <v>735.8</v>
      </c>
      <c r="D883" s="1">
        <f ca="1">IFERROR(__xludf.DUMMYFUNCTION("""COMPUTED_VALUE"""),719.6)</f>
        <v>719.6</v>
      </c>
      <c r="E883" s="1">
        <f ca="1">IFERROR(__xludf.DUMMYFUNCTION("""COMPUTED_VALUE"""),727.24)</f>
        <v>727.24</v>
      </c>
      <c r="F883" s="1">
        <f ca="1">IFERROR(__xludf.DUMMYFUNCTION("""COMPUTED_VALUE"""),9922249)</f>
        <v>9922249</v>
      </c>
    </row>
    <row r="884" spans="1:6" ht="12.6">
      <c r="A884" s="2">
        <f ca="1">IFERROR(__xludf.DUMMYFUNCTION("""COMPUTED_VALUE"""),45849.6666666666)</f>
        <v>45849.666666666599</v>
      </c>
      <c r="B884" s="1">
        <f ca="1">IFERROR(__xludf.DUMMYFUNCTION("""COMPUTED_VALUE"""),722.5)</f>
        <v>722.5</v>
      </c>
      <c r="C884" s="1">
        <f ca="1">IFERROR(__xludf.DUMMYFUNCTION("""COMPUTED_VALUE"""),725.16)</f>
        <v>725.16</v>
      </c>
      <c r="D884" s="1">
        <f ca="1">IFERROR(__xludf.DUMMYFUNCTION("""COMPUTED_VALUE"""),709.7)</f>
        <v>709.7</v>
      </c>
      <c r="E884" s="1">
        <f ca="1">IFERROR(__xludf.DUMMYFUNCTION("""COMPUTED_VALUE"""),717.51)</f>
        <v>717.51</v>
      </c>
      <c r="F884" s="1">
        <f ca="1">IFERROR(__xludf.DUMMYFUNCTION("""COMPUTED_VALUE"""),10873880)</f>
        <v>10873880</v>
      </c>
    </row>
    <row r="885" spans="1:6" ht="12.6">
      <c r="A885" s="2">
        <f ca="1">IFERROR(__xludf.DUMMYFUNCTION("""COMPUTED_VALUE"""),45852.6666666666)</f>
        <v>45852.666666666599</v>
      </c>
      <c r="B885" s="1">
        <f ca="1">IFERROR(__xludf.DUMMYFUNCTION("""COMPUTED_VALUE"""),717.6)</f>
        <v>717.6</v>
      </c>
      <c r="C885" s="1">
        <f ca="1">IFERROR(__xludf.DUMMYFUNCTION("""COMPUTED_VALUE"""),728)</f>
        <v>728</v>
      </c>
      <c r="D885" s="1">
        <f ca="1">IFERROR(__xludf.DUMMYFUNCTION("""COMPUTED_VALUE"""),716.55)</f>
        <v>716.55</v>
      </c>
      <c r="E885" s="1">
        <f ca="1">IFERROR(__xludf.DUMMYFUNCTION("""COMPUTED_VALUE"""),720.92)</f>
        <v>720.92</v>
      </c>
      <c r="F885" s="1">
        <f ca="1">IFERROR(__xludf.DUMMYFUNCTION("""COMPUTED_VALUE"""),8939399)</f>
        <v>8939399</v>
      </c>
    </row>
    <row r="886" spans="1:6" ht="12.6">
      <c r="A886" s="2">
        <f ca="1">IFERROR(__xludf.DUMMYFUNCTION("""COMPUTED_VALUE"""),45853.6666666666)</f>
        <v>45853.666666666599</v>
      </c>
      <c r="B886" s="1">
        <f ca="1">IFERROR(__xludf.DUMMYFUNCTION("""COMPUTED_VALUE"""),723.9)</f>
        <v>723.9</v>
      </c>
      <c r="C886" s="1">
        <f ca="1">IFERROR(__xludf.DUMMYFUNCTION("""COMPUTED_VALUE"""),724.47)</f>
        <v>724.47</v>
      </c>
      <c r="D886" s="1">
        <f ca="1">IFERROR(__xludf.DUMMYFUNCTION("""COMPUTED_VALUE"""),709.82)</f>
        <v>709.82</v>
      </c>
      <c r="E886" s="1">
        <f ca="1">IFERROR(__xludf.DUMMYFUNCTION("""COMPUTED_VALUE"""),710.39)</f>
        <v>710.39</v>
      </c>
      <c r="F886" s="1">
        <f ca="1">IFERROR(__xludf.DUMMYFUNCTION("""COMPUTED_VALUE"""),11529511)</f>
        <v>11529511</v>
      </c>
    </row>
    <row r="887" spans="1:6" ht="12.6">
      <c r="A887" s="2">
        <f ca="1">IFERROR(__xludf.DUMMYFUNCTION("""COMPUTED_VALUE"""),45854.6666666666)</f>
        <v>45854.666666666599</v>
      </c>
      <c r="B887" s="1">
        <f ca="1">IFERROR(__xludf.DUMMYFUNCTION("""COMPUTED_VALUE"""),713.37)</f>
        <v>713.37</v>
      </c>
      <c r="C887" s="1">
        <f ca="1">IFERROR(__xludf.DUMMYFUNCTION("""COMPUTED_VALUE"""),713.97)</f>
        <v>713.97</v>
      </c>
      <c r="D887" s="1">
        <f ca="1">IFERROR(__xludf.DUMMYFUNCTION("""COMPUTED_VALUE"""),699.27)</f>
        <v>699.27</v>
      </c>
      <c r="E887" s="1">
        <f ca="1">IFERROR(__xludf.DUMMYFUNCTION("""COMPUTED_VALUE"""),702.91)</f>
        <v>702.91</v>
      </c>
      <c r="F887" s="1">
        <f ca="1">IFERROR(__xludf.DUMMYFUNCTION("""COMPUTED_VALUE"""),13067627)</f>
        <v>13067627</v>
      </c>
    </row>
    <row r="888" spans="1:6" ht="12.6">
      <c r="A888" s="2">
        <f ca="1">IFERROR(__xludf.DUMMYFUNCTION("""COMPUTED_VALUE"""),45855.6666666666)</f>
        <v>45855.666666666599</v>
      </c>
      <c r="B888" s="1">
        <f ca="1">IFERROR(__xludf.DUMMYFUNCTION("""COMPUTED_VALUE"""),704.39)</f>
        <v>704.39</v>
      </c>
      <c r="C888" s="1">
        <f ca="1">IFERROR(__xludf.DUMMYFUNCTION("""COMPUTED_VALUE"""),705.9)</f>
        <v>705.9</v>
      </c>
      <c r="D888" s="1">
        <f ca="1">IFERROR(__xludf.DUMMYFUNCTION("""COMPUTED_VALUE"""),697.11)</f>
        <v>697.11</v>
      </c>
      <c r="E888" s="1">
        <f ca="1">IFERROR(__xludf.DUMMYFUNCTION("""COMPUTED_VALUE"""),701.41)</f>
        <v>701.41</v>
      </c>
      <c r="F888" s="1">
        <f ca="1">IFERROR(__xludf.DUMMYFUNCTION("""COMPUTED_VALUE"""),11803264)</f>
        <v>11803264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888"/>
  <sheetViews>
    <sheetView workbookViewId="0"/>
  </sheetViews>
  <sheetFormatPr defaultColWidth="12.5703125" defaultRowHeight="15.75" customHeight="1"/>
  <sheetData>
    <row r="1" spans="1:6" ht="15.75" customHeight="1">
      <c r="A1" s="1" t="str">
        <f ca="1">IFERROR(__xludf.DUMMYFUNCTION("GOOGLEFINANCE(""MSFT"",""all"",DATE(2022,1,1),today())"),"Date")</f>
        <v>Date</v>
      </c>
      <c r="B1" s="1" t="str">
        <f ca="1">IFERROR(__xludf.DUMMYFUNCTION("""COMPUTED_VALUE"""),"Open")</f>
        <v>Open</v>
      </c>
      <c r="C1" s="1" t="str">
        <f ca="1">IFERROR(__xludf.DUMMYFUNCTION("""COMPUTED_VALUE"""),"High")</f>
        <v>High</v>
      </c>
      <c r="D1" s="1" t="str">
        <f ca="1">IFERROR(__xludf.DUMMYFUNCTION("""COMPUTED_VALUE"""),"Low")</f>
        <v>Low</v>
      </c>
      <c r="E1" s="1" t="str">
        <f ca="1">IFERROR(__xludf.DUMMYFUNCTION("""COMPUTED_VALUE"""),"Close")</f>
        <v>Close</v>
      </c>
      <c r="F1" s="1" t="str">
        <f ca="1">IFERROR(__xludf.DUMMYFUNCTION("""COMPUTED_VALUE"""),"Volume")</f>
        <v>Volume</v>
      </c>
    </row>
    <row r="2" spans="1:6" ht="15.75" customHeight="1">
      <c r="A2" s="2">
        <f ca="1">IFERROR(__xludf.DUMMYFUNCTION("""COMPUTED_VALUE"""),44564.6666666666)</f>
        <v>44564.666666666599</v>
      </c>
      <c r="B2" s="1">
        <f ca="1">IFERROR(__xludf.DUMMYFUNCTION("""COMPUTED_VALUE"""),335.35)</f>
        <v>335.35</v>
      </c>
      <c r="C2" s="1">
        <f ca="1">IFERROR(__xludf.DUMMYFUNCTION("""COMPUTED_VALUE"""),338)</f>
        <v>338</v>
      </c>
      <c r="D2" s="1">
        <f ca="1">IFERROR(__xludf.DUMMYFUNCTION("""COMPUTED_VALUE"""),329.78)</f>
        <v>329.78</v>
      </c>
      <c r="E2" s="1">
        <f ca="1">IFERROR(__xludf.DUMMYFUNCTION("""COMPUTED_VALUE"""),334.75)</f>
        <v>334.75</v>
      </c>
      <c r="F2" s="1">
        <f ca="1">IFERROR(__xludf.DUMMYFUNCTION("""COMPUTED_VALUE"""),28918013)</f>
        <v>28918013</v>
      </c>
    </row>
    <row r="3" spans="1:6" ht="15.75" customHeight="1">
      <c r="A3" s="2">
        <f ca="1">IFERROR(__xludf.DUMMYFUNCTION("""COMPUTED_VALUE"""),44565.6666666666)</f>
        <v>44565.666666666599</v>
      </c>
      <c r="B3" s="1">
        <f ca="1">IFERROR(__xludf.DUMMYFUNCTION("""COMPUTED_VALUE"""),334.83)</f>
        <v>334.83</v>
      </c>
      <c r="C3" s="1">
        <f ca="1">IFERROR(__xludf.DUMMYFUNCTION("""COMPUTED_VALUE"""),335.2)</f>
        <v>335.2</v>
      </c>
      <c r="D3" s="1">
        <f ca="1">IFERROR(__xludf.DUMMYFUNCTION("""COMPUTED_VALUE"""),326.12)</f>
        <v>326.12</v>
      </c>
      <c r="E3" s="1">
        <f ca="1">IFERROR(__xludf.DUMMYFUNCTION("""COMPUTED_VALUE"""),329.01)</f>
        <v>329.01</v>
      </c>
      <c r="F3" s="1">
        <f ca="1">IFERROR(__xludf.DUMMYFUNCTION("""COMPUTED_VALUE"""),32674306)</f>
        <v>32674306</v>
      </c>
    </row>
    <row r="4" spans="1:6" ht="15.75" customHeight="1">
      <c r="A4" s="2">
        <f ca="1">IFERROR(__xludf.DUMMYFUNCTION("""COMPUTED_VALUE"""),44566.6666666666)</f>
        <v>44566.666666666599</v>
      </c>
      <c r="B4" s="1">
        <f ca="1">IFERROR(__xludf.DUMMYFUNCTION("""COMPUTED_VALUE"""),325.86)</f>
        <v>325.86</v>
      </c>
      <c r="C4" s="1">
        <f ca="1">IFERROR(__xludf.DUMMYFUNCTION("""COMPUTED_VALUE"""),326.07)</f>
        <v>326.07</v>
      </c>
      <c r="D4" s="1">
        <f ca="1">IFERROR(__xludf.DUMMYFUNCTION("""COMPUTED_VALUE"""),315.98)</f>
        <v>315.98</v>
      </c>
      <c r="E4" s="1">
        <f ca="1">IFERROR(__xludf.DUMMYFUNCTION("""COMPUTED_VALUE"""),316.38)</f>
        <v>316.38</v>
      </c>
      <c r="F4" s="1">
        <f ca="1">IFERROR(__xludf.DUMMYFUNCTION("""COMPUTED_VALUE"""),40054327)</f>
        <v>40054327</v>
      </c>
    </row>
    <row r="5" spans="1:6" ht="15.75" customHeight="1">
      <c r="A5" s="2">
        <f ca="1">IFERROR(__xludf.DUMMYFUNCTION("""COMPUTED_VALUE"""),44567.6666666666)</f>
        <v>44567.666666666599</v>
      </c>
      <c r="B5" s="1">
        <f ca="1">IFERROR(__xludf.DUMMYFUNCTION("""COMPUTED_VALUE"""),313.15)</f>
        <v>313.14999999999998</v>
      </c>
      <c r="C5" s="1">
        <f ca="1">IFERROR(__xludf.DUMMYFUNCTION("""COMPUTED_VALUE"""),318.7)</f>
        <v>318.7</v>
      </c>
      <c r="D5" s="1">
        <f ca="1">IFERROR(__xludf.DUMMYFUNCTION("""COMPUTED_VALUE"""),311.49)</f>
        <v>311.49</v>
      </c>
      <c r="E5" s="1">
        <f ca="1">IFERROR(__xludf.DUMMYFUNCTION("""COMPUTED_VALUE"""),313.88)</f>
        <v>313.88</v>
      </c>
      <c r="F5" s="1">
        <f ca="1">IFERROR(__xludf.DUMMYFUNCTION("""COMPUTED_VALUE"""),39646148)</f>
        <v>39646148</v>
      </c>
    </row>
    <row r="6" spans="1:6" ht="15.75" customHeight="1">
      <c r="A6" s="2">
        <f ca="1">IFERROR(__xludf.DUMMYFUNCTION("""COMPUTED_VALUE"""),44568.6666666666)</f>
        <v>44568.666666666599</v>
      </c>
      <c r="B6" s="1">
        <f ca="1">IFERROR(__xludf.DUMMYFUNCTION("""COMPUTED_VALUE"""),314.15)</f>
        <v>314.14999999999998</v>
      </c>
      <c r="C6" s="1">
        <f ca="1">IFERROR(__xludf.DUMMYFUNCTION("""COMPUTED_VALUE"""),316.5)</f>
        <v>316.5</v>
      </c>
      <c r="D6" s="1">
        <f ca="1">IFERROR(__xludf.DUMMYFUNCTION("""COMPUTED_VALUE"""),310.09)</f>
        <v>310.08999999999997</v>
      </c>
      <c r="E6" s="1">
        <f ca="1">IFERROR(__xludf.DUMMYFUNCTION("""COMPUTED_VALUE"""),314.04)</f>
        <v>314.04000000000002</v>
      </c>
      <c r="F6" s="1">
        <f ca="1">IFERROR(__xludf.DUMMYFUNCTION("""COMPUTED_VALUE"""),32720018)</f>
        <v>32720018</v>
      </c>
    </row>
    <row r="7" spans="1:6" ht="15.75" customHeight="1">
      <c r="A7" s="2">
        <f ca="1">IFERROR(__xludf.DUMMYFUNCTION("""COMPUTED_VALUE"""),44571.6666666666)</f>
        <v>44571.666666666599</v>
      </c>
      <c r="B7" s="1">
        <f ca="1">IFERROR(__xludf.DUMMYFUNCTION("""COMPUTED_VALUE"""),309.49)</f>
        <v>309.49</v>
      </c>
      <c r="C7" s="1">
        <f ca="1">IFERROR(__xludf.DUMMYFUNCTION("""COMPUTED_VALUE"""),314.72)</f>
        <v>314.72000000000003</v>
      </c>
      <c r="D7" s="1">
        <f ca="1">IFERROR(__xludf.DUMMYFUNCTION("""COMPUTED_VALUE"""),304.69)</f>
        <v>304.69</v>
      </c>
      <c r="E7" s="1">
        <f ca="1">IFERROR(__xludf.DUMMYFUNCTION("""COMPUTED_VALUE"""),314.27)</f>
        <v>314.27</v>
      </c>
      <c r="F7" s="1">
        <f ca="1">IFERROR(__xludf.DUMMYFUNCTION("""COMPUTED_VALUE"""),44289467)</f>
        <v>44289467</v>
      </c>
    </row>
    <row r="8" spans="1:6" ht="15.75" customHeight="1">
      <c r="A8" s="2">
        <f ca="1">IFERROR(__xludf.DUMMYFUNCTION("""COMPUTED_VALUE"""),44572.6666666666)</f>
        <v>44572.666666666599</v>
      </c>
      <c r="B8" s="1">
        <f ca="1">IFERROR(__xludf.DUMMYFUNCTION("""COMPUTED_VALUE"""),313.38)</f>
        <v>313.38</v>
      </c>
      <c r="C8" s="1">
        <f ca="1">IFERROR(__xludf.DUMMYFUNCTION("""COMPUTED_VALUE"""),316.61)</f>
        <v>316.61</v>
      </c>
      <c r="D8" s="1">
        <f ca="1">IFERROR(__xludf.DUMMYFUNCTION("""COMPUTED_VALUE"""),309.89)</f>
        <v>309.89</v>
      </c>
      <c r="E8" s="1">
        <f ca="1">IFERROR(__xludf.DUMMYFUNCTION("""COMPUTED_VALUE"""),314.98)</f>
        <v>314.98</v>
      </c>
      <c r="F8" s="1">
        <f ca="1">IFERROR(__xludf.DUMMYFUNCTION("""COMPUTED_VALUE"""),29386774)</f>
        <v>29386774</v>
      </c>
    </row>
    <row r="9" spans="1:6" ht="15.75" customHeight="1">
      <c r="A9" s="2">
        <f ca="1">IFERROR(__xludf.DUMMYFUNCTION("""COMPUTED_VALUE"""),44573.6666666666)</f>
        <v>44573.666666666599</v>
      </c>
      <c r="B9" s="1">
        <f ca="1">IFERROR(__xludf.DUMMYFUNCTION("""COMPUTED_VALUE"""),319.67)</f>
        <v>319.67</v>
      </c>
      <c r="C9" s="1">
        <f ca="1">IFERROR(__xludf.DUMMYFUNCTION("""COMPUTED_VALUE"""),323.41)</f>
        <v>323.41000000000003</v>
      </c>
      <c r="D9" s="1">
        <f ca="1">IFERROR(__xludf.DUMMYFUNCTION("""COMPUTED_VALUE"""),317.08)</f>
        <v>317.08</v>
      </c>
      <c r="E9" s="1">
        <f ca="1">IFERROR(__xludf.DUMMYFUNCTION("""COMPUTED_VALUE"""),318.27)</f>
        <v>318.27</v>
      </c>
      <c r="F9" s="1">
        <f ca="1">IFERROR(__xludf.DUMMYFUNCTION("""COMPUTED_VALUE"""),34372217)</f>
        <v>34372217</v>
      </c>
    </row>
    <row r="10" spans="1:6" ht="15.75" customHeight="1">
      <c r="A10" s="2">
        <f ca="1">IFERROR(__xludf.DUMMYFUNCTION("""COMPUTED_VALUE"""),44574.6666666666)</f>
        <v>44574.666666666599</v>
      </c>
      <c r="B10" s="1">
        <f ca="1">IFERROR(__xludf.DUMMYFUNCTION("""COMPUTED_VALUE"""),320.47)</f>
        <v>320.47000000000003</v>
      </c>
      <c r="C10" s="1">
        <f ca="1">IFERROR(__xludf.DUMMYFUNCTION("""COMPUTED_VALUE"""),320.88)</f>
        <v>320.88</v>
      </c>
      <c r="D10" s="1">
        <f ca="1">IFERROR(__xludf.DUMMYFUNCTION("""COMPUTED_VALUE"""),304)</f>
        <v>304</v>
      </c>
      <c r="E10" s="1">
        <f ca="1">IFERROR(__xludf.DUMMYFUNCTION("""COMPUTED_VALUE"""),304.8)</f>
        <v>304.8</v>
      </c>
      <c r="F10" s="1">
        <f ca="1">IFERROR(__xludf.DUMMYFUNCTION("""COMPUTED_VALUE"""),45365979)</f>
        <v>45365979</v>
      </c>
    </row>
    <row r="11" spans="1:6" ht="15.75" customHeight="1">
      <c r="A11" s="2">
        <f ca="1">IFERROR(__xludf.DUMMYFUNCTION("""COMPUTED_VALUE"""),44575.6666666666)</f>
        <v>44575.666666666599</v>
      </c>
      <c r="B11" s="1">
        <f ca="1">IFERROR(__xludf.DUMMYFUNCTION("""COMPUTED_VALUE"""),304.25)</f>
        <v>304.25</v>
      </c>
      <c r="C11" s="1">
        <f ca="1">IFERROR(__xludf.DUMMYFUNCTION("""COMPUTED_VALUE"""),310.82)</f>
        <v>310.82</v>
      </c>
      <c r="D11" s="1">
        <f ca="1">IFERROR(__xludf.DUMMYFUNCTION("""COMPUTED_VALUE"""),303.75)</f>
        <v>303.75</v>
      </c>
      <c r="E11" s="1">
        <f ca="1">IFERROR(__xludf.DUMMYFUNCTION("""COMPUTED_VALUE"""),310.2)</f>
        <v>310.2</v>
      </c>
      <c r="F11" s="1">
        <f ca="1">IFERROR(__xludf.DUMMYFUNCTION("""COMPUTED_VALUE"""),39846414)</f>
        <v>39846414</v>
      </c>
    </row>
    <row r="12" spans="1:6" ht="15.75" customHeight="1">
      <c r="A12" s="2">
        <f ca="1">IFERROR(__xludf.DUMMYFUNCTION("""COMPUTED_VALUE"""),44579.6666666666)</f>
        <v>44579.666666666599</v>
      </c>
      <c r="B12" s="1">
        <f ca="1">IFERROR(__xludf.DUMMYFUNCTION("""COMPUTED_VALUE"""),304.07)</f>
        <v>304.07</v>
      </c>
      <c r="C12" s="1">
        <f ca="1">IFERROR(__xludf.DUMMYFUNCTION("""COMPUTED_VALUE"""),309.8)</f>
        <v>309.8</v>
      </c>
      <c r="D12" s="1">
        <f ca="1">IFERROR(__xludf.DUMMYFUNCTION("""COMPUTED_VALUE"""),301.74)</f>
        <v>301.74</v>
      </c>
      <c r="E12" s="1">
        <f ca="1">IFERROR(__xludf.DUMMYFUNCTION("""COMPUTED_VALUE"""),302.65)</f>
        <v>302.64999999999998</v>
      </c>
      <c r="F12" s="1">
        <f ca="1">IFERROR(__xludf.DUMMYFUNCTION("""COMPUTED_VALUE"""),42434112)</f>
        <v>42434112</v>
      </c>
    </row>
    <row r="13" spans="1:6" ht="15.75" customHeight="1">
      <c r="A13" s="2">
        <f ca="1">IFERROR(__xludf.DUMMYFUNCTION("""COMPUTED_VALUE"""),44580.6666666666)</f>
        <v>44580.666666666599</v>
      </c>
      <c r="B13" s="1">
        <f ca="1">IFERROR(__xludf.DUMMYFUNCTION("""COMPUTED_VALUE"""),306.29)</f>
        <v>306.29000000000002</v>
      </c>
      <c r="C13" s="1">
        <f ca="1">IFERROR(__xludf.DUMMYFUNCTION("""COMPUTED_VALUE"""),313.91)</f>
        <v>313.91000000000003</v>
      </c>
      <c r="D13" s="1">
        <f ca="1">IFERROR(__xludf.DUMMYFUNCTION("""COMPUTED_VALUE"""),302.7)</f>
        <v>302.7</v>
      </c>
      <c r="E13" s="1">
        <f ca="1">IFERROR(__xludf.DUMMYFUNCTION("""COMPUTED_VALUE"""),303.33)</f>
        <v>303.33</v>
      </c>
      <c r="F13" s="1">
        <f ca="1">IFERROR(__xludf.DUMMYFUNCTION("""COMPUTED_VALUE"""),45933855)</f>
        <v>45933855</v>
      </c>
    </row>
    <row r="14" spans="1:6" ht="15.75" customHeight="1">
      <c r="A14" s="2">
        <f ca="1">IFERROR(__xludf.DUMMYFUNCTION("""COMPUTED_VALUE"""),44581.6666666666)</f>
        <v>44581.666666666599</v>
      </c>
      <c r="B14" s="1">
        <f ca="1">IFERROR(__xludf.DUMMYFUNCTION("""COMPUTED_VALUE"""),309.07)</f>
        <v>309.07</v>
      </c>
      <c r="C14" s="1">
        <f ca="1">IFERROR(__xludf.DUMMYFUNCTION("""COMPUTED_VALUE"""),311.65)</f>
        <v>311.64999999999998</v>
      </c>
      <c r="D14" s="1">
        <f ca="1">IFERROR(__xludf.DUMMYFUNCTION("""COMPUTED_VALUE"""),301.14)</f>
        <v>301.14</v>
      </c>
      <c r="E14" s="1">
        <f ca="1">IFERROR(__xludf.DUMMYFUNCTION("""COMPUTED_VALUE"""),301.6)</f>
        <v>301.60000000000002</v>
      </c>
      <c r="F14" s="1">
        <f ca="1">IFERROR(__xludf.DUMMYFUNCTION("""COMPUTED_VALUE"""),35380675)</f>
        <v>35380675</v>
      </c>
    </row>
    <row r="15" spans="1:6" ht="15.75" customHeight="1">
      <c r="A15" s="2">
        <f ca="1">IFERROR(__xludf.DUMMYFUNCTION("""COMPUTED_VALUE"""),44582.6666666666)</f>
        <v>44582.666666666599</v>
      </c>
      <c r="B15" s="1">
        <f ca="1">IFERROR(__xludf.DUMMYFUNCTION("""COMPUTED_VALUE"""),302.69)</f>
        <v>302.69</v>
      </c>
      <c r="C15" s="1">
        <f ca="1">IFERROR(__xludf.DUMMYFUNCTION("""COMPUTED_VALUE"""),304.11)</f>
        <v>304.11</v>
      </c>
      <c r="D15" s="1">
        <f ca="1">IFERROR(__xludf.DUMMYFUNCTION("""COMPUTED_VALUE"""),295.61)</f>
        <v>295.61</v>
      </c>
      <c r="E15" s="1">
        <f ca="1">IFERROR(__xludf.DUMMYFUNCTION("""COMPUTED_VALUE"""),296.03)</f>
        <v>296.02999999999997</v>
      </c>
      <c r="F15" s="1">
        <f ca="1">IFERROR(__xludf.DUMMYFUNCTION("""COMPUTED_VALUE"""),57984403)</f>
        <v>57984403</v>
      </c>
    </row>
    <row r="16" spans="1:6" ht="15.75" customHeight="1">
      <c r="A16" s="2">
        <f ca="1">IFERROR(__xludf.DUMMYFUNCTION("""COMPUTED_VALUE"""),44585.6666666666)</f>
        <v>44585.666666666599</v>
      </c>
      <c r="B16" s="1">
        <f ca="1">IFERROR(__xludf.DUMMYFUNCTION("""COMPUTED_VALUE"""),292.2)</f>
        <v>292.2</v>
      </c>
      <c r="C16" s="1">
        <f ca="1">IFERROR(__xludf.DUMMYFUNCTION("""COMPUTED_VALUE"""),297.11)</f>
        <v>297.11</v>
      </c>
      <c r="D16" s="1">
        <f ca="1">IFERROR(__xludf.DUMMYFUNCTION("""COMPUTED_VALUE"""),276.05)</f>
        <v>276.05</v>
      </c>
      <c r="E16" s="1">
        <f ca="1">IFERROR(__xludf.DUMMYFUNCTION("""COMPUTED_VALUE"""),296.37)</f>
        <v>296.37</v>
      </c>
      <c r="F16" s="1">
        <f ca="1">IFERROR(__xludf.DUMMYFUNCTION("""COMPUTED_VALUE"""),86035393)</f>
        <v>86035393</v>
      </c>
    </row>
    <row r="17" spans="1:6" ht="15.75" customHeight="1">
      <c r="A17" s="2">
        <f ca="1">IFERROR(__xludf.DUMMYFUNCTION("""COMPUTED_VALUE"""),44586.6666666666)</f>
        <v>44586.666666666599</v>
      </c>
      <c r="B17" s="1">
        <f ca="1">IFERROR(__xludf.DUMMYFUNCTION("""COMPUTED_VALUE"""),291.52)</f>
        <v>291.52</v>
      </c>
      <c r="C17" s="1">
        <f ca="1">IFERROR(__xludf.DUMMYFUNCTION("""COMPUTED_VALUE"""),294.99)</f>
        <v>294.99</v>
      </c>
      <c r="D17" s="1">
        <f ca="1">IFERROR(__xludf.DUMMYFUNCTION("""COMPUTED_VALUE"""),285.17)</f>
        <v>285.17</v>
      </c>
      <c r="E17" s="1">
        <f ca="1">IFERROR(__xludf.DUMMYFUNCTION("""COMPUTED_VALUE"""),288.49)</f>
        <v>288.49</v>
      </c>
      <c r="F17" s="1">
        <f ca="1">IFERROR(__xludf.DUMMYFUNCTION("""COMPUTED_VALUE"""),72848638)</f>
        <v>72848638</v>
      </c>
    </row>
    <row r="18" spans="1:6" ht="15.75" customHeight="1">
      <c r="A18" s="2">
        <f ca="1">IFERROR(__xludf.DUMMYFUNCTION("""COMPUTED_VALUE"""),44587.6666666666)</f>
        <v>44587.666666666599</v>
      </c>
      <c r="B18" s="1">
        <f ca="1">IFERROR(__xludf.DUMMYFUNCTION("""COMPUTED_VALUE"""),307.99)</f>
        <v>307.99</v>
      </c>
      <c r="C18" s="1">
        <f ca="1">IFERROR(__xludf.DUMMYFUNCTION("""COMPUTED_VALUE"""),308.5)</f>
        <v>308.5</v>
      </c>
      <c r="D18" s="1">
        <f ca="1">IFERROR(__xludf.DUMMYFUNCTION("""COMPUTED_VALUE"""),293.03)</f>
        <v>293.02999999999997</v>
      </c>
      <c r="E18" s="1">
        <f ca="1">IFERROR(__xludf.DUMMYFUNCTION("""COMPUTED_VALUE"""),296.71)</f>
        <v>296.70999999999998</v>
      </c>
      <c r="F18" s="1">
        <f ca="1">IFERROR(__xludf.DUMMYFUNCTION("""COMPUTED_VALUE"""),90428853)</f>
        <v>90428853</v>
      </c>
    </row>
    <row r="19" spans="1:6" ht="15.75" customHeight="1">
      <c r="A19" s="2">
        <f ca="1">IFERROR(__xludf.DUMMYFUNCTION("""COMPUTED_VALUE"""),44588.6666666666)</f>
        <v>44588.666666666599</v>
      </c>
      <c r="B19" s="1">
        <f ca="1">IFERROR(__xludf.DUMMYFUNCTION("""COMPUTED_VALUE"""),302.66)</f>
        <v>302.66000000000003</v>
      </c>
      <c r="C19" s="1">
        <f ca="1">IFERROR(__xludf.DUMMYFUNCTION("""COMPUTED_VALUE"""),307.3)</f>
        <v>307.3</v>
      </c>
      <c r="D19" s="1">
        <f ca="1">IFERROR(__xludf.DUMMYFUNCTION("""COMPUTED_VALUE"""),297.93)</f>
        <v>297.93</v>
      </c>
      <c r="E19" s="1">
        <f ca="1">IFERROR(__xludf.DUMMYFUNCTION("""COMPUTED_VALUE"""),299.84)</f>
        <v>299.83999999999997</v>
      </c>
      <c r="F19" s="1">
        <f ca="1">IFERROR(__xludf.DUMMYFUNCTION("""COMPUTED_VALUE"""),53481317)</f>
        <v>53481317</v>
      </c>
    </row>
    <row r="20" spans="1:6" ht="15.75" customHeight="1">
      <c r="A20" s="2">
        <f ca="1">IFERROR(__xludf.DUMMYFUNCTION("""COMPUTED_VALUE"""),44589.6666666666)</f>
        <v>44589.666666666599</v>
      </c>
      <c r="B20" s="1">
        <f ca="1">IFERROR(__xludf.DUMMYFUNCTION("""COMPUTED_VALUE"""),300.23)</f>
        <v>300.23</v>
      </c>
      <c r="C20" s="1">
        <f ca="1">IFERROR(__xludf.DUMMYFUNCTION("""COMPUTED_VALUE"""),308.48)</f>
        <v>308.48</v>
      </c>
      <c r="D20" s="1">
        <f ca="1">IFERROR(__xludf.DUMMYFUNCTION("""COMPUTED_VALUE"""),294.45)</f>
        <v>294.45</v>
      </c>
      <c r="E20" s="1">
        <f ca="1">IFERROR(__xludf.DUMMYFUNCTION("""COMPUTED_VALUE"""),308.26)</f>
        <v>308.26</v>
      </c>
      <c r="F20" s="1">
        <f ca="1">IFERROR(__xludf.DUMMYFUNCTION("""COMPUTED_VALUE"""),49743698)</f>
        <v>49743698</v>
      </c>
    </row>
    <row r="21" spans="1:6" ht="15.75" customHeight="1">
      <c r="A21" s="2">
        <f ca="1">IFERROR(__xludf.DUMMYFUNCTION("""COMPUTED_VALUE"""),44592.6666666666)</f>
        <v>44592.666666666599</v>
      </c>
      <c r="B21" s="1">
        <f ca="1">IFERROR(__xludf.DUMMYFUNCTION("""COMPUTED_VALUE"""),308.95)</f>
        <v>308.95</v>
      </c>
      <c r="C21" s="1">
        <f ca="1">IFERROR(__xludf.DUMMYFUNCTION("""COMPUTED_VALUE"""),312.38)</f>
        <v>312.38</v>
      </c>
      <c r="D21" s="1">
        <f ca="1">IFERROR(__xludf.DUMMYFUNCTION("""COMPUTED_VALUE"""),306.37)</f>
        <v>306.37</v>
      </c>
      <c r="E21" s="1">
        <f ca="1">IFERROR(__xludf.DUMMYFUNCTION("""COMPUTED_VALUE"""),310.98)</f>
        <v>310.98</v>
      </c>
      <c r="F21" s="1">
        <f ca="1">IFERROR(__xludf.DUMMYFUNCTION("""COMPUTED_VALUE"""),46444536)</f>
        <v>46444536</v>
      </c>
    </row>
    <row r="22" spans="1:6" ht="15.75" customHeight="1">
      <c r="A22" s="2">
        <f ca="1">IFERROR(__xludf.DUMMYFUNCTION("""COMPUTED_VALUE"""),44593.6666666666)</f>
        <v>44593.666666666599</v>
      </c>
      <c r="B22" s="1">
        <f ca="1">IFERROR(__xludf.DUMMYFUNCTION("""COMPUTED_VALUE"""),310.41)</f>
        <v>310.41000000000003</v>
      </c>
      <c r="C22" s="1">
        <f ca="1">IFERROR(__xludf.DUMMYFUNCTION("""COMPUTED_VALUE"""),310.63)</f>
        <v>310.63</v>
      </c>
      <c r="D22" s="1">
        <f ca="1">IFERROR(__xludf.DUMMYFUNCTION("""COMPUTED_VALUE"""),305.13)</f>
        <v>305.13</v>
      </c>
      <c r="E22" s="1">
        <f ca="1">IFERROR(__xludf.DUMMYFUNCTION("""COMPUTED_VALUE"""),308.76)</f>
        <v>308.76</v>
      </c>
      <c r="F22" s="1">
        <f ca="1">IFERROR(__xludf.DUMMYFUNCTION("""COMPUTED_VALUE"""),40950396)</f>
        <v>40950396</v>
      </c>
    </row>
    <row r="23" spans="1:6" ht="15.75" customHeight="1">
      <c r="A23" s="2">
        <f ca="1">IFERROR(__xludf.DUMMYFUNCTION("""COMPUTED_VALUE"""),44594.6666666666)</f>
        <v>44594.666666666599</v>
      </c>
      <c r="B23" s="1">
        <f ca="1">IFERROR(__xludf.DUMMYFUNCTION("""COMPUTED_VALUE"""),309.63)</f>
        <v>309.63</v>
      </c>
      <c r="C23" s="1">
        <f ca="1">IFERROR(__xludf.DUMMYFUNCTION("""COMPUTED_VALUE"""),315.12)</f>
        <v>315.12</v>
      </c>
      <c r="D23" s="1">
        <f ca="1">IFERROR(__xludf.DUMMYFUNCTION("""COMPUTED_VALUE"""),308.88)</f>
        <v>308.88</v>
      </c>
      <c r="E23" s="1">
        <f ca="1">IFERROR(__xludf.DUMMYFUNCTION("""COMPUTED_VALUE"""),313.46)</f>
        <v>313.45999999999998</v>
      </c>
      <c r="F23" s="1">
        <f ca="1">IFERROR(__xludf.DUMMYFUNCTION("""COMPUTED_VALUE"""),36635989)</f>
        <v>36635989</v>
      </c>
    </row>
    <row r="24" spans="1:6" ht="15.75" customHeight="1">
      <c r="A24" s="2">
        <f ca="1">IFERROR(__xludf.DUMMYFUNCTION("""COMPUTED_VALUE"""),44595.6666666666)</f>
        <v>44595.666666666599</v>
      </c>
      <c r="B24" s="1">
        <f ca="1">IFERROR(__xludf.DUMMYFUNCTION("""COMPUTED_VALUE"""),309.49)</f>
        <v>309.49</v>
      </c>
      <c r="C24" s="1">
        <f ca="1">IFERROR(__xludf.DUMMYFUNCTION("""COMPUTED_VALUE"""),311.23)</f>
        <v>311.23</v>
      </c>
      <c r="D24" s="1">
        <f ca="1">IFERROR(__xludf.DUMMYFUNCTION("""COMPUTED_VALUE"""),299.96)</f>
        <v>299.95999999999998</v>
      </c>
      <c r="E24" s="1">
        <f ca="1">IFERROR(__xludf.DUMMYFUNCTION("""COMPUTED_VALUE"""),301.25)</f>
        <v>301.25</v>
      </c>
      <c r="F24" s="1">
        <f ca="1">IFERROR(__xludf.DUMMYFUNCTION("""COMPUTED_VALUE"""),43729972)</f>
        <v>43729972</v>
      </c>
    </row>
    <row r="25" spans="1:6" ht="15.75" customHeight="1">
      <c r="A25" s="2">
        <f ca="1">IFERROR(__xludf.DUMMYFUNCTION("""COMPUTED_VALUE"""),44596.6666666666)</f>
        <v>44596.666666666599</v>
      </c>
      <c r="B25" s="1">
        <f ca="1">IFERROR(__xludf.DUMMYFUNCTION("""COMPUTED_VALUE"""),300.21)</f>
        <v>300.20999999999998</v>
      </c>
      <c r="C25" s="1">
        <f ca="1">IFERROR(__xludf.DUMMYFUNCTION("""COMPUTED_VALUE"""),308.8)</f>
        <v>308.8</v>
      </c>
      <c r="D25" s="1">
        <f ca="1">IFERROR(__xludf.DUMMYFUNCTION("""COMPUTED_VALUE"""),299.97)</f>
        <v>299.97000000000003</v>
      </c>
      <c r="E25" s="1">
        <f ca="1">IFERROR(__xludf.DUMMYFUNCTION("""COMPUTED_VALUE"""),305.94)</f>
        <v>305.94</v>
      </c>
      <c r="F25" s="1">
        <f ca="1">IFERROR(__xludf.DUMMYFUNCTION("""COMPUTED_VALUE"""),35096488)</f>
        <v>35096488</v>
      </c>
    </row>
    <row r="26" spans="1:6" ht="15.75" customHeight="1">
      <c r="A26" s="2">
        <f ca="1">IFERROR(__xludf.DUMMYFUNCTION("""COMPUTED_VALUE"""),44599.6666666666)</f>
        <v>44599.666666666599</v>
      </c>
      <c r="B26" s="1">
        <f ca="1">IFERROR(__xludf.DUMMYFUNCTION("""COMPUTED_VALUE"""),306.17)</f>
        <v>306.17</v>
      </c>
      <c r="C26" s="1">
        <f ca="1">IFERROR(__xludf.DUMMYFUNCTION("""COMPUTED_VALUE"""),307.84)</f>
        <v>307.83999999999997</v>
      </c>
      <c r="D26" s="1">
        <f ca="1">IFERROR(__xludf.DUMMYFUNCTION("""COMPUTED_VALUE"""),299.9)</f>
        <v>299.89999999999998</v>
      </c>
      <c r="E26" s="1">
        <f ca="1">IFERROR(__xludf.DUMMYFUNCTION("""COMPUTED_VALUE"""),300.95)</f>
        <v>300.95</v>
      </c>
      <c r="F26" s="1">
        <f ca="1">IFERROR(__xludf.DUMMYFUNCTION("""COMPUTED_VALUE"""),28533286)</f>
        <v>28533286</v>
      </c>
    </row>
    <row r="27" spans="1:6" ht="15.75" customHeight="1">
      <c r="A27" s="2">
        <f ca="1">IFERROR(__xludf.DUMMYFUNCTION("""COMPUTED_VALUE"""),44600.6666666666)</f>
        <v>44600.666666666599</v>
      </c>
      <c r="B27" s="1">
        <f ca="1">IFERROR(__xludf.DUMMYFUNCTION("""COMPUTED_VALUE"""),301.25)</f>
        <v>301.25</v>
      </c>
      <c r="C27" s="1">
        <f ca="1">IFERROR(__xludf.DUMMYFUNCTION("""COMPUTED_VALUE"""),305.56)</f>
        <v>305.56</v>
      </c>
      <c r="D27" s="1">
        <f ca="1">IFERROR(__xludf.DUMMYFUNCTION("""COMPUTED_VALUE"""),299.95)</f>
        <v>299.95</v>
      </c>
      <c r="E27" s="1">
        <f ca="1">IFERROR(__xludf.DUMMYFUNCTION("""COMPUTED_VALUE"""),304.56)</f>
        <v>304.56</v>
      </c>
      <c r="F27" s="1">
        <f ca="1">IFERROR(__xludf.DUMMYFUNCTION("""COMPUTED_VALUE"""),32421188)</f>
        <v>32421188</v>
      </c>
    </row>
    <row r="28" spans="1:6" ht="15.75" customHeight="1">
      <c r="A28" s="2">
        <f ca="1">IFERROR(__xludf.DUMMYFUNCTION("""COMPUTED_VALUE"""),44601.6666666666)</f>
        <v>44601.666666666599</v>
      </c>
      <c r="B28" s="1">
        <f ca="1">IFERROR(__xludf.DUMMYFUNCTION("""COMPUTED_VALUE"""),309.87)</f>
        <v>309.87</v>
      </c>
      <c r="C28" s="1">
        <f ca="1">IFERROR(__xludf.DUMMYFUNCTION("""COMPUTED_VALUE"""),311.93)</f>
        <v>311.93</v>
      </c>
      <c r="D28" s="1">
        <f ca="1">IFERROR(__xludf.DUMMYFUNCTION("""COMPUTED_VALUE"""),307.39)</f>
        <v>307.39</v>
      </c>
      <c r="E28" s="1">
        <f ca="1">IFERROR(__xludf.DUMMYFUNCTION("""COMPUTED_VALUE"""),311.21)</f>
        <v>311.20999999999998</v>
      </c>
      <c r="F28" s="1">
        <f ca="1">IFERROR(__xludf.DUMMYFUNCTION("""COMPUTED_VALUE"""),31284671)</f>
        <v>31284671</v>
      </c>
    </row>
    <row r="29" spans="1:6" ht="15.75" customHeight="1">
      <c r="A29" s="2">
        <f ca="1">IFERROR(__xludf.DUMMYFUNCTION("""COMPUTED_VALUE"""),44602.6666666666)</f>
        <v>44602.666666666599</v>
      </c>
      <c r="B29" s="1">
        <f ca="1">IFERROR(__xludf.DUMMYFUNCTION("""COMPUTED_VALUE"""),304.04)</f>
        <v>304.04000000000002</v>
      </c>
      <c r="C29" s="1">
        <f ca="1">IFERROR(__xludf.DUMMYFUNCTION("""COMPUTED_VALUE"""),309.12)</f>
        <v>309.12</v>
      </c>
      <c r="D29" s="1">
        <f ca="1">IFERROR(__xludf.DUMMYFUNCTION("""COMPUTED_VALUE"""),300.7)</f>
        <v>300.7</v>
      </c>
      <c r="E29" s="1">
        <f ca="1">IFERROR(__xludf.DUMMYFUNCTION("""COMPUTED_VALUE"""),302.38)</f>
        <v>302.38</v>
      </c>
      <c r="F29" s="1">
        <f ca="1">IFERROR(__xludf.DUMMYFUNCTION("""COMPUTED_VALUE"""),45386199)</f>
        <v>45386199</v>
      </c>
    </row>
    <row r="30" spans="1:6" ht="15.75" customHeight="1">
      <c r="A30" s="2">
        <f ca="1">IFERROR(__xludf.DUMMYFUNCTION("""COMPUTED_VALUE"""),44603.6666666666)</f>
        <v>44603.666666666599</v>
      </c>
      <c r="B30" s="1">
        <f ca="1">IFERROR(__xludf.DUMMYFUNCTION("""COMPUTED_VALUE"""),303.19)</f>
        <v>303.19</v>
      </c>
      <c r="C30" s="1">
        <f ca="1">IFERROR(__xludf.DUMMYFUNCTION("""COMPUTED_VALUE"""),304.29)</f>
        <v>304.29000000000002</v>
      </c>
      <c r="D30" s="1">
        <f ca="1">IFERROR(__xludf.DUMMYFUNCTION("""COMPUTED_VALUE"""),294.22)</f>
        <v>294.22000000000003</v>
      </c>
      <c r="E30" s="1">
        <f ca="1">IFERROR(__xludf.DUMMYFUNCTION("""COMPUTED_VALUE"""),295.04)</f>
        <v>295.04000000000002</v>
      </c>
      <c r="F30" s="1">
        <f ca="1">IFERROR(__xludf.DUMMYFUNCTION("""COMPUTED_VALUE"""),39175620)</f>
        <v>39175620</v>
      </c>
    </row>
    <row r="31" spans="1:6" ht="15.75" customHeight="1">
      <c r="A31" s="2">
        <f ca="1">IFERROR(__xludf.DUMMYFUNCTION("""COMPUTED_VALUE"""),44606.6666666666)</f>
        <v>44606.666666666599</v>
      </c>
      <c r="B31" s="1">
        <f ca="1">IFERROR(__xludf.DUMMYFUNCTION("""COMPUTED_VALUE"""),293.77)</f>
        <v>293.77</v>
      </c>
      <c r="C31" s="1">
        <f ca="1">IFERROR(__xludf.DUMMYFUNCTION("""COMPUTED_VALUE"""),296.76)</f>
        <v>296.76</v>
      </c>
      <c r="D31" s="1">
        <f ca="1">IFERROR(__xludf.DUMMYFUNCTION("""COMPUTED_VALUE"""),291.35)</f>
        <v>291.35000000000002</v>
      </c>
      <c r="E31" s="1">
        <f ca="1">IFERROR(__xludf.DUMMYFUNCTION("""COMPUTED_VALUE"""),295)</f>
        <v>295</v>
      </c>
      <c r="F31" s="1">
        <f ca="1">IFERROR(__xludf.DUMMYFUNCTION("""COMPUTED_VALUE"""),36359487)</f>
        <v>36359487</v>
      </c>
    </row>
    <row r="32" spans="1:6" ht="15.75" customHeight="1">
      <c r="A32" s="2">
        <f ca="1">IFERROR(__xludf.DUMMYFUNCTION("""COMPUTED_VALUE"""),44607.6666666666)</f>
        <v>44607.666666666599</v>
      </c>
      <c r="B32" s="1">
        <f ca="1">IFERROR(__xludf.DUMMYFUNCTION("""COMPUTED_VALUE"""),300.01)</f>
        <v>300.01</v>
      </c>
      <c r="C32" s="1">
        <f ca="1">IFERROR(__xludf.DUMMYFUNCTION("""COMPUTED_VALUE"""),300.8)</f>
        <v>300.8</v>
      </c>
      <c r="D32" s="1">
        <f ca="1">IFERROR(__xludf.DUMMYFUNCTION("""COMPUTED_VALUE"""),297.02)</f>
        <v>297.02</v>
      </c>
      <c r="E32" s="1">
        <f ca="1">IFERROR(__xludf.DUMMYFUNCTION("""COMPUTED_VALUE"""),300.47)</f>
        <v>300.47000000000003</v>
      </c>
      <c r="F32" s="1">
        <f ca="1">IFERROR(__xludf.DUMMYFUNCTION("""COMPUTED_VALUE"""),27379488)</f>
        <v>27379488</v>
      </c>
    </row>
    <row r="33" spans="1:6" ht="15.75" customHeight="1">
      <c r="A33" s="2">
        <f ca="1">IFERROR(__xludf.DUMMYFUNCTION("""COMPUTED_VALUE"""),44608.6666666666)</f>
        <v>44608.666666666599</v>
      </c>
      <c r="B33" s="1">
        <f ca="1">IFERROR(__xludf.DUMMYFUNCTION("""COMPUTED_VALUE"""),298.37)</f>
        <v>298.37</v>
      </c>
      <c r="C33" s="1">
        <f ca="1">IFERROR(__xludf.DUMMYFUNCTION("""COMPUTED_VALUE"""),300.87)</f>
        <v>300.87</v>
      </c>
      <c r="D33" s="1">
        <f ca="1">IFERROR(__xludf.DUMMYFUNCTION("""COMPUTED_VALUE"""),293.68)</f>
        <v>293.68</v>
      </c>
      <c r="E33" s="1">
        <f ca="1">IFERROR(__xludf.DUMMYFUNCTION("""COMPUTED_VALUE"""),299.5)</f>
        <v>299.5</v>
      </c>
      <c r="F33" s="1">
        <f ca="1">IFERROR(__xludf.DUMMYFUNCTION("""COMPUTED_VALUE"""),29982121)</f>
        <v>29982121</v>
      </c>
    </row>
    <row r="34" spans="1:6" ht="15.75" customHeight="1">
      <c r="A34" s="2">
        <f ca="1">IFERROR(__xludf.DUMMYFUNCTION("""COMPUTED_VALUE"""),44609.6666666666)</f>
        <v>44609.666666666599</v>
      </c>
      <c r="B34" s="1">
        <f ca="1">IFERROR(__xludf.DUMMYFUNCTION("""COMPUTED_VALUE"""),296.36)</f>
        <v>296.36</v>
      </c>
      <c r="C34" s="1">
        <f ca="1">IFERROR(__xludf.DUMMYFUNCTION("""COMPUTED_VALUE"""),296.8)</f>
        <v>296.8</v>
      </c>
      <c r="D34" s="1">
        <f ca="1">IFERROR(__xludf.DUMMYFUNCTION("""COMPUTED_VALUE"""),290)</f>
        <v>290</v>
      </c>
      <c r="E34" s="1">
        <f ca="1">IFERROR(__xludf.DUMMYFUNCTION("""COMPUTED_VALUE"""),290.73)</f>
        <v>290.73</v>
      </c>
      <c r="F34" s="1">
        <f ca="1">IFERROR(__xludf.DUMMYFUNCTION("""COMPUTED_VALUE"""),32461580)</f>
        <v>32461580</v>
      </c>
    </row>
    <row r="35" spans="1:6" ht="15.75" customHeight="1">
      <c r="A35" s="2">
        <f ca="1">IFERROR(__xludf.DUMMYFUNCTION("""COMPUTED_VALUE"""),44610.6666666666)</f>
        <v>44610.666666666599</v>
      </c>
      <c r="B35" s="1">
        <f ca="1">IFERROR(__xludf.DUMMYFUNCTION("""COMPUTED_VALUE"""),293.05)</f>
        <v>293.05</v>
      </c>
      <c r="C35" s="1">
        <f ca="1">IFERROR(__xludf.DUMMYFUNCTION("""COMPUTED_VALUE"""),293.86)</f>
        <v>293.86</v>
      </c>
      <c r="D35" s="1">
        <f ca="1">IFERROR(__xludf.DUMMYFUNCTION("""COMPUTED_VALUE"""),286.31)</f>
        <v>286.31</v>
      </c>
      <c r="E35" s="1">
        <f ca="1">IFERROR(__xludf.DUMMYFUNCTION("""COMPUTED_VALUE"""),287.93)</f>
        <v>287.93</v>
      </c>
      <c r="F35" s="1">
        <f ca="1">IFERROR(__xludf.DUMMYFUNCTION("""COMPUTED_VALUE"""),34264008)</f>
        <v>34264008</v>
      </c>
    </row>
    <row r="36" spans="1:6" ht="15.75" customHeight="1">
      <c r="A36" s="2">
        <f ca="1">IFERROR(__xludf.DUMMYFUNCTION("""COMPUTED_VALUE"""),44614.6666666666)</f>
        <v>44614.666666666599</v>
      </c>
      <c r="B36" s="1">
        <f ca="1">IFERROR(__xludf.DUMMYFUNCTION("""COMPUTED_VALUE"""),285)</f>
        <v>285</v>
      </c>
      <c r="C36" s="1">
        <f ca="1">IFERROR(__xludf.DUMMYFUNCTION("""COMPUTED_VALUE"""),291.54)</f>
        <v>291.54000000000002</v>
      </c>
      <c r="D36" s="1">
        <f ca="1">IFERROR(__xludf.DUMMYFUNCTION("""COMPUTED_VALUE"""),284.5)</f>
        <v>284.5</v>
      </c>
      <c r="E36" s="1">
        <f ca="1">IFERROR(__xludf.DUMMYFUNCTION("""COMPUTED_VALUE"""),287.72)</f>
        <v>287.72000000000003</v>
      </c>
      <c r="F36" s="1">
        <f ca="1">IFERROR(__xludf.DUMMYFUNCTION("""COMPUTED_VALUE"""),41736117)</f>
        <v>41736117</v>
      </c>
    </row>
    <row r="37" spans="1:6" ht="12.6">
      <c r="A37" s="2">
        <f ca="1">IFERROR(__xludf.DUMMYFUNCTION("""COMPUTED_VALUE"""),44615.6666666666)</f>
        <v>44615.666666666599</v>
      </c>
      <c r="B37" s="1">
        <f ca="1">IFERROR(__xludf.DUMMYFUNCTION("""COMPUTED_VALUE"""),290.18)</f>
        <v>290.18</v>
      </c>
      <c r="C37" s="1">
        <f ca="1">IFERROR(__xludf.DUMMYFUNCTION("""COMPUTED_VALUE"""),291.7)</f>
        <v>291.7</v>
      </c>
      <c r="D37" s="1">
        <f ca="1">IFERROR(__xludf.DUMMYFUNCTION("""COMPUTED_VALUE"""),280.1)</f>
        <v>280.10000000000002</v>
      </c>
      <c r="E37" s="1">
        <f ca="1">IFERROR(__xludf.DUMMYFUNCTION("""COMPUTED_VALUE"""),280.27)</f>
        <v>280.27</v>
      </c>
      <c r="F37" s="1">
        <f ca="1">IFERROR(__xludf.DUMMYFUNCTION("""COMPUTED_VALUE"""),37811167)</f>
        <v>37811167</v>
      </c>
    </row>
    <row r="38" spans="1:6" ht="12.6">
      <c r="A38" s="2">
        <f ca="1">IFERROR(__xludf.DUMMYFUNCTION("""COMPUTED_VALUE"""),44616.6666666666)</f>
        <v>44616.666666666599</v>
      </c>
      <c r="B38" s="1">
        <f ca="1">IFERROR(__xludf.DUMMYFUNCTION("""COMPUTED_VALUE"""),272.51)</f>
        <v>272.51</v>
      </c>
      <c r="C38" s="1">
        <f ca="1">IFERROR(__xludf.DUMMYFUNCTION("""COMPUTED_VALUE"""),295.16)</f>
        <v>295.16000000000003</v>
      </c>
      <c r="D38" s="1">
        <f ca="1">IFERROR(__xludf.DUMMYFUNCTION("""COMPUTED_VALUE"""),271.52)</f>
        <v>271.52</v>
      </c>
      <c r="E38" s="1">
        <f ca="1">IFERROR(__xludf.DUMMYFUNCTION("""COMPUTED_VALUE"""),294.59)</f>
        <v>294.58999999999997</v>
      </c>
      <c r="F38" s="1">
        <f ca="1">IFERROR(__xludf.DUMMYFUNCTION("""COMPUTED_VALUE"""),56989686)</f>
        <v>56989686</v>
      </c>
    </row>
    <row r="39" spans="1:6" ht="12.6">
      <c r="A39" s="2">
        <f ca="1">IFERROR(__xludf.DUMMYFUNCTION("""COMPUTED_VALUE"""),44617.6666666666)</f>
        <v>44617.666666666599</v>
      </c>
      <c r="B39" s="1">
        <f ca="1">IFERROR(__xludf.DUMMYFUNCTION("""COMPUTED_VALUE"""),295.14)</f>
        <v>295.14</v>
      </c>
      <c r="C39" s="1">
        <f ca="1">IFERROR(__xludf.DUMMYFUNCTION("""COMPUTED_VALUE"""),297.63)</f>
        <v>297.63</v>
      </c>
      <c r="D39" s="1">
        <f ca="1">IFERROR(__xludf.DUMMYFUNCTION("""COMPUTED_VALUE"""),291.65)</f>
        <v>291.64999999999998</v>
      </c>
      <c r="E39" s="1">
        <f ca="1">IFERROR(__xludf.DUMMYFUNCTION("""COMPUTED_VALUE"""),297.31)</f>
        <v>297.31</v>
      </c>
      <c r="F39" s="1">
        <f ca="1">IFERROR(__xludf.DUMMYFUNCTION("""COMPUTED_VALUE"""),32546721)</f>
        <v>32546721</v>
      </c>
    </row>
    <row r="40" spans="1:6" ht="12.6">
      <c r="A40" s="2">
        <f ca="1">IFERROR(__xludf.DUMMYFUNCTION("""COMPUTED_VALUE"""),44620.6666666666)</f>
        <v>44620.666666666599</v>
      </c>
      <c r="B40" s="1">
        <f ca="1">IFERROR(__xludf.DUMMYFUNCTION("""COMPUTED_VALUE"""),294.31)</f>
        <v>294.31</v>
      </c>
      <c r="C40" s="1">
        <f ca="1">IFERROR(__xludf.DUMMYFUNCTION("""COMPUTED_VALUE"""),299.14)</f>
        <v>299.14</v>
      </c>
      <c r="D40" s="1">
        <f ca="1">IFERROR(__xludf.DUMMYFUNCTION("""COMPUTED_VALUE"""),293)</f>
        <v>293</v>
      </c>
      <c r="E40" s="1">
        <f ca="1">IFERROR(__xludf.DUMMYFUNCTION("""COMPUTED_VALUE"""),298.79)</f>
        <v>298.79000000000002</v>
      </c>
      <c r="F40" s="1">
        <f ca="1">IFERROR(__xludf.DUMMYFUNCTION("""COMPUTED_VALUE"""),34627457)</f>
        <v>34627457</v>
      </c>
    </row>
    <row r="41" spans="1:6" ht="12.6">
      <c r="A41" s="2">
        <f ca="1">IFERROR(__xludf.DUMMYFUNCTION("""COMPUTED_VALUE"""),44621.6666666666)</f>
        <v>44621.666666666599</v>
      </c>
      <c r="B41" s="1">
        <f ca="1">IFERROR(__xludf.DUMMYFUNCTION("""COMPUTED_VALUE"""),296.4)</f>
        <v>296.39999999999998</v>
      </c>
      <c r="C41" s="1">
        <f ca="1">IFERROR(__xludf.DUMMYFUNCTION("""COMPUTED_VALUE"""),299.97)</f>
        <v>299.97000000000003</v>
      </c>
      <c r="D41" s="1">
        <f ca="1">IFERROR(__xludf.DUMMYFUNCTION("""COMPUTED_VALUE"""),292.15)</f>
        <v>292.14999999999998</v>
      </c>
      <c r="E41" s="1">
        <f ca="1">IFERROR(__xludf.DUMMYFUNCTION("""COMPUTED_VALUE"""),294.95)</f>
        <v>294.95</v>
      </c>
      <c r="F41" s="1">
        <f ca="1">IFERROR(__xludf.DUMMYFUNCTION("""COMPUTED_VALUE"""),31217778)</f>
        <v>31217778</v>
      </c>
    </row>
    <row r="42" spans="1:6" ht="12.6">
      <c r="A42" s="2">
        <f ca="1">IFERROR(__xludf.DUMMYFUNCTION("""COMPUTED_VALUE"""),44622.6666666666)</f>
        <v>44622.666666666599</v>
      </c>
      <c r="B42" s="1">
        <f ca="1">IFERROR(__xludf.DUMMYFUNCTION("""COMPUTED_VALUE"""),295.36)</f>
        <v>295.36</v>
      </c>
      <c r="C42" s="1">
        <f ca="1">IFERROR(__xludf.DUMMYFUNCTION("""COMPUTED_VALUE"""),301.47)</f>
        <v>301.47000000000003</v>
      </c>
      <c r="D42" s="1">
        <f ca="1">IFERROR(__xludf.DUMMYFUNCTION("""COMPUTED_VALUE"""),293.7)</f>
        <v>293.7</v>
      </c>
      <c r="E42" s="1">
        <f ca="1">IFERROR(__xludf.DUMMYFUNCTION("""COMPUTED_VALUE"""),300.19)</f>
        <v>300.19</v>
      </c>
      <c r="F42" s="1">
        <f ca="1">IFERROR(__xludf.DUMMYFUNCTION("""COMPUTED_VALUE"""),31873007)</f>
        <v>31873007</v>
      </c>
    </row>
    <row r="43" spans="1:6" ht="12.6">
      <c r="A43" s="2">
        <f ca="1">IFERROR(__xludf.DUMMYFUNCTION("""COMPUTED_VALUE"""),44623.6666666666)</f>
        <v>44623.666666666599</v>
      </c>
      <c r="B43" s="1">
        <f ca="1">IFERROR(__xludf.DUMMYFUNCTION("""COMPUTED_VALUE"""),302.89)</f>
        <v>302.89</v>
      </c>
      <c r="C43" s="1">
        <f ca="1">IFERROR(__xludf.DUMMYFUNCTION("""COMPUTED_VALUE"""),303.13)</f>
        <v>303.13</v>
      </c>
      <c r="D43" s="1">
        <f ca="1">IFERROR(__xludf.DUMMYFUNCTION("""COMPUTED_VALUE"""),294.05)</f>
        <v>294.05</v>
      </c>
      <c r="E43" s="1">
        <f ca="1">IFERROR(__xludf.DUMMYFUNCTION("""COMPUTED_VALUE"""),295.92)</f>
        <v>295.92</v>
      </c>
      <c r="F43" s="1">
        <f ca="1">IFERROR(__xludf.DUMMYFUNCTION("""COMPUTED_VALUE"""),27314469)</f>
        <v>27314469</v>
      </c>
    </row>
    <row r="44" spans="1:6" ht="12.6">
      <c r="A44" s="2">
        <f ca="1">IFERROR(__xludf.DUMMYFUNCTION("""COMPUTED_VALUE"""),44624.6666666666)</f>
        <v>44624.666666666599</v>
      </c>
      <c r="B44" s="1">
        <f ca="1">IFERROR(__xludf.DUMMYFUNCTION("""COMPUTED_VALUE"""),294.29)</f>
        <v>294.29000000000002</v>
      </c>
      <c r="C44" s="1">
        <f ca="1">IFERROR(__xludf.DUMMYFUNCTION("""COMPUTED_VALUE"""),295.66)</f>
        <v>295.66000000000003</v>
      </c>
      <c r="D44" s="1">
        <f ca="1">IFERROR(__xludf.DUMMYFUNCTION("""COMPUTED_VALUE"""),287.17)</f>
        <v>287.17</v>
      </c>
      <c r="E44" s="1">
        <f ca="1">IFERROR(__xludf.DUMMYFUNCTION("""COMPUTED_VALUE"""),289.86)</f>
        <v>289.86</v>
      </c>
      <c r="F44" s="1">
        <f ca="1">IFERROR(__xludf.DUMMYFUNCTION("""COMPUTED_VALUE"""),32369655)</f>
        <v>32369655</v>
      </c>
    </row>
    <row r="45" spans="1:6" ht="12.6">
      <c r="A45" s="2">
        <f ca="1">IFERROR(__xludf.DUMMYFUNCTION("""COMPUTED_VALUE"""),44627.6666666666)</f>
        <v>44627.666666666599</v>
      </c>
      <c r="B45" s="1">
        <f ca="1">IFERROR(__xludf.DUMMYFUNCTION("""COMPUTED_VALUE"""),288.53)</f>
        <v>288.52999999999997</v>
      </c>
      <c r="C45" s="1">
        <f ca="1">IFERROR(__xludf.DUMMYFUNCTION("""COMPUTED_VALUE"""),289.69)</f>
        <v>289.69</v>
      </c>
      <c r="D45" s="1">
        <f ca="1">IFERROR(__xludf.DUMMYFUNCTION("""COMPUTED_VALUE"""),278.53)</f>
        <v>278.52999999999997</v>
      </c>
      <c r="E45" s="1">
        <f ca="1">IFERROR(__xludf.DUMMYFUNCTION("""COMPUTED_VALUE"""),278.91)</f>
        <v>278.91000000000003</v>
      </c>
      <c r="F45" s="1">
        <f ca="1">IFERROR(__xludf.DUMMYFUNCTION("""COMPUTED_VALUE"""),43157178)</f>
        <v>43157178</v>
      </c>
    </row>
    <row r="46" spans="1:6" ht="12.6">
      <c r="A46" s="2">
        <f ca="1">IFERROR(__xludf.DUMMYFUNCTION("""COMPUTED_VALUE"""),44628.6666666666)</f>
        <v>44628.666666666599</v>
      </c>
      <c r="B46" s="1">
        <f ca="1">IFERROR(__xludf.DUMMYFUNCTION("""COMPUTED_VALUE"""),277.8)</f>
        <v>277.8</v>
      </c>
      <c r="C46" s="1">
        <f ca="1">IFERROR(__xludf.DUMMYFUNCTION("""COMPUTED_VALUE"""),283.96)</f>
        <v>283.95999999999998</v>
      </c>
      <c r="D46" s="1">
        <f ca="1">IFERROR(__xludf.DUMMYFUNCTION("""COMPUTED_VALUE"""),270)</f>
        <v>270</v>
      </c>
      <c r="E46" s="1">
        <f ca="1">IFERROR(__xludf.DUMMYFUNCTION("""COMPUTED_VALUE"""),275.85)</f>
        <v>275.85000000000002</v>
      </c>
      <c r="F46" s="1">
        <f ca="1">IFERROR(__xludf.DUMMYFUNCTION("""COMPUTED_VALUE"""),48159475)</f>
        <v>48159475</v>
      </c>
    </row>
    <row r="47" spans="1:6" ht="12.6">
      <c r="A47" s="2">
        <f ca="1">IFERROR(__xludf.DUMMYFUNCTION("""COMPUTED_VALUE"""),44629.6666666666)</f>
        <v>44629.666666666599</v>
      </c>
      <c r="B47" s="1">
        <f ca="1">IFERROR(__xludf.DUMMYFUNCTION("""COMPUTED_VALUE"""),283.44)</f>
        <v>283.44</v>
      </c>
      <c r="C47" s="1">
        <f ca="1">IFERROR(__xludf.DUMMYFUNCTION("""COMPUTED_VALUE"""),289.6)</f>
        <v>289.60000000000002</v>
      </c>
      <c r="D47" s="1">
        <f ca="1">IFERROR(__xludf.DUMMYFUNCTION("""COMPUTED_VALUE"""),280.78)</f>
        <v>280.77999999999997</v>
      </c>
      <c r="E47" s="1">
        <f ca="1">IFERROR(__xludf.DUMMYFUNCTION("""COMPUTED_VALUE"""),288.5)</f>
        <v>288.5</v>
      </c>
      <c r="F47" s="1">
        <f ca="1">IFERROR(__xludf.DUMMYFUNCTION("""COMPUTED_VALUE"""),35204480)</f>
        <v>35204480</v>
      </c>
    </row>
    <row r="48" spans="1:6" ht="12.6">
      <c r="A48" s="2">
        <f ca="1">IFERROR(__xludf.DUMMYFUNCTION("""COMPUTED_VALUE"""),44630.6666666666)</f>
        <v>44630.666666666599</v>
      </c>
      <c r="B48" s="1">
        <f ca="1">IFERROR(__xludf.DUMMYFUNCTION("""COMPUTED_VALUE"""),283.02)</f>
        <v>283.02</v>
      </c>
      <c r="C48" s="1">
        <f ca="1">IFERROR(__xludf.DUMMYFUNCTION("""COMPUTED_VALUE"""),286.6)</f>
        <v>286.60000000000002</v>
      </c>
      <c r="D48" s="1">
        <f ca="1">IFERROR(__xludf.DUMMYFUNCTION("""COMPUTED_VALUE"""),280.58)</f>
        <v>280.58</v>
      </c>
      <c r="E48" s="1">
        <f ca="1">IFERROR(__xludf.DUMMYFUNCTION("""COMPUTED_VALUE"""),285.59)</f>
        <v>285.58999999999997</v>
      </c>
      <c r="F48" s="1">
        <f ca="1">IFERROR(__xludf.DUMMYFUNCTION("""COMPUTED_VALUE"""),30628012)</f>
        <v>30628012</v>
      </c>
    </row>
    <row r="49" spans="1:6" ht="12.6">
      <c r="A49" s="2">
        <f ca="1">IFERROR(__xludf.DUMMYFUNCTION("""COMPUTED_VALUE"""),44631.6666666666)</f>
        <v>44631.666666666599</v>
      </c>
      <c r="B49" s="1">
        <f ca="1">IFERROR(__xludf.DUMMYFUNCTION("""COMPUTED_VALUE"""),287.96)</f>
        <v>287.95999999999998</v>
      </c>
      <c r="C49" s="1">
        <f ca="1">IFERROR(__xludf.DUMMYFUNCTION("""COMPUTED_VALUE"""),289.51)</f>
        <v>289.51</v>
      </c>
      <c r="D49" s="1">
        <f ca="1">IFERROR(__xludf.DUMMYFUNCTION("""COMPUTED_VALUE"""),279.43)</f>
        <v>279.43</v>
      </c>
      <c r="E49" s="1">
        <f ca="1">IFERROR(__xludf.DUMMYFUNCTION("""COMPUTED_VALUE"""),280.07)</f>
        <v>280.07</v>
      </c>
      <c r="F49" s="1">
        <f ca="1">IFERROR(__xludf.DUMMYFUNCTION("""COMPUTED_VALUE"""),27209330)</f>
        <v>27209330</v>
      </c>
    </row>
    <row r="50" spans="1:6" ht="12.6">
      <c r="A50" s="2">
        <f ca="1">IFERROR(__xludf.DUMMYFUNCTION("""COMPUTED_VALUE"""),44634.6666666666)</f>
        <v>44634.666666666599</v>
      </c>
      <c r="B50" s="1">
        <f ca="1">IFERROR(__xludf.DUMMYFUNCTION("""COMPUTED_VALUE"""),280.34)</f>
        <v>280.33999999999997</v>
      </c>
      <c r="C50" s="1">
        <f ca="1">IFERROR(__xludf.DUMMYFUNCTION("""COMPUTED_VALUE"""),285.4)</f>
        <v>285.39999999999998</v>
      </c>
      <c r="D50" s="1">
        <f ca="1">IFERROR(__xludf.DUMMYFUNCTION("""COMPUTED_VALUE"""),275.82)</f>
        <v>275.82</v>
      </c>
      <c r="E50" s="1">
        <f ca="1">IFERROR(__xludf.DUMMYFUNCTION("""COMPUTED_VALUE"""),276.44)</f>
        <v>276.44</v>
      </c>
      <c r="F50" s="1">
        <f ca="1">IFERROR(__xludf.DUMMYFUNCTION("""COMPUTED_VALUE"""),30660747)</f>
        <v>30660747</v>
      </c>
    </row>
    <row r="51" spans="1:6" ht="12.6">
      <c r="A51" s="2">
        <f ca="1">IFERROR(__xludf.DUMMYFUNCTION("""COMPUTED_VALUE"""),44635.6666666666)</f>
        <v>44635.666666666599</v>
      </c>
      <c r="B51" s="1">
        <f ca="1">IFERROR(__xludf.DUMMYFUNCTION("""COMPUTED_VALUE"""),280.35)</f>
        <v>280.35000000000002</v>
      </c>
      <c r="C51" s="1">
        <f ca="1">IFERROR(__xludf.DUMMYFUNCTION("""COMPUTED_VALUE"""),287.82)</f>
        <v>287.82</v>
      </c>
      <c r="D51" s="1">
        <f ca="1">IFERROR(__xludf.DUMMYFUNCTION("""COMPUTED_VALUE"""),278.73)</f>
        <v>278.73</v>
      </c>
      <c r="E51" s="1">
        <f ca="1">IFERROR(__xludf.DUMMYFUNCTION("""COMPUTED_VALUE"""),287.15)</f>
        <v>287.14999999999998</v>
      </c>
      <c r="F51" s="1">
        <f ca="1">IFERROR(__xludf.DUMMYFUNCTION("""COMPUTED_VALUE"""),34245085)</f>
        <v>34245085</v>
      </c>
    </row>
    <row r="52" spans="1:6" ht="12.6">
      <c r="A52" s="2">
        <f ca="1">IFERROR(__xludf.DUMMYFUNCTION("""COMPUTED_VALUE"""),44636.6666666666)</f>
        <v>44636.666666666599</v>
      </c>
      <c r="B52" s="1">
        <f ca="1">IFERROR(__xludf.DUMMYFUNCTION("""COMPUTED_VALUE"""),289.11)</f>
        <v>289.11</v>
      </c>
      <c r="C52" s="1">
        <f ca="1">IFERROR(__xludf.DUMMYFUNCTION("""COMPUTED_VALUE"""),294.57)</f>
        <v>294.57</v>
      </c>
      <c r="D52" s="1">
        <f ca="1">IFERROR(__xludf.DUMMYFUNCTION("""COMPUTED_VALUE"""),283.2)</f>
        <v>283.2</v>
      </c>
      <c r="E52" s="1">
        <f ca="1">IFERROR(__xludf.DUMMYFUNCTION("""COMPUTED_VALUE"""),294.39)</f>
        <v>294.39</v>
      </c>
      <c r="F52" s="1">
        <f ca="1">IFERROR(__xludf.DUMMYFUNCTION("""COMPUTED_VALUE"""),37826329)</f>
        <v>37826329</v>
      </c>
    </row>
    <row r="53" spans="1:6" ht="12.6">
      <c r="A53" s="2">
        <f ca="1">IFERROR(__xludf.DUMMYFUNCTION("""COMPUTED_VALUE"""),44637.6666666666)</f>
        <v>44637.666666666599</v>
      </c>
      <c r="B53" s="1">
        <f ca="1">IFERROR(__xludf.DUMMYFUNCTION("""COMPUTED_VALUE"""),293.29)</f>
        <v>293.29000000000002</v>
      </c>
      <c r="C53" s="1">
        <f ca="1">IFERROR(__xludf.DUMMYFUNCTION("""COMPUTED_VALUE"""),295.61)</f>
        <v>295.61</v>
      </c>
      <c r="D53" s="1">
        <f ca="1">IFERROR(__xludf.DUMMYFUNCTION("""COMPUTED_VALUE"""),289.37)</f>
        <v>289.37</v>
      </c>
      <c r="E53" s="1">
        <f ca="1">IFERROR(__xludf.DUMMYFUNCTION("""COMPUTED_VALUE"""),295.22)</f>
        <v>295.22000000000003</v>
      </c>
      <c r="F53" s="1">
        <f ca="1">IFERROR(__xludf.DUMMYFUNCTION("""COMPUTED_VALUE"""),30816633)</f>
        <v>30816633</v>
      </c>
    </row>
    <row r="54" spans="1:6" ht="12.6">
      <c r="A54" s="2">
        <f ca="1">IFERROR(__xludf.DUMMYFUNCTION("""COMPUTED_VALUE"""),44638.6666666666)</f>
        <v>44638.666666666599</v>
      </c>
      <c r="B54" s="1">
        <f ca="1">IFERROR(__xludf.DUMMYFUNCTION("""COMPUTED_VALUE"""),295.37)</f>
        <v>295.37</v>
      </c>
      <c r="C54" s="1">
        <f ca="1">IFERROR(__xludf.DUMMYFUNCTION("""COMPUTED_VALUE"""),301)</f>
        <v>301</v>
      </c>
      <c r="D54" s="1">
        <f ca="1">IFERROR(__xludf.DUMMYFUNCTION("""COMPUTED_VALUE"""),292.73)</f>
        <v>292.73</v>
      </c>
      <c r="E54" s="1">
        <f ca="1">IFERROR(__xludf.DUMMYFUNCTION("""COMPUTED_VALUE"""),300.43)</f>
        <v>300.43</v>
      </c>
      <c r="F54" s="1">
        <f ca="1">IFERROR(__xludf.DUMMYFUNCTION("""COMPUTED_VALUE"""),43390625)</f>
        <v>43390625</v>
      </c>
    </row>
    <row r="55" spans="1:6" ht="12.6">
      <c r="A55" s="2">
        <f ca="1">IFERROR(__xludf.DUMMYFUNCTION("""COMPUTED_VALUE"""),44641.6666666666)</f>
        <v>44641.666666666599</v>
      </c>
      <c r="B55" s="1">
        <f ca="1">IFERROR(__xludf.DUMMYFUNCTION("""COMPUTED_VALUE"""),298.89)</f>
        <v>298.89</v>
      </c>
      <c r="C55" s="1">
        <f ca="1">IFERROR(__xludf.DUMMYFUNCTION("""COMPUTED_VALUE"""),300.14)</f>
        <v>300.14</v>
      </c>
      <c r="D55" s="1">
        <f ca="1">IFERROR(__xludf.DUMMYFUNCTION("""COMPUTED_VALUE"""),294.9)</f>
        <v>294.89999999999998</v>
      </c>
      <c r="E55" s="1">
        <f ca="1">IFERROR(__xludf.DUMMYFUNCTION("""COMPUTED_VALUE"""),299.16)</f>
        <v>299.16000000000003</v>
      </c>
      <c r="F55" s="1">
        <f ca="1">IFERROR(__xludf.DUMMYFUNCTION("""COMPUTED_VALUE"""),28351245)</f>
        <v>28351245</v>
      </c>
    </row>
    <row r="56" spans="1:6" ht="12.6">
      <c r="A56" s="2">
        <f ca="1">IFERROR(__xludf.DUMMYFUNCTION("""COMPUTED_VALUE"""),44642.6666666666)</f>
        <v>44642.666666666599</v>
      </c>
      <c r="B56" s="1">
        <f ca="1">IFERROR(__xludf.DUMMYFUNCTION("""COMPUTED_VALUE"""),299.8)</f>
        <v>299.8</v>
      </c>
      <c r="C56" s="1">
        <f ca="1">IFERROR(__xludf.DUMMYFUNCTION("""COMPUTED_VALUE"""),305)</f>
        <v>305</v>
      </c>
      <c r="D56" s="1">
        <f ca="1">IFERROR(__xludf.DUMMYFUNCTION("""COMPUTED_VALUE"""),298.77)</f>
        <v>298.77</v>
      </c>
      <c r="E56" s="1">
        <f ca="1">IFERROR(__xludf.DUMMYFUNCTION("""COMPUTED_VALUE"""),304.06)</f>
        <v>304.06</v>
      </c>
      <c r="F56" s="1">
        <f ca="1">IFERROR(__xludf.DUMMYFUNCTION("""COMPUTED_VALUE"""),27599689)</f>
        <v>27599689</v>
      </c>
    </row>
    <row r="57" spans="1:6" ht="12.6">
      <c r="A57" s="2">
        <f ca="1">IFERROR(__xludf.DUMMYFUNCTION("""COMPUTED_VALUE"""),44643.6666666666)</f>
        <v>44643.666666666599</v>
      </c>
      <c r="B57" s="1">
        <f ca="1">IFERROR(__xludf.DUMMYFUNCTION("""COMPUTED_VALUE"""),300.51)</f>
        <v>300.51</v>
      </c>
      <c r="C57" s="1">
        <f ca="1">IFERROR(__xludf.DUMMYFUNCTION("""COMPUTED_VALUE"""),303.23)</f>
        <v>303.23</v>
      </c>
      <c r="D57" s="1">
        <f ca="1">IFERROR(__xludf.DUMMYFUNCTION("""COMPUTED_VALUE"""),297.72)</f>
        <v>297.72000000000003</v>
      </c>
      <c r="E57" s="1">
        <f ca="1">IFERROR(__xludf.DUMMYFUNCTION("""COMPUTED_VALUE"""),299.49)</f>
        <v>299.49</v>
      </c>
      <c r="F57" s="1">
        <f ca="1">IFERROR(__xludf.DUMMYFUNCTION("""COMPUTED_VALUE"""),25715377)</f>
        <v>25715377</v>
      </c>
    </row>
    <row r="58" spans="1:6" ht="12.6">
      <c r="A58" s="2">
        <f ca="1">IFERROR(__xludf.DUMMYFUNCTION("""COMPUTED_VALUE"""),44644.6666666666)</f>
        <v>44644.666666666599</v>
      </c>
      <c r="B58" s="1">
        <f ca="1">IFERROR(__xludf.DUMMYFUNCTION("""COMPUTED_VALUE"""),299.14)</f>
        <v>299.14</v>
      </c>
      <c r="C58" s="1">
        <f ca="1">IFERROR(__xludf.DUMMYFUNCTION("""COMPUTED_VALUE"""),304.2)</f>
        <v>304.2</v>
      </c>
      <c r="D58" s="1">
        <f ca="1">IFERROR(__xludf.DUMMYFUNCTION("""COMPUTED_VALUE"""),298.32)</f>
        <v>298.32</v>
      </c>
      <c r="E58" s="1">
        <f ca="1">IFERROR(__xludf.DUMMYFUNCTION("""COMPUTED_VALUE"""),304.1)</f>
        <v>304.10000000000002</v>
      </c>
      <c r="F58" s="1">
        <f ca="1">IFERROR(__xludf.DUMMYFUNCTION("""COMPUTED_VALUE"""),24484456)</f>
        <v>24484456</v>
      </c>
    </row>
    <row r="59" spans="1:6" ht="12.6">
      <c r="A59" s="2">
        <f ca="1">IFERROR(__xludf.DUMMYFUNCTION("""COMPUTED_VALUE"""),44645.6666666666)</f>
        <v>44645.666666666599</v>
      </c>
      <c r="B59" s="1">
        <f ca="1">IFERROR(__xludf.DUMMYFUNCTION("""COMPUTED_VALUE"""),305.23)</f>
        <v>305.23</v>
      </c>
      <c r="C59" s="1">
        <f ca="1">IFERROR(__xludf.DUMMYFUNCTION("""COMPUTED_VALUE"""),305.5)</f>
        <v>305.5</v>
      </c>
      <c r="D59" s="1">
        <f ca="1">IFERROR(__xludf.DUMMYFUNCTION("""COMPUTED_VALUE"""),299.29)</f>
        <v>299.29000000000002</v>
      </c>
      <c r="E59" s="1">
        <f ca="1">IFERROR(__xludf.DUMMYFUNCTION("""COMPUTED_VALUE"""),303.68)</f>
        <v>303.68</v>
      </c>
      <c r="F59" s="1">
        <f ca="1">IFERROR(__xludf.DUMMYFUNCTION("""COMPUTED_VALUE"""),22566453)</f>
        <v>22566453</v>
      </c>
    </row>
    <row r="60" spans="1:6" ht="12.6">
      <c r="A60" s="2">
        <f ca="1">IFERROR(__xludf.DUMMYFUNCTION("""COMPUTED_VALUE"""),44648.6666666666)</f>
        <v>44648.666666666599</v>
      </c>
      <c r="B60" s="1">
        <f ca="1">IFERROR(__xludf.DUMMYFUNCTION("""COMPUTED_VALUE"""),304.33)</f>
        <v>304.33</v>
      </c>
      <c r="C60" s="1">
        <f ca="1">IFERROR(__xludf.DUMMYFUNCTION("""COMPUTED_VALUE"""),310.8)</f>
        <v>310.8</v>
      </c>
      <c r="D60" s="1">
        <f ca="1">IFERROR(__xludf.DUMMYFUNCTION("""COMPUTED_VALUE"""),304.33)</f>
        <v>304.33</v>
      </c>
      <c r="E60" s="1">
        <f ca="1">IFERROR(__xludf.DUMMYFUNCTION("""COMPUTED_VALUE"""),310.7)</f>
        <v>310.7</v>
      </c>
      <c r="F60" s="1">
        <f ca="1">IFERROR(__xludf.DUMMYFUNCTION("""COMPUTED_VALUE"""),29578188)</f>
        <v>29578188</v>
      </c>
    </row>
    <row r="61" spans="1:6" ht="12.6">
      <c r="A61" s="2">
        <f ca="1">IFERROR(__xludf.DUMMYFUNCTION("""COMPUTED_VALUE"""),44649.6666666666)</f>
        <v>44649.666666666599</v>
      </c>
      <c r="B61" s="1">
        <f ca="1">IFERROR(__xludf.DUMMYFUNCTION("""COMPUTED_VALUE"""),313.91)</f>
        <v>313.91000000000003</v>
      </c>
      <c r="C61" s="1">
        <f ca="1">IFERROR(__xludf.DUMMYFUNCTION("""COMPUTED_VALUE"""),315.82)</f>
        <v>315.82</v>
      </c>
      <c r="D61" s="1">
        <f ca="1">IFERROR(__xludf.DUMMYFUNCTION("""COMPUTED_VALUE"""),309.05)</f>
        <v>309.05</v>
      </c>
      <c r="E61" s="1">
        <f ca="1">IFERROR(__xludf.DUMMYFUNCTION("""COMPUTED_VALUE"""),315.41)</f>
        <v>315.41000000000003</v>
      </c>
      <c r="F61" s="1">
        <f ca="1">IFERROR(__xludf.DUMMYFUNCTION("""COMPUTED_VALUE"""),30393403)</f>
        <v>30393403</v>
      </c>
    </row>
    <row r="62" spans="1:6" ht="12.6">
      <c r="A62" s="2">
        <f ca="1">IFERROR(__xludf.DUMMYFUNCTION("""COMPUTED_VALUE"""),44650.6666666666)</f>
        <v>44650.666666666599</v>
      </c>
      <c r="B62" s="1">
        <f ca="1">IFERROR(__xludf.DUMMYFUNCTION("""COMPUTED_VALUE"""),313.76)</f>
        <v>313.76</v>
      </c>
      <c r="C62" s="1">
        <f ca="1">IFERROR(__xludf.DUMMYFUNCTION("""COMPUTED_VALUE"""),315.95)</f>
        <v>315.95</v>
      </c>
      <c r="D62" s="1">
        <f ca="1">IFERROR(__xludf.DUMMYFUNCTION("""COMPUTED_VALUE"""),311.58)</f>
        <v>311.58</v>
      </c>
      <c r="E62" s="1">
        <f ca="1">IFERROR(__xludf.DUMMYFUNCTION("""COMPUTED_VALUE"""),313.86)</f>
        <v>313.86</v>
      </c>
      <c r="F62" s="1">
        <f ca="1">IFERROR(__xludf.DUMMYFUNCTION("""COMPUTED_VALUE"""),28163555)</f>
        <v>28163555</v>
      </c>
    </row>
    <row r="63" spans="1:6" ht="12.6">
      <c r="A63" s="2">
        <f ca="1">IFERROR(__xludf.DUMMYFUNCTION("""COMPUTED_VALUE"""),44651.6666666666)</f>
        <v>44651.666666666599</v>
      </c>
      <c r="B63" s="1">
        <f ca="1">IFERROR(__xludf.DUMMYFUNCTION("""COMPUTED_VALUE"""),313.9)</f>
        <v>313.89999999999998</v>
      </c>
      <c r="C63" s="1">
        <f ca="1">IFERROR(__xludf.DUMMYFUNCTION("""COMPUTED_VALUE"""),315.14)</f>
        <v>315.14</v>
      </c>
      <c r="D63" s="1">
        <f ca="1">IFERROR(__xludf.DUMMYFUNCTION("""COMPUTED_VALUE"""),307.89)</f>
        <v>307.89</v>
      </c>
      <c r="E63" s="1">
        <f ca="1">IFERROR(__xludf.DUMMYFUNCTION("""COMPUTED_VALUE"""),308.31)</f>
        <v>308.31</v>
      </c>
      <c r="F63" s="1">
        <f ca="1">IFERROR(__xludf.DUMMYFUNCTION("""COMPUTED_VALUE"""),33422070)</f>
        <v>33422070</v>
      </c>
    </row>
    <row r="64" spans="1:6" ht="12.6">
      <c r="A64" s="2">
        <f ca="1">IFERROR(__xludf.DUMMYFUNCTION("""COMPUTED_VALUE"""),44652.6666666666)</f>
        <v>44652.666666666599</v>
      </c>
      <c r="B64" s="1">
        <f ca="1">IFERROR(__xludf.DUMMYFUNCTION("""COMPUTED_VALUE"""),309.37)</f>
        <v>309.37</v>
      </c>
      <c r="C64" s="1">
        <f ca="1">IFERROR(__xludf.DUMMYFUNCTION("""COMPUTED_VALUE"""),310.13)</f>
        <v>310.13</v>
      </c>
      <c r="D64" s="1">
        <f ca="1">IFERROR(__xludf.DUMMYFUNCTION("""COMPUTED_VALUE"""),305.54)</f>
        <v>305.54000000000002</v>
      </c>
      <c r="E64" s="1">
        <f ca="1">IFERROR(__xludf.DUMMYFUNCTION("""COMPUTED_VALUE"""),309.42)</f>
        <v>309.42</v>
      </c>
      <c r="F64" s="1">
        <f ca="1">IFERROR(__xludf.DUMMYFUNCTION("""COMPUTED_VALUE"""),27110529)</f>
        <v>27110529</v>
      </c>
    </row>
    <row r="65" spans="1:6" ht="12.6">
      <c r="A65" s="2">
        <f ca="1">IFERROR(__xludf.DUMMYFUNCTION("""COMPUTED_VALUE"""),44655.6666666666)</f>
        <v>44655.666666666599</v>
      </c>
      <c r="B65" s="1">
        <f ca="1">IFERROR(__xludf.DUMMYFUNCTION("""COMPUTED_VALUE"""),310.09)</f>
        <v>310.08999999999997</v>
      </c>
      <c r="C65" s="1">
        <f ca="1">IFERROR(__xludf.DUMMYFUNCTION("""COMPUTED_VALUE"""),315.11)</f>
        <v>315.11</v>
      </c>
      <c r="D65" s="1">
        <f ca="1">IFERROR(__xludf.DUMMYFUNCTION("""COMPUTED_VALUE"""),309.71)</f>
        <v>309.70999999999998</v>
      </c>
      <c r="E65" s="1">
        <f ca="1">IFERROR(__xludf.DUMMYFUNCTION("""COMPUTED_VALUE"""),314.97)</f>
        <v>314.97000000000003</v>
      </c>
      <c r="F65" s="1">
        <f ca="1">IFERROR(__xludf.DUMMYFUNCTION("""COMPUTED_VALUE"""),24335868)</f>
        <v>24335868</v>
      </c>
    </row>
    <row r="66" spans="1:6" ht="12.6">
      <c r="A66" s="2">
        <f ca="1">IFERROR(__xludf.DUMMYFUNCTION("""COMPUTED_VALUE"""),44656.6666666666)</f>
        <v>44656.666666666599</v>
      </c>
      <c r="B66" s="1">
        <f ca="1">IFERROR(__xludf.DUMMYFUNCTION("""COMPUTED_VALUE"""),313.27)</f>
        <v>313.27</v>
      </c>
      <c r="C66" s="1">
        <f ca="1">IFERROR(__xludf.DUMMYFUNCTION("""COMPUTED_VALUE"""),314.87)</f>
        <v>314.87</v>
      </c>
      <c r="D66" s="1">
        <f ca="1">IFERROR(__xludf.DUMMYFUNCTION("""COMPUTED_VALUE"""),309.87)</f>
        <v>309.87</v>
      </c>
      <c r="E66" s="1">
        <f ca="1">IFERROR(__xludf.DUMMYFUNCTION("""COMPUTED_VALUE"""),310.88)</f>
        <v>310.88</v>
      </c>
      <c r="F66" s="1">
        <f ca="1">IFERROR(__xludf.DUMMYFUNCTION("""COMPUTED_VALUE"""),23156719)</f>
        <v>23156719</v>
      </c>
    </row>
    <row r="67" spans="1:6" ht="12.6">
      <c r="A67" s="2">
        <f ca="1">IFERROR(__xludf.DUMMYFUNCTION("""COMPUTED_VALUE"""),44657.6666666666)</f>
        <v>44657.666666666599</v>
      </c>
      <c r="B67" s="1">
        <f ca="1">IFERROR(__xludf.DUMMYFUNCTION("""COMPUTED_VALUE"""),305.19)</f>
        <v>305.19</v>
      </c>
      <c r="C67" s="1">
        <f ca="1">IFERROR(__xludf.DUMMYFUNCTION("""COMPUTED_VALUE"""),307)</f>
        <v>307</v>
      </c>
      <c r="D67" s="1">
        <f ca="1">IFERROR(__xludf.DUMMYFUNCTION("""COMPUTED_VALUE"""),296.71)</f>
        <v>296.70999999999998</v>
      </c>
      <c r="E67" s="1">
        <f ca="1">IFERROR(__xludf.DUMMYFUNCTION("""COMPUTED_VALUE"""),299.5)</f>
        <v>299.5</v>
      </c>
      <c r="F67" s="1">
        <f ca="1">IFERROR(__xludf.DUMMYFUNCTION("""COMPUTED_VALUE"""),40110372)</f>
        <v>40110372</v>
      </c>
    </row>
    <row r="68" spans="1:6" ht="12.6">
      <c r="A68" s="2">
        <f ca="1">IFERROR(__xludf.DUMMYFUNCTION("""COMPUTED_VALUE"""),44658.6666666666)</f>
        <v>44658.666666666599</v>
      </c>
      <c r="B68" s="1">
        <f ca="1">IFERROR(__xludf.DUMMYFUNCTION("""COMPUTED_VALUE"""),296.66)</f>
        <v>296.66000000000003</v>
      </c>
      <c r="C68" s="1">
        <f ca="1">IFERROR(__xludf.DUMMYFUNCTION("""COMPUTED_VALUE"""),303.65)</f>
        <v>303.64999999999998</v>
      </c>
      <c r="D68" s="1">
        <f ca="1">IFERROR(__xludf.DUMMYFUNCTION("""COMPUTED_VALUE"""),296.35)</f>
        <v>296.35000000000002</v>
      </c>
      <c r="E68" s="1">
        <f ca="1">IFERROR(__xludf.DUMMYFUNCTION("""COMPUTED_VALUE"""),301.37)</f>
        <v>301.37</v>
      </c>
      <c r="F68" s="1">
        <f ca="1">IFERROR(__xludf.DUMMYFUNCTION("""COMPUTED_VALUE"""),31411155)</f>
        <v>31411155</v>
      </c>
    </row>
    <row r="69" spans="1:6" ht="12.6">
      <c r="A69" s="2">
        <f ca="1">IFERROR(__xludf.DUMMYFUNCTION("""COMPUTED_VALUE"""),44659.6666666666)</f>
        <v>44659.666666666599</v>
      </c>
      <c r="B69" s="1">
        <f ca="1">IFERROR(__xludf.DUMMYFUNCTION("""COMPUTED_VALUE"""),300.44)</f>
        <v>300.44</v>
      </c>
      <c r="C69" s="1">
        <f ca="1">IFERROR(__xludf.DUMMYFUNCTION("""COMPUTED_VALUE"""),301.12)</f>
        <v>301.12</v>
      </c>
      <c r="D69" s="1">
        <f ca="1">IFERROR(__xludf.DUMMYFUNCTION("""COMPUTED_VALUE"""),296.28)</f>
        <v>296.27999999999997</v>
      </c>
      <c r="E69" s="1">
        <f ca="1">IFERROR(__xludf.DUMMYFUNCTION("""COMPUTED_VALUE"""),296.97)</f>
        <v>296.97000000000003</v>
      </c>
      <c r="F69" s="1">
        <f ca="1">IFERROR(__xludf.DUMMYFUNCTION("""COMPUTED_VALUE"""),24361917)</f>
        <v>24361917</v>
      </c>
    </row>
    <row r="70" spans="1:6" ht="12.6">
      <c r="A70" s="2">
        <f ca="1">IFERROR(__xludf.DUMMYFUNCTION("""COMPUTED_VALUE"""),44662.6666666666)</f>
        <v>44662.666666666599</v>
      </c>
      <c r="B70" s="1">
        <f ca="1">IFERROR(__xludf.DUMMYFUNCTION("""COMPUTED_VALUE"""),291.79)</f>
        <v>291.79000000000002</v>
      </c>
      <c r="C70" s="1">
        <f ca="1">IFERROR(__xludf.DUMMYFUNCTION("""COMPUTED_VALUE"""),292.61)</f>
        <v>292.61</v>
      </c>
      <c r="D70" s="1">
        <f ca="1">IFERROR(__xludf.DUMMYFUNCTION("""COMPUTED_VALUE"""),285)</f>
        <v>285</v>
      </c>
      <c r="E70" s="1">
        <f ca="1">IFERROR(__xludf.DUMMYFUNCTION("""COMPUTED_VALUE"""),285.26)</f>
        <v>285.26</v>
      </c>
      <c r="F70" s="1">
        <f ca="1">IFERROR(__xludf.DUMMYFUNCTION("""COMPUTED_VALUE"""),34569264)</f>
        <v>34569264</v>
      </c>
    </row>
    <row r="71" spans="1:6" ht="12.6">
      <c r="A71" s="2">
        <f ca="1">IFERROR(__xludf.DUMMYFUNCTION("""COMPUTED_VALUE"""),44663.6666666666)</f>
        <v>44663.666666666599</v>
      </c>
      <c r="B71" s="1">
        <f ca="1">IFERROR(__xludf.DUMMYFUNCTION("""COMPUTED_VALUE"""),289.24)</f>
        <v>289.24</v>
      </c>
      <c r="C71" s="1">
        <f ca="1">IFERROR(__xludf.DUMMYFUNCTION("""COMPUTED_VALUE"""),290.74)</f>
        <v>290.74</v>
      </c>
      <c r="D71" s="1">
        <f ca="1">IFERROR(__xludf.DUMMYFUNCTION("""COMPUTED_VALUE"""),280.49)</f>
        <v>280.49</v>
      </c>
      <c r="E71" s="1">
        <f ca="1">IFERROR(__xludf.DUMMYFUNCTION("""COMPUTED_VALUE"""),282.06)</f>
        <v>282.06</v>
      </c>
      <c r="F71" s="1">
        <f ca="1">IFERROR(__xludf.DUMMYFUNCTION("""COMPUTED_VALUE"""),30966721)</f>
        <v>30966721</v>
      </c>
    </row>
    <row r="72" spans="1:6" ht="12.6">
      <c r="A72" s="2">
        <f ca="1">IFERROR(__xludf.DUMMYFUNCTION("""COMPUTED_VALUE"""),44664.6666666666)</f>
        <v>44664.666666666599</v>
      </c>
      <c r="B72" s="1">
        <f ca="1">IFERROR(__xludf.DUMMYFUNCTION("""COMPUTED_VALUE"""),282.73)</f>
        <v>282.73</v>
      </c>
      <c r="C72" s="1">
        <f ca="1">IFERROR(__xludf.DUMMYFUNCTION("""COMPUTED_VALUE"""),288.58)</f>
        <v>288.58</v>
      </c>
      <c r="D72" s="1">
        <f ca="1">IFERROR(__xludf.DUMMYFUNCTION("""COMPUTED_VALUE"""),281.3)</f>
        <v>281.3</v>
      </c>
      <c r="E72" s="1">
        <f ca="1">IFERROR(__xludf.DUMMYFUNCTION("""COMPUTED_VALUE"""),287.62)</f>
        <v>287.62</v>
      </c>
      <c r="F72" s="1">
        <f ca="1">IFERROR(__xludf.DUMMYFUNCTION("""COMPUTED_VALUE"""),21907176)</f>
        <v>21907176</v>
      </c>
    </row>
    <row r="73" spans="1:6" ht="12.6">
      <c r="A73" s="2">
        <f ca="1">IFERROR(__xludf.DUMMYFUNCTION("""COMPUTED_VALUE"""),44665.6666666666)</f>
        <v>44665.666666666599</v>
      </c>
      <c r="B73" s="1">
        <f ca="1">IFERROR(__xludf.DUMMYFUNCTION("""COMPUTED_VALUE"""),288.09)</f>
        <v>288.08999999999997</v>
      </c>
      <c r="C73" s="1">
        <f ca="1">IFERROR(__xludf.DUMMYFUNCTION("""COMPUTED_VALUE"""),288.31)</f>
        <v>288.31</v>
      </c>
      <c r="D73" s="1">
        <f ca="1">IFERROR(__xludf.DUMMYFUNCTION("""COMPUTED_VALUE"""),279.32)</f>
        <v>279.32</v>
      </c>
      <c r="E73" s="1">
        <f ca="1">IFERROR(__xludf.DUMMYFUNCTION("""COMPUTED_VALUE"""),279.83)</f>
        <v>279.83</v>
      </c>
      <c r="F73" s="1">
        <f ca="1">IFERROR(__xludf.DUMMYFUNCTION("""COMPUTED_VALUE"""),28221607)</f>
        <v>28221607</v>
      </c>
    </row>
    <row r="74" spans="1:6" ht="12.6">
      <c r="A74" s="2">
        <f ca="1">IFERROR(__xludf.DUMMYFUNCTION("""COMPUTED_VALUE"""),44669.6666666666)</f>
        <v>44669.666666666599</v>
      </c>
      <c r="B74" s="1">
        <f ca="1">IFERROR(__xludf.DUMMYFUNCTION("""COMPUTED_VALUE"""),278.91)</f>
        <v>278.91000000000003</v>
      </c>
      <c r="C74" s="1">
        <f ca="1">IFERROR(__xludf.DUMMYFUNCTION("""COMPUTED_VALUE"""),282.46)</f>
        <v>282.45999999999998</v>
      </c>
      <c r="D74" s="1">
        <f ca="1">IFERROR(__xludf.DUMMYFUNCTION("""COMPUTED_VALUE"""),278.34)</f>
        <v>278.33999999999997</v>
      </c>
      <c r="E74" s="1">
        <f ca="1">IFERROR(__xludf.DUMMYFUNCTION("""COMPUTED_VALUE"""),280.52)</f>
        <v>280.52</v>
      </c>
      <c r="F74" s="1">
        <f ca="1">IFERROR(__xludf.DUMMYFUNCTION("""COMPUTED_VALUE"""),20778000)</f>
        <v>20778000</v>
      </c>
    </row>
    <row r="75" spans="1:6" ht="12.6">
      <c r="A75" s="2">
        <f ca="1">IFERROR(__xludf.DUMMYFUNCTION("""COMPUTED_VALUE"""),44670.6666666666)</f>
        <v>44670.666666666599</v>
      </c>
      <c r="B75" s="1">
        <f ca="1">IFERROR(__xludf.DUMMYFUNCTION("""COMPUTED_VALUE"""),279.38)</f>
        <v>279.38</v>
      </c>
      <c r="C75" s="1">
        <f ca="1">IFERROR(__xludf.DUMMYFUNCTION("""COMPUTED_VALUE"""),286.17)</f>
        <v>286.17</v>
      </c>
      <c r="D75" s="1">
        <f ca="1">IFERROR(__xludf.DUMMYFUNCTION("""COMPUTED_VALUE"""),278.41)</f>
        <v>278.41000000000003</v>
      </c>
      <c r="E75" s="1">
        <f ca="1">IFERROR(__xludf.DUMMYFUNCTION("""COMPUTED_VALUE"""),285.3)</f>
        <v>285.3</v>
      </c>
      <c r="F75" s="1">
        <f ca="1">IFERROR(__xludf.DUMMYFUNCTION("""COMPUTED_VALUE"""),22297720)</f>
        <v>22297720</v>
      </c>
    </row>
    <row r="76" spans="1:6" ht="12.6">
      <c r="A76" s="2">
        <f ca="1">IFERROR(__xludf.DUMMYFUNCTION("""COMPUTED_VALUE"""),44671.6666666666)</f>
        <v>44671.666666666599</v>
      </c>
      <c r="B76" s="1">
        <f ca="1">IFERROR(__xludf.DUMMYFUNCTION("""COMPUTED_VALUE"""),289.4)</f>
        <v>289.39999999999998</v>
      </c>
      <c r="C76" s="1">
        <f ca="1">IFERROR(__xludf.DUMMYFUNCTION("""COMPUTED_VALUE"""),289.7)</f>
        <v>289.7</v>
      </c>
      <c r="D76" s="1">
        <f ca="1">IFERROR(__xludf.DUMMYFUNCTION("""COMPUTED_VALUE"""),285.37)</f>
        <v>285.37</v>
      </c>
      <c r="E76" s="1">
        <f ca="1">IFERROR(__xludf.DUMMYFUNCTION("""COMPUTED_VALUE"""),286.36)</f>
        <v>286.36</v>
      </c>
      <c r="F76" s="1">
        <f ca="1">IFERROR(__xludf.DUMMYFUNCTION("""COMPUTED_VALUE"""),22906667)</f>
        <v>22906667</v>
      </c>
    </row>
    <row r="77" spans="1:6" ht="12.6">
      <c r="A77" s="2">
        <f ca="1">IFERROR(__xludf.DUMMYFUNCTION("""COMPUTED_VALUE"""),44672.6666666666)</f>
        <v>44672.666666666599</v>
      </c>
      <c r="B77" s="1">
        <f ca="1">IFERROR(__xludf.DUMMYFUNCTION("""COMPUTED_VALUE"""),288.58)</f>
        <v>288.58</v>
      </c>
      <c r="C77" s="1">
        <f ca="1">IFERROR(__xludf.DUMMYFUNCTION("""COMPUTED_VALUE"""),293.3)</f>
        <v>293.3</v>
      </c>
      <c r="D77" s="1">
        <f ca="1">IFERROR(__xludf.DUMMYFUNCTION("""COMPUTED_VALUE"""),280.06)</f>
        <v>280.06</v>
      </c>
      <c r="E77" s="1">
        <f ca="1">IFERROR(__xludf.DUMMYFUNCTION("""COMPUTED_VALUE"""),280.81)</f>
        <v>280.81</v>
      </c>
      <c r="F77" s="1">
        <f ca="1">IFERROR(__xludf.DUMMYFUNCTION("""COMPUTED_VALUE"""),29454587)</f>
        <v>29454587</v>
      </c>
    </row>
    <row r="78" spans="1:6" ht="12.6">
      <c r="A78" s="2">
        <f ca="1">IFERROR(__xludf.DUMMYFUNCTION("""COMPUTED_VALUE"""),44673.6666666666)</f>
        <v>44673.666666666599</v>
      </c>
      <c r="B78" s="1">
        <f ca="1">IFERROR(__xludf.DUMMYFUNCTION("""COMPUTED_VALUE"""),281.68)</f>
        <v>281.68</v>
      </c>
      <c r="C78" s="1">
        <f ca="1">IFERROR(__xludf.DUMMYFUNCTION("""COMPUTED_VALUE"""),283.2)</f>
        <v>283.2</v>
      </c>
      <c r="D78" s="1">
        <f ca="1">IFERROR(__xludf.DUMMYFUNCTION("""COMPUTED_VALUE"""),273.38)</f>
        <v>273.38</v>
      </c>
      <c r="E78" s="1">
        <f ca="1">IFERROR(__xludf.DUMMYFUNCTION("""COMPUTED_VALUE"""),274.03)</f>
        <v>274.02999999999997</v>
      </c>
      <c r="F78" s="1">
        <f ca="1">IFERROR(__xludf.DUMMYFUNCTION("""COMPUTED_VALUE"""),29405798)</f>
        <v>29405798</v>
      </c>
    </row>
    <row r="79" spans="1:6" ht="12.6">
      <c r="A79" s="2">
        <f ca="1">IFERROR(__xludf.DUMMYFUNCTION("""COMPUTED_VALUE"""),44676.6666666666)</f>
        <v>44676.666666666599</v>
      </c>
      <c r="B79" s="1">
        <f ca="1">IFERROR(__xludf.DUMMYFUNCTION("""COMPUTED_VALUE"""),273.29)</f>
        <v>273.29000000000002</v>
      </c>
      <c r="C79" s="1">
        <f ca="1">IFERROR(__xludf.DUMMYFUNCTION("""COMPUTED_VALUE"""),281.11)</f>
        <v>281.11</v>
      </c>
      <c r="D79" s="1">
        <f ca="1">IFERROR(__xludf.DUMMYFUNCTION("""COMPUTED_VALUE"""),270.77)</f>
        <v>270.77</v>
      </c>
      <c r="E79" s="1">
        <f ca="1">IFERROR(__xludf.DUMMYFUNCTION("""COMPUTED_VALUE"""),280.72)</f>
        <v>280.72000000000003</v>
      </c>
      <c r="F79" s="1">
        <f ca="1">IFERROR(__xludf.DUMMYFUNCTION("""COMPUTED_VALUE"""),35678852)</f>
        <v>35678852</v>
      </c>
    </row>
    <row r="80" spans="1:6" ht="12.6">
      <c r="A80" s="2">
        <f ca="1">IFERROR(__xludf.DUMMYFUNCTION("""COMPUTED_VALUE"""),44677.6666666666)</f>
        <v>44677.666666666599</v>
      </c>
      <c r="B80" s="1">
        <f ca="1">IFERROR(__xludf.DUMMYFUNCTION("""COMPUTED_VALUE"""),277.5)</f>
        <v>277.5</v>
      </c>
      <c r="C80" s="1">
        <f ca="1">IFERROR(__xludf.DUMMYFUNCTION("""COMPUTED_VALUE"""),278.36)</f>
        <v>278.36</v>
      </c>
      <c r="D80" s="1">
        <f ca="1">IFERROR(__xludf.DUMMYFUNCTION("""COMPUTED_VALUE"""),270)</f>
        <v>270</v>
      </c>
      <c r="E80" s="1">
        <f ca="1">IFERROR(__xludf.DUMMYFUNCTION("""COMPUTED_VALUE"""),270.22)</f>
        <v>270.22000000000003</v>
      </c>
      <c r="F80" s="1">
        <f ca="1">IFERROR(__xludf.DUMMYFUNCTION("""COMPUTED_VALUE"""),46518445)</f>
        <v>46518445</v>
      </c>
    </row>
    <row r="81" spans="1:6" ht="12.6">
      <c r="A81" s="2">
        <f ca="1">IFERROR(__xludf.DUMMYFUNCTION("""COMPUTED_VALUE"""),44678.6666666666)</f>
        <v>44678.666666666599</v>
      </c>
      <c r="B81" s="1">
        <f ca="1">IFERROR(__xludf.DUMMYFUNCTION("""COMPUTED_VALUE"""),282.1)</f>
        <v>282.10000000000002</v>
      </c>
      <c r="C81" s="1">
        <f ca="1">IFERROR(__xludf.DUMMYFUNCTION("""COMPUTED_VALUE"""),290.97)</f>
        <v>290.97000000000003</v>
      </c>
      <c r="D81" s="1">
        <f ca="1">IFERROR(__xludf.DUMMYFUNCTION("""COMPUTED_VALUE"""),279.16)</f>
        <v>279.16000000000003</v>
      </c>
      <c r="E81" s="1">
        <f ca="1">IFERROR(__xludf.DUMMYFUNCTION("""COMPUTED_VALUE"""),283.22)</f>
        <v>283.22000000000003</v>
      </c>
      <c r="F81" s="1">
        <f ca="1">IFERROR(__xludf.DUMMYFUNCTION("""COMPUTED_VALUE"""),63477694)</f>
        <v>63477694</v>
      </c>
    </row>
    <row r="82" spans="1:6" ht="12.6">
      <c r="A82" s="2">
        <f ca="1">IFERROR(__xludf.DUMMYFUNCTION("""COMPUTED_VALUE"""),44679.6666666666)</f>
        <v>44679.666666666599</v>
      </c>
      <c r="B82" s="1">
        <f ca="1">IFERROR(__xludf.DUMMYFUNCTION("""COMPUTED_VALUE"""),285.19)</f>
        <v>285.19</v>
      </c>
      <c r="C82" s="1">
        <f ca="1">IFERROR(__xludf.DUMMYFUNCTION("""COMPUTED_VALUE"""),290.98)</f>
        <v>290.98</v>
      </c>
      <c r="D82" s="1">
        <f ca="1">IFERROR(__xludf.DUMMYFUNCTION("""COMPUTED_VALUE"""),281.46)</f>
        <v>281.45999999999998</v>
      </c>
      <c r="E82" s="1">
        <f ca="1">IFERROR(__xludf.DUMMYFUNCTION("""COMPUTED_VALUE"""),289.63)</f>
        <v>289.63</v>
      </c>
      <c r="F82" s="1">
        <f ca="1">IFERROR(__xludf.DUMMYFUNCTION("""COMPUTED_VALUE"""),33646570)</f>
        <v>33646570</v>
      </c>
    </row>
    <row r="83" spans="1:6" ht="12.6">
      <c r="A83" s="2">
        <f ca="1">IFERROR(__xludf.DUMMYFUNCTION("""COMPUTED_VALUE"""),44680.6666666666)</f>
        <v>44680.666666666599</v>
      </c>
      <c r="B83" s="1">
        <f ca="1">IFERROR(__xludf.DUMMYFUNCTION("""COMPUTED_VALUE"""),288.61)</f>
        <v>288.61</v>
      </c>
      <c r="C83" s="1">
        <f ca="1">IFERROR(__xludf.DUMMYFUNCTION("""COMPUTED_VALUE"""),289.88)</f>
        <v>289.88</v>
      </c>
      <c r="D83" s="1">
        <f ca="1">IFERROR(__xludf.DUMMYFUNCTION("""COMPUTED_VALUE"""),276.5)</f>
        <v>276.5</v>
      </c>
      <c r="E83" s="1">
        <f ca="1">IFERROR(__xludf.DUMMYFUNCTION("""COMPUTED_VALUE"""),277.52)</f>
        <v>277.52</v>
      </c>
      <c r="F83" s="1">
        <f ca="1">IFERROR(__xludf.DUMMYFUNCTION("""COMPUTED_VALUE"""),37073923)</f>
        <v>37073923</v>
      </c>
    </row>
    <row r="84" spans="1:6" ht="12.6">
      <c r="A84" s="2">
        <f ca="1">IFERROR(__xludf.DUMMYFUNCTION("""COMPUTED_VALUE"""),44683.6666666666)</f>
        <v>44683.666666666599</v>
      </c>
      <c r="B84" s="1">
        <f ca="1">IFERROR(__xludf.DUMMYFUNCTION("""COMPUTED_VALUE"""),277.71)</f>
        <v>277.70999999999998</v>
      </c>
      <c r="C84" s="1">
        <f ca="1">IFERROR(__xludf.DUMMYFUNCTION("""COMPUTED_VALUE"""),284.94)</f>
        <v>284.94</v>
      </c>
      <c r="D84" s="1">
        <f ca="1">IFERROR(__xludf.DUMMYFUNCTION("""COMPUTED_VALUE"""),276.22)</f>
        <v>276.22000000000003</v>
      </c>
      <c r="E84" s="1">
        <f ca="1">IFERROR(__xludf.DUMMYFUNCTION("""COMPUTED_VALUE"""),284.47)</f>
        <v>284.47000000000003</v>
      </c>
      <c r="F84" s="1">
        <f ca="1">IFERROR(__xludf.DUMMYFUNCTION("""COMPUTED_VALUE"""),35151105)</f>
        <v>35151105</v>
      </c>
    </row>
    <row r="85" spans="1:6" ht="12.6">
      <c r="A85" s="2">
        <f ca="1">IFERROR(__xludf.DUMMYFUNCTION("""COMPUTED_VALUE"""),44684.6666666666)</f>
        <v>44684.666666666599</v>
      </c>
      <c r="B85" s="1">
        <f ca="1">IFERROR(__xludf.DUMMYFUNCTION("""COMPUTED_VALUE"""),283.96)</f>
        <v>283.95999999999998</v>
      </c>
      <c r="C85" s="1">
        <f ca="1">IFERROR(__xludf.DUMMYFUNCTION("""COMPUTED_VALUE"""),284.13)</f>
        <v>284.13</v>
      </c>
      <c r="D85" s="1">
        <f ca="1">IFERROR(__xludf.DUMMYFUNCTION("""COMPUTED_VALUE"""),280.15)</f>
        <v>280.14999999999998</v>
      </c>
      <c r="E85" s="1">
        <f ca="1">IFERROR(__xludf.DUMMYFUNCTION("""COMPUTED_VALUE"""),281.78)</f>
        <v>281.77999999999997</v>
      </c>
      <c r="F85" s="1">
        <f ca="1">IFERROR(__xludf.DUMMYFUNCTION("""COMPUTED_VALUE"""),25978605)</f>
        <v>25978605</v>
      </c>
    </row>
    <row r="86" spans="1:6" ht="12.6">
      <c r="A86" s="2">
        <f ca="1">IFERROR(__xludf.DUMMYFUNCTION("""COMPUTED_VALUE"""),44685.6666666666)</f>
        <v>44685.666666666599</v>
      </c>
      <c r="B86" s="1">
        <f ca="1">IFERROR(__xludf.DUMMYFUNCTION("""COMPUTED_VALUE"""),282.59)</f>
        <v>282.58999999999997</v>
      </c>
      <c r="C86" s="1">
        <f ca="1">IFERROR(__xludf.DUMMYFUNCTION("""COMPUTED_VALUE"""),290.88)</f>
        <v>290.88</v>
      </c>
      <c r="D86" s="1">
        <f ca="1">IFERROR(__xludf.DUMMYFUNCTION("""COMPUTED_VALUE"""),276.73)</f>
        <v>276.73</v>
      </c>
      <c r="E86" s="1">
        <f ca="1">IFERROR(__xludf.DUMMYFUNCTION("""COMPUTED_VALUE"""),289.98)</f>
        <v>289.98</v>
      </c>
      <c r="F86" s="1">
        <f ca="1">IFERROR(__xludf.DUMMYFUNCTION("""COMPUTED_VALUE"""),33599320)</f>
        <v>33599320</v>
      </c>
    </row>
    <row r="87" spans="1:6" ht="12.6">
      <c r="A87" s="2">
        <f ca="1">IFERROR(__xludf.DUMMYFUNCTION("""COMPUTED_VALUE"""),44686.6666666666)</f>
        <v>44686.666666666599</v>
      </c>
      <c r="B87" s="1">
        <f ca="1">IFERROR(__xludf.DUMMYFUNCTION("""COMPUTED_VALUE"""),285.54)</f>
        <v>285.54000000000002</v>
      </c>
      <c r="C87" s="1">
        <f ca="1">IFERROR(__xludf.DUMMYFUNCTION("""COMPUTED_VALUE"""),286.35)</f>
        <v>286.35000000000002</v>
      </c>
      <c r="D87" s="1">
        <f ca="1">IFERROR(__xludf.DUMMYFUNCTION("""COMPUTED_VALUE"""),274.34)</f>
        <v>274.33999999999997</v>
      </c>
      <c r="E87" s="1">
        <f ca="1">IFERROR(__xludf.DUMMYFUNCTION("""COMPUTED_VALUE"""),277.35)</f>
        <v>277.35000000000002</v>
      </c>
      <c r="F87" s="1">
        <f ca="1">IFERROR(__xludf.DUMMYFUNCTION("""COMPUTED_VALUE"""),43260386)</f>
        <v>43260386</v>
      </c>
    </row>
    <row r="88" spans="1:6" ht="12.6">
      <c r="A88" s="2">
        <f ca="1">IFERROR(__xludf.DUMMYFUNCTION("""COMPUTED_VALUE"""),44687.6666666666)</f>
        <v>44687.666666666599</v>
      </c>
      <c r="B88" s="1">
        <f ca="1">IFERROR(__xludf.DUMMYFUNCTION("""COMPUTED_VALUE"""),274.81)</f>
        <v>274.81</v>
      </c>
      <c r="C88" s="1">
        <f ca="1">IFERROR(__xludf.DUMMYFUNCTION("""COMPUTED_VALUE"""),279.25)</f>
        <v>279.25</v>
      </c>
      <c r="D88" s="1">
        <f ca="1">IFERROR(__xludf.DUMMYFUNCTION("""COMPUTED_VALUE"""),271.27)</f>
        <v>271.27</v>
      </c>
      <c r="E88" s="1">
        <f ca="1">IFERROR(__xludf.DUMMYFUNCTION("""COMPUTED_VALUE"""),274.73)</f>
        <v>274.73</v>
      </c>
      <c r="F88" s="1">
        <f ca="1">IFERROR(__xludf.DUMMYFUNCTION("""COMPUTED_VALUE"""),37780322)</f>
        <v>37780322</v>
      </c>
    </row>
    <row r="89" spans="1:6" ht="12.6">
      <c r="A89" s="2">
        <f ca="1">IFERROR(__xludf.DUMMYFUNCTION("""COMPUTED_VALUE"""),44690.6666666666)</f>
        <v>44690.666666666599</v>
      </c>
      <c r="B89" s="1">
        <f ca="1">IFERROR(__xludf.DUMMYFUNCTION("""COMPUTED_VALUE"""),270.06)</f>
        <v>270.06</v>
      </c>
      <c r="C89" s="1">
        <f ca="1">IFERROR(__xludf.DUMMYFUNCTION("""COMPUTED_VALUE"""),272.36)</f>
        <v>272.36</v>
      </c>
      <c r="D89" s="1">
        <f ca="1">IFERROR(__xludf.DUMMYFUNCTION("""COMPUTED_VALUE"""),263.32)</f>
        <v>263.32</v>
      </c>
      <c r="E89" s="1">
        <f ca="1">IFERROR(__xludf.DUMMYFUNCTION("""COMPUTED_VALUE"""),264.58)</f>
        <v>264.58</v>
      </c>
      <c r="F89" s="1">
        <f ca="1">IFERROR(__xludf.DUMMYFUNCTION("""COMPUTED_VALUE"""),47725952)</f>
        <v>47725952</v>
      </c>
    </row>
    <row r="90" spans="1:6" ht="12.6">
      <c r="A90" s="2">
        <f ca="1">IFERROR(__xludf.DUMMYFUNCTION("""COMPUTED_VALUE"""),44691.6666666666)</f>
        <v>44691.666666666599</v>
      </c>
      <c r="B90" s="1">
        <f ca="1">IFERROR(__xludf.DUMMYFUNCTION("""COMPUTED_VALUE"""),271.69)</f>
        <v>271.69</v>
      </c>
      <c r="C90" s="1">
        <f ca="1">IFERROR(__xludf.DUMMYFUNCTION("""COMPUTED_VALUE"""),273.75)</f>
        <v>273.75</v>
      </c>
      <c r="D90" s="1">
        <f ca="1">IFERROR(__xludf.DUMMYFUNCTION("""COMPUTED_VALUE"""),265.07)</f>
        <v>265.07</v>
      </c>
      <c r="E90" s="1">
        <f ca="1">IFERROR(__xludf.DUMMYFUNCTION("""COMPUTED_VALUE"""),269.5)</f>
        <v>269.5</v>
      </c>
      <c r="F90" s="1">
        <f ca="1">IFERROR(__xludf.DUMMYFUNCTION("""COMPUTED_VALUE"""),39336424)</f>
        <v>39336424</v>
      </c>
    </row>
    <row r="91" spans="1:6" ht="12.6">
      <c r="A91" s="2">
        <f ca="1">IFERROR(__xludf.DUMMYFUNCTION("""COMPUTED_VALUE"""),44692.6666666666)</f>
        <v>44692.666666666599</v>
      </c>
      <c r="B91" s="1">
        <f ca="1">IFERROR(__xludf.DUMMYFUNCTION("""COMPUTED_VALUE"""),265.68)</f>
        <v>265.68</v>
      </c>
      <c r="C91" s="1">
        <f ca="1">IFERROR(__xludf.DUMMYFUNCTION("""COMPUTED_VALUE"""),271.36)</f>
        <v>271.36</v>
      </c>
      <c r="D91" s="1">
        <f ca="1">IFERROR(__xludf.DUMMYFUNCTION("""COMPUTED_VALUE"""),259.3)</f>
        <v>259.3</v>
      </c>
      <c r="E91" s="1">
        <f ca="1">IFERROR(__xludf.DUMMYFUNCTION("""COMPUTED_VALUE"""),260.55)</f>
        <v>260.55</v>
      </c>
      <c r="F91" s="1">
        <f ca="1">IFERROR(__xludf.DUMMYFUNCTION("""COMPUTED_VALUE"""),48975898)</f>
        <v>48975898</v>
      </c>
    </row>
    <row r="92" spans="1:6" ht="12.6">
      <c r="A92" s="2">
        <f ca="1">IFERROR(__xludf.DUMMYFUNCTION("""COMPUTED_VALUE"""),44693.6666666666)</f>
        <v>44693.666666666599</v>
      </c>
      <c r="B92" s="1">
        <f ca="1">IFERROR(__xludf.DUMMYFUNCTION("""COMPUTED_VALUE"""),257.69)</f>
        <v>257.69</v>
      </c>
      <c r="C92" s="1">
        <f ca="1">IFERROR(__xludf.DUMMYFUNCTION("""COMPUTED_VALUE"""),259.88)</f>
        <v>259.88</v>
      </c>
      <c r="D92" s="1">
        <f ca="1">IFERROR(__xludf.DUMMYFUNCTION("""COMPUTED_VALUE"""),250.02)</f>
        <v>250.02</v>
      </c>
      <c r="E92" s="1">
        <f ca="1">IFERROR(__xludf.DUMMYFUNCTION("""COMPUTED_VALUE"""),255.35)</f>
        <v>255.35</v>
      </c>
      <c r="F92" s="1">
        <f ca="1">IFERROR(__xludf.DUMMYFUNCTION("""COMPUTED_VALUE"""),51033802)</f>
        <v>51033802</v>
      </c>
    </row>
    <row r="93" spans="1:6" ht="12.6">
      <c r="A93" s="2">
        <f ca="1">IFERROR(__xludf.DUMMYFUNCTION("""COMPUTED_VALUE"""),44694.6666666666)</f>
        <v>44694.666666666599</v>
      </c>
      <c r="B93" s="1">
        <f ca="1">IFERROR(__xludf.DUMMYFUNCTION("""COMPUTED_VALUE"""),257.35)</f>
        <v>257.35000000000002</v>
      </c>
      <c r="C93" s="1">
        <f ca="1">IFERROR(__xludf.DUMMYFUNCTION("""COMPUTED_VALUE"""),263.04)</f>
        <v>263.04000000000002</v>
      </c>
      <c r="D93" s="1">
        <f ca="1">IFERROR(__xludf.DUMMYFUNCTION("""COMPUTED_VALUE"""),255.35)</f>
        <v>255.35</v>
      </c>
      <c r="E93" s="1">
        <f ca="1">IFERROR(__xludf.DUMMYFUNCTION("""COMPUTED_VALUE"""),261.12)</f>
        <v>261.12</v>
      </c>
      <c r="F93" s="1">
        <f ca="1">IFERROR(__xludf.DUMMYFUNCTION("""COMPUTED_VALUE"""),34925093)</f>
        <v>34925093</v>
      </c>
    </row>
    <row r="94" spans="1:6" ht="12.6">
      <c r="A94" s="2">
        <f ca="1">IFERROR(__xludf.DUMMYFUNCTION("""COMPUTED_VALUE"""),44697.6666666666)</f>
        <v>44697.666666666599</v>
      </c>
      <c r="B94" s="1">
        <f ca="1">IFERROR(__xludf.DUMMYFUNCTION("""COMPUTED_VALUE"""),259.96)</f>
        <v>259.95999999999998</v>
      </c>
      <c r="C94" s="1">
        <f ca="1">IFERROR(__xludf.DUMMYFUNCTION("""COMPUTED_VALUE"""),265.82)</f>
        <v>265.82</v>
      </c>
      <c r="D94" s="1">
        <f ca="1">IFERROR(__xludf.DUMMYFUNCTION("""COMPUTED_VALUE"""),255.78)</f>
        <v>255.78</v>
      </c>
      <c r="E94" s="1">
        <f ca="1">IFERROR(__xludf.DUMMYFUNCTION("""COMPUTED_VALUE"""),261.5)</f>
        <v>261.5</v>
      </c>
      <c r="F94" s="1">
        <f ca="1">IFERROR(__xludf.DUMMYFUNCTION("""COMPUTED_VALUE"""),32550933)</f>
        <v>32550933</v>
      </c>
    </row>
    <row r="95" spans="1:6" ht="12.6">
      <c r="A95" s="2">
        <f ca="1">IFERROR(__xludf.DUMMYFUNCTION("""COMPUTED_VALUE"""),44698.6666666666)</f>
        <v>44698.666666666599</v>
      </c>
      <c r="B95" s="1">
        <f ca="1">IFERROR(__xludf.DUMMYFUNCTION("""COMPUTED_VALUE"""),266.11)</f>
        <v>266.11</v>
      </c>
      <c r="C95" s="1">
        <f ca="1">IFERROR(__xludf.DUMMYFUNCTION("""COMPUTED_VALUE"""),268.33)</f>
        <v>268.33</v>
      </c>
      <c r="D95" s="1">
        <f ca="1">IFERROR(__xludf.DUMMYFUNCTION("""COMPUTED_VALUE"""),262.46)</f>
        <v>262.45999999999998</v>
      </c>
      <c r="E95" s="1">
        <f ca="1">IFERROR(__xludf.DUMMYFUNCTION("""COMPUTED_VALUE"""),266.82)</f>
        <v>266.82</v>
      </c>
      <c r="F95" s="1">
        <f ca="1">IFERROR(__xludf.DUMMYFUNCTION("""COMPUTED_VALUE"""),28828799)</f>
        <v>28828799</v>
      </c>
    </row>
    <row r="96" spans="1:6" ht="12.6">
      <c r="A96" s="2">
        <f ca="1">IFERROR(__xludf.DUMMYFUNCTION("""COMPUTED_VALUE"""),44699.6666666666)</f>
        <v>44699.666666666599</v>
      </c>
      <c r="B96" s="1">
        <f ca="1">IFERROR(__xludf.DUMMYFUNCTION("""COMPUTED_VALUE"""),263)</f>
        <v>263</v>
      </c>
      <c r="C96" s="1">
        <f ca="1">IFERROR(__xludf.DUMMYFUNCTION("""COMPUTED_VALUE"""),263.6)</f>
        <v>263.60000000000002</v>
      </c>
      <c r="D96" s="1">
        <f ca="1">IFERROR(__xludf.DUMMYFUNCTION("""COMPUTED_VALUE"""),252.77)</f>
        <v>252.77</v>
      </c>
      <c r="E96" s="1">
        <f ca="1">IFERROR(__xludf.DUMMYFUNCTION("""COMPUTED_VALUE"""),254.08)</f>
        <v>254.08</v>
      </c>
      <c r="F96" s="1">
        <f ca="1">IFERROR(__xludf.DUMMYFUNCTION("""COMPUTED_VALUE"""),31355985)</f>
        <v>31355985</v>
      </c>
    </row>
    <row r="97" spans="1:6" ht="12.6">
      <c r="A97" s="2">
        <f ca="1">IFERROR(__xludf.DUMMYFUNCTION("""COMPUTED_VALUE"""),44700.6666666666)</f>
        <v>44700.666666666599</v>
      </c>
      <c r="B97" s="1">
        <f ca="1">IFERROR(__xludf.DUMMYFUNCTION("""COMPUTED_VALUE"""),253.9)</f>
        <v>253.9</v>
      </c>
      <c r="C97" s="1">
        <f ca="1">IFERROR(__xludf.DUMMYFUNCTION("""COMPUTED_VALUE"""),257.67)</f>
        <v>257.67</v>
      </c>
      <c r="D97" s="1">
        <f ca="1">IFERROR(__xludf.DUMMYFUNCTION("""COMPUTED_VALUE"""),251.88)</f>
        <v>251.88</v>
      </c>
      <c r="E97" s="1">
        <f ca="1">IFERROR(__xludf.DUMMYFUNCTION("""COMPUTED_VALUE"""),253.14)</f>
        <v>253.14</v>
      </c>
      <c r="F97" s="1">
        <f ca="1">IFERROR(__xludf.DUMMYFUNCTION("""COMPUTED_VALUE"""),32692286)</f>
        <v>32692286</v>
      </c>
    </row>
    <row r="98" spans="1:6" ht="12.6">
      <c r="A98" s="2">
        <f ca="1">IFERROR(__xludf.DUMMYFUNCTION("""COMPUTED_VALUE"""),44701.6666666666)</f>
        <v>44701.666666666599</v>
      </c>
      <c r="B98" s="1">
        <f ca="1">IFERROR(__xludf.DUMMYFUNCTION("""COMPUTED_VALUE"""),257.24)</f>
        <v>257.24</v>
      </c>
      <c r="C98" s="1">
        <f ca="1">IFERROR(__xludf.DUMMYFUNCTION("""COMPUTED_VALUE"""),258.54)</f>
        <v>258.54000000000002</v>
      </c>
      <c r="D98" s="1">
        <f ca="1">IFERROR(__xludf.DUMMYFUNCTION("""COMPUTED_VALUE"""),246.44)</f>
        <v>246.44</v>
      </c>
      <c r="E98" s="1">
        <f ca="1">IFERROR(__xludf.DUMMYFUNCTION("""COMPUTED_VALUE"""),252.56)</f>
        <v>252.56</v>
      </c>
      <c r="F98" s="1">
        <f ca="1">IFERROR(__xludf.DUMMYFUNCTION("""COMPUTED_VALUE"""),39199279)</f>
        <v>39199279</v>
      </c>
    </row>
    <row r="99" spans="1:6" ht="12.6">
      <c r="A99" s="2">
        <f ca="1">IFERROR(__xludf.DUMMYFUNCTION("""COMPUTED_VALUE"""),44704.6666666666)</f>
        <v>44704.666666666599</v>
      </c>
      <c r="B99" s="1">
        <f ca="1">IFERROR(__xludf.DUMMYFUNCTION("""COMPUTED_VALUE"""),255.49)</f>
        <v>255.49</v>
      </c>
      <c r="C99" s="1">
        <f ca="1">IFERROR(__xludf.DUMMYFUNCTION("""COMPUTED_VALUE"""),261.5)</f>
        <v>261.5</v>
      </c>
      <c r="D99" s="1">
        <f ca="1">IFERROR(__xludf.DUMMYFUNCTION("""COMPUTED_VALUE"""),253.43)</f>
        <v>253.43</v>
      </c>
      <c r="E99" s="1">
        <f ca="1">IFERROR(__xludf.DUMMYFUNCTION("""COMPUTED_VALUE"""),260.65)</f>
        <v>260.64999999999998</v>
      </c>
      <c r="F99" s="1">
        <f ca="1">IFERROR(__xludf.DUMMYFUNCTION("""COMPUTED_VALUE"""),33175379)</f>
        <v>33175379</v>
      </c>
    </row>
    <row r="100" spans="1:6" ht="12.6">
      <c r="A100" s="2">
        <f ca="1">IFERROR(__xludf.DUMMYFUNCTION("""COMPUTED_VALUE"""),44705.6666666666)</f>
        <v>44705.666666666599</v>
      </c>
      <c r="B100" s="1">
        <f ca="1">IFERROR(__xludf.DUMMYFUNCTION("""COMPUTED_VALUE"""),257.89)</f>
        <v>257.89</v>
      </c>
      <c r="C100" s="1">
        <f ca="1">IFERROR(__xludf.DUMMYFUNCTION("""COMPUTED_VALUE"""),261.33)</f>
        <v>261.33</v>
      </c>
      <c r="D100" s="1">
        <f ca="1">IFERROR(__xludf.DUMMYFUNCTION("""COMPUTED_VALUE"""),253.5)</f>
        <v>253.5</v>
      </c>
      <c r="E100" s="1">
        <f ca="1">IFERROR(__xludf.DUMMYFUNCTION("""COMPUTED_VALUE"""),259.62)</f>
        <v>259.62</v>
      </c>
      <c r="F100" s="1">
        <f ca="1">IFERROR(__xludf.DUMMYFUNCTION("""COMPUTED_VALUE"""),29043904)</f>
        <v>29043904</v>
      </c>
    </row>
    <row r="101" spans="1:6" ht="12.6">
      <c r="A101" s="2">
        <f ca="1">IFERROR(__xludf.DUMMYFUNCTION("""COMPUTED_VALUE"""),44706.6666666666)</f>
        <v>44706.666666666599</v>
      </c>
      <c r="B101" s="1">
        <f ca="1">IFERROR(__xludf.DUMMYFUNCTION("""COMPUTED_VALUE"""),258.14)</f>
        <v>258.14</v>
      </c>
      <c r="C101" s="1">
        <f ca="1">IFERROR(__xludf.DUMMYFUNCTION("""COMPUTED_VALUE"""),264.58)</f>
        <v>264.58</v>
      </c>
      <c r="D101" s="1">
        <f ca="1">IFERROR(__xludf.DUMMYFUNCTION("""COMPUTED_VALUE"""),257.13)</f>
        <v>257.13</v>
      </c>
      <c r="E101" s="1">
        <f ca="1">IFERROR(__xludf.DUMMYFUNCTION("""COMPUTED_VALUE"""),262.52)</f>
        <v>262.52</v>
      </c>
      <c r="F101" s="1">
        <f ca="1">IFERROR(__xludf.DUMMYFUNCTION("""COMPUTED_VALUE"""),28547947)</f>
        <v>28547947</v>
      </c>
    </row>
    <row r="102" spans="1:6" ht="12.6">
      <c r="A102" s="2">
        <f ca="1">IFERROR(__xludf.DUMMYFUNCTION("""COMPUTED_VALUE"""),44707.6666666666)</f>
        <v>44707.666666666599</v>
      </c>
      <c r="B102" s="1">
        <f ca="1">IFERROR(__xludf.DUMMYFUNCTION("""COMPUTED_VALUE"""),262.27)</f>
        <v>262.27</v>
      </c>
      <c r="C102" s="1">
        <f ca="1">IFERROR(__xludf.DUMMYFUNCTION("""COMPUTED_VALUE"""),267.11)</f>
        <v>267.11</v>
      </c>
      <c r="D102" s="1">
        <f ca="1">IFERROR(__xludf.DUMMYFUNCTION("""COMPUTED_VALUE"""),261.43)</f>
        <v>261.43</v>
      </c>
      <c r="E102" s="1">
        <f ca="1">IFERROR(__xludf.DUMMYFUNCTION("""COMPUTED_VALUE"""),265.9)</f>
        <v>265.89999999999998</v>
      </c>
      <c r="F102" s="1">
        <f ca="1">IFERROR(__xludf.DUMMYFUNCTION("""COMPUTED_VALUE"""),25002105)</f>
        <v>25002105</v>
      </c>
    </row>
    <row r="103" spans="1:6" ht="12.6">
      <c r="A103" s="2">
        <f ca="1">IFERROR(__xludf.DUMMYFUNCTION("""COMPUTED_VALUE"""),44708.6666666666)</f>
        <v>44708.666666666599</v>
      </c>
      <c r="B103" s="1">
        <f ca="1">IFERROR(__xludf.DUMMYFUNCTION("""COMPUTED_VALUE"""),268.48)</f>
        <v>268.48</v>
      </c>
      <c r="C103" s="1">
        <f ca="1">IFERROR(__xludf.DUMMYFUNCTION("""COMPUTED_VALUE"""),273.34)</f>
        <v>273.33999999999997</v>
      </c>
      <c r="D103" s="1">
        <f ca="1">IFERROR(__xludf.DUMMYFUNCTION("""COMPUTED_VALUE"""),267.56)</f>
        <v>267.56</v>
      </c>
      <c r="E103" s="1">
        <f ca="1">IFERROR(__xludf.DUMMYFUNCTION("""COMPUTED_VALUE"""),273.24)</f>
        <v>273.24</v>
      </c>
      <c r="F103" s="1">
        <f ca="1">IFERROR(__xludf.DUMMYFUNCTION("""COMPUTED_VALUE"""),26910806)</f>
        <v>26910806</v>
      </c>
    </row>
    <row r="104" spans="1:6" ht="12.6">
      <c r="A104" s="2">
        <f ca="1">IFERROR(__xludf.DUMMYFUNCTION("""COMPUTED_VALUE"""),44712.6666666666)</f>
        <v>44712.666666666599</v>
      </c>
      <c r="B104" s="1">
        <f ca="1">IFERROR(__xludf.DUMMYFUNCTION("""COMPUTED_VALUE"""),272.53)</f>
        <v>272.52999999999997</v>
      </c>
      <c r="C104" s="1">
        <f ca="1">IFERROR(__xludf.DUMMYFUNCTION("""COMPUTED_VALUE"""),274.77)</f>
        <v>274.77</v>
      </c>
      <c r="D104" s="1">
        <f ca="1">IFERROR(__xludf.DUMMYFUNCTION("""COMPUTED_VALUE"""),268.93)</f>
        <v>268.93</v>
      </c>
      <c r="E104" s="1">
        <f ca="1">IFERROR(__xludf.DUMMYFUNCTION("""COMPUTED_VALUE"""),271.87)</f>
        <v>271.87</v>
      </c>
      <c r="F104" s="1">
        <f ca="1">IFERROR(__xludf.DUMMYFUNCTION("""COMPUTED_VALUE"""),37827695)</f>
        <v>37827695</v>
      </c>
    </row>
    <row r="105" spans="1:6" ht="12.6">
      <c r="A105" s="2">
        <f ca="1">IFERROR(__xludf.DUMMYFUNCTION("""COMPUTED_VALUE"""),44713.6666666666)</f>
        <v>44713.666666666599</v>
      </c>
      <c r="B105" s="1">
        <f ca="1">IFERROR(__xludf.DUMMYFUNCTION("""COMPUTED_VALUE"""),275.2)</f>
        <v>275.2</v>
      </c>
      <c r="C105" s="1">
        <f ca="1">IFERROR(__xludf.DUMMYFUNCTION("""COMPUTED_VALUE"""),277.69)</f>
        <v>277.69</v>
      </c>
      <c r="D105" s="1">
        <f ca="1">IFERROR(__xludf.DUMMYFUNCTION("""COMPUTED_VALUE"""),270.04)</f>
        <v>270.04000000000002</v>
      </c>
      <c r="E105" s="1">
        <f ca="1">IFERROR(__xludf.DUMMYFUNCTION("""COMPUTED_VALUE"""),272.42)</f>
        <v>272.42</v>
      </c>
      <c r="F105" s="1">
        <f ca="1">IFERROR(__xludf.DUMMYFUNCTION("""COMPUTED_VALUE"""),25292174)</f>
        <v>25292174</v>
      </c>
    </row>
    <row r="106" spans="1:6" ht="12.6">
      <c r="A106" s="2">
        <f ca="1">IFERROR(__xludf.DUMMYFUNCTION("""COMPUTED_VALUE"""),44714.6666666666)</f>
        <v>44714.666666666599</v>
      </c>
      <c r="B106" s="1">
        <f ca="1">IFERROR(__xludf.DUMMYFUNCTION("""COMPUTED_VALUE"""),264.45)</f>
        <v>264.45</v>
      </c>
      <c r="C106" s="1">
        <f ca="1">IFERROR(__xludf.DUMMYFUNCTION("""COMPUTED_VALUE"""),274.65)</f>
        <v>274.64999999999998</v>
      </c>
      <c r="D106" s="1">
        <f ca="1">IFERROR(__xludf.DUMMYFUNCTION("""COMPUTED_VALUE"""),261.6)</f>
        <v>261.60000000000002</v>
      </c>
      <c r="E106" s="1">
        <f ca="1">IFERROR(__xludf.DUMMYFUNCTION("""COMPUTED_VALUE"""),274.58)</f>
        <v>274.58</v>
      </c>
      <c r="F106" s="1">
        <f ca="1">IFERROR(__xludf.DUMMYFUNCTION("""COMPUTED_VALUE"""),44008209)</f>
        <v>44008209</v>
      </c>
    </row>
    <row r="107" spans="1:6" ht="12.6">
      <c r="A107" s="2">
        <f ca="1">IFERROR(__xludf.DUMMYFUNCTION("""COMPUTED_VALUE"""),44715.6666666666)</f>
        <v>44715.666666666599</v>
      </c>
      <c r="B107" s="1">
        <f ca="1">IFERROR(__xludf.DUMMYFUNCTION("""COMPUTED_VALUE"""),270.31)</f>
        <v>270.31</v>
      </c>
      <c r="C107" s="1">
        <f ca="1">IFERROR(__xludf.DUMMYFUNCTION("""COMPUTED_VALUE"""),273.45)</f>
        <v>273.45</v>
      </c>
      <c r="D107" s="1">
        <f ca="1">IFERROR(__xludf.DUMMYFUNCTION("""COMPUTED_VALUE"""),268.41)</f>
        <v>268.41000000000003</v>
      </c>
      <c r="E107" s="1">
        <f ca="1">IFERROR(__xludf.DUMMYFUNCTION("""COMPUTED_VALUE"""),270.02)</f>
        <v>270.02</v>
      </c>
      <c r="F107" s="1">
        <f ca="1">IFERROR(__xludf.DUMMYFUNCTION("""COMPUTED_VALUE"""),28058958)</f>
        <v>28058958</v>
      </c>
    </row>
    <row r="108" spans="1:6" ht="12.6">
      <c r="A108" s="2">
        <f ca="1">IFERROR(__xludf.DUMMYFUNCTION("""COMPUTED_VALUE"""),44718.6666666666)</f>
        <v>44718.666666666599</v>
      </c>
      <c r="B108" s="1">
        <f ca="1">IFERROR(__xludf.DUMMYFUNCTION("""COMPUTED_VALUE"""),272.06)</f>
        <v>272.06</v>
      </c>
      <c r="C108" s="1">
        <f ca="1">IFERROR(__xludf.DUMMYFUNCTION("""COMPUTED_VALUE"""),274.18)</f>
        <v>274.18</v>
      </c>
      <c r="D108" s="1">
        <f ca="1">IFERROR(__xludf.DUMMYFUNCTION("""COMPUTED_VALUE"""),267.22)</f>
        <v>267.22000000000003</v>
      </c>
      <c r="E108" s="1">
        <f ca="1">IFERROR(__xludf.DUMMYFUNCTION("""COMPUTED_VALUE"""),268.75)</f>
        <v>268.75</v>
      </c>
      <c r="F108" s="1">
        <f ca="1">IFERROR(__xludf.DUMMYFUNCTION("""COMPUTED_VALUE"""),22400342)</f>
        <v>22400342</v>
      </c>
    </row>
    <row r="109" spans="1:6" ht="12.6">
      <c r="A109" s="2">
        <f ca="1">IFERROR(__xludf.DUMMYFUNCTION("""COMPUTED_VALUE"""),44719.6666666666)</f>
        <v>44719.666666666599</v>
      </c>
      <c r="B109" s="1">
        <f ca="1">IFERROR(__xludf.DUMMYFUNCTION("""COMPUTED_VALUE"""),266.64)</f>
        <v>266.64</v>
      </c>
      <c r="C109" s="1">
        <f ca="1">IFERROR(__xludf.DUMMYFUNCTION("""COMPUTED_VALUE"""),273.13)</f>
        <v>273.13</v>
      </c>
      <c r="D109" s="1">
        <f ca="1">IFERROR(__xludf.DUMMYFUNCTION("""COMPUTED_VALUE"""),265.94)</f>
        <v>265.94</v>
      </c>
      <c r="E109" s="1">
        <f ca="1">IFERROR(__xludf.DUMMYFUNCTION("""COMPUTED_VALUE"""),272.5)</f>
        <v>272.5</v>
      </c>
      <c r="F109" s="1">
        <f ca="1">IFERROR(__xludf.DUMMYFUNCTION("""COMPUTED_VALUE"""),22860677)</f>
        <v>22860677</v>
      </c>
    </row>
    <row r="110" spans="1:6" ht="12.6">
      <c r="A110" s="2">
        <f ca="1">IFERROR(__xludf.DUMMYFUNCTION("""COMPUTED_VALUE"""),44720.6666666666)</f>
        <v>44720.666666666599</v>
      </c>
      <c r="B110" s="1">
        <f ca="1">IFERROR(__xludf.DUMMYFUNCTION("""COMPUTED_VALUE"""),271.71)</f>
        <v>271.70999999999998</v>
      </c>
      <c r="C110" s="1">
        <f ca="1">IFERROR(__xludf.DUMMYFUNCTION("""COMPUTED_VALUE"""),273)</f>
        <v>273</v>
      </c>
      <c r="D110" s="1">
        <f ca="1">IFERROR(__xludf.DUMMYFUNCTION("""COMPUTED_VALUE"""),269.61)</f>
        <v>269.61</v>
      </c>
      <c r="E110" s="1">
        <f ca="1">IFERROR(__xludf.DUMMYFUNCTION("""COMPUTED_VALUE"""),270.41)</f>
        <v>270.41000000000003</v>
      </c>
      <c r="F110" s="1">
        <f ca="1">IFERROR(__xludf.DUMMYFUNCTION("""COMPUTED_VALUE"""),17372341)</f>
        <v>17372341</v>
      </c>
    </row>
    <row r="111" spans="1:6" ht="12.6">
      <c r="A111" s="2">
        <f ca="1">IFERROR(__xludf.DUMMYFUNCTION("""COMPUTED_VALUE"""),44721.6666666666)</f>
        <v>44721.666666666599</v>
      </c>
      <c r="B111" s="1">
        <f ca="1">IFERROR(__xludf.DUMMYFUNCTION("""COMPUTED_VALUE"""),267.78)</f>
        <v>267.77999999999997</v>
      </c>
      <c r="C111" s="1">
        <f ca="1">IFERROR(__xludf.DUMMYFUNCTION("""COMPUTED_VALUE"""),272.71)</f>
        <v>272.70999999999998</v>
      </c>
      <c r="D111" s="1">
        <f ca="1">IFERROR(__xludf.DUMMYFUNCTION("""COMPUTED_VALUE"""),264.63)</f>
        <v>264.63</v>
      </c>
      <c r="E111" s="1">
        <f ca="1">IFERROR(__xludf.DUMMYFUNCTION("""COMPUTED_VALUE"""),264.79)</f>
        <v>264.79000000000002</v>
      </c>
      <c r="F111" s="1">
        <f ca="1">IFERROR(__xludf.DUMMYFUNCTION("""COMPUTED_VALUE"""),26439728)</f>
        <v>26439728</v>
      </c>
    </row>
    <row r="112" spans="1:6" ht="12.6">
      <c r="A112" s="2">
        <f ca="1">IFERROR(__xludf.DUMMYFUNCTION("""COMPUTED_VALUE"""),44722.6666666666)</f>
        <v>44722.666666666599</v>
      </c>
      <c r="B112" s="1">
        <f ca="1">IFERROR(__xludf.DUMMYFUNCTION("""COMPUTED_VALUE"""),260.58)</f>
        <v>260.58</v>
      </c>
      <c r="C112" s="1">
        <f ca="1">IFERROR(__xludf.DUMMYFUNCTION("""COMPUTED_VALUE"""),260.58)</f>
        <v>260.58</v>
      </c>
      <c r="D112" s="1">
        <f ca="1">IFERROR(__xludf.DUMMYFUNCTION("""COMPUTED_VALUE"""),252.53)</f>
        <v>252.53</v>
      </c>
      <c r="E112" s="1">
        <f ca="1">IFERROR(__xludf.DUMMYFUNCTION("""COMPUTED_VALUE"""),252.99)</f>
        <v>252.99</v>
      </c>
      <c r="F112" s="1">
        <f ca="1">IFERROR(__xludf.DUMMYFUNCTION("""COMPUTED_VALUE"""),31445841)</f>
        <v>31445841</v>
      </c>
    </row>
    <row r="113" spans="1:6" ht="12.6">
      <c r="A113" s="2">
        <f ca="1">IFERROR(__xludf.DUMMYFUNCTION("""COMPUTED_VALUE"""),44725.6666666666)</f>
        <v>44725.666666666599</v>
      </c>
      <c r="B113" s="1">
        <f ca="1">IFERROR(__xludf.DUMMYFUNCTION("""COMPUTED_VALUE"""),245.11)</f>
        <v>245.11</v>
      </c>
      <c r="C113" s="1">
        <f ca="1">IFERROR(__xludf.DUMMYFUNCTION("""COMPUTED_VALUE"""),249.02)</f>
        <v>249.02</v>
      </c>
      <c r="D113" s="1">
        <f ca="1">IFERROR(__xludf.DUMMYFUNCTION("""COMPUTED_VALUE"""),241.53)</f>
        <v>241.53</v>
      </c>
      <c r="E113" s="1">
        <f ca="1">IFERROR(__xludf.DUMMYFUNCTION("""COMPUTED_VALUE"""),242.26)</f>
        <v>242.26</v>
      </c>
      <c r="F113" s="1">
        <f ca="1">IFERROR(__xludf.DUMMYFUNCTION("""COMPUTED_VALUE"""),46135788)</f>
        <v>46135788</v>
      </c>
    </row>
    <row r="114" spans="1:6" ht="12.6">
      <c r="A114" s="2">
        <f ca="1">IFERROR(__xludf.DUMMYFUNCTION("""COMPUTED_VALUE"""),44726.6666666666)</f>
        <v>44726.666666666599</v>
      </c>
      <c r="B114" s="1">
        <f ca="1">IFERROR(__xludf.DUMMYFUNCTION("""COMPUTED_VALUE"""),243.86)</f>
        <v>243.86</v>
      </c>
      <c r="C114" s="1">
        <f ca="1">IFERROR(__xludf.DUMMYFUNCTION("""COMPUTED_VALUE"""),245.74)</f>
        <v>245.74</v>
      </c>
      <c r="D114" s="1">
        <f ca="1">IFERROR(__xludf.DUMMYFUNCTION("""COMPUTED_VALUE"""),241.51)</f>
        <v>241.51</v>
      </c>
      <c r="E114" s="1">
        <f ca="1">IFERROR(__xludf.DUMMYFUNCTION("""COMPUTED_VALUE"""),244.49)</f>
        <v>244.49</v>
      </c>
      <c r="F114" s="1">
        <f ca="1">IFERROR(__xludf.DUMMYFUNCTION("""COMPUTED_VALUE"""),28651487)</f>
        <v>28651487</v>
      </c>
    </row>
    <row r="115" spans="1:6" ht="12.6">
      <c r="A115" s="2">
        <f ca="1">IFERROR(__xludf.DUMMYFUNCTION("""COMPUTED_VALUE"""),44727.6666666666)</f>
        <v>44727.666666666599</v>
      </c>
      <c r="B115" s="1">
        <f ca="1">IFERROR(__xludf.DUMMYFUNCTION("""COMPUTED_VALUE"""),248.31)</f>
        <v>248.31</v>
      </c>
      <c r="C115" s="1">
        <f ca="1">IFERROR(__xludf.DUMMYFUNCTION("""COMPUTED_VALUE"""),255.3)</f>
        <v>255.3</v>
      </c>
      <c r="D115" s="1">
        <f ca="1">IFERROR(__xludf.DUMMYFUNCTION("""COMPUTED_VALUE"""),246.42)</f>
        <v>246.42</v>
      </c>
      <c r="E115" s="1">
        <f ca="1">IFERROR(__xludf.DUMMYFUNCTION("""COMPUTED_VALUE"""),251.76)</f>
        <v>251.76</v>
      </c>
      <c r="F115" s="1">
        <f ca="1">IFERROR(__xludf.DUMMYFUNCTION("""COMPUTED_VALUE"""),33111729)</f>
        <v>33111729</v>
      </c>
    </row>
    <row r="116" spans="1:6" ht="12.6">
      <c r="A116" s="2">
        <f ca="1">IFERROR(__xludf.DUMMYFUNCTION("""COMPUTED_VALUE"""),44728.6666666666)</f>
        <v>44728.666666666599</v>
      </c>
      <c r="B116" s="1">
        <f ca="1">IFERROR(__xludf.DUMMYFUNCTION("""COMPUTED_VALUE"""),245.98)</f>
        <v>245.98</v>
      </c>
      <c r="C116" s="1">
        <f ca="1">IFERROR(__xludf.DUMMYFUNCTION("""COMPUTED_VALUE"""),247.42)</f>
        <v>247.42</v>
      </c>
      <c r="D116" s="1">
        <f ca="1">IFERROR(__xludf.DUMMYFUNCTION("""COMPUTED_VALUE"""),243.02)</f>
        <v>243.02</v>
      </c>
      <c r="E116" s="1">
        <f ca="1">IFERROR(__xludf.DUMMYFUNCTION("""COMPUTED_VALUE"""),244.97)</f>
        <v>244.97</v>
      </c>
      <c r="F116" s="1">
        <f ca="1">IFERROR(__xludf.DUMMYFUNCTION("""COMPUTED_VALUE"""),33169160)</f>
        <v>33169160</v>
      </c>
    </row>
    <row r="117" spans="1:6" ht="12.6">
      <c r="A117" s="2">
        <f ca="1">IFERROR(__xludf.DUMMYFUNCTION("""COMPUTED_VALUE"""),44729.6666666666)</f>
        <v>44729.666666666599</v>
      </c>
      <c r="B117" s="1">
        <f ca="1">IFERROR(__xludf.DUMMYFUNCTION("""COMPUTED_VALUE"""),244.7)</f>
        <v>244.7</v>
      </c>
      <c r="C117" s="1">
        <f ca="1">IFERROR(__xludf.DUMMYFUNCTION("""COMPUTED_VALUE"""),250.5)</f>
        <v>250.5</v>
      </c>
      <c r="D117" s="1">
        <f ca="1">IFERROR(__xludf.DUMMYFUNCTION("""COMPUTED_VALUE"""),244.03)</f>
        <v>244.03</v>
      </c>
      <c r="E117" s="1">
        <f ca="1">IFERROR(__xludf.DUMMYFUNCTION("""COMPUTED_VALUE"""),247.65)</f>
        <v>247.65</v>
      </c>
      <c r="F117" s="1">
        <f ca="1">IFERROR(__xludf.DUMMYFUNCTION("""COMPUTED_VALUE"""),43084780)</f>
        <v>43084780</v>
      </c>
    </row>
    <row r="118" spans="1:6" ht="12.6">
      <c r="A118" s="2">
        <f ca="1">IFERROR(__xludf.DUMMYFUNCTION("""COMPUTED_VALUE"""),44733.6666666666)</f>
        <v>44733.666666666599</v>
      </c>
      <c r="B118" s="1">
        <f ca="1">IFERROR(__xludf.DUMMYFUNCTION("""COMPUTED_VALUE"""),250.26)</f>
        <v>250.26</v>
      </c>
      <c r="C118" s="1">
        <f ca="1">IFERROR(__xludf.DUMMYFUNCTION("""COMPUTED_VALUE"""),254.75)</f>
        <v>254.75</v>
      </c>
      <c r="D118" s="1">
        <f ca="1">IFERROR(__xludf.DUMMYFUNCTION("""COMPUTED_VALUE"""),249.51)</f>
        <v>249.51</v>
      </c>
      <c r="E118" s="1">
        <f ca="1">IFERROR(__xludf.DUMMYFUNCTION("""COMPUTED_VALUE"""),253.74)</f>
        <v>253.74</v>
      </c>
      <c r="F118" s="1">
        <f ca="1">IFERROR(__xludf.DUMMYFUNCTION("""COMPUTED_VALUE"""),29928297)</f>
        <v>29928297</v>
      </c>
    </row>
    <row r="119" spans="1:6" ht="12.6">
      <c r="A119" s="2">
        <f ca="1">IFERROR(__xludf.DUMMYFUNCTION("""COMPUTED_VALUE"""),44734.6666666666)</f>
        <v>44734.666666666599</v>
      </c>
      <c r="B119" s="1">
        <f ca="1">IFERROR(__xludf.DUMMYFUNCTION("""COMPUTED_VALUE"""),251.89)</f>
        <v>251.89</v>
      </c>
      <c r="C119" s="1">
        <f ca="1">IFERROR(__xludf.DUMMYFUNCTION("""COMPUTED_VALUE"""),257.17)</f>
        <v>257.17</v>
      </c>
      <c r="D119" s="1">
        <f ca="1">IFERROR(__xludf.DUMMYFUNCTION("""COMPUTED_VALUE"""),250.37)</f>
        <v>250.37</v>
      </c>
      <c r="E119" s="1">
        <f ca="1">IFERROR(__xludf.DUMMYFUNCTION("""COMPUTED_VALUE"""),253.13)</f>
        <v>253.13</v>
      </c>
      <c r="F119" s="1">
        <f ca="1">IFERROR(__xludf.DUMMYFUNCTION("""COMPUTED_VALUE"""),25961215)</f>
        <v>25961215</v>
      </c>
    </row>
    <row r="120" spans="1:6" ht="12.6">
      <c r="A120" s="2">
        <f ca="1">IFERROR(__xludf.DUMMYFUNCTION("""COMPUTED_VALUE"""),44735.6666666666)</f>
        <v>44735.666666666599</v>
      </c>
      <c r="B120" s="1">
        <f ca="1">IFERROR(__xludf.DUMMYFUNCTION("""COMPUTED_VALUE"""),255.57)</f>
        <v>255.57</v>
      </c>
      <c r="C120" s="1">
        <f ca="1">IFERROR(__xludf.DUMMYFUNCTION("""COMPUTED_VALUE"""),259.37)</f>
        <v>259.37</v>
      </c>
      <c r="D120" s="1">
        <f ca="1">IFERROR(__xludf.DUMMYFUNCTION("""COMPUTED_VALUE"""),253.63)</f>
        <v>253.63</v>
      </c>
      <c r="E120" s="1">
        <f ca="1">IFERROR(__xludf.DUMMYFUNCTION("""COMPUTED_VALUE"""),258.86)</f>
        <v>258.86</v>
      </c>
      <c r="F120" s="1">
        <f ca="1">IFERROR(__xludf.DUMMYFUNCTION("""COMPUTED_VALUE"""),25861449)</f>
        <v>25861449</v>
      </c>
    </row>
    <row r="121" spans="1:6" ht="12.6">
      <c r="A121" s="2">
        <f ca="1">IFERROR(__xludf.DUMMYFUNCTION("""COMPUTED_VALUE"""),44736.6666666666)</f>
        <v>44736.666666666599</v>
      </c>
      <c r="B121" s="1">
        <f ca="1">IFERROR(__xludf.DUMMYFUNCTION("""COMPUTED_VALUE"""),261.81)</f>
        <v>261.81</v>
      </c>
      <c r="C121" s="1">
        <f ca="1">IFERROR(__xludf.DUMMYFUNCTION("""COMPUTED_VALUE"""),267.98)</f>
        <v>267.98</v>
      </c>
      <c r="D121" s="1">
        <f ca="1">IFERROR(__xludf.DUMMYFUNCTION("""COMPUTED_VALUE"""),261.72)</f>
        <v>261.72000000000003</v>
      </c>
      <c r="E121" s="1">
        <f ca="1">IFERROR(__xludf.DUMMYFUNCTION("""COMPUTED_VALUE"""),267.7)</f>
        <v>267.7</v>
      </c>
      <c r="F121" s="1">
        <f ca="1">IFERROR(__xludf.DUMMYFUNCTION("""COMPUTED_VALUE"""),33923231)</f>
        <v>33923231</v>
      </c>
    </row>
    <row r="122" spans="1:6" ht="12.6">
      <c r="A122" s="2">
        <f ca="1">IFERROR(__xludf.DUMMYFUNCTION("""COMPUTED_VALUE"""),44739.6666666666)</f>
        <v>44739.666666666599</v>
      </c>
      <c r="B122" s="1">
        <f ca="1">IFERROR(__xludf.DUMMYFUNCTION("""COMPUTED_VALUE"""),268.21)</f>
        <v>268.20999999999998</v>
      </c>
      <c r="C122" s="1">
        <f ca="1">IFERROR(__xludf.DUMMYFUNCTION("""COMPUTED_VALUE"""),268.3)</f>
        <v>268.3</v>
      </c>
      <c r="D122" s="1">
        <f ca="1">IFERROR(__xludf.DUMMYFUNCTION("""COMPUTED_VALUE"""),263.28)</f>
        <v>263.27999999999997</v>
      </c>
      <c r="E122" s="1">
        <f ca="1">IFERROR(__xludf.DUMMYFUNCTION("""COMPUTED_VALUE"""),264.89)</f>
        <v>264.89</v>
      </c>
      <c r="F122" s="1">
        <f ca="1">IFERROR(__xludf.DUMMYFUNCTION("""COMPUTED_VALUE"""),24615114)</f>
        <v>24615114</v>
      </c>
    </row>
    <row r="123" spans="1:6" ht="12.6">
      <c r="A123" s="2">
        <f ca="1">IFERROR(__xludf.DUMMYFUNCTION("""COMPUTED_VALUE"""),44740.6666666666)</f>
        <v>44740.666666666599</v>
      </c>
      <c r="B123" s="1">
        <f ca="1">IFERROR(__xludf.DUMMYFUNCTION("""COMPUTED_VALUE"""),263.98)</f>
        <v>263.98</v>
      </c>
      <c r="C123" s="1">
        <f ca="1">IFERROR(__xludf.DUMMYFUNCTION("""COMPUTED_VALUE"""),266.91)</f>
        <v>266.91000000000003</v>
      </c>
      <c r="D123" s="1">
        <f ca="1">IFERROR(__xludf.DUMMYFUNCTION("""COMPUTED_VALUE"""),256.32)</f>
        <v>256.32</v>
      </c>
      <c r="E123" s="1">
        <f ca="1">IFERROR(__xludf.DUMMYFUNCTION("""COMPUTED_VALUE"""),256.48)</f>
        <v>256.48</v>
      </c>
      <c r="F123" s="1">
        <f ca="1">IFERROR(__xludf.DUMMYFUNCTION("""COMPUTED_VALUE"""),27380247)</f>
        <v>27380247</v>
      </c>
    </row>
    <row r="124" spans="1:6" ht="12.6">
      <c r="A124" s="2">
        <f ca="1">IFERROR(__xludf.DUMMYFUNCTION("""COMPUTED_VALUE"""),44741.6666666666)</f>
        <v>44741.666666666599</v>
      </c>
      <c r="B124" s="1">
        <f ca="1">IFERROR(__xludf.DUMMYFUNCTION("""COMPUTED_VALUE"""),257.59)</f>
        <v>257.58999999999997</v>
      </c>
      <c r="C124" s="1">
        <f ca="1">IFERROR(__xludf.DUMMYFUNCTION("""COMPUTED_VALUE"""),261.97)</f>
        <v>261.97000000000003</v>
      </c>
      <c r="D124" s="1">
        <f ca="1">IFERROR(__xludf.DUMMYFUNCTION("""COMPUTED_VALUE"""),255.76)</f>
        <v>255.76</v>
      </c>
      <c r="E124" s="1">
        <f ca="1">IFERROR(__xludf.DUMMYFUNCTION("""COMPUTED_VALUE"""),260.26)</f>
        <v>260.26</v>
      </c>
      <c r="F124" s="1">
        <f ca="1">IFERROR(__xludf.DUMMYFUNCTION("""COMPUTED_VALUE"""),20069839)</f>
        <v>20069839</v>
      </c>
    </row>
    <row r="125" spans="1:6" ht="12.6">
      <c r="A125" s="2">
        <f ca="1">IFERROR(__xludf.DUMMYFUNCTION("""COMPUTED_VALUE"""),44742.6666666666)</f>
        <v>44742.666666666599</v>
      </c>
      <c r="B125" s="1">
        <f ca="1">IFERROR(__xludf.DUMMYFUNCTION("""COMPUTED_VALUE"""),257.05)</f>
        <v>257.05</v>
      </c>
      <c r="C125" s="1">
        <f ca="1">IFERROR(__xludf.DUMMYFUNCTION("""COMPUTED_VALUE"""),259.53)</f>
        <v>259.52999999999997</v>
      </c>
      <c r="D125" s="1">
        <f ca="1">IFERROR(__xludf.DUMMYFUNCTION("""COMPUTED_VALUE"""),252.9)</f>
        <v>252.9</v>
      </c>
      <c r="E125" s="1">
        <f ca="1">IFERROR(__xludf.DUMMYFUNCTION("""COMPUTED_VALUE"""),256.83)</f>
        <v>256.83</v>
      </c>
      <c r="F125" s="1">
        <f ca="1">IFERROR(__xludf.DUMMYFUNCTION("""COMPUTED_VALUE"""),31730868)</f>
        <v>31730868</v>
      </c>
    </row>
    <row r="126" spans="1:6" ht="12.6">
      <c r="A126" s="2">
        <f ca="1">IFERROR(__xludf.DUMMYFUNCTION("""COMPUTED_VALUE"""),44743.6666666666)</f>
        <v>44743.666666666599</v>
      </c>
      <c r="B126" s="1">
        <f ca="1">IFERROR(__xludf.DUMMYFUNCTION("""COMPUTED_VALUE"""),256.39)</f>
        <v>256.39</v>
      </c>
      <c r="C126" s="1">
        <f ca="1">IFERROR(__xludf.DUMMYFUNCTION("""COMPUTED_VALUE"""),259.77)</f>
        <v>259.77</v>
      </c>
      <c r="D126" s="1">
        <f ca="1">IFERROR(__xludf.DUMMYFUNCTION("""COMPUTED_VALUE"""),254.61)</f>
        <v>254.61</v>
      </c>
      <c r="E126" s="1">
        <f ca="1">IFERROR(__xludf.DUMMYFUNCTION("""COMPUTED_VALUE"""),259.58)</f>
        <v>259.58</v>
      </c>
      <c r="F126" s="1">
        <f ca="1">IFERROR(__xludf.DUMMYFUNCTION("""COMPUTED_VALUE"""),22837692)</f>
        <v>22837692</v>
      </c>
    </row>
    <row r="127" spans="1:6" ht="12.6">
      <c r="A127" s="2">
        <f ca="1">IFERROR(__xludf.DUMMYFUNCTION("""COMPUTED_VALUE"""),44747.6666666666)</f>
        <v>44747.666666666599</v>
      </c>
      <c r="B127" s="1">
        <f ca="1">IFERROR(__xludf.DUMMYFUNCTION("""COMPUTED_VALUE"""),256.16)</f>
        <v>256.16000000000003</v>
      </c>
      <c r="C127" s="1">
        <f ca="1">IFERROR(__xludf.DUMMYFUNCTION("""COMPUTED_VALUE"""),262.98)</f>
        <v>262.98</v>
      </c>
      <c r="D127" s="1">
        <f ca="1">IFERROR(__xludf.DUMMYFUNCTION("""COMPUTED_VALUE"""),254.74)</f>
        <v>254.74</v>
      </c>
      <c r="E127" s="1">
        <f ca="1">IFERROR(__xludf.DUMMYFUNCTION("""COMPUTED_VALUE"""),262.85)</f>
        <v>262.85000000000002</v>
      </c>
      <c r="F127" s="1">
        <f ca="1">IFERROR(__xludf.DUMMYFUNCTION("""COMPUTED_VALUE"""),22971634)</f>
        <v>22971634</v>
      </c>
    </row>
    <row r="128" spans="1:6" ht="12.6">
      <c r="A128" s="2">
        <f ca="1">IFERROR(__xludf.DUMMYFUNCTION("""COMPUTED_VALUE"""),44748.6666666666)</f>
        <v>44748.666666666599</v>
      </c>
      <c r="B128" s="1">
        <f ca="1">IFERROR(__xludf.DUMMYFUNCTION("""COMPUTED_VALUE"""),263.75)</f>
        <v>263.75</v>
      </c>
      <c r="C128" s="1">
        <f ca="1">IFERROR(__xludf.DUMMYFUNCTION("""COMPUTED_VALUE"""),267.99)</f>
        <v>267.99</v>
      </c>
      <c r="D128" s="1">
        <f ca="1">IFERROR(__xludf.DUMMYFUNCTION("""COMPUTED_VALUE"""),262.4)</f>
        <v>262.39999999999998</v>
      </c>
      <c r="E128" s="1">
        <f ca="1">IFERROR(__xludf.DUMMYFUNCTION("""COMPUTED_VALUE"""),266.21)</f>
        <v>266.20999999999998</v>
      </c>
      <c r="F128" s="1">
        <f ca="1">IFERROR(__xludf.DUMMYFUNCTION("""COMPUTED_VALUE"""),23824419)</f>
        <v>23824419</v>
      </c>
    </row>
    <row r="129" spans="1:6" ht="12.6">
      <c r="A129" s="2">
        <f ca="1">IFERROR(__xludf.DUMMYFUNCTION("""COMPUTED_VALUE"""),44749.6666666666)</f>
        <v>44749.666666666599</v>
      </c>
      <c r="B129" s="1">
        <f ca="1">IFERROR(__xludf.DUMMYFUNCTION("""COMPUTED_VALUE"""),265.12)</f>
        <v>265.12</v>
      </c>
      <c r="C129" s="1">
        <f ca="1">IFERROR(__xludf.DUMMYFUNCTION("""COMPUTED_VALUE"""),269.06)</f>
        <v>269.06</v>
      </c>
      <c r="D129" s="1">
        <f ca="1">IFERROR(__xludf.DUMMYFUNCTION("""COMPUTED_VALUE"""),265.02)</f>
        <v>265.02</v>
      </c>
      <c r="E129" s="1">
        <f ca="1">IFERROR(__xludf.DUMMYFUNCTION("""COMPUTED_VALUE"""),268.4)</f>
        <v>268.39999999999998</v>
      </c>
      <c r="F129" s="1">
        <f ca="1">IFERROR(__xludf.DUMMYFUNCTION("""COMPUTED_VALUE"""),20859874)</f>
        <v>20859874</v>
      </c>
    </row>
    <row r="130" spans="1:6" ht="12.6">
      <c r="A130" s="2">
        <f ca="1">IFERROR(__xludf.DUMMYFUNCTION("""COMPUTED_VALUE"""),44750.6666666666)</f>
        <v>44750.666666666599</v>
      </c>
      <c r="B130" s="1">
        <f ca="1">IFERROR(__xludf.DUMMYFUNCTION("""COMPUTED_VALUE"""),264.79)</f>
        <v>264.79000000000002</v>
      </c>
      <c r="C130" s="1">
        <f ca="1">IFERROR(__xludf.DUMMYFUNCTION("""COMPUTED_VALUE"""),268.1)</f>
        <v>268.10000000000002</v>
      </c>
      <c r="D130" s="1">
        <f ca="1">IFERROR(__xludf.DUMMYFUNCTION("""COMPUTED_VALUE"""),263.29)</f>
        <v>263.29000000000002</v>
      </c>
      <c r="E130" s="1">
        <f ca="1">IFERROR(__xludf.DUMMYFUNCTION("""COMPUTED_VALUE"""),267.66)</f>
        <v>267.66000000000003</v>
      </c>
      <c r="F130" s="1">
        <f ca="1">IFERROR(__xludf.DUMMYFUNCTION("""COMPUTED_VALUE"""),19658751)</f>
        <v>19658751</v>
      </c>
    </row>
    <row r="131" spans="1:6" ht="12.6">
      <c r="A131" s="2">
        <f ca="1">IFERROR(__xludf.DUMMYFUNCTION("""COMPUTED_VALUE"""),44753.6666666666)</f>
        <v>44753.666666666599</v>
      </c>
      <c r="B131" s="1">
        <f ca="1">IFERROR(__xludf.DUMMYFUNCTION("""COMPUTED_VALUE"""),265.65)</f>
        <v>265.64999999999998</v>
      </c>
      <c r="C131" s="1">
        <f ca="1">IFERROR(__xludf.DUMMYFUNCTION("""COMPUTED_VALUE"""),266.53)</f>
        <v>266.52999999999997</v>
      </c>
      <c r="D131" s="1">
        <f ca="1">IFERROR(__xludf.DUMMYFUNCTION("""COMPUTED_VALUE"""),262.18)</f>
        <v>262.18</v>
      </c>
      <c r="E131" s="1">
        <f ca="1">IFERROR(__xludf.DUMMYFUNCTION("""COMPUTED_VALUE"""),264.51)</f>
        <v>264.51</v>
      </c>
      <c r="F131" s="1">
        <f ca="1">IFERROR(__xludf.DUMMYFUNCTION("""COMPUTED_VALUE"""),19519108)</f>
        <v>19519108</v>
      </c>
    </row>
    <row r="132" spans="1:6" ht="12.6">
      <c r="A132" s="2">
        <f ca="1">IFERROR(__xludf.DUMMYFUNCTION("""COMPUTED_VALUE"""),44754.6666666666)</f>
        <v>44754.666666666599</v>
      </c>
      <c r="B132" s="1">
        <f ca="1">IFERROR(__xludf.DUMMYFUNCTION("""COMPUTED_VALUE"""),265.88)</f>
        <v>265.88</v>
      </c>
      <c r="C132" s="1">
        <f ca="1">IFERROR(__xludf.DUMMYFUNCTION("""COMPUTED_VALUE"""),265.94)</f>
        <v>265.94</v>
      </c>
      <c r="D132" s="1">
        <f ca="1">IFERROR(__xludf.DUMMYFUNCTION("""COMPUTED_VALUE"""),252.04)</f>
        <v>252.04</v>
      </c>
      <c r="E132" s="1">
        <f ca="1">IFERROR(__xludf.DUMMYFUNCTION("""COMPUTED_VALUE"""),253.67)</f>
        <v>253.67</v>
      </c>
      <c r="F132" s="1">
        <f ca="1">IFERROR(__xludf.DUMMYFUNCTION("""COMPUTED_VALUE"""),35868450)</f>
        <v>35868450</v>
      </c>
    </row>
    <row r="133" spans="1:6" ht="12.6">
      <c r="A133" s="2">
        <f ca="1">IFERROR(__xludf.DUMMYFUNCTION("""COMPUTED_VALUE"""),44755.6666666666)</f>
        <v>44755.666666666599</v>
      </c>
      <c r="B133" s="1">
        <f ca="1">IFERROR(__xludf.DUMMYFUNCTION("""COMPUTED_VALUE"""),250.19)</f>
        <v>250.19</v>
      </c>
      <c r="C133" s="1">
        <f ca="1">IFERROR(__xludf.DUMMYFUNCTION("""COMPUTED_VALUE"""),253.55)</f>
        <v>253.55</v>
      </c>
      <c r="D133" s="1">
        <f ca="1">IFERROR(__xludf.DUMMYFUNCTION("""COMPUTED_VALUE"""),248.11)</f>
        <v>248.11</v>
      </c>
      <c r="E133" s="1">
        <f ca="1">IFERROR(__xludf.DUMMYFUNCTION("""COMPUTED_VALUE"""),252.72)</f>
        <v>252.72</v>
      </c>
      <c r="F133" s="1">
        <f ca="1">IFERROR(__xludf.DUMMYFUNCTION("""COMPUTED_VALUE"""),29497423)</f>
        <v>29497423</v>
      </c>
    </row>
    <row r="134" spans="1:6" ht="12.6">
      <c r="A134" s="2">
        <f ca="1">IFERROR(__xludf.DUMMYFUNCTION("""COMPUTED_VALUE"""),44756.6666666666)</f>
        <v>44756.666666666599</v>
      </c>
      <c r="B134" s="1">
        <f ca="1">IFERROR(__xludf.DUMMYFUNCTION("""COMPUTED_VALUE"""),250.57)</f>
        <v>250.57</v>
      </c>
      <c r="C134" s="1">
        <f ca="1">IFERROR(__xludf.DUMMYFUNCTION("""COMPUTED_VALUE"""),255.14)</f>
        <v>255.14</v>
      </c>
      <c r="D134" s="1">
        <f ca="1">IFERROR(__xludf.DUMMYFUNCTION("""COMPUTED_VALUE"""),245.94)</f>
        <v>245.94</v>
      </c>
      <c r="E134" s="1">
        <f ca="1">IFERROR(__xludf.DUMMYFUNCTION("""COMPUTED_VALUE"""),254.08)</f>
        <v>254.08</v>
      </c>
      <c r="F134" s="1">
        <f ca="1">IFERROR(__xludf.DUMMYFUNCTION("""COMPUTED_VALUE"""),25102823)</f>
        <v>25102823</v>
      </c>
    </row>
    <row r="135" spans="1:6" ht="12.6">
      <c r="A135" s="2">
        <f ca="1">IFERROR(__xludf.DUMMYFUNCTION("""COMPUTED_VALUE"""),44757.6666666666)</f>
        <v>44757.666666666599</v>
      </c>
      <c r="B135" s="1">
        <f ca="1">IFERROR(__xludf.DUMMYFUNCTION("""COMPUTED_VALUE"""),255.72)</f>
        <v>255.72</v>
      </c>
      <c r="C135" s="1">
        <f ca="1">IFERROR(__xludf.DUMMYFUNCTION("""COMPUTED_VALUE"""),260.37)</f>
        <v>260.37</v>
      </c>
      <c r="D135" s="1">
        <f ca="1">IFERROR(__xludf.DUMMYFUNCTION("""COMPUTED_VALUE"""),254.77)</f>
        <v>254.77</v>
      </c>
      <c r="E135" s="1">
        <f ca="1">IFERROR(__xludf.DUMMYFUNCTION("""COMPUTED_VALUE"""),256.72)</f>
        <v>256.72000000000003</v>
      </c>
      <c r="F135" s="1">
        <f ca="1">IFERROR(__xludf.DUMMYFUNCTION("""COMPUTED_VALUE"""),29774050)</f>
        <v>29774050</v>
      </c>
    </row>
    <row r="136" spans="1:6" ht="12.6">
      <c r="A136" s="2">
        <f ca="1">IFERROR(__xludf.DUMMYFUNCTION("""COMPUTED_VALUE"""),44760.6666666666)</f>
        <v>44760.666666666599</v>
      </c>
      <c r="B136" s="1">
        <f ca="1">IFERROR(__xludf.DUMMYFUNCTION("""COMPUTED_VALUE"""),259.75)</f>
        <v>259.75</v>
      </c>
      <c r="C136" s="1">
        <f ca="1">IFERROR(__xludf.DUMMYFUNCTION("""COMPUTED_VALUE"""),260.84)</f>
        <v>260.83999999999997</v>
      </c>
      <c r="D136" s="1">
        <f ca="1">IFERROR(__xludf.DUMMYFUNCTION("""COMPUTED_VALUE"""),253.3)</f>
        <v>253.3</v>
      </c>
      <c r="E136" s="1">
        <f ca="1">IFERROR(__xludf.DUMMYFUNCTION("""COMPUTED_VALUE"""),254.25)</f>
        <v>254.25</v>
      </c>
      <c r="F136" s="1">
        <f ca="1">IFERROR(__xludf.DUMMYFUNCTION("""COMPUTED_VALUE"""),20975034)</f>
        <v>20975034</v>
      </c>
    </row>
    <row r="137" spans="1:6" ht="12.6">
      <c r="A137" s="2">
        <f ca="1">IFERROR(__xludf.DUMMYFUNCTION("""COMPUTED_VALUE"""),44761.6666666666)</f>
        <v>44761.666666666599</v>
      </c>
      <c r="B137" s="1">
        <f ca="1">IFERROR(__xludf.DUMMYFUNCTION("""COMPUTED_VALUE"""),257.58)</f>
        <v>257.58</v>
      </c>
      <c r="C137" s="1">
        <f ca="1">IFERROR(__xludf.DUMMYFUNCTION("""COMPUTED_VALUE"""),259.72)</f>
        <v>259.72000000000003</v>
      </c>
      <c r="D137" s="1">
        <f ca="1">IFERROR(__xludf.DUMMYFUNCTION("""COMPUTED_VALUE"""),253.68)</f>
        <v>253.68</v>
      </c>
      <c r="E137" s="1">
        <f ca="1">IFERROR(__xludf.DUMMYFUNCTION("""COMPUTED_VALUE"""),259.53)</f>
        <v>259.52999999999997</v>
      </c>
      <c r="F137" s="1">
        <f ca="1">IFERROR(__xludf.DUMMYFUNCTION("""COMPUTED_VALUE"""),25012562)</f>
        <v>25012562</v>
      </c>
    </row>
    <row r="138" spans="1:6" ht="12.6">
      <c r="A138" s="2">
        <f ca="1">IFERROR(__xludf.DUMMYFUNCTION("""COMPUTED_VALUE"""),44762.6666666666)</f>
        <v>44762.666666666599</v>
      </c>
      <c r="B138" s="1">
        <f ca="1">IFERROR(__xludf.DUMMYFUNCTION("""COMPUTED_VALUE"""),259.9)</f>
        <v>259.89999999999998</v>
      </c>
      <c r="C138" s="1">
        <f ca="1">IFERROR(__xludf.DUMMYFUNCTION("""COMPUTED_VALUE"""),264.87)</f>
        <v>264.87</v>
      </c>
      <c r="D138" s="1">
        <f ca="1">IFERROR(__xludf.DUMMYFUNCTION("""COMPUTED_VALUE"""),258.91)</f>
        <v>258.91000000000003</v>
      </c>
      <c r="E138" s="1">
        <f ca="1">IFERROR(__xludf.DUMMYFUNCTION("""COMPUTED_VALUE"""),262.27)</f>
        <v>262.27</v>
      </c>
      <c r="F138" s="1">
        <f ca="1">IFERROR(__xludf.DUMMYFUNCTION("""COMPUTED_VALUE"""),22788282)</f>
        <v>22788282</v>
      </c>
    </row>
    <row r="139" spans="1:6" ht="12.6">
      <c r="A139" s="2">
        <f ca="1">IFERROR(__xludf.DUMMYFUNCTION("""COMPUTED_VALUE"""),44763.6666666666)</f>
        <v>44763.666666666599</v>
      </c>
      <c r="B139" s="1">
        <f ca="1">IFERROR(__xludf.DUMMYFUNCTION("""COMPUTED_VALUE"""),259.79)</f>
        <v>259.79000000000002</v>
      </c>
      <c r="C139" s="1">
        <f ca="1">IFERROR(__xludf.DUMMYFUNCTION("""COMPUTED_VALUE"""),264.89)</f>
        <v>264.89</v>
      </c>
      <c r="D139" s="1">
        <f ca="1">IFERROR(__xludf.DUMMYFUNCTION("""COMPUTED_VALUE"""),257.03)</f>
        <v>257.02999999999997</v>
      </c>
      <c r="E139" s="1">
        <f ca="1">IFERROR(__xludf.DUMMYFUNCTION("""COMPUTED_VALUE"""),264.84)</f>
        <v>264.83999999999997</v>
      </c>
      <c r="F139" s="1">
        <f ca="1">IFERROR(__xludf.DUMMYFUNCTION("""COMPUTED_VALUE"""),22404675)</f>
        <v>22404675</v>
      </c>
    </row>
    <row r="140" spans="1:6" ht="12.6">
      <c r="A140" s="2">
        <f ca="1">IFERROR(__xludf.DUMMYFUNCTION("""COMPUTED_VALUE"""),44764.6666666666)</f>
        <v>44764.666666666599</v>
      </c>
      <c r="B140" s="1">
        <f ca="1">IFERROR(__xludf.DUMMYFUNCTION("""COMPUTED_VALUE"""),265.24)</f>
        <v>265.24</v>
      </c>
      <c r="C140" s="1">
        <f ca="1">IFERROR(__xludf.DUMMYFUNCTION("""COMPUTED_VALUE"""),265.33)</f>
        <v>265.33</v>
      </c>
      <c r="D140" s="1">
        <f ca="1">IFERROR(__xludf.DUMMYFUNCTION("""COMPUTED_VALUE"""),259.07)</f>
        <v>259.07</v>
      </c>
      <c r="E140" s="1">
        <f ca="1">IFERROR(__xludf.DUMMYFUNCTION("""COMPUTED_VALUE"""),260.36)</f>
        <v>260.36</v>
      </c>
      <c r="F140" s="1">
        <f ca="1">IFERROR(__xludf.DUMMYFUNCTION("""COMPUTED_VALUE"""),21881290)</f>
        <v>21881290</v>
      </c>
    </row>
    <row r="141" spans="1:6" ht="12.6">
      <c r="A141" s="2">
        <f ca="1">IFERROR(__xludf.DUMMYFUNCTION("""COMPUTED_VALUE"""),44767.6666666666)</f>
        <v>44767.666666666599</v>
      </c>
      <c r="B141" s="1">
        <f ca="1">IFERROR(__xludf.DUMMYFUNCTION("""COMPUTED_VALUE"""),261)</f>
        <v>261</v>
      </c>
      <c r="C141" s="1">
        <f ca="1">IFERROR(__xludf.DUMMYFUNCTION("""COMPUTED_VALUE"""),261.5)</f>
        <v>261.5</v>
      </c>
      <c r="D141" s="1">
        <f ca="1">IFERROR(__xludf.DUMMYFUNCTION("""COMPUTED_VALUE"""),256.81)</f>
        <v>256.81</v>
      </c>
      <c r="E141" s="1">
        <f ca="1">IFERROR(__xludf.DUMMYFUNCTION("""COMPUTED_VALUE"""),258.83)</f>
        <v>258.83</v>
      </c>
      <c r="F141" s="1">
        <f ca="1">IFERROR(__xludf.DUMMYFUNCTION("""COMPUTED_VALUE"""),21055998)</f>
        <v>21055998</v>
      </c>
    </row>
    <row r="142" spans="1:6" ht="12.6">
      <c r="A142" s="2">
        <f ca="1">IFERROR(__xludf.DUMMYFUNCTION("""COMPUTED_VALUE"""),44768.6666666666)</f>
        <v>44768.666666666599</v>
      </c>
      <c r="B142" s="1">
        <f ca="1">IFERROR(__xludf.DUMMYFUNCTION("""COMPUTED_VALUE"""),259.86)</f>
        <v>259.86</v>
      </c>
      <c r="C142" s="1">
        <f ca="1">IFERROR(__xludf.DUMMYFUNCTION("""COMPUTED_VALUE"""),259.88)</f>
        <v>259.88</v>
      </c>
      <c r="D142" s="1">
        <f ca="1">IFERROR(__xludf.DUMMYFUNCTION("""COMPUTED_VALUE"""),249.57)</f>
        <v>249.57</v>
      </c>
      <c r="E142" s="1">
        <f ca="1">IFERROR(__xludf.DUMMYFUNCTION("""COMPUTED_VALUE"""),251.9)</f>
        <v>251.9</v>
      </c>
      <c r="F142" s="1">
        <f ca="1">IFERROR(__xludf.DUMMYFUNCTION("""COMPUTED_VALUE"""),39347957)</f>
        <v>39347957</v>
      </c>
    </row>
    <row r="143" spans="1:6" ht="12.6">
      <c r="A143" s="2">
        <f ca="1">IFERROR(__xludf.DUMMYFUNCTION("""COMPUTED_VALUE"""),44769.6666666666)</f>
        <v>44769.666666666599</v>
      </c>
      <c r="B143" s="1">
        <f ca="1">IFERROR(__xludf.DUMMYFUNCTION("""COMPUTED_VALUE"""),261.16)</f>
        <v>261.16000000000003</v>
      </c>
      <c r="C143" s="1">
        <f ca="1">IFERROR(__xludf.DUMMYFUNCTION("""COMPUTED_VALUE"""),270.05)</f>
        <v>270.05</v>
      </c>
      <c r="D143" s="1">
        <f ca="1">IFERROR(__xludf.DUMMYFUNCTION("""COMPUTED_VALUE"""),258.85)</f>
        <v>258.85000000000002</v>
      </c>
      <c r="E143" s="1">
        <f ca="1">IFERROR(__xludf.DUMMYFUNCTION("""COMPUTED_VALUE"""),268.74)</f>
        <v>268.74</v>
      </c>
      <c r="F143" s="1">
        <f ca="1">IFERROR(__xludf.DUMMYFUNCTION("""COMPUTED_VALUE"""),45994049)</f>
        <v>45994049</v>
      </c>
    </row>
    <row r="144" spans="1:6" ht="12.6">
      <c r="A144" s="2">
        <f ca="1">IFERROR(__xludf.DUMMYFUNCTION("""COMPUTED_VALUE"""),44770.6666666666)</f>
        <v>44770.666666666599</v>
      </c>
      <c r="B144" s="1">
        <f ca="1">IFERROR(__xludf.DUMMYFUNCTION("""COMPUTED_VALUE"""),269.75)</f>
        <v>269.75</v>
      </c>
      <c r="C144" s="1">
        <f ca="1">IFERROR(__xludf.DUMMYFUNCTION("""COMPUTED_VALUE"""),277.84)</f>
        <v>277.83999999999997</v>
      </c>
      <c r="D144" s="1">
        <f ca="1">IFERROR(__xludf.DUMMYFUNCTION("""COMPUTED_VALUE"""),267.87)</f>
        <v>267.87</v>
      </c>
      <c r="E144" s="1">
        <f ca="1">IFERROR(__xludf.DUMMYFUNCTION("""COMPUTED_VALUE"""),276.41)</f>
        <v>276.41000000000003</v>
      </c>
      <c r="F144" s="1">
        <f ca="1">IFERROR(__xludf.DUMMYFUNCTION("""COMPUTED_VALUE"""),33459327)</f>
        <v>33459327</v>
      </c>
    </row>
    <row r="145" spans="1:6" ht="12.6">
      <c r="A145" s="2">
        <f ca="1">IFERROR(__xludf.DUMMYFUNCTION("""COMPUTED_VALUE"""),44771.6666666666)</f>
        <v>44771.666666666599</v>
      </c>
      <c r="B145" s="1">
        <f ca="1">IFERROR(__xludf.DUMMYFUNCTION("""COMPUTED_VALUE"""),277.7)</f>
        <v>277.7</v>
      </c>
      <c r="C145" s="1">
        <f ca="1">IFERROR(__xludf.DUMMYFUNCTION("""COMPUTED_VALUE"""),282)</f>
        <v>282</v>
      </c>
      <c r="D145" s="1">
        <f ca="1">IFERROR(__xludf.DUMMYFUNCTION("""COMPUTED_VALUE"""),276.63)</f>
        <v>276.63</v>
      </c>
      <c r="E145" s="1">
        <f ca="1">IFERROR(__xludf.DUMMYFUNCTION("""COMPUTED_VALUE"""),280.74)</f>
        <v>280.74</v>
      </c>
      <c r="F145" s="1">
        <f ca="1">IFERROR(__xludf.DUMMYFUNCTION("""COMPUTED_VALUE"""),32152752)</f>
        <v>32152752</v>
      </c>
    </row>
    <row r="146" spans="1:6" ht="12.6">
      <c r="A146" s="2">
        <f ca="1">IFERROR(__xludf.DUMMYFUNCTION("""COMPUTED_VALUE"""),44774.6666666666)</f>
        <v>44774.666666666599</v>
      </c>
      <c r="B146" s="1">
        <f ca="1">IFERROR(__xludf.DUMMYFUNCTION("""COMPUTED_VALUE"""),277.82)</f>
        <v>277.82</v>
      </c>
      <c r="C146" s="1">
        <f ca="1">IFERROR(__xludf.DUMMYFUNCTION("""COMPUTED_VALUE"""),281.28)</f>
        <v>281.27999999999997</v>
      </c>
      <c r="D146" s="1">
        <f ca="1">IFERROR(__xludf.DUMMYFUNCTION("""COMPUTED_VALUE"""),275.84)</f>
        <v>275.83999999999997</v>
      </c>
      <c r="E146" s="1">
        <f ca="1">IFERROR(__xludf.DUMMYFUNCTION("""COMPUTED_VALUE"""),278.01)</f>
        <v>278.01</v>
      </c>
      <c r="F146" s="1">
        <f ca="1">IFERROR(__xludf.DUMMYFUNCTION("""COMPUTED_VALUE"""),21539580)</f>
        <v>21539580</v>
      </c>
    </row>
    <row r="147" spans="1:6" ht="12.6">
      <c r="A147" s="2">
        <f ca="1">IFERROR(__xludf.DUMMYFUNCTION("""COMPUTED_VALUE"""),44775.6666666666)</f>
        <v>44775.666666666599</v>
      </c>
      <c r="B147" s="1">
        <f ca="1">IFERROR(__xludf.DUMMYFUNCTION("""COMPUTED_VALUE"""),276)</f>
        <v>276</v>
      </c>
      <c r="C147" s="1">
        <f ca="1">IFERROR(__xludf.DUMMYFUNCTION("""COMPUTED_VALUE"""),277.89)</f>
        <v>277.89</v>
      </c>
      <c r="D147" s="1">
        <f ca="1">IFERROR(__xludf.DUMMYFUNCTION("""COMPUTED_VALUE"""),272.38)</f>
        <v>272.38</v>
      </c>
      <c r="E147" s="1">
        <f ca="1">IFERROR(__xludf.DUMMYFUNCTION("""COMPUTED_VALUE"""),274.82)</f>
        <v>274.82</v>
      </c>
      <c r="F147" s="1">
        <f ca="1">IFERROR(__xludf.DUMMYFUNCTION("""COMPUTED_VALUE"""),22754184)</f>
        <v>22754184</v>
      </c>
    </row>
    <row r="148" spans="1:6" ht="12.6">
      <c r="A148" s="2">
        <f ca="1">IFERROR(__xludf.DUMMYFUNCTION("""COMPUTED_VALUE"""),44776.6666666666)</f>
        <v>44776.666666666599</v>
      </c>
      <c r="B148" s="1">
        <f ca="1">IFERROR(__xludf.DUMMYFUNCTION("""COMPUTED_VALUE"""),276.76)</f>
        <v>276.76</v>
      </c>
      <c r="C148" s="1">
        <f ca="1">IFERROR(__xludf.DUMMYFUNCTION("""COMPUTED_VALUE"""),283.5)</f>
        <v>283.5</v>
      </c>
      <c r="D148" s="1">
        <f ca="1">IFERROR(__xludf.DUMMYFUNCTION("""COMPUTED_VALUE"""),276.61)</f>
        <v>276.61</v>
      </c>
      <c r="E148" s="1">
        <f ca="1">IFERROR(__xludf.DUMMYFUNCTION("""COMPUTED_VALUE"""),282.47)</f>
        <v>282.47000000000003</v>
      </c>
      <c r="F148" s="1">
        <f ca="1">IFERROR(__xludf.DUMMYFUNCTION("""COMPUTED_VALUE"""),23518874)</f>
        <v>23518874</v>
      </c>
    </row>
    <row r="149" spans="1:6" ht="12.6">
      <c r="A149" s="2">
        <f ca="1">IFERROR(__xludf.DUMMYFUNCTION("""COMPUTED_VALUE"""),44777.6666666666)</f>
        <v>44777.666666666599</v>
      </c>
      <c r="B149" s="1">
        <f ca="1">IFERROR(__xludf.DUMMYFUNCTION("""COMPUTED_VALUE"""),281.8)</f>
        <v>281.8</v>
      </c>
      <c r="C149" s="1">
        <f ca="1">IFERROR(__xludf.DUMMYFUNCTION("""COMPUTED_VALUE"""),283.8)</f>
        <v>283.8</v>
      </c>
      <c r="D149" s="1">
        <f ca="1">IFERROR(__xludf.DUMMYFUNCTION("""COMPUTED_VALUE"""),280.17)</f>
        <v>280.17</v>
      </c>
      <c r="E149" s="1">
        <f ca="1">IFERROR(__xludf.DUMMYFUNCTION("""COMPUTED_VALUE"""),283.65)</f>
        <v>283.64999999999998</v>
      </c>
      <c r="F149" s="1">
        <f ca="1">IFERROR(__xludf.DUMMYFUNCTION("""COMPUTED_VALUE"""),18098668)</f>
        <v>18098668</v>
      </c>
    </row>
    <row r="150" spans="1:6" ht="12.6">
      <c r="A150" s="2">
        <f ca="1">IFERROR(__xludf.DUMMYFUNCTION("""COMPUTED_VALUE"""),44778.6666666666)</f>
        <v>44778.666666666599</v>
      </c>
      <c r="B150" s="1">
        <f ca="1">IFERROR(__xludf.DUMMYFUNCTION("""COMPUTED_VALUE"""),279.15)</f>
        <v>279.14999999999998</v>
      </c>
      <c r="C150" s="1">
        <f ca="1">IFERROR(__xludf.DUMMYFUNCTION("""COMPUTED_VALUE"""),283.65)</f>
        <v>283.64999999999998</v>
      </c>
      <c r="D150" s="1">
        <f ca="1">IFERROR(__xludf.DUMMYFUNCTION("""COMPUTED_VALUE"""),278.68)</f>
        <v>278.68</v>
      </c>
      <c r="E150" s="1">
        <f ca="1">IFERROR(__xludf.DUMMYFUNCTION("""COMPUTED_VALUE"""),282.91)</f>
        <v>282.91000000000003</v>
      </c>
      <c r="F150" s="1">
        <f ca="1">IFERROR(__xludf.DUMMYFUNCTION("""COMPUTED_VALUE"""),16774606)</f>
        <v>16774606</v>
      </c>
    </row>
    <row r="151" spans="1:6" ht="12.6">
      <c r="A151" s="2">
        <f ca="1">IFERROR(__xludf.DUMMYFUNCTION("""COMPUTED_VALUE"""),44781.6666666666)</f>
        <v>44781.666666666599</v>
      </c>
      <c r="B151" s="1">
        <f ca="1">IFERROR(__xludf.DUMMYFUNCTION("""COMPUTED_VALUE"""),284.05)</f>
        <v>284.05</v>
      </c>
      <c r="C151" s="1">
        <f ca="1">IFERROR(__xludf.DUMMYFUNCTION("""COMPUTED_VALUE"""),285.92)</f>
        <v>285.92</v>
      </c>
      <c r="D151" s="1">
        <f ca="1">IFERROR(__xludf.DUMMYFUNCTION("""COMPUTED_VALUE"""),279.32)</f>
        <v>279.32</v>
      </c>
      <c r="E151" s="1">
        <f ca="1">IFERROR(__xludf.DUMMYFUNCTION("""COMPUTED_VALUE"""),280.32)</f>
        <v>280.32</v>
      </c>
      <c r="F151" s="1">
        <f ca="1">IFERROR(__xludf.DUMMYFUNCTION("""COMPUTED_VALUE"""),18757818)</f>
        <v>18757818</v>
      </c>
    </row>
    <row r="152" spans="1:6" ht="12.6">
      <c r="A152" s="2">
        <f ca="1">IFERROR(__xludf.DUMMYFUNCTION("""COMPUTED_VALUE"""),44782.6666666666)</f>
        <v>44782.666666666599</v>
      </c>
      <c r="B152" s="1">
        <f ca="1">IFERROR(__xludf.DUMMYFUNCTION("""COMPUTED_VALUE"""),279.64)</f>
        <v>279.64</v>
      </c>
      <c r="C152" s="1">
        <f ca="1">IFERROR(__xludf.DUMMYFUNCTION("""COMPUTED_VALUE"""),283.08)</f>
        <v>283.08</v>
      </c>
      <c r="D152" s="1">
        <f ca="1">IFERROR(__xludf.DUMMYFUNCTION("""COMPUTED_VALUE"""),277.61)</f>
        <v>277.61</v>
      </c>
      <c r="E152" s="1">
        <f ca="1">IFERROR(__xludf.DUMMYFUNCTION("""COMPUTED_VALUE"""),282.3)</f>
        <v>282.3</v>
      </c>
      <c r="F152" s="1">
        <f ca="1">IFERROR(__xludf.DUMMYFUNCTION("""COMPUTED_VALUE"""),23405238)</f>
        <v>23405238</v>
      </c>
    </row>
    <row r="153" spans="1:6" ht="12.6">
      <c r="A153" s="2">
        <f ca="1">IFERROR(__xludf.DUMMYFUNCTION("""COMPUTED_VALUE"""),44783.6666666666)</f>
        <v>44783.666666666599</v>
      </c>
      <c r="B153" s="1">
        <f ca="1">IFERROR(__xludf.DUMMYFUNCTION("""COMPUTED_VALUE"""),288.17)</f>
        <v>288.17</v>
      </c>
      <c r="C153" s="1">
        <f ca="1">IFERROR(__xludf.DUMMYFUNCTION("""COMPUTED_VALUE"""),289.81)</f>
        <v>289.81</v>
      </c>
      <c r="D153" s="1">
        <f ca="1">IFERROR(__xludf.DUMMYFUNCTION("""COMPUTED_VALUE"""),286.94)</f>
        <v>286.94</v>
      </c>
      <c r="E153" s="1">
        <f ca="1">IFERROR(__xludf.DUMMYFUNCTION("""COMPUTED_VALUE"""),289.16)</f>
        <v>289.16000000000003</v>
      </c>
      <c r="F153" s="1">
        <f ca="1">IFERROR(__xludf.DUMMYFUNCTION("""COMPUTED_VALUE"""),24687845)</f>
        <v>24687845</v>
      </c>
    </row>
    <row r="154" spans="1:6" ht="12.6">
      <c r="A154" s="2">
        <f ca="1">IFERROR(__xludf.DUMMYFUNCTION("""COMPUTED_VALUE"""),44784.6666666666)</f>
        <v>44784.666666666599</v>
      </c>
      <c r="B154" s="1">
        <f ca="1">IFERROR(__xludf.DUMMYFUNCTION("""COMPUTED_VALUE"""),290.85)</f>
        <v>290.85000000000002</v>
      </c>
      <c r="C154" s="1">
        <f ca="1">IFERROR(__xludf.DUMMYFUNCTION("""COMPUTED_VALUE"""),291.21)</f>
        <v>291.20999999999998</v>
      </c>
      <c r="D154" s="1">
        <f ca="1">IFERROR(__xludf.DUMMYFUNCTION("""COMPUTED_VALUE"""),286.51)</f>
        <v>286.51</v>
      </c>
      <c r="E154" s="1">
        <f ca="1">IFERROR(__xludf.DUMMYFUNCTION("""COMPUTED_VALUE"""),287.02)</f>
        <v>287.02</v>
      </c>
      <c r="F154" s="1">
        <f ca="1">IFERROR(__xludf.DUMMYFUNCTION("""COMPUTED_VALUE"""),20065938)</f>
        <v>20065938</v>
      </c>
    </row>
    <row r="155" spans="1:6" ht="12.6">
      <c r="A155" s="2">
        <f ca="1">IFERROR(__xludf.DUMMYFUNCTION("""COMPUTED_VALUE"""),44785.6666666666)</f>
        <v>44785.666666666599</v>
      </c>
      <c r="B155" s="1">
        <f ca="1">IFERROR(__xludf.DUMMYFUNCTION("""COMPUTED_VALUE"""),288.48)</f>
        <v>288.48</v>
      </c>
      <c r="C155" s="1">
        <f ca="1">IFERROR(__xludf.DUMMYFUNCTION("""COMPUTED_VALUE"""),291.91)</f>
        <v>291.91000000000003</v>
      </c>
      <c r="D155" s="1">
        <f ca="1">IFERROR(__xludf.DUMMYFUNCTION("""COMPUTED_VALUE"""),286.94)</f>
        <v>286.94</v>
      </c>
      <c r="E155" s="1">
        <f ca="1">IFERROR(__xludf.DUMMYFUNCTION("""COMPUTED_VALUE"""),291.91)</f>
        <v>291.91000000000003</v>
      </c>
      <c r="F155" s="1">
        <f ca="1">IFERROR(__xludf.DUMMYFUNCTION("""COMPUTED_VALUE"""),22619675)</f>
        <v>22619675</v>
      </c>
    </row>
    <row r="156" spans="1:6" ht="12.6">
      <c r="A156" s="2">
        <f ca="1">IFERROR(__xludf.DUMMYFUNCTION("""COMPUTED_VALUE"""),44788.6666666666)</f>
        <v>44788.666666666599</v>
      </c>
      <c r="B156" s="1">
        <f ca="1">IFERROR(__xludf.DUMMYFUNCTION("""COMPUTED_VALUE"""),291)</f>
        <v>291</v>
      </c>
      <c r="C156" s="1">
        <f ca="1">IFERROR(__xludf.DUMMYFUNCTION("""COMPUTED_VALUE"""),294.18)</f>
        <v>294.18</v>
      </c>
      <c r="D156" s="1">
        <f ca="1">IFERROR(__xludf.DUMMYFUNCTION("""COMPUTED_VALUE"""),290.11)</f>
        <v>290.11</v>
      </c>
      <c r="E156" s="1">
        <f ca="1">IFERROR(__xludf.DUMMYFUNCTION("""COMPUTED_VALUE"""),293.47)</f>
        <v>293.47000000000003</v>
      </c>
      <c r="F156" s="1">
        <f ca="1">IFERROR(__xludf.DUMMYFUNCTION("""COMPUTED_VALUE"""),18085654)</f>
        <v>18085654</v>
      </c>
    </row>
    <row r="157" spans="1:6" ht="12.6">
      <c r="A157" s="2">
        <f ca="1">IFERROR(__xludf.DUMMYFUNCTION("""COMPUTED_VALUE"""),44789.6666666666)</f>
        <v>44789.666666666599</v>
      </c>
      <c r="B157" s="1">
        <f ca="1">IFERROR(__xludf.DUMMYFUNCTION("""COMPUTED_VALUE"""),291.99)</f>
        <v>291.99</v>
      </c>
      <c r="C157" s="1">
        <f ca="1">IFERROR(__xludf.DUMMYFUNCTION("""COMPUTED_VALUE"""),294.04)</f>
        <v>294.04000000000002</v>
      </c>
      <c r="D157" s="1">
        <f ca="1">IFERROR(__xludf.DUMMYFUNCTION("""COMPUTED_VALUE"""),290.42)</f>
        <v>290.42</v>
      </c>
      <c r="E157" s="1">
        <f ca="1">IFERROR(__xludf.DUMMYFUNCTION("""COMPUTED_VALUE"""),292.71)</f>
        <v>292.70999999999998</v>
      </c>
      <c r="F157" s="1">
        <f ca="1">IFERROR(__xludf.DUMMYFUNCTION("""COMPUTED_VALUE"""),18102882)</f>
        <v>18102882</v>
      </c>
    </row>
    <row r="158" spans="1:6" ht="12.6">
      <c r="A158" s="2">
        <f ca="1">IFERROR(__xludf.DUMMYFUNCTION("""COMPUTED_VALUE"""),44790.6666666666)</f>
        <v>44790.666666666599</v>
      </c>
      <c r="B158" s="1">
        <f ca="1">IFERROR(__xludf.DUMMYFUNCTION("""COMPUTED_VALUE"""),289.74)</f>
        <v>289.74</v>
      </c>
      <c r="C158" s="1">
        <f ca="1">IFERROR(__xludf.DUMMYFUNCTION("""COMPUTED_VALUE"""),293.35)</f>
        <v>293.35000000000002</v>
      </c>
      <c r="D158" s="1">
        <f ca="1">IFERROR(__xludf.DUMMYFUNCTION("""COMPUTED_VALUE"""),289.47)</f>
        <v>289.47000000000003</v>
      </c>
      <c r="E158" s="1">
        <f ca="1">IFERROR(__xludf.DUMMYFUNCTION("""COMPUTED_VALUE"""),291.32)</f>
        <v>291.32</v>
      </c>
      <c r="F158" s="1">
        <f ca="1">IFERROR(__xludf.DUMMYFUNCTION("""COMPUTED_VALUE"""),18253358)</f>
        <v>18253358</v>
      </c>
    </row>
    <row r="159" spans="1:6" ht="12.6">
      <c r="A159" s="2">
        <f ca="1">IFERROR(__xludf.DUMMYFUNCTION("""COMPUTED_VALUE"""),44791.6666666666)</f>
        <v>44791.666666666599</v>
      </c>
      <c r="B159" s="1">
        <f ca="1">IFERROR(__xludf.DUMMYFUNCTION("""COMPUTED_VALUE"""),290.19)</f>
        <v>290.19</v>
      </c>
      <c r="C159" s="1">
        <f ca="1">IFERROR(__xludf.DUMMYFUNCTION("""COMPUTED_VALUE"""),291.91)</f>
        <v>291.91000000000003</v>
      </c>
      <c r="D159" s="1">
        <f ca="1">IFERROR(__xludf.DUMMYFUNCTION("""COMPUTED_VALUE"""),289.08)</f>
        <v>289.08</v>
      </c>
      <c r="E159" s="1">
        <f ca="1">IFERROR(__xludf.DUMMYFUNCTION("""COMPUTED_VALUE"""),290.17)</f>
        <v>290.17</v>
      </c>
      <c r="F159" s="1">
        <f ca="1">IFERROR(__xludf.DUMMYFUNCTION("""COMPUTED_VALUE"""),17186192)</f>
        <v>17186192</v>
      </c>
    </row>
    <row r="160" spans="1:6" ht="12.6">
      <c r="A160" s="2">
        <f ca="1">IFERROR(__xludf.DUMMYFUNCTION("""COMPUTED_VALUE"""),44792.6666666666)</f>
        <v>44792.666666666599</v>
      </c>
      <c r="B160" s="1">
        <f ca="1">IFERROR(__xludf.DUMMYFUNCTION("""COMPUTED_VALUE"""),288.9)</f>
        <v>288.89999999999998</v>
      </c>
      <c r="C160" s="1">
        <f ca="1">IFERROR(__xludf.DUMMYFUNCTION("""COMPUTED_VALUE"""),289.25)</f>
        <v>289.25</v>
      </c>
      <c r="D160" s="1">
        <f ca="1">IFERROR(__xludf.DUMMYFUNCTION("""COMPUTED_VALUE"""),285.56)</f>
        <v>285.56</v>
      </c>
      <c r="E160" s="1">
        <f ca="1">IFERROR(__xludf.DUMMYFUNCTION("""COMPUTED_VALUE"""),286.15)</f>
        <v>286.14999999999998</v>
      </c>
      <c r="F160" s="1">
        <f ca="1">IFERROR(__xludf.DUMMYFUNCTION("""COMPUTED_VALUE"""),20570033)</f>
        <v>20570033</v>
      </c>
    </row>
    <row r="161" spans="1:6" ht="12.6">
      <c r="A161" s="2">
        <f ca="1">IFERROR(__xludf.DUMMYFUNCTION("""COMPUTED_VALUE"""),44795.6666666666)</f>
        <v>44795.666666666599</v>
      </c>
      <c r="B161" s="1">
        <f ca="1">IFERROR(__xludf.DUMMYFUNCTION("""COMPUTED_VALUE"""),282.08)</f>
        <v>282.08</v>
      </c>
      <c r="C161" s="1">
        <f ca="1">IFERROR(__xludf.DUMMYFUNCTION("""COMPUTED_VALUE"""),282.46)</f>
        <v>282.45999999999998</v>
      </c>
      <c r="D161" s="1">
        <f ca="1">IFERROR(__xludf.DUMMYFUNCTION("""COMPUTED_VALUE"""),277.22)</f>
        <v>277.22000000000003</v>
      </c>
      <c r="E161" s="1">
        <f ca="1">IFERROR(__xludf.DUMMYFUNCTION("""COMPUTED_VALUE"""),277.75)</f>
        <v>277.75</v>
      </c>
      <c r="F161" s="1">
        <f ca="1">IFERROR(__xludf.DUMMYFUNCTION("""COMPUTED_VALUE"""),25061070)</f>
        <v>25061070</v>
      </c>
    </row>
    <row r="162" spans="1:6" ht="12.6">
      <c r="A162" s="2">
        <f ca="1">IFERROR(__xludf.DUMMYFUNCTION("""COMPUTED_VALUE"""),44796.6666666666)</f>
        <v>44796.666666666599</v>
      </c>
      <c r="B162" s="1">
        <f ca="1">IFERROR(__xludf.DUMMYFUNCTION("""COMPUTED_VALUE"""),276.44)</f>
        <v>276.44</v>
      </c>
      <c r="C162" s="1">
        <f ca="1">IFERROR(__xludf.DUMMYFUNCTION("""COMPUTED_VALUE"""),278.86)</f>
        <v>278.86</v>
      </c>
      <c r="D162" s="1">
        <f ca="1">IFERROR(__xludf.DUMMYFUNCTION("""COMPUTED_VALUE"""),275.4)</f>
        <v>275.39999999999998</v>
      </c>
      <c r="E162" s="1">
        <f ca="1">IFERROR(__xludf.DUMMYFUNCTION("""COMPUTED_VALUE"""),276.44)</f>
        <v>276.44</v>
      </c>
      <c r="F162" s="1">
        <f ca="1">IFERROR(__xludf.DUMMYFUNCTION("""COMPUTED_VALUE"""),17527409)</f>
        <v>17527409</v>
      </c>
    </row>
    <row r="163" spans="1:6" ht="12.6">
      <c r="A163" s="2">
        <f ca="1">IFERROR(__xludf.DUMMYFUNCTION("""COMPUTED_VALUE"""),44797.6666666666)</f>
        <v>44797.666666666599</v>
      </c>
      <c r="B163" s="1">
        <f ca="1">IFERROR(__xludf.DUMMYFUNCTION("""COMPUTED_VALUE"""),275.41)</f>
        <v>275.41000000000003</v>
      </c>
      <c r="C163" s="1">
        <f ca="1">IFERROR(__xludf.DUMMYFUNCTION("""COMPUTED_VALUE"""),277.23)</f>
        <v>277.23</v>
      </c>
      <c r="D163" s="1">
        <f ca="1">IFERROR(__xludf.DUMMYFUNCTION("""COMPUTED_VALUE"""),275.11)</f>
        <v>275.11</v>
      </c>
      <c r="E163" s="1">
        <f ca="1">IFERROR(__xludf.DUMMYFUNCTION("""COMPUTED_VALUE"""),275.79)</f>
        <v>275.79000000000002</v>
      </c>
      <c r="F163" s="1">
        <f ca="1">IFERROR(__xludf.DUMMYFUNCTION("""COMPUTED_VALUE"""),18137019)</f>
        <v>18137019</v>
      </c>
    </row>
    <row r="164" spans="1:6" ht="12.6">
      <c r="A164" s="2">
        <f ca="1">IFERROR(__xludf.DUMMYFUNCTION("""COMPUTED_VALUE"""),44798.6666666666)</f>
        <v>44798.666666666599</v>
      </c>
      <c r="B164" s="1">
        <f ca="1">IFERROR(__xludf.DUMMYFUNCTION("""COMPUTED_VALUE"""),277.33)</f>
        <v>277.33</v>
      </c>
      <c r="C164" s="1">
        <f ca="1">IFERROR(__xludf.DUMMYFUNCTION("""COMPUTED_VALUE"""),279.02)</f>
        <v>279.02</v>
      </c>
      <c r="D164" s="1">
        <f ca="1">IFERROR(__xludf.DUMMYFUNCTION("""COMPUTED_VALUE"""),274.52)</f>
        <v>274.52</v>
      </c>
      <c r="E164" s="1">
        <f ca="1">IFERROR(__xludf.DUMMYFUNCTION("""COMPUTED_VALUE"""),278.85)</f>
        <v>278.85000000000002</v>
      </c>
      <c r="F164" s="1">
        <f ca="1">IFERROR(__xludf.DUMMYFUNCTION("""COMPUTED_VALUE"""),16583407)</f>
        <v>16583407</v>
      </c>
    </row>
    <row r="165" spans="1:6" ht="12.6">
      <c r="A165" s="2">
        <f ca="1">IFERROR(__xludf.DUMMYFUNCTION("""COMPUTED_VALUE"""),44799.6666666666)</f>
        <v>44799.666666666599</v>
      </c>
      <c r="B165" s="1">
        <f ca="1">IFERROR(__xludf.DUMMYFUNCTION("""COMPUTED_VALUE"""),279.08)</f>
        <v>279.08</v>
      </c>
      <c r="C165" s="1">
        <f ca="1">IFERROR(__xludf.DUMMYFUNCTION("""COMPUTED_VALUE"""),280.34)</f>
        <v>280.33999999999997</v>
      </c>
      <c r="D165" s="1">
        <f ca="1">IFERROR(__xludf.DUMMYFUNCTION("""COMPUTED_VALUE"""),267.98)</f>
        <v>267.98</v>
      </c>
      <c r="E165" s="1">
        <f ca="1">IFERROR(__xludf.DUMMYFUNCTION("""COMPUTED_VALUE"""),268.09)</f>
        <v>268.08999999999997</v>
      </c>
      <c r="F165" s="1">
        <f ca="1">IFERROR(__xludf.DUMMYFUNCTION("""COMPUTED_VALUE"""),27549307)</f>
        <v>27549307</v>
      </c>
    </row>
    <row r="166" spans="1:6" ht="12.6">
      <c r="A166" s="2">
        <f ca="1">IFERROR(__xludf.DUMMYFUNCTION("""COMPUTED_VALUE"""),44802.6666666666)</f>
        <v>44802.666666666599</v>
      </c>
      <c r="B166" s="1">
        <f ca="1">IFERROR(__xludf.DUMMYFUNCTION("""COMPUTED_VALUE"""),265.85)</f>
        <v>265.85000000000002</v>
      </c>
      <c r="C166" s="1">
        <f ca="1">IFERROR(__xludf.DUMMYFUNCTION("""COMPUTED_VALUE"""),267.4)</f>
        <v>267.39999999999998</v>
      </c>
      <c r="D166" s="1">
        <f ca="1">IFERROR(__xludf.DUMMYFUNCTION("""COMPUTED_VALUE"""),263.85)</f>
        <v>263.85000000000002</v>
      </c>
      <c r="E166" s="1">
        <f ca="1">IFERROR(__xludf.DUMMYFUNCTION("""COMPUTED_VALUE"""),265.23)</f>
        <v>265.23</v>
      </c>
      <c r="F166" s="1">
        <f ca="1">IFERROR(__xludf.DUMMYFUNCTION("""COMPUTED_VALUE"""),20338544)</f>
        <v>20338544</v>
      </c>
    </row>
    <row r="167" spans="1:6" ht="12.6">
      <c r="A167" s="2">
        <f ca="1">IFERROR(__xludf.DUMMYFUNCTION("""COMPUTED_VALUE"""),44803.6666666666)</f>
        <v>44803.666666666599</v>
      </c>
      <c r="B167" s="1">
        <f ca="1">IFERROR(__xludf.DUMMYFUNCTION("""COMPUTED_VALUE"""),266.67)</f>
        <v>266.67</v>
      </c>
      <c r="C167" s="1">
        <f ca="1">IFERROR(__xludf.DUMMYFUNCTION("""COMPUTED_VALUE"""),267.05)</f>
        <v>267.05</v>
      </c>
      <c r="D167" s="1">
        <f ca="1">IFERROR(__xludf.DUMMYFUNCTION("""COMPUTED_VALUE"""),260.66)</f>
        <v>260.66000000000003</v>
      </c>
      <c r="E167" s="1">
        <f ca="1">IFERROR(__xludf.DUMMYFUNCTION("""COMPUTED_VALUE"""),262.97)</f>
        <v>262.97000000000003</v>
      </c>
      <c r="F167" s="1">
        <f ca="1">IFERROR(__xludf.DUMMYFUNCTION("""COMPUTED_VALUE"""),22767071)</f>
        <v>22767071</v>
      </c>
    </row>
    <row r="168" spans="1:6" ht="12.6">
      <c r="A168" s="2">
        <f ca="1">IFERROR(__xludf.DUMMYFUNCTION("""COMPUTED_VALUE"""),44804.6666666666)</f>
        <v>44804.666666666599</v>
      </c>
      <c r="B168" s="1">
        <f ca="1">IFERROR(__xludf.DUMMYFUNCTION("""COMPUTED_VALUE"""),265.39)</f>
        <v>265.39</v>
      </c>
      <c r="C168" s="1">
        <f ca="1">IFERROR(__xludf.DUMMYFUNCTION("""COMPUTED_VALUE"""),267.11)</f>
        <v>267.11</v>
      </c>
      <c r="D168" s="1">
        <f ca="1">IFERROR(__xludf.DUMMYFUNCTION("""COMPUTED_VALUE"""),261.33)</f>
        <v>261.33</v>
      </c>
      <c r="E168" s="1">
        <f ca="1">IFERROR(__xludf.DUMMYFUNCTION("""COMPUTED_VALUE"""),261.47)</f>
        <v>261.47000000000003</v>
      </c>
      <c r="F168" s="1">
        <f ca="1">IFERROR(__xludf.DUMMYFUNCTION("""COMPUTED_VALUE"""),24791834)</f>
        <v>24791834</v>
      </c>
    </row>
    <row r="169" spans="1:6" ht="12.6">
      <c r="A169" s="2">
        <f ca="1">IFERROR(__xludf.DUMMYFUNCTION("""COMPUTED_VALUE"""),44805.6666666666)</f>
        <v>44805.666666666599</v>
      </c>
      <c r="B169" s="1">
        <f ca="1">IFERROR(__xludf.DUMMYFUNCTION("""COMPUTED_VALUE"""),258.87)</f>
        <v>258.87</v>
      </c>
      <c r="C169" s="1">
        <f ca="1">IFERROR(__xludf.DUMMYFUNCTION("""COMPUTED_VALUE"""),260.89)</f>
        <v>260.89</v>
      </c>
      <c r="D169" s="1">
        <f ca="1">IFERROR(__xludf.DUMMYFUNCTION("""COMPUTED_VALUE"""),255.41)</f>
        <v>255.41</v>
      </c>
      <c r="E169" s="1">
        <f ca="1">IFERROR(__xludf.DUMMYFUNCTION("""COMPUTED_VALUE"""),260.4)</f>
        <v>260.39999999999998</v>
      </c>
      <c r="F169" s="1">
        <f ca="1">IFERROR(__xludf.DUMMYFUNCTION("""COMPUTED_VALUE"""),23263431)</f>
        <v>23263431</v>
      </c>
    </row>
    <row r="170" spans="1:6" ht="12.6">
      <c r="A170" s="2">
        <f ca="1">IFERROR(__xludf.DUMMYFUNCTION("""COMPUTED_VALUE"""),44806.6666666666)</f>
        <v>44806.666666666599</v>
      </c>
      <c r="B170" s="1">
        <f ca="1">IFERROR(__xludf.DUMMYFUNCTION("""COMPUTED_VALUE"""),261.7)</f>
        <v>261.7</v>
      </c>
      <c r="C170" s="1">
        <f ca="1">IFERROR(__xludf.DUMMYFUNCTION("""COMPUTED_VALUE"""),264.74)</f>
        <v>264.74</v>
      </c>
      <c r="D170" s="1">
        <f ca="1">IFERROR(__xludf.DUMMYFUNCTION("""COMPUTED_VALUE"""),254.47)</f>
        <v>254.47</v>
      </c>
      <c r="E170" s="1">
        <f ca="1">IFERROR(__xludf.DUMMYFUNCTION("""COMPUTED_VALUE"""),256.06)</f>
        <v>256.06</v>
      </c>
      <c r="F170" s="1">
        <f ca="1">IFERROR(__xludf.DUMMYFUNCTION("""COMPUTED_VALUE"""),22855380)</f>
        <v>22855380</v>
      </c>
    </row>
    <row r="171" spans="1:6" ht="12.6">
      <c r="A171" s="2">
        <f ca="1">IFERROR(__xludf.DUMMYFUNCTION("""COMPUTED_VALUE"""),44810.6666666666)</f>
        <v>44810.666666666599</v>
      </c>
      <c r="B171" s="1">
        <f ca="1">IFERROR(__xludf.DUMMYFUNCTION("""COMPUTED_VALUE"""),256.2)</f>
        <v>256.2</v>
      </c>
      <c r="C171" s="1">
        <f ca="1">IFERROR(__xludf.DUMMYFUNCTION("""COMPUTED_VALUE"""),257.83)</f>
        <v>257.83</v>
      </c>
      <c r="D171" s="1">
        <f ca="1">IFERROR(__xludf.DUMMYFUNCTION("""COMPUTED_VALUE"""),251.94)</f>
        <v>251.94</v>
      </c>
      <c r="E171" s="1">
        <f ca="1">IFERROR(__xludf.DUMMYFUNCTION("""COMPUTED_VALUE"""),253.25)</f>
        <v>253.25</v>
      </c>
      <c r="F171" s="1">
        <f ca="1">IFERROR(__xludf.DUMMYFUNCTION("""COMPUTED_VALUE"""),21328242)</f>
        <v>21328242</v>
      </c>
    </row>
    <row r="172" spans="1:6" ht="12.6">
      <c r="A172" s="2">
        <f ca="1">IFERROR(__xludf.DUMMYFUNCTION("""COMPUTED_VALUE"""),44811.6666666666)</f>
        <v>44811.666666666599</v>
      </c>
      <c r="B172" s="1">
        <f ca="1">IFERROR(__xludf.DUMMYFUNCTION("""COMPUTED_VALUE"""),254.7)</f>
        <v>254.7</v>
      </c>
      <c r="C172" s="1">
        <f ca="1">IFERROR(__xludf.DUMMYFUNCTION("""COMPUTED_VALUE"""),258.83)</f>
        <v>258.83</v>
      </c>
      <c r="D172" s="1">
        <f ca="1">IFERROR(__xludf.DUMMYFUNCTION("""COMPUTED_VALUE"""),253.22)</f>
        <v>253.22</v>
      </c>
      <c r="E172" s="1">
        <f ca="1">IFERROR(__xludf.DUMMYFUNCTION("""COMPUTED_VALUE"""),258.09)</f>
        <v>258.08999999999997</v>
      </c>
      <c r="F172" s="1">
        <f ca="1">IFERROR(__xludf.DUMMYFUNCTION("""COMPUTED_VALUE"""),24126700)</f>
        <v>24126700</v>
      </c>
    </row>
    <row r="173" spans="1:6" ht="12.6">
      <c r="A173" s="2">
        <f ca="1">IFERROR(__xludf.DUMMYFUNCTION("""COMPUTED_VALUE"""),44812.6666666666)</f>
        <v>44812.666666666599</v>
      </c>
      <c r="B173" s="1">
        <f ca="1">IFERROR(__xludf.DUMMYFUNCTION("""COMPUTED_VALUE"""),257.51)</f>
        <v>257.51</v>
      </c>
      <c r="C173" s="1">
        <f ca="1">IFERROR(__xludf.DUMMYFUNCTION("""COMPUTED_VALUE"""),260.43)</f>
        <v>260.43</v>
      </c>
      <c r="D173" s="1">
        <f ca="1">IFERROR(__xludf.DUMMYFUNCTION("""COMPUTED_VALUE"""),254.79)</f>
        <v>254.79</v>
      </c>
      <c r="E173" s="1">
        <f ca="1">IFERROR(__xludf.DUMMYFUNCTION("""COMPUTED_VALUE"""),258.52)</f>
        <v>258.52</v>
      </c>
      <c r="F173" s="1">
        <f ca="1">IFERROR(__xludf.DUMMYFUNCTION("""COMPUTED_VALUE"""),20319911)</f>
        <v>20319911</v>
      </c>
    </row>
    <row r="174" spans="1:6" ht="12.6">
      <c r="A174" s="2">
        <f ca="1">IFERROR(__xludf.DUMMYFUNCTION("""COMPUTED_VALUE"""),44813.6666666666)</f>
        <v>44813.666666666599</v>
      </c>
      <c r="B174" s="1">
        <f ca="1">IFERROR(__xludf.DUMMYFUNCTION("""COMPUTED_VALUE"""),260.5)</f>
        <v>260.5</v>
      </c>
      <c r="C174" s="1">
        <f ca="1">IFERROR(__xludf.DUMMYFUNCTION("""COMPUTED_VALUE"""),265.23)</f>
        <v>265.23</v>
      </c>
      <c r="D174" s="1">
        <f ca="1">IFERROR(__xludf.DUMMYFUNCTION("""COMPUTED_VALUE"""),260.29)</f>
        <v>260.29000000000002</v>
      </c>
      <c r="E174" s="1">
        <f ca="1">IFERROR(__xludf.DUMMYFUNCTION("""COMPUTED_VALUE"""),264.46)</f>
        <v>264.45999999999998</v>
      </c>
      <c r="F174" s="1">
        <f ca="1">IFERROR(__xludf.DUMMYFUNCTION("""COMPUTED_VALUE"""),22093190)</f>
        <v>22093190</v>
      </c>
    </row>
    <row r="175" spans="1:6" ht="12.6">
      <c r="A175" s="2">
        <f ca="1">IFERROR(__xludf.DUMMYFUNCTION("""COMPUTED_VALUE"""),44816.6666666666)</f>
        <v>44816.666666666599</v>
      </c>
      <c r="B175" s="1">
        <f ca="1">IFERROR(__xludf.DUMMYFUNCTION("""COMPUTED_VALUE"""),265.78)</f>
        <v>265.77999999999997</v>
      </c>
      <c r="C175" s="1">
        <f ca="1">IFERROR(__xludf.DUMMYFUNCTION("""COMPUTED_VALUE"""),267.45)</f>
        <v>267.45</v>
      </c>
      <c r="D175" s="1">
        <f ca="1">IFERROR(__xludf.DUMMYFUNCTION("""COMPUTED_VALUE"""),265.16)</f>
        <v>265.16000000000003</v>
      </c>
      <c r="E175" s="1">
        <f ca="1">IFERROR(__xludf.DUMMYFUNCTION("""COMPUTED_VALUE"""),266.65)</f>
        <v>266.64999999999998</v>
      </c>
      <c r="F175" s="1">
        <f ca="1">IFERROR(__xludf.DUMMYFUNCTION("""COMPUTED_VALUE"""),18747690)</f>
        <v>18747690</v>
      </c>
    </row>
    <row r="176" spans="1:6" ht="12.6">
      <c r="A176" s="2">
        <f ca="1">IFERROR(__xludf.DUMMYFUNCTION("""COMPUTED_VALUE"""),44817.6666666666)</f>
        <v>44817.666666666599</v>
      </c>
      <c r="B176" s="1">
        <f ca="1">IFERROR(__xludf.DUMMYFUNCTION("""COMPUTED_VALUE"""),258.84)</f>
        <v>258.83999999999997</v>
      </c>
      <c r="C176" s="1">
        <f ca="1">IFERROR(__xludf.DUMMYFUNCTION("""COMPUTED_VALUE"""),260.4)</f>
        <v>260.39999999999998</v>
      </c>
      <c r="D176" s="1">
        <f ca="1">IFERROR(__xludf.DUMMYFUNCTION("""COMPUTED_VALUE"""),251.59)</f>
        <v>251.59</v>
      </c>
      <c r="E176" s="1">
        <f ca="1">IFERROR(__xludf.DUMMYFUNCTION("""COMPUTED_VALUE"""),251.99)</f>
        <v>251.99</v>
      </c>
      <c r="F176" s="1">
        <f ca="1">IFERROR(__xludf.DUMMYFUNCTION("""COMPUTED_VALUE"""),33353318)</f>
        <v>33353318</v>
      </c>
    </row>
    <row r="177" spans="1:6" ht="12.6">
      <c r="A177" s="2">
        <f ca="1">IFERROR(__xludf.DUMMYFUNCTION("""COMPUTED_VALUE"""),44818.6666666666)</f>
        <v>44818.666666666599</v>
      </c>
      <c r="B177" s="1">
        <f ca="1">IFERROR(__xludf.DUMMYFUNCTION("""COMPUTED_VALUE"""),253.53)</f>
        <v>253.53</v>
      </c>
      <c r="C177" s="1">
        <f ca="1">IFERROR(__xludf.DUMMYFUNCTION("""COMPUTED_VALUE"""),254.23)</f>
        <v>254.23</v>
      </c>
      <c r="D177" s="1">
        <f ca="1">IFERROR(__xludf.DUMMYFUNCTION("""COMPUTED_VALUE"""),249.86)</f>
        <v>249.86</v>
      </c>
      <c r="E177" s="1">
        <f ca="1">IFERROR(__xludf.DUMMYFUNCTION("""COMPUTED_VALUE"""),252.22)</f>
        <v>252.22</v>
      </c>
      <c r="F177" s="1">
        <f ca="1">IFERROR(__xludf.DUMMYFUNCTION("""COMPUTED_VALUE"""),23912954)</f>
        <v>23912954</v>
      </c>
    </row>
    <row r="178" spans="1:6" ht="12.6">
      <c r="A178" s="2">
        <f ca="1">IFERROR(__xludf.DUMMYFUNCTION("""COMPUTED_VALUE"""),44819.6666666666)</f>
        <v>44819.666666666599</v>
      </c>
      <c r="B178" s="1">
        <f ca="1">IFERROR(__xludf.DUMMYFUNCTION("""COMPUTED_VALUE"""),249.77)</f>
        <v>249.77</v>
      </c>
      <c r="C178" s="1">
        <f ca="1">IFERROR(__xludf.DUMMYFUNCTION("""COMPUTED_VALUE"""),251.4)</f>
        <v>251.4</v>
      </c>
      <c r="D178" s="1">
        <f ca="1">IFERROR(__xludf.DUMMYFUNCTION("""COMPUTED_VALUE"""),244.02)</f>
        <v>244.02</v>
      </c>
      <c r="E178" s="1">
        <f ca="1">IFERROR(__xludf.DUMMYFUNCTION("""COMPUTED_VALUE"""),245.38)</f>
        <v>245.38</v>
      </c>
      <c r="F178" s="1">
        <f ca="1">IFERROR(__xludf.DUMMYFUNCTION("""COMPUTED_VALUE"""),31530948)</f>
        <v>31530948</v>
      </c>
    </row>
    <row r="179" spans="1:6" ht="12.6">
      <c r="A179" s="2">
        <f ca="1">IFERROR(__xludf.DUMMYFUNCTION("""COMPUTED_VALUE"""),44820.6666666666)</f>
        <v>44820.666666666599</v>
      </c>
      <c r="B179" s="1">
        <f ca="1">IFERROR(__xludf.DUMMYFUNCTION("""COMPUTED_VALUE"""),244.26)</f>
        <v>244.26</v>
      </c>
      <c r="C179" s="1">
        <f ca="1">IFERROR(__xludf.DUMMYFUNCTION("""COMPUTED_VALUE"""),245.3)</f>
        <v>245.3</v>
      </c>
      <c r="D179" s="1">
        <f ca="1">IFERROR(__xludf.DUMMYFUNCTION("""COMPUTED_VALUE"""),242.06)</f>
        <v>242.06</v>
      </c>
      <c r="E179" s="1">
        <f ca="1">IFERROR(__xludf.DUMMYFUNCTION("""COMPUTED_VALUE"""),244.74)</f>
        <v>244.74</v>
      </c>
      <c r="F179" s="1">
        <f ca="1">IFERROR(__xludf.DUMMYFUNCTION("""COMPUTED_VALUE"""),39791768)</f>
        <v>39791768</v>
      </c>
    </row>
    <row r="180" spans="1:6" ht="12.6">
      <c r="A180" s="2">
        <f ca="1">IFERROR(__xludf.DUMMYFUNCTION("""COMPUTED_VALUE"""),44823.6666666666)</f>
        <v>44823.666666666599</v>
      </c>
      <c r="B180" s="1">
        <f ca="1">IFERROR(__xludf.DUMMYFUNCTION("""COMPUTED_VALUE"""),242.47)</f>
        <v>242.47</v>
      </c>
      <c r="C180" s="1">
        <f ca="1">IFERROR(__xludf.DUMMYFUNCTION("""COMPUTED_VALUE"""),245.14)</f>
        <v>245.14</v>
      </c>
      <c r="D180" s="1">
        <f ca="1">IFERROR(__xludf.DUMMYFUNCTION("""COMPUTED_VALUE"""),240.85)</f>
        <v>240.85</v>
      </c>
      <c r="E180" s="1">
        <f ca="1">IFERROR(__xludf.DUMMYFUNCTION("""COMPUTED_VALUE"""),244.52)</f>
        <v>244.52</v>
      </c>
      <c r="F180" s="1">
        <f ca="1">IFERROR(__xludf.DUMMYFUNCTION("""COMPUTED_VALUE"""),26826931)</f>
        <v>26826931</v>
      </c>
    </row>
    <row r="181" spans="1:6" ht="12.6">
      <c r="A181" s="2">
        <f ca="1">IFERROR(__xludf.DUMMYFUNCTION("""COMPUTED_VALUE"""),44824.6666666666)</f>
        <v>44824.666666666599</v>
      </c>
      <c r="B181" s="1">
        <f ca="1">IFERROR(__xludf.DUMMYFUNCTION("""COMPUTED_VALUE"""),242.07)</f>
        <v>242.07</v>
      </c>
      <c r="C181" s="1">
        <f ca="1">IFERROR(__xludf.DUMMYFUNCTION("""COMPUTED_VALUE"""),243.51)</f>
        <v>243.51</v>
      </c>
      <c r="D181" s="1">
        <f ca="1">IFERROR(__xludf.DUMMYFUNCTION("""COMPUTED_VALUE"""),239.64)</f>
        <v>239.64</v>
      </c>
      <c r="E181" s="1">
        <f ca="1">IFERROR(__xludf.DUMMYFUNCTION("""COMPUTED_VALUE"""),242.45)</f>
        <v>242.45</v>
      </c>
      <c r="F181" s="1">
        <f ca="1">IFERROR(__xludf.DUMMYFUNCTION("""COMPUTED_VALUE"""),26660299)</f>
        <v>26660299</v>
      </c>
    </row>
    <row r="182" spans="1:6" ht="12.6">
      <c r="A182" s="2">
        <f ca="1">IFERROR(__xludf.DUMMYFUNCTION("""COMPUTED_VALUE"""),44825.6666666666)</f>
        <v>44825.666666666599</v>
      </c>
      <c r="B182" s="1">
        <f ca="1">IFERROR(__xludf.DUMMYFUNCTION("""COMPUTED_VALUE"""),244.27)</f>
        <v>244.27</v>
      </c>
      <c r="C182" s="1">
        <f ca="1">IFERROR(__xludf.DUMMYFUNCTION("""COMPUTED_VALUE"""),247.66)</f>
        <v>247.66</v>
      </c>
      <c r="D182" s="1">
        <f ca="1">IFERROR(__xludf.DUMMYFUNCTION("""COMPUTED_VALUE"""),238.9)</f>
        <v>238.9</v>
      </c>
      <c r="E182" s="1">
        <f ca="1">IFERROR(__xludf.DUMMYFUNCTION("""COMPUTED_VALUE"""),238.95)</f>
        <v>238.95</v>
      </c>
      <c r="F182" s="1">
        <f ca="1">IFERROR(__xludf.DUMMYFUNCTION("""COMPUTED_VALUE"""),28625557)</f>
        <v>28625557</v>
      </c>
    </row>
    <row r="183" spans="1:6" ht="12.6">
      <c r="A183" s="2">
        <f ca="1">IFERROR(__xludf.DUMMYFUNCTION("""COMPUTED_VALUE"""),44826.6666666666)</f>
        <v>44826.666666666599</v>
      </c>
      <c r="B183" s="1">
        <f ca="1">IFERROR(__xludf.DUMMYFUNCTION("""COMPUTED_VALUE"""),237.87)</f>
        <v>237.87</v>
      </c>
      <c r="C183" s="1">
        <f ca="1">IFERROR(__xludf.DUMMYFUNCTION("""COMPUTED_VALUE"""),243.86)</f>
        <v>243.86</v>
      </c>
      <c r="D183" s="1">
        <f ca="1">IFERROR(__xludf.DUMMYFUNCTION("""COMPUTED_VALUE"""),237.57)</f>
        <v>237.57</v>
      </c>
      <c r="E183" s="1">
        <f ca="1">IFERROR(__xludf.DUMMYFUNCTION("""COMPUTED_VALUE"""),240.98)</f>
        <v>240.98</v>
      </c>
      <c r="F183" s="1">
        <f ca="1">IFERROR(__xludf.DUMMYFUNCTION("""COMPUTED_VALUE"""),31061162)</f>
        <v>31061162</v>
      </c>
    </row>
    <row r="184" spans="1:6" ht="12.6">
      <c r="A184" s="2">
        <f ca="1">IFERROR(__xludf.DUMMYFUNCTION("""COMPUTED_VALUE"""),44827.6666666666)</f>
        <v>44827.666666666599</v>
      </c>
      <c r="B184" s="1">
        <f ca="1">IFERROR(__xludf.DUMMYFUNCTION("""COMPUTED_VALUE"""),239.54)</f>
        <v>239.54</v>
      </c>
      <c r="C184" s="1">
        <f ca="1">IFERROR(__xludf.DUMMYFUNCTION("""COMPUTED_VALUE"""),241.13)</f>
        <v>241.13</v>
      </c>
      <c r="D184" s="1">
        <f ca="1">IFERROR(__xludf.DUMMYFUNCTION("""COMPUTED_VALUE"""),235.2)</f>
        <v>235.2</v>
      </c>
      <c r="E184" s="1">
        <f ca="1">IFERROR(__xludf.DUMMYFUNCTION("""COMPUTED_VALUE"""),237.92)</f>
        <v>237.92</v>
      </c>
      <c r="F184" s="1">
        <f ca="1">IFERROR(__xludf.DUMMYFUNCTION("""COMPUTED_VALUE"""),34176048)</f>
        <v>34176048</v>
      </c>
    </row>
    <row r="185" spans="1:6" ht="12.6">
      <c r="A185" s="2">
        <f ca="1">IFERROR(__xludf.DUMMYFUNCTION("""COMPUTED_VALUE"""),44830.6666666666)</f>
        <v>44830.666666666599</v>
      </c>
      <c r="B185" s="1">
        <f ca="1">IFERROR(__xludf.DUMMYFUNCTION("""COMPUTED_VALUE"""),237.05)</f>
        <v>237.05</v>
      </c>
      <c r="C185" s="1">
        <f ca="1">IFERROR(__xludf.DUMMYFUNCTION("""COMPUTED_VALUE"""),241.45)</f>
        <v>241.45</v>
      </c>
      <c r="D185" s="1">
        <f ca="1">IFERROR(__xludf.DUMMYFUNCTION("""COMPUTED_VALUE"""),236.9)</f>
        <v>236.9</v>
      </c>
      <c r="E185" s="1">
        <f ca="1">IFERROR(__xludf.DUMMYFUNCTION("""COMPUTED_VALUE"""),237.45)</f>
        <v>237.45</v>
      </c>
      <c r="F185" s="1">
        <f ca="1">IFERROR(__xludf.DUMMYFUNCTION("""COMPUTED_VALUE"""),27694190)</f>
        <v>27694190</v>
      </c>
    </row>
    <row r="186" spans="1:6" ht="12.6">
      <c r="A186" s="2">
        <f ca="1">IFERROR(__xludf.DUMMYFUNCTION("""COMPUTED_VALUE"""),44831.6666666666)</f>
        <v>44831.666666666599</v>
      </c>
      <c r="B186" s="1">
        <f ca="1">IFERROR(__xludf.DUMMYFUNCTION("""COMPUTED_VALUE"""),239.98)</f>
        <v>239.98</v>
      </c>
      <c r="C186" s="1">
        <f ca="1">IFERROR(__xludf.DUMMYFUNCTION("""COMPUTED_VALUE"""),241.8)</f>
        <v>241.8</v>
      </c>
      <c r="D186" s="1">
        <f ca="1">IFERROR(__xludf.DUMMYFUNCTION("""COMPUTED_VALUE"""),234.5)</f>
        <v>234.5</v>
      </c>
      <c r="E186" s="1">
        <f ca="1">IFERROR(__xludf.DUMMYFUNCTION("""COMPUTED_VALUE"""),236.41)</f>
        <v>236.41</v>
      </c>
      <c r="F186" s="1">
        <f ca="1">IFERROR(__xludf.DUMMYFUNCTION("""COMPUTED_VALUE"""),27018732)</f>
        <v>27018732</v>
      </c>
    </row>
    <row r="187" spans="1:6" ht="12.6">
      <c r="A187" s="2">
        <f ca="1">IFERROR(__xludf.DUMMYFUNCTION("""COMPUTED_VALUE"""),44832.6666666666)</f>
        <v>44832.666666666599</v>
      </c>
      <c r="B187" s="1">
        <f ca="1">IFERROR(__xludf.DUMMYFUNCTION("""COMPUTED_VALUE"""),236.81)</f>
        <v>236.81</v>
      </c>
      <c r="C187" s="1">
        <f ca="1">IFERROR(__xludf.DUMMYFUNCTION("""COMPUTED_VALUE"""),242.33)</f>
        <v>242.33</v>
      </c>
      <c r="D187" s="1">
        <f ca="1">IFERROR(__xludf.DUMMYFUNCTION("""COMPUTED_VALUE"""),234.73)</f>
        <v>234.73</v>
      </c>
      <c r="E187" s="1">
        <f ca="1">IFERROR(__xludf.DUMMYFUNCTION("""COMPUTED_VALUE"""),241.07)</f>
        <v>241.07</v>
      </c>
      <c r="F187" s="1">
        <f ca="1">IFERROR(__xludf.DUMMYFUNCTION("""COMPUTED_VALUE"""),29029679)</f>
        <v>29029679</v>
      </c>
    </row>
    <row r="188" spans="1:6" ht="12.6">
      <c r="A188" s="2">
        <f ca="1">IFERROR(__xludf.DUMMYFUNCTION("""COMPUTED_VALUE"""),44833.6666666666)</f>
        <v>44833.666666666599</v>
      </c>
      <c r="B188" s="1">
        <f ca="1">IFERROR(__xludf.DUMMYFUNCTION("""COMPUTED_VALUE"""),238.89)</f>
        <v>238.89</v>
      </c>
      <c r="C188" s="1">
        <f ca="1">IFERROR(__xludf.DUMMYFUNCTION("""COMPUTED_VALUE"""),239.95)</f>
        <v>239.95</v>
      </c>
      <c r="D188" s="1">
        <f ca="1">IFERROR(__xludf.DUMMYFUNCTION("""COMPUTED_VALUE"""),234.41)</f>
        <v>234.41</v>
      </c>
      <c r="E188" s="1">
        <f ca="1">IFERROR(__xludf.DUMMYFUNCTION("""COMPUTED_VALUE"""),237.5)</f>
        <v>237.5</v>
      </c>
      <c r="F188" s="1">
        <f ca="1">IFERROR(__xludf.DUMMYFUNCTION("""COMPUTED_VALUE"""),27484233)</f>
        <v>27484233</v>
      </c>
    </row>
    <row r="189" spans="1:6" ht="12.6">
      <c r="A189" s="2">
        <f ca="1">IFERROR(__xludf.DUMMYFUNCTION("""COMPUTED_VALUE"""),44834.6666666666)</f>
        <v>44834.666666666599</v>
      </c>
      <c r="B189" s="1">
        <f ca="1">IFERROR(__xludf.DUMMYFUNCTION("""COMPUTED_VALUE"""),238.29)</f>
        <v>238.29</v>
      </c>
      <c r="C189" s="1">
        <f ca="1">IFERROR(__xludf.DUMMYFUNCTION("""COMPUTED_VALUE"""),240.54)</f>
        <v>240.54</v>
      </c>
      <c r="D189" s="1">
        <f ca="1">IFERROR(__xludf.DUMMYFUNCTION("""COMPUTED_VALUE"""),232.73)</f>
        <v>232.73</v>
      </c>
      <c r="E189" s="1">
        <f ca="1">IFERROR(__xludf.DUMMYFUNCTION("""COMPUTED_VALUE"""),232.9)</f>
        <v>232.9</v>
      </c>
      <c r="F189" s="1">
        <f ca="1">IFERROR(__xludf.DUMMYFUNCTION("""COMPUTED_VALUE"""),35694832)</f>
        <v>35694832</v>
      </c>
    </row>
    <row r="190" spans="1:6" ht="12.6">
      <c r="A190" s="2">
        <f ca="1">IFERROR(__xludf.DUMMYFUNCTION("""COMPUTED_VALUE"""),44837.6666666666)</f>
        <v>44837.666666666599</v>
      </c>
      <c r="B190" s="1">
        <f ca="1">IFERROR(__xludf.DUMMYFUNCTION("""COMPUTED_VALUE"""),235.41)</f>
        <v>235.41</v>
      </c>
      <c r="C190" s="1">
        <f ca="1">IFERROR(__xludf.DUMMYFUNCTION("""COMPUTED_VALUE"""),241.61)</f>
        <v>241.61</v>
      </c>
      <c r="D190" s="1">
        <f ca="1">IFERROR(__xludf.DUMMYFUNCTION("""COMPUTED_VALUE"""),234.66)</f>
        <v>234.66</v>
      </c>
      <c r="E190" s="1">
        <f ca="1">IFERROR(__xludf.DUMMYFUNCTION("""COMPUTED_VALUE"""),240.74)</f>
        <v>240.74</v>
      </c>
      <c r="F190" s="1">
        <f ca="1">IFERROR(__xludf.DUMMYFUNCTION("""COMPUTED_VALUE"""),28880357)</f>
        <v>28880357</v>
      </c>
    </row>
    <row r="191" spans="1:6" ht="12.6">
      <c r="A191" s="2">
        <f ca="1">IFERROR(__xludf.DUMMYFUNCTION("""COMPUTED_VALUE"""),44838.6666666666)</f>
        <v>44838.666666666599</v>
      </c>
      <c r="B191" s="1">
        <f ca="1">IFERROR(__xludf.DUMMYFUNCTION("""COMPUTED_VALUE"""),245.09)</f>
        <v>245.09</v>
      </c>
      <c r="C191" s="1">
        <f ca="1">IFERROR(__xludf.DUMMYFUNCTION("""COMPUTED_VALUE"""),250.36)</f>
        <v>250.36</v>
      </c>
      <c r="D191" s="1">
        <f ca="1">IFERROR(__xludf.DUMMYFUNCTION("""COMPUTED_VALUE"""),244.98)</f>
        <v>244.98</v>
      </c>
      <c r="E191" s="1">
        <f ca="1">IFERROR(__xludf.DUMMYFUNCTION("""COMPUTED_VALUE"""),248.88)</f>
        <v>248.88</v>
      </c>
      <c r="F191" s="1">
        <f ca="1">IFERROR(__xludf.DUMMYFUNCTION("""COMPUTED_VALUE"""),34888416)</f>
        <v>34888416</v>
      </c>
    </row>
    <row r="192" spans="1:6" ht="12.6">
      <c r="A192" s="2">
        <f ca="1">IFERROR(__xludf.DUMMYFUNCTION("""COMPUTED_VALUE"""),44839.6666666666)</f>
        <v>44839.666666666599</v>
      </c>
      <c r="B192" s="1">
        <f ca="1">IFERROR(__xludf.DUMMYFUNCTION("""COMPUTED_VALUE"""),245.99)</f>
        <v>245.99</v>
      </c>
      <c r="C192" s="1">
        <f ca="1">IFERROR(__xludf.DUMMYFUNCTION("""COMPUTED_VALUE"""),250.58)</f>
        <v>250.58</v>
      </c>
      <c r="D192" s="1">
        <f ca="1">IFERROR(__xludf.DUMMYFUNCTION("""COMPUTED_VALUE"""),244.1)</f>
        <v>244.1</v>
      </c>
      <c r="E192" s="1">
        <f ca="1">IFERROR(__xludf.DUMMYFUNCTION("""COMPUTED_VALUE"""),249.2)</f>
        <v>249.2</v>
      </c>
      <c r="F192" s="1">
        <f ca="1">IFERROR(__xludf.DUMMYFUNCTION("""COMPUTED_VALUE"""),20347136)</f>
        <v>20347136</v>
      </c>
    </row>
    <row r="193" spans="1:6" ht="12.6">
      <c r="A193" s="2">
        <f ca="1">IFERROR(__xludf.DUMMYFUNCTION("""COMPUTED_VALUE"""),44840.6666666666)</f>
        <v>44840.666666666599</v>
      </c>
      <c r="B193" s="1">
        <f ca="1">IFERROR(__xludf.DUMMYFUNCTION("""COMPUTED_VALUE"""),247.93)</f>
        <v>247.93</v>
      </c>
      <c r="C193" s="1">
        <f ca="1">IFERROR(__xludf.DUMMYFUNCTION("""COMPUTED_VALUE"""),250.34)</f>
        <v>250.34</v>
      </c>
      <c r="D193" s="1">
        <f ca="1">IFERROR(__xludf.DUMMYFUNCTION("""COMPUTED_VALUE"""),246.08)</f>
        <v>246.08</v>
      </c>
      <c r="E193" s="1">
        <f ca="1">IFERROR(__xludf.DUMMYFUNCTION("""COMPUTED_VALUE"""),246.79)</f>
        <v>246.79</v>
      </c>
      <c r="F193" s="1">
        <f ca="1">IFERROR(__xludf.DUMMYFUNCTION("""COMPUTED_VALUE"""),20239886)</f>
        <v>20239886</v>
      </c>
    </row>
    <row r="194" spans="1:6" ht="12.6">
      <c r="A194" s="2">
        <f ca="1">IFERROR(__xludf.DUMMYFUNCTION("""COMPUTED_VALUE"""),44841.6666666666)</f>
        <v>44841.666666666599</v>
      </c>
      <c r="B194" s="1">
        <f ca="1">IFERROR(__xludf.DUMMYFUNCTION("""COMPUTED_VALUE"""),240.9)</f>
        <v>240.9</v>
      </c>
      <c r="C194" s="1">
        <f ca="1">IFERROR(__xludf.DUMMYFUNCTION("""COMPUTED_VALUE"""),241.32)</f>
        <v>241.32</v>
      </c>
      <c r="D194" s="1">
        <f ca="1">IFERROR(__xludf.DUMMYFUNCTION("""COMPUTED_VALUE"""),233.17)</f>
        <v>233.17</v>
      </c>
      <c r="E194" s="1">
        <f ca="1">IFERROR(__xludf.DUMMYFUNCTION("""COMPUTED_VALUE"""),234.24)</f>
        <v>234.24</v>
      </c>
      <c r="F194" s="1">
        <f ca="1">IFERROR(__xludf.DUMMYFUNCTION("""COMPUTED_VALUE"""),37769602)</f>
        <v>37769602</v>
      </c>
    </row>
    <row r="195" spans="1:6" ht="12.6">
      <c r="A195" s="2">
        <f ca="1">IFERROR(__xludf.DUMMYFUNCTION("""COMPUTED_VALUE"""),44844.6666666666)</f>
        <v>44844.666666666599</v>
      </c>
      <c r="B195" s="1">
        <f ca="1">IFERROR(__xludf.DUMMYFUNCTION("""COMPUTED_VALUE"""),233.05)</f>
        <v>233.05</v>
      </c>
      <c r="C195" s="1">
        <f ca="1">IFERROR(__xludf.DUMMYFUNCTION("""COMPUTED_VALUE"""),234.56)</f>
        <v>234.56</v>
      </c>
      <c r="D195" s="1">
        <f ca="1">IFERROR(__xludf.DUMMYFUNCTION("""COMPUTED_VALUE"""),226.73)</f>
        <v>226.73</v>
      </c>
      <c r="E195" s="1">
        <f ca="1">IFERROR(__xludf.DUMMYFUNCTION("""COMPUTED_VALUE"""),229.25)</f>
        <v>229.25</v>
      </c>
      <c r="F195" s="1">
        <f ca="1">IFERROR(__xludf.DUMMYFUNCTION("""COMPUTED_VALUE"""),29743608)</f>
        <v>29743608</v>
      </c>
    </row>
    <row r="196" spans="1:6" ht="12.6">
      <c r="A196" s="2">
        <f ca="1">IFERROR(__xludf.DUMMYFUNCTION("""COMPUTED_VALUE"""),44845.6666666666)</f>
        <v>44845.666666666599</v>
      </c>
      <c r="B196" s="1">
        <f ca="1">IFERROR(__xludf.DUMMYFUNCTION("""COMPUTED_VALUE"""),227.62)</f>
        <v>227.62</v>
      </c>
      <c r="C196" s="1">
        <f ca="1">IFERROR(__xludf.DUMMYFUNCTION("""COMPUTED_VALUE"""),229.06)</f>
        <v>229.06</v>
      </c>
      <c r="D196" s="1">
        <f ca="1">IFERROR(__xludf.DUMMYFUNCTION("""COMPUTED_VALUE"""),224.11)</f>
        <v>224.11</v>
      </c>
      <c r="E196" s="1">
        <f ca="1">IFERROR(__xludf.DUMMYFUNCTION("""COMPUTED_VALUE"""),225.41)</f>
        <v>225.41</v>
      </c>
      <c r="F196" s="1">
        <f ca="1">IFERROR(__xludf.DUMMYFUNCTION("""COMPUTED_VALUE"""),30473954)</f>
        <v>30473954</v>
      </c>
    </row>
    <row r="197" spans="1:6" ht="12.6">
      <c r="A197" s="2">
        <f ca="1">IFERROR(__xludf.DUMMYFUNCTION("""COMPUTED_VALUE"""),44846.6666666666)</f>
        <v>44846.666666666599</v>
      </c>
      <c r="B197" s="1">
        <f ca="1">IFERROR(__xludf.DUMMYFUNCTION("""COMPUTED_VALUE"""),225.4)</f>
        <v>225.4</v>
      </c>
      <c r="C197" s="1">
        <f ca="1">IFERROR(__xludf.DUMMYFUNCTION("""COMPUTED_VALUE"""),227.86)</f>
        <v>227.86</v>
      </c>
      <c r="D197" s="1">
        <f ca="1">IFERROR(__xludf.DUMMYFUNCTION("""COMPUTED_VALUE"""),223.96)</f>
        <v>223.96</v>
      </c>
      <c r="E197" s="1">
        <f ca="1">IFERROR(__xludf.DUMMYFUNCTION("""COMPUTED_VALUE"""),225.75)</f>
        <v>225.75</v>
      </c>
      <c r="F197" s="1">
        <f ca="1">IFERROR(__xludf.DUMMYFUNCTION("""COMPUTED_VALUE"""),21903937)</f>
        <v>21903937</v>
      </c>
    </row>
    <row r="198" spans="1:6" ht="12.6">
      <c r="A198" s="2">
        <f ca="1">IFERROR(__xludf.DUMMYFUNCTION("""COMPUTED_VALUE"""),44847.6666666666)</f>
        <v>44847.666666666599</v>
      </c>
      <c r="B198" s="1">
        <f ca="1">IFERROR(__xludf.DUMMYFUNCTION("""COMPUTED_VALUE"""),219.85)</f>
        <v>219.85</v>
      </c>
      <c r="C198" s="1">
        <f ca="1">IFERROR(__xludf.DUMMYFUNCTION("""COMPUTED_VALUE"""),236.1)</f>
        <v>236.1</v>
      </c>
      <c r="D198" s="1">
        <f ca="1">IFERROR(__xludf.DUMMYFUNCTION("""COMPUTED_VALUE"""),219.13)</f>
        <v>219.13</v>
      </c>
      <c r="E198" s="1">
        <f ca="1">IFERROR(__xludf.DUMMYFUNCTION("""COMPUTED_VALUE"""),234.24)</f>
        <v>234.24</v>
      </c>
      <c r="F198" s="1">
        <f ca="1">IFERROR(__xludf.DUMMYFUNCTION("""COMPUTED_VALUE"""),42551818)</f>
        <v>42551818</v>
      </c>
    </row>
    <row r="199" spans="1:6" ht="12.6">
      <c r="A199" s="2">
        <f ca="1">IFERROR(__xludf.DUMMYFUNCTION("""COMPUTED_VALUE"""),44848.6666666666)</f>
        <v>44848.666666666599</v>
      </c>
      <c r="B199" s="1">
        <f ca="1">IFERROR(__xludf.DUMMYFUNCTION("""COMPUTED_VALUE"""),235.54)</f>
        <v>235.54</v>
      </c>
      <c r="C199" s="1">
        <f ca="1">IFERROR(__xludf.DUMMYFUNCTION("""COMPUTED_VALUE"""),237.24)</f>
        <v>237.24</v>
      </c>
      <c r="D199" s="1">
        <f ca="1">IFERROR(__xludf.DUMMYFUNCTION("""COMPUTED_VALUE"""),228.34)</f>
        <v>228.34</v>
      </c>
      <c r="E199" s="1">
        <f ca="1">IFERROR(__xludf.DUMMYFUNCTION("""COMPUTED_VALUE"""),228.56)</f>
        <v>228.56</v>
      </c>
      <c r="F199" s="1">
        <f ca="1">IFERROR(__xludf.DUMMYFUNCTION("""COMPUTED_VALUE"""),30198588)</f>
        <v>30198588</v>
      </c>
    </row>
    <row r="200" spans="1:6" ht="12.6">
      <c r="A200" s="2">
        <f ca="1">IFERROR(__xludf.DUMMYFUNCTION("""COMPUTED_VALUE"""),44851.6666666666)</f>
        <v>44851.666666666599</v>
      </c>
      <c r="B200" s="1">
        <f ca="1">IFERROR(__xludf.DUMMYFUNCTION("""COMPUTED_VALUE"""),235.82)</f>
        <v>235.82</v>
      </c>
      <c r="C200" s="1">
        <f ca="1">IFERROR(__xludf.DUMMYFUNCTION("""COMPUTED_VALUE"""),238.96)</f>
        <v>238.96</v>
      </c>
      <c r="D200" s="1">
        <f ca="1">IFERROR(__xludf.DUMMYFUNCTION("""COMPUTED_VALUE"""),235.14)</f>
        <v>235.14</v>
      </c>
      <c r="E200" s="1">
        <f ca="1">IFERROR(__xludf.DUMMYFUNCTION("""COMPUTED_VALUE"""),237.53)</f>
        <v>237.53</v>
      </c>
      <c r="F200" s="1">
        <f ca="1">IFERROR(__xludf.DUMMYFUNCTION("""COMPUTED_VALUE"""),28142268)</f>
        <v>28142268</v>
      </c>
    </row>
    <row r="201" spans="1:6" ht="12.6">
      <c r="A201" s="2">
        <f ca="1">IFERROR(__xludf.DUMMYFUNCTION("""COMPUTED_VALUE"""),44852.6666666666)</f>
        <v>44852.666666666599</v>
      </c>
      <c r="B201" s="1">
        <f ca="1">IFERROR(__xludf.DUMMYFUNCTION("""COMPUTED_VALUE"""),243.24)</f>
        <v>243.24</v>
      </c>
      <c r="C201" s="1">
        <f ca="1">IFERROR(__xludf.DUMMYFUNCTION("""COMPUTED_VALUE"""),243.93)</f>
        <v>243.93</v>
      </c>
      <c r="D201" s="1">
        <f ca="1">IFERROR(__xludf.DUMMYFUNCTION("""COMPUTED_VALUE"""),235.37)</f>
        <v>235.37</v>
      </c>
      <c r="E201" s="1">
        <f ca="1">IFERROR(__xludf.DUMMYFUNCTION("""COMPUTED_VALUE"""),238.5)</f>
        <v>238.5</v>
      </c>
      <c r="F201" s="1">
        <f ca="1">IFERROR(__xludf.DUMMYFUNCTION("""COMPUTED_VALUE"""),26329591)</f>
        <v>26329591</v>
      </c>
    </row>
    <row r="202" spans="1:6" ht="12.6">
      <c r="A202" s="2">
        <f ca="1">IFERROR(__xludf.DUMMYFUNCTION("""COMPUTED_VALUE"""),44853.6666666666)</f>
        <v>44853.666666666599</v>
      </c>
      <c r="B202" s="1">
        <f ca="1">IFERROR(__xludf.DUMMYFUNCTION("""COMPUTED_VALUE"""),237.04)</f>
        <v>237.04</v>
      </c>
      <c r="C202" s="1">
        <f ca="1">IFERROR(__xludf.DUMMYFUNCTION("""COMPUTED_VALUE"""),239.61)</f>
        <v>239.61</v>
      </c>
      <c r="D202" s="1">
        <f ca="1">IFERROR(__xludf.DUMMYFUNCTION("""COMPUTED_VALUE"""),234.29)</f>
        <v>234.29</v>
      </c>
      <c r="E202" s="1">
        <f ca="1">IFERROR(__xludf.DUMMYFUNCTION("""COMPUTED_VALUE"""),236.48)</f>
        <v>236.48</v>
      </c>
      <c r="F202" s="1">
        <f ca="1">IFERROR(__xludf.DUMMYFUNCTION("""COMPUTED_VALUE"""),19985698)</f>
        <v>19985698</v>
      </c>
    </row>
    <row r="203" spans="1:6" ht="12.6">
      <c r="A203" s="2">
        <f ca="1">IFERROR(__xludf.DUMMYFUNCTION("""COMPUTED_VALUE"""),44854.6666666666)</f>
        <v>44854.666666666599</v>
      </c>
      <c r="B203" s="1">
        <f ca="1">IFERROR(__xludf.DUMMYFUNCTION("""COMPUTED_VALUE"""),235.77)</f>
        <v>235.77</v>
      </c>
      <c r="C203" s="1">
        <f ca="1">IFERROR(__xludf.DUMMYFUNCTION("""COMPUTED_VALUE"""),241.31)</f>
        <v>241.31</v>
      </c>
      <c r="D203" s="1">
        <f ca="1">IFERROR(__xludf.DUMMYFUNCTION("""COMPUTED_VALUE"""),234.87)</f>
        <v>234.87</v>
      </c>
      <c r="E203" s="1">
        <f ca="1">IFERROR(__xludf.DUMMYFUNCTION("""COMPUTED_VALUE"""),236.15)</f>
        <v>236.15</v>
      </c>
      <c r="F203" s="1">
        <f ca="1">IFERROR(__xludf.DUMMYFUNCTION("""COMPUTED_VALUE"""),21811015)</f>
        <v>21811015</v>
      </c>
    </row>
    <row r="204" spans="1:6" ht="12.6">
      <c r="A204" s="2">
        <f ca="1">IFERROR(__xludf.DUMMYFUNCTION("""COMPUTED_VALUE"""),44855.6666666666)</f>
        <v>44855.666666666599</v>
      </c>
      <c r="B204" s="1">
        <f ca="1">IFERROR(__xludf.DUMMYFUNCTION("""COMPUTED_VALUE"""),234.74)</f>
        <v>234.74</v>
      </c>
      <c r="C204" s="1">
        <f ca="1">IFERROR(__xludf.DUMMYFUNCTION("""COMPUTED_VALUE"""),243)</f>
        <v>243</v>
      </c>
      <c r="D204" s="1">
        <f ca="1">IFERROR(__xludf.DUMMYFUNCTION("""COMPUTED_VALUE"""),234.5)</f>
        <v>234.5</v>
      </c>
      <c r="E204" s="1">
        <f ca="1">IFERROR(__xludf.DUMMYFUNCTION("""COMPUTED_VALUE"""),242.12)</f>
        <v>242.12</v>
      </c>
      <c r="F204" s="1">
        <f ca="1">IFERROR(__xludf.DUMMYFUNCTION("""COMPUTED_VALUE"""),26299733)</f>
        <v>26299733</v>
      </c>
    </row>
    <row r="205" spans="1:6" ht="12.6">
      <c r="A205" s="2">
        <f ca="1">IFERROR(__xludf.DUMMYFUNCTION("""COMPUTED_VALUE"""),44858.6666666666)</f>
        <v>44858.666666666599</v>
      </c>
      <c r="B205" s="1">
        <f ca="1">IFERROR(__xludf.DUMMYFUNCTION("""COMPUTED_VALUE"""),243.76)</f>
        <v>243.76</v>
      </c>
      <c r="C205" s="1">
        <f ca="1">IFERROR(__xludf.DUMMYFUNCTION("""COMPUTED_VALUE"""),247.84)</f>
        <v>247.84</v>
      </c>
      <c r="D205" s="1">
        <f ca="1">IFERROR(__xludf.DUMMYFUNCTION("""COMPUTED_VALUE"""),241.3)</f>
        <v>241.3</v>
      </c>
      <c r="E205" s="1">
        <f ca="1">IFERROR(__xludf.DUMMYFUNCTION("""COMPUTED_VALUE"""),247.25)</f>
        <v>247.25</v>
      </c>
      <c r="F205" s="1">
        <f ca="1">IFERROR(__xludf.DUMMYFUNCTION("""COMPUTED_VALUE"""),24911212)</f>
        <v>24911212</v>
      </c>
    </row>
    <row r="206" spans="1:6" ht="12.6">
      <c r="A206" s="2">
        <f ca="1">IFERROR(__xludf.DUMMYFUNCTION("""COMPUTED_VALUE"""),44859.6666666666)</f>
        <v>44859.666666666599</v>
      </c>
      <c r="B206" s="1">
        <f ca="1">IFERROR(__xludf.DUMMYFUNCTION("""COMPUTED_VALUE"""),247.26)</f>
        <v>247.26</v>
      </c>
      <c r="C206" s="1">
        <f ca="1">IFERROR(__xludf.DUMMYFUNCTION("""COMPUTED_VALUE"""),251.04)</f>
        <v>251.04</v>
      </c>
      <c r="D206" s="1">
        <f ca="1">IFERROR(__xludf.DUMMYFUNCTION("""COMPUTED_VALUE"""),245.83)</f>
        <v>245.83</v>
      </c>
      <c r="E206" s="1">
        <f ca="1">IFERROR(__xludf.DUMMYFUNCTION("""COMPUTED_VALUE"""),250.66)</f>
        <v>250.66</v>
      </c>
      <c r="F206" s="1">
        <f ca="1">IFERROR(__xludf.DUMMYFUNCTION("""COMPUTED_VALUE"""),34775505)</f>
        <v>34775505</v>
      </c>
    </row>
    <row r="207" spans="1:6" ht="12.6">
      <c r="A207" s="2">
        <f ca="1">IFERROR(__xludf.DUMMYFUNCTION("""COMPUTED_VALUE"""),44860.6666666666)</f>
        <v>44860.666666666599</v>
      </c>
      <c r="B207" s="1">
        <f ca="1">IFERROR(__xludf.DUMMYFUNCTION("""COMPUTED_VALUE"""),231.17)</f>
        <v>231.17</v>
      </c>
      <c r="C207" s="1">
        <f ca="1">IFERROR(__xludf.DUMMYFUNCTION("""COMPUTED_VALUE"""),238.3)</f>
        <v>238.3</v>
      </c>
      <c r="D207" s="1">
        <f ca="1">IFERROR(__xludf.DUMMYFUNCTION("""COMPUTED_VALUE"""),230.06)</f>
        <v>230.06</v>
      </c>
      <c r="E207" s="1">
        <f ca="1">IFERROR(__xludf.DUMMYFUNCTION("""COMPUTED_VALUE"""),231.32)</f>
        <v>231.32</v>
      </c>
      <c r="F207" s="1">
        <f ca="1">IFERROR(__xludf.DUMMYFUNCTION("""COMPUTED_VALUE"""),82684846)</f>
        <v>82684846</v>
      </c>
    </row>
    <row r="208" spans="1:6" ht="12.6">
      <c r="A208" s="2">
        <f ca="1">IFERROR(__xludf.DUMMYFUNCTION("""COMPUTED_VALUE"""),44861.6666666666)</f>
        <v>44861.666666666599</v>
      </c>
      <c r="B208" s="1">
        <f ca="1">IFERROR(__xludf.DUMMYFUNCTION("""COMPUTED_VALUE"""),231.04)</f>
        <v>231.04</v>
      </c>
      <c r="C208" s="1">
        <f ca="1">IFERROR(__xludf.DUMMYFUNCTION("""COMPUTED_VALUE"""),233.69)</f>
        <v>233.69</v>
      </c>
      <c r="D208" s="1">
        <f ca="1">IFERROR(__xludf.DUMMYFUNCTION("""COMPUTED_VALUE"""),225.78)</f>
        <v>225.78</v>
      </c>
      <c r="E208" s="1">
        <f ca="1">IFERROR(__xludf.DUMMYFUNCTION("""COMPUTED_VALUE"""),226.75)</f>
        <v>226.75</v>
      </c>
      <c r="F208" s="1">
        <f ca="1">IFERROR(__xludf.DUMMYFUNCTION("""COMPUTED_VALUE"""),40424645)</f>
        <v>40424645</v>
      </c>
    </row>
    <row r="209" spans="1:6" ht="12.6">
      <c r="A209" s="2">
        <f ca="1">IFERROR(__xludf.DUMMYFUNCTION("""COMPUTED_VALUE"""),44862.6666666666)</f>
        <v>44862.666666666599</v>
      </c>
      <c r="B209" s="1">
        <f ca="1">IFERROR(__xludf.DUMMYFUNCTION("""COMPUTED_VALUE"""),226.24)</f>
        <v>226.24</v>
      </c>
      <c r="C209" s="1">
        <f ca="1">IFERROR(__xludf.DUMMYFUNCTION("""COMPUTED_VALUE"""),236.6)</f>
        <v>236.6</v>
      </c>
      <c r="D209" s="1">
        <f ca="1">IFERROR(__xludf.DUMMYFUNCTION("""COMPUTED_VALUE"""),226.05)</f>
        <v>226.05</v>
      </c>
      <c r="E209" s="1">
        <f ca="1">IFERROR(__xludf.DUMMYFUNCTION("""COMPUTED_VALUE"""),235.87)</f>
        <v>235.87</v>
      </c>
      <c r="F209" s="1">
        <f ca="1">IFERROR(__xludf.DUMMYFUNCTION("""COMPUTED_VALUE"""),40647724)</f>
        <v>40647724</v>
      </c>
    </row>
    <row r="210" spans="1:6" ht="12.6">
      <c r="A210" s="2">
        <f ca="1">IFERROR(__xludf.DUMMYFUNCTION("""COMPUTED_VALUE"""),44865.6666666666)</f>
        <v>44865.666666666599</v>
      </c>
      <c r="B210" s="1">
        <f ca="1">IFERROR(__xludf.DUMMYFUNCTION("""COMPUTED_VALUE"""),233.76)</f>
        <v>233.76</v>
      </c>
      <c r="C210" s="1">
        <f ca="1">IFERROR(__xludf.DUMMYFUNCTION("""COMPUTED_VALUE"""),234.92)</f>
        <v>234.92</v>
      </c>
      <c r="D210" s="1">
        <f ca="1">IFERROR(__xludf.DUMMYFUNCTION("""COMPUTED_VALUE"""),231.15)</f>
        <v>231.15</v>
      </c>
      <c r="E210" s="1">
        <f ca="1">IFERROR(__xludf.DUMMYFUNCTION("""COMPUTED_VALUE"""),232.13)</f>
        <v>232.13</v>
      </c>
      <c r="F210" s="1">
        <f ca="1">IFERROR(__xludf.DUMMYFUNCTION("""COMPUTED_VALUE"""),28357265)</f>
        <v>28357265</v>
      </c>
    </row>
    <row r="211" spans="1:6" ht="12.6">
      <c r="A211" s="2">
        <f ca="1">IFERROR(__xludf.DUMMYFUNCTION("""COMPUTED_VALUE"""),44866.6666666666)</f>
        <v>44866.666666666599</v>
      </c>
      <c r="B211" s="1">
        <f ca="1">IFERROR(__xludf.DUMMYFUNCTION("""COMPUTED_VALUE"""),234.6)</f>
        <v>234.6</v>
      </c>
      <c r="C211" s="1">
        <f ca="1">IFERROR(__xludf.DUMMYFUNCTION("""COMPUTED_VALUE"""),235.74)</f>
        <v>235.74</v>
      </c>
      <c r="D211" s="1">
        <f ca="1">IFERROR(__xludf.DUMMYFUNCTION("""COMPUTED_VALUE"""),227.33)</f>
        <v>227.33</v>
      </c>
      <c r="E211" s="1">
        <f ca="1">IFERROR(__xludf.DUMMYFUNCTION("""COMPUTED_VALUE"""),228.17)</f>
        <v>228.17</v>
      </c>
      <c r="F211" s="1">
        <f ca="1">IFERROR(__xludf.DUMMYFUNCTION("""COMPUTED_VALUE"""),30592271)</f>
        <v>30592271</v>
      </c>
    </row>
    <row r="212" spans="1:6" ht="12.6">
      <c r="A212" s="2">
        <f ca="1">IFERROR(__xludf.DUMMYFUNCTION("""COMPUTED_VALUE"""),44867.6666666666)</f>
        <v>44867.666666666599</v>
      </c>
      <c r="B212" s="1">
        <f ca="1">IFERROR(__xludf.DUMMYFUNCTION("""COMPUTED_VALUE"""),229.46)</f>
        <v>229.46</v>
      </c>
      <c r="C212" s="1">
        <f ca="1">IFERROR(__xludf.DUMMYFUNCTION("""COMPUTED_VALUE"""),231.3)</f>
        <v>231.3</v>
      </c>
      <c r="D212" s="1">
        <f ca="1">IFERROR(__xludf.DUMMYFUNCTION("""COMPUTED_VALUE"""),220.04)</f>
        <v>220.04</v>
      </c>
      <c r="E212" s="1">
        <f ca="1">IFERROR(__xludf.DUMMYFUNCTION("""COMPUTED_VALUE"""),220.1)</f>
        <v>220.1</v>
      </c>
      <c r="F212" s="1">
        <f ca="1">IFERROR(__xludf.DUMMYFUNCTION("""COMPUTED_VALUE"""),38407008)</f>
        <v>38407008</v>
      </c>
    </row>
    <row r="213" spans="1:6" ht="12.6">
      <c r="A213" s="2">
        <f ca="1">IFERROR(__xludf.DUMMYFUNCTION("""COMPUTED_VALUE"""),44868.6666666666)</f>
        <v>44868.666666666599</v>
      </c>
      <c r="B213" s="1">
        <f ca="1">IFERROR(__xludf.DUMMYFUNCTION("""COMPUTED_VALUE"""),220.09)</f>
        <v>220.09</v>
      </c>
      <c r="C213" s="1">
        <f ca="1">IFERROR(__xludf.DUMMYFUNCTION("""COMPUTED_VALUE"""),220.41)</f>
        <v>220.41</v>
      </c>
      <c r="D213" s="1">
        <f ca="1">IFERROR(__xludf.DUMMYFUNCTION("""COMPUTED_VALUE"""),213.98)</f>
        <v>213.98</v>
      </c>
      <c r="E213" s="1">
        <f ca="1">IFERROR(__xludf.DUMMYFUNCTION("""COMPUTED_VALUE"""),214.25)</f>
        <v>214.25</v>
      </c>
      <c r="F213" s="1">
        <f ca="1">IFERROR(__xludf.DUMMYFUNCTION("""COMPUTED_VALUE"""),36633922)</f>
        <v>36633922</v>
      </c>
    </row>
    <row r="214" spans="1:6" ht="12.6">
      <c r="A214" s="2">
        <f ca="1">IFERROR(__xludf.DUMMYFUNCTION("""COMPUTED_VALUE"""),44869.6666666666)</f>
        <v>44869.666666666599</v>
      </c>
      <c r="B214" s="1">
        <f ca="1">IFERROR(__xludf.DUMMYFUNCTION("""COMPUTED_VALUE"""),217.55)</f>
        <v>217.55</v>
      </c>
      <c r="C214" s="1">
        <f ca="1">IFERROR(__xludf.DUMMYFUNCTION("""COMPUTED_VALUE"""),221.59)</f>
        <v>221.59</v>
      </c>
      <c r="D214" s="1">
        <f ca="1">IFERROR(__xludf.DUMMYFUNCTION("""COMPUTED_VALUE"""),213.43)</f>
        <v>213.43</v>
      </c>
      <c r="E214" s="1">
        <f ca="1">IFERROR(__xludf.DUMMYFUNCTION("""COMPUTED_VALUE"""),221.39)</f>
        <v>221.39</v>
      </c>
      <c r="F214" s="1">
        <f ca="1">IFERROR(__xludf.DUMMYFUNCTION("""COMPUTED_VALUE"""),36789063)</f>
        <v>36789063</v>
      </c>
    </row>
    <row r="215" spans="1:6" ht="12.6">
      <c r="A215" s="2">
        <f ca="1">IFERROR(__xludf.DUMMYFUNCTION("""COMPUTED_VALUE"""),44872.6666666666)</f>
        <v>44872.666666666599</v>
      </c>
      <c r="B215" s="1">
        <f ca="1">IFERROR(__xludf.DUMMYFUNCTION("""COMPUTED_VALUE"""),221.99)</f>
        <v>221.99</v>
      </c>
      <c r="C215" s="1">
        <f ca="1">IFERROR(__xludf.DUMMYFUNCTION("""COMPUTED_VALUE"""),228.41)</f>
        <v>228.41</v>
      </c>
      <c r="D215" s="1">
        <f ca="1">IFERROR(__xludf.DUMMYFUNCTION("""COMPUTED_VALUE"""),221.28)</f>
        <v>221.28</v>
      </c>
      <c r="E215" s="1">
        <f ca="1">IFERROR(__xludf.DUMMYFUNCTION("""COMPUTED_VALUE"""),227.87)</f>
        <v>227.87</v>
      </c>
      <c r="F215" s="1">
        <f ca="1">IFERROR(__xludf.DUMMYFUNCTION("""COMPUTED_VALUE"""),33497979)</f>
        <v>33497979</v>
      </c>
    </row>
    <row r="216" spans="1:6" ht="12.6">
      <c r="A216" s="2">
        <f ca="1">IFERROR(__xludf.DUMMYFUNCTION("""COMPUTED_VALUE"""),44873.6666666666)</f>
        <v>44873.666666666599</v>
      </c>
      <c r="B216" s="1">
        <f ca="1">IFERROR(__xludf.DUMMYFUNCTION("""COMPUTED_VALUE"""),228.7)</f>
        <v>228.7</v>
      </c>
      <c r="C216" s="1">
        <f ca="1">IFERROR(__xludf.DUMMYFUNCTION("""COMPUTED_VALUE"""),231.65)</f>
        <v>231.65</v>
      </c>
      <c r="D216" s="1">
        <f ca="1">IFERROR(__xludf.DUMMYFUNCTION("""COMPUTED_VALUE"""),225.84)</f>
        <v>225.84</v>
      </c>
      <c r="E216" s="1">
        <f ca="1">IFERROR(__xludf.DUMMYFUNCTION("""COMPUTED_VALUE"""),228.87)</f>
        <v>228.87</v>
      </c>
      <c r="F216" s="1">
        <f ca="1">IFERROR(__xludf.DUMMYFUNCTION("""COMPUTED_VALUE"""),28192548)</f>
        <v>28192548</v>
      </c>
    </row>
    <row r="217" spans="1:6" ht="12.6">
      <c r="A217" s="2">
        <f ca="1">IFERROR(__xludf.DUMMYFUNCTION("""COMPUTED_VALUE"""),44874.6666666666)</f>
        <v>44874.666666666599</v>
      </c>
      <c r="B217" s="1">
        <f ca="1">IFERROR(__xludf.DUMMYFUNCTION("""COMPUTED_VALUE"""),227.37)</f>
        <v>227.37</v>
      </c>
      <c r="C217" s="1">
        <f ca="1">IFERROR(__xludf.DUMMYFUNCTION("""COMPUTED_VALUE"""),228.63)</f>
        <v>228.63</v>
      </c>
      <c r="D217" s="1">
        <f ca="1">IFERROR(__xludf.DUMMYFUNCTION("""COMPUTED_VALUE"""),224.33)</f>
        <v>224.33</v>
      </c>
      <c r="E217" s="1">
        <f ca="1">IFERROR(__xludf.DUMMYFUNCTION("""COMPUTED_VALUE"""),224.51)</f>
        <v>224.51</v>
      </c>
      <c r="F217" s="1">
        <f ca="1">IFERROR(__xludf.DUMMYFUNCTION("""COMPUTED_VALUE"""),27852910)</f>
        <v>27852910</v>
      </c>
    </row>
    <row r="218" spans="1:6" ht="12.6">
      <c r="A218" s="2">
        <f ca="1">IFERROR(__xludf.DUMMYFUNCTION("""COMPUTED_VALUE"""),44875.6666666666)</f>
        <v>44875.666666666599</v>
      </c>
      <c r="B218" s="1">
        <f ca="1">IFERROR(__xludf.DUMMYFUNCTION("""COMPUTED_VALUE"""),235.43)</f>
        <v>235.43</v>
      </c>
      <c r="C218" s="1">
        <f ca="1">IFERROR(__xludf.DUMMYFUNCTION("""COMPUTED_VALUE"""),243.33)</f>
        <v>243.33</v>
      </c>
      <c r="D218" s="1">
        <f ca="1">IFERROR(__xludf.DUMMYFUNCTION("""COMPUTED_VALUE"""),235)</f>
        <v>235</v>
      </c>
      <c r="E218" s="1">
        <f ca="1">IFERROR(__xludf.DUMMYFUNCTION("""COMPUTED_VALUE"""),242.98)</f>
        <v>242.98</v>
      </c>
      <c r="F218" s="1">
        <f ca="1">IFERROR(__xludf.DUMMYFUNCTION("""COMPUTED_VALUE"""),46268021)</f>
        <v>46268021</v>
      </c>
    </row>
    <row r="219" spans="1:6" ht="12.6">
      <c r="A219" s="2">
        <f ca="1">IFERROR(__xludf.DUMMYFUNCTION("""COMPUTED_VALUE"""),44876.6666666666)</f>
        <v>44876.666666666599</v>
      </c>
      <c r="B219" s="1">
        <f ca="1">IFERROR(__xludf.DUMMYFUNCTION("""COMPUTED_VALUE"""),242.99)</f>
        <v>242.99</v>
      </c>
      <c r="C219" s="1">
        <f ca="1">IFERROR(__xludf.DUMMYFUNCTION("""COMPUTED_VALUE"""),247.99)</f>
        <v>247.99</v>
      </c>
      <c r="D219" s="1">
        <f ca="1">IFERROR(__xludf.DUMMYFUNCTION("""COMPUTED_VALUE"""),241.93)</f>
        <v>241.93</v>
      </c>
      <c r="E219" s="1">
        <f ca="1">IFERROR(__xludf.DUMMYFUNCTION("""COMPUTED_VALUE"""),247.11)</f>
        <v>247.11</v>
      </c>
      <c r="F219" s="1">
        <f ca="1">IFERROR(__xludf.DUMMYFUNCTION("""COMPUTED_VALUE"""),34620246)</f>
        <v>34620246</v>
      </c>
    </row>
    <row r="220" spans="1:6" ht="12.6">
      <c r="A220" s="2">
        <f ca="1">IFERROR(__xludf.DUMMYFUNCTION("""COMPUTED_VALUE"""),44879.6666666666)</f>
        <v>44879.666666666599</v>
      </c>
      <c r="B220" s="1">
        <f ca="1">IFERROR(__xludf.DUMMYFUNCTION("""COMPUTED_VALUE"""),241.99)</f>
        <v>241.99</v>
      </c>
      <c r="C220" s="1">
        <f ca="1">IFERROR(__xludf.DUMMYFUNCTION("""COMPUTED_VALUE"""),243.91)</f>
        <v>243.91</v>
      </c>
      <c r="D220" s="1">
        <f ca="1">IFERROR(__xludf.DUMMYFUNCTION("""COMPUTED_VALUE"""),239.21)</f>
        <v>239.21</v>
      </c>
      <c r="E220" s="1">
        <f ca="1">IFERROR(__xludf.DUMMYFUNCTION("""COMPUTED_VALUE"""),241.55)</f>
        <v>241.55</v>
      </c>
      <c r="F220" s="1">
        <f ca="1">IFERROR(__xludf.DUMMYFUNCTION("""COMPUTED_VALUE"""),31123340)</f>
        <v>31123340</v>
      </c>
    </row>
    <row r="221" spans="1:6" ht="12.6">
      <c r="A221" s="2">
        <f ca="1">IFERROR(__xludf.DUMMYFUNCTION("""COMPUTED_VALUE"""),44880.6666666666)</f>
        <v>44880.666666666599</v>
      </c>
      <c r="B221" s="1">
        <f ca="1">IFERROR(__xludf.DUMMYFUNCTION("""COMPUTED_VALUE"""),245.66)</f>
        <v>245.66</v>
      </c>
      <c r="C221" s="1">
        <f ca="1">IFERROR(__xludf.DUMMYFUNCTION("""COMPUTED_VALUE"""),247)</f>
        <v>247</v>
      </c>
      <c r="D221" s="1">
        <f ca="1">IFERROR(__xludf.DUMMYFUNCTION("""COMPUTED_VALUE"""),240.03)</f>
        <v>240.03</v>
      </c>
      <c r="E221" s="1">
        <f ca="1">IFERROR(__xludf.DUMMYFUNCTION("""COMPUTED_VALUE"""),241.97)</f>
        <v>241.97</v>
      </c>
      <c r="F221" s="1">
        <f ca="1">IFERROR(__xludf.DUMMYFUNCTION("""COMPUTED_VALUE"""),31390117)</f>
        <v>31390117</v>
      </c>
    </row>
    <row r="222" spans="1:6" ht="12.6">
      <c r="A222" s="2">
        <f ca="1">IFERROR(__xludf.DUMMYFUNCTION("""COMPUTED_VALUE"""),44881.6666666666)</f>
        <v>44881.666666666599</v>
      </c>
      <c r="B222" s="1">
        <f ca="1">IFERROR(__xludf.DUMMYFUNCTION("""COMPUTED_VALUE"""),242.79)</f>
        <v>242.79</v>
      </c>
      <c r="C222" s="1">
        <f ca="1">IFERROR(__xludf.DUMMYFUNCTION("""COMPUTED_VALUE"""),243.8)</f>
        <v>243.8</v>
      </c>
      <c r="D222" s="1">
        <f ca="1">IFERROR(__xludf.DUMMYFUNCTION("""COMPUTED_VALUE"""),240.42)</f>
        <v>240.42</v>
      </c>
      <c r="E222" s="1">
        <f ca="1">IFERROR(__xludf.DUMMYFUNCTION("""COMPUTED_VALUE"""),241.73)</f>
        <v>241.73</v>
      </c>
      <c r="F222" s="1">
        <f ca="1">IFERROR(__xludf.DUMMYFUNCTION("""COMPUTED_VALUE"""),24093272)</f>
        <v>24093272</v>
      </c>
    </row>
    <row r="223" spans="1:6" ht="12.6">
      <c r="A223" s="2">
        <f ca="1">IFERROR(__xludf.DUMMYFUNCTION("""COMPUTED_VALUE"""),44882.6666666666)</f>
        <v>44882.666666666599</v>
      </c>
      <c r="B223" s="1">
        <f ca="1">IFERROR(__xludf.DUMMYFUNCTION("""COMPUTED_VALUE"""),237.78)</f>
        <v>237.78</v>
      </c>
      <c r="C223" s="1">
        <f ca="1">IFERROR(__xludf.DUMMYFUNCTION("""COMPUTED_VALUE"""),243.25)</f>
        <v>243.25</v>
      </c>
      <c r="D223" s="1">
        <f ca="1">IFERROR(__xludf.DUMMYFUNCTION("""COMPUTED_VALUE"""),237.63)</f>
        <v>237.63</v>
      </c>
      <c r="E223" s="1">
        <f ca="1">IFERROR(__xludf.DUMMYFUNCTION("""COMPUTED_VALUE"""),241.68)</f>
        <v>241.68</v>
      </c>
      <c r="F223" s="1">
        <f ca="1">IFERROR(__xludf.DUMMYFUNCTION("""COMPUTED_VALUE"""),23123544)</f>
        <v>23123544</v>
      </c>
    </row>
    <row r="224" spans="1:6" ht="12.6">
      <c r="A224" s="2">
        <f ca="1">IFERROR(__xludf.DUMMYFUNCTION("""COMPUTED_VALUE"""),44883.6666666666)</f>
        <v>44883.666666666599</v>
      </c>
      <c r="B224" s="1">
        <f ca="1">IFERROR(__xludf.DUMMYFUNCTION("""COMPUTED_VALUE"""),243.51)</f>
        <v>243.51</v>
      </c>
      <c r="C224" s="1">
        <f ca="1">IFERROR(__xludf.DUMMYFUNCTION("""COMPUTED_VALUE"""),243.74)</f>
        <v>243.74</v>
      </c>
      <c r="D224" s="1">
        <f ca="1">IFERROR(__xludf.DUMMYFUNCTION("""COMPUTED_VALUE"""),239.03)</f>
        <v>239.03</v>
      </c>
      <c r="E224" s="1">
        <f ca="1">IFERROR(__xludf.DUMMYFUNCTION("""COMPUTED_VALUE"""),241.22)</f>
        <v>241.22</v>
      </c>
      <c r="F224" s="1">
        <f ca="1">IFERROR(__xludf.DUMMYFUNCTION("""COMPUTED_VALUE"""),27613523)</f>
        <v>27613523</v>
      </c>
    </row>
    <row r="225" spans="1:6" ht="12.6">
      <c r="A225" s="2">
        <f ca="1">IFERROR(__xludf.DUMMYFUNCTION("""COMPUTED_VALUE"""),44886.6666666666)</f>
        <v>44886.666666666599</v>
      </c>
      <c r="B225" s="1">
        <f ca="1">IFERROR(__xludf.DUMMYFUNCTION("""COMPUTED_VALUE"""),241.43)</f>
        <v>241.43</v>
      </c>
      <c r="C225" s="1">
        <f ca="1">IFERROR(__xludf.DUMMYFUNCTION("""COMPUTED_VALUE"""),244.67)</f>
        <v>244.67</v>
      </c>
      <c r="D225" s="1">
        <f ca="1">IFERROR(__xludf.DUMMYFUNCTION("""COMPUTED_VALUE"""),241.19)</f>
        <v>241.19</v>
      </c>
      <c r="E225" s="1">
        <f ca="1">IFERROR(__xludf.DUMMYFUNCTION("""COMPUTED_VALUE"""),242.05)</f>
        <v>242.05</v>
      </c>
      <c r="F225" s="1">
        <f ca="1">IFERROR(__xludf.DUMMYFUNCTION("""COMPUTED_VALUE"""),26394700)</f>
        <v>26394700</v>
      </c>
    </row>
    <row r="226" spans="1:6" ht="12.6">
      <c r="A226" s="2">
        <f ca="1">IFERROR(__xludf.DUMMYFUNCTION("""COMPUTED_VALUE"""),44887.6666666666)</f>
        <v>44887.666666666599</v>
      </c>
      <c r="B226" s="1">
        <f ca="1">IFERROR(__xludf.DUMMYFUNCTION("""COMPUTED_VALUE"""),243.59)</f>
        <v>243.59</v>
      </c>
      <c r="C226" s="1">
        <f ca="1">IFERROR(__xludf.DUMMYFUNCTION("""COMPUTED_VALUE"""),245.31)</f>
        <v>245.31</v>
      </c>
      <c r="D226" s="1">
        <f ca="1">IFERROR(__xludf.DUMMYFUNCTION("""COMPUTED_VALUE"""),240.71)</f>
        <v>240.71</v>
      </c>
      <c r="E226" s="1">
        <f ca="1">IFERROR(__xludf.DUMMYFUNCTION("""COMPUTED_VALUE"""),245.03)</f>
        <v>245.03</v>
      </c>
      <c r="F226" s="1">
        <f ca="1">IFERROR(__xludf.DUMMYFUNCTION("""COMPUTED_VALUE"""),19665699)</f>
        <v>19665699</v>
      </c>
    </row>
    <row r="227" spans="1:6" ht="12.6">
      <c r="A227" s="2">
        <f ca="1">IFERROR(__xludf.DUMMYFUNCTION("""COMPUTED_VALUE"""),44888.6666666666)</f>
        <v>44888.666666666599</v>
      </c>
      <c r="B227" s="1">
        <f ca="1">IFERROR(__xludf.DUMMYFUNCTION("""COMPUTED_VALUE"""),245.11)</f>
        <v>245.11</v>
      </c>
      <c r="C227" s="1">
        <f ca="1">IFERROR(__xludf.DUMMYFUNCTION("""COMPUTED_VALUE"""),248.28)</f>
        <v>248.28</v>
      </c>
      <c r="D227" s="1">
        <f ca="1">IFERROR(__xludf.DUMMYFUNCTION("""COMPUTED_VALUE"""),244.27)</f>
        <v>244.27</v>
      </c>
      <c r="E227" s="1">
        <f ca="1">IFERROR(__xludf.DUMMYFUNCTION("""COMPUTED_VALUE"""),247.58)</f>
        <v>247.58</v>
      </c>
      <c r="F227" s="1">
        <f ca="1">IFERROR(__xludf.DUMMYFUNCTION("""COMPUTED_VALUE"""),19508462)</f>
        <v>19508462</v>
      </c>
    </row>
    <row r="228" spans="1:6" ht="12.6">
      <c r="A228" s="2">
        <f ca="1">IFERROR(__xludf.DUMMYFUNCTION("""COMPUTED_VALUE"""),44890.5451388888)</f>
        <v>44890.545138888803</v>
      </c>
      <c r="B228" s="1">
        <f ca="1">IFERROR(__xludf.DUMMYFUNCTION("""COMPUTED_VALUE"""),247.31)</f>
        <v>247.31</v>
      </c>
      <c r="C228" s="1">
        <f ca="1">IFERROR(__xludf.DUMMYFUNCTION("""COMPUTED_VALUE"""),248.7)</f>
        <v>248.7</v>
      </c>
      <c r="D228" s="1">
        <f ca="1">IFERROR(__xludf.DUMMYFUNCTION("""COMPUTED_VALUE"""),246.73)</f>
        <v>246.73</v>
      </c>
      <c r="E228" s="1">
        <f ca="1">IFERROR(__xludf.DUMMYFUNCTION("""COMPUTED_VALUE"""),247.49)</f>
        <v>247.49</v>
      </c>
      <c r="F228" s="1">
        <f ca="1">IFERROR(__xludf.DUMMYFUNCTION("""COMPUTED_VALUE"""),9200772)</f>
        <v>9200772</v>
      </c>
    </row>
    <row r="229" spans="1:6" ht="12.6">
      <c r="A229" s="2">
        <f ca="1">IFERROR(__xludf.DUMMYFUNCTION("""COMPUTED_VALUE"""),44893.6666666666)</f>
        <v>44893.666666666599</v>
      </c>
      <c r="B229" s="1">
        <f ca="1">IFERROR(__xludf.DUMMYFUNCTION("""COMPUTED_VALUE"""),246.08)</f>
        <v>246.08</v>
      </c>
      <c r="C229" s="1">
        <f ca="1">IFERROR(__xludf.DUMMYFUNCTION("""COMPUTED_VALUE"""),246.65)</f>
        <v>246.65</v>
      </c>
      <c r="D229" s="1">
        <f ca="1">IFERROR(__xludf.DUMMYFUNCTION("""COMPUTED_VALUE"""),240.8)</f>
        <v>240.8</v>
      </c>
      <c r="E229" s="1">
        <f ca="1">IFERROR(__xludf.DUMMYFUNCTION("""COMPUTED_VALUE"""),241.76)</f>
        <v>241.76</v>
      </c>
      <c r="F229" s="1">
        <f ca="1">IFERROR(__xludf.DUMMYFUNCTION("""COMPUTED_VALUE"""),24810271)</f>
        <v>24810271</v>
      </c>
    </row>
    <row r="230" spans="1:6" ht="12.6">
      <c r="A230" s="2">
        <f ca="1">IFERROR(__xludf.DUMMYFUNCTION("""COMPUTED_VALUE"""),44894.6666666666)</f>
        <v>44894.666666666599</v>
      </c>
      <c r="B230" s="1">
        <f ca="1">IFERROR(__xludf.DUMMYFUNCTION("""COMPUTED_VALUE"""),241.4)</f>
        <v>241.4</v>
      </c>
      <c r="C230" s="1">
        <f ca="1">IFERROR(__xludf.DUMMYFUNCTION("""COMPUTED_VALUE"""),242.79)</f>
        <v>242.79</v>
      </c>
      <c r="D230" s="1">
        <f ca="1">IFERROR(__xludf.DUMMYFUNCTION("""COMPUTED_VALUE"""),238.21)</f>
        <v>238.21</v>
      </c>
      <c r="E230" s="1">
        <f ca="1">IFERROR(__xludf.DUMMYFUNCTION("""COMPUTED_VALUE"""),240.33)</f>
        <v>240.33</v>
      </c>
      <c r="F230" s="1">
        <f ca="1">IFERROR(__xludf.DUMMYFUNCTION("""COMPUTED_VALUE"""),17956313)</f>
        <v>17956313</v>
      </c>
    </row>
    <row r="231" spans="1:6" ht="12.6">
      <c r="A231" s="2">
        <f ca="1">IFERROR(__xludf.DUMMYFUNCTION("""COMPUTED_VALUE"""),44895.6666666666)</f>
        <v>44895.666666666599</v>
      </c>
      <c r="B231" s="1">
        <f ca="1">IFERROR(__xludf.DUMMYFUNCTION("""COMPUTED_VALUE"""),240.57)</f>
        <v>240.57</v>
      </c>
      <c r="C231" s="1">
        <f ca="1">IFERROR(__xludf.DUMMYFUNCTION("""COMPUTED_VALUE"""),255.33)</f>
        <v>255.33</v>
      </c>
      <c r="D231" s="1">
        <f ca="1">IFERROR(__xludf.DUMMYFUNCTION("""COMPUTED_VALUE"""),239.86)</f>
        <v>239.86</v>
      </c>
      <c r="E231" s="1">
        <f ca="1">IFERROR(__xludf.DUMMYFUNCTION("""COMPUTED_VALUE"""),255.14)</f>
        <v>255.14</v>
      </c>
      <c r="F231" s="1">
        <f ca="1">IFERROR(__xludf.DUMMYFUNCTION("""COMPUTED_VALUE"""),47594239)</f>
        <v>47594239</v>
      </c>
    </row>
    <row r="232" spans="1:6" ht="12.6">
      <c r="A232" s="2">
        <f ca="1">IFERROR(__xludf.DUMMYFUNCTION("""COMPUTED_VALUE"""),44896.6666666666)</f>
        <v>44896.666666666599</v>
      </c>
      <c r="B232" s="1">
        <f ca="1">IFERROR(__xludf.DUMMYFUNCTION("""COMPUTED_VALUE"""),253.87)</f>
        <v>253.87</v>
      </c>
      <c r="C232" s="1">
        <f ca="1">IFERROR(__xludf.DUMMYFUNCTION("""COMPUTED_VALUE"""),256.12)</f>
        <v>256.12</v>
      </c>
      <c r="D232" s="1">
        <f ca="1">IFERROR(__xludf.DUMMYFUNCTION("""COMPUTED_VALUE"""),250.92)</f>
        <v>250.92</v>
      </c>
      <c r="E232" s="1">
        <f ca="1">IFERROR(__xludf.DUMMYFUNCTION("""COMPUTED_VALUE"""),254.69)</f>
        <v>254.69</v>
      </c>
      <c r="F232" s="1">
        <f ca="1">IFERROR(__xludf.DUMMYFUNCTION("""COMPUTED_VALUE"""),26041524)</f>
        <v>26041524</v>
      </c>
    </row>
    <row r="233" spans="1:6" ht="12.6">
      <c r="A233" s="2">
        <f ca="1">IFERROR(__xludf.DUMMYFUNCTION("""COMPUTED_VALUE"""),44897.6666666666)</f>
        <v>44897.666666666599</v>
      </c>
      <c r="B233" s="1">
        <f ca="1">IFERROR(__xludf.DUMMYFUNCTION("""COMPUTED_VALUE"""),249.82)</f>
        <v>249.82</v>
      </c>
      <c r="C233" s="1">
        <f ca="1">IFERROR(__xludf.DUMMYFUNCTION("""COMPUTED_VALUE"""),256.06)</f>
        <v>256.06</v>
      </c>
      <c r="D233" s="1">
        <f ca="1">IFERROR(__xludf.DUMMYFUNCTION("""COMPUTED_VALUE"""),249.69)</f>
        <v>249.69</v>
      </c>
      <c r="E233" s="1">
        <f ca="1">IFERROR(__xludf.DUMMYFUNCTION("""COMPUTED_VALUE"""),255.02)</f>
        <v>255.02</v>
      </c>
      <c r="F233" s="1">
        <f ca="1">IFERROR(__xludf.DUMMYFUNCTION("""COMPUTED_VALUE"""),21528520)</f>
        <v>21528520</v>
      </c>
    </row>
    <row r="234" spans="1:6" ht="12.6">
      <c r="A234" s="2">
        <f ca="1">IFERROR(__xludf.DUMMYFUNCTION("""COMPUTED_VALUE"""),44900.6666666666)</f>
        <v>44900.666666666599</v>
      </c>
      <c r="B234" s="1">
        <f ca="1">IFERROR(__xludf.DUMMYFUNCTION("""COMPUTED_VALUE"""),252.01)</f>
        <v>252.01</v>
      </c>
      <c r="C234" s="1">
        <f ca="1">IFERROR(__xludf.DUMMYFUNCTION("""COMPUTED_VALUE"""),253.82)</f>
        <v>253.82</v>
      </c>
      <c r="D234" s="1">
        <f ca="1">IFERROR(__xludf.DUMMYFUNCTION("""COMPUTED_VALUE"""),248.06)</f>
        <v>248.06</v>
      </c>
      <c r="E234" s="1">
        <f ca="1">IFERROR(__xludf.DUMMYFUNCTION("""COMPUTED_VALUE"""),250.2)</f>
        <v>250.2</v>
      </c>
      <c r="F234" s="1">
        <f ca="1">IFERROR(__xludf.DUMMYFUNCTION("""COMPUTED_VALUE"""),23435294)</f>
        <v>23435294</v>
      </c>
    </row>
    <row r="235" spans="1:6" ht="12.6">
      <c r="A235" s="2">
        <f ca="1">IFERROR(__xludf.DUMMYFUNCTION("""COMPUTED_VALUE"""),44901.6666666666)</f>
        <v>44901.666666666599</v>
      </c>
      <c r="B235" s="1">
        <f ca="1">IFERROR(__xludf.DUMMYFUNCTION("""COMPUTED_VALUE"""),250.82)</f>
        <v>250.82</v>
      </c>
      <c r="C235" s="1">
        <f ca="1">IFERROR(__xludf.DUMMYFUNCTION("""COMPUTED_VALUE"""),251.86)</f>
        <v>251.86</v>
      </c>
      <c r="D235" s="1">
        <f ca="1">IFERROR(__xludf.DUMMYFUNCTION("""COMPUTED_VALUE"""),243.78)</f>
        <v>243.78</v>
      </c>
      <c r="E235" s="1">
        <f ca="1">IFERROR(__xludf.DUMMYFUNCTION("""COMPUTED_VALUE"""),245.12)</f>
        <v>245.12</v>
      </c>
      <c r="F235" s="1">
        <f ca="1">IFERROR(__xludf.DUMMYFUNCTION("""COMPUTED_VALUE"""),22463727)</f>
        <v>22463727</v>
      </c>
    </row>
    <row r="236" spans="1:6" ht="12.6">
      <c r="A236" s="2">
        <f ca="1">IFERROR(__xludf.DUMMYFUNCTION("""COMPUTED_VALUE"""),44902.6666666666)</f>
        <v>44902.666666666599</v>
      </c>
      <c r="B236" s="1">
        <f ca="1">IFERROR(__xludf.DUMMYFUNCTION("""COMPUTED_VALUE"""),244.83)</f>
        <v>244.83</v>
      </c>
      <c r="C236" s="1">
        <f ca="1">IFERROR(__xludf.DUMMYFUNCTION("""COMPUTED_VALUE"""),246.16)</f>
        <v>246.16</v>
      </c>
      <c r="D236" s="1">
        <f ca="1">IFERROR(__xludf.DUMMYFUNCTION("""COMPUTED_VALUE"""),242.21)</f>
        <v>242.21</v>
      </c>
      <c r="E236" s="1">
        <f ca="1">IFERROR(__xludf.DUMMYFUNCTION("""COMPUTED_VALUE"""),244.37)</f>
        <v>244.37</v>
      </c>
      <c r="F236" s="1">
        <f ca="1">IFERROR(__xludf.DUMMYFUNCTION("""COMPUTED_VALUE"""),20481522)</f>
        <v>20481522</v>
      </c>
    </row>
    <row r="237" spans="1:6" ht="12.6">
      <c r="A237" s="2">
        <f ca="1">IFERROR(__xludf.DUMMYFUNCTION("""COMPUTED_VALUE"""),44903.6666666666)</f>
        <v>44903.666666666599</v>
      </c>
      <c r="B237" s="1">
        <f ca="1">IFERROR(__xludf.DUMMYFUNCTION("""COMPUTED_VALUE"""),244.84)</f>
        <v>244.84</v>
      </c>
      <c r="C237" s="1">
        <f ca="1">IFERROR(__xludf.DUMMYFUNCTION("""COMPUTED_VALUE"""),248.74)</f>
        <v>248.74</v>
      </c>
      <c r="D237" s="1">
        <f ca="1">IFERROR(__xludf.DUMMYFUNCTION("""COMPUTED_VALUE"""),243.06)</f>
        <v>243.06</v>
      </c>
      <c r="E237" s="1">
        <f ca="1">IFERROR(__xludf.DUMMYFUNCTION("""COMPUTED_VALUE"""),247.4)</f>
        <v>247.4</v>
      </c>
      <c r="F237" s="1">
        <f ca="1">IFERROR(__xludf.DUMMYFUNCTION("""COMPUTED_VALUE"""),22611757)</f>
        <v>22611757</v>
      </c>
    </row>
    <row r="238" spans="1:6" ht="12.6">
      <c r="A238" s="2">
        <f ca="1">IFERROR(__xludf.DUMMYFUNCTION("""COMPUTED_VALUE"""),44904.6666666666)</f>
        <v>44904.666666666599</v>
      </c>
      <c r="B238" s="1">
        <f ca="1">IFERROR(__xludf.DUMMYFUNCTION("""COMPUTED_VALUE"""),244.7)</f>
        <v>244.7</v>
      </c>
      <c r="C238" s="1">
        <f ca="1">IFERROR(__xludf.DUMMYFUNCTION("""COMPUTED_VALUE"""),248.31)</f>
        <v>248.31</v>
      </c>
      <c r="D238" s="1">
        <f ca="1">IFERROR(__xludf.DUMMYFUNCTION("""COMPUTED_VALUE"""),244.16)</f>
        <v>244.16</v>
      </c>
      <c r="E238" s="1">
        <f ca="1">IFERROR(__xludf.DUMMYFUNCTION("""COMPUTED_VALUE"""),245.42)</f>
        <v>245.42</v>
      </c>
      <c r="F238" s="1">
        <f ca="1">IFERROR(__xludf.DUMMYFUNCTION("""COMPUTED_VALUE"""),20609743)</f>
        <v>20609743</v>
      </c>
    </row>
    <row r="239" spans="1:6" ht="12.6">
      <c r="A239" s="2">
        <f ca="1">IFERROR(__xludf.DUMMYFUNCTION("""COMPUTED_VALUE"""),44907.6666666666)</f>
        <v>44907.666666666599</v>
      </c>
      <c r="B239" s="1">
        <f ca="1">IFERROR(__xludf.DUMMYFUNCTION("""COMPUTED_VALUE"""),247.45)</f>
        <v>247.45</v>
      </c>
      <c r="C239" s="1">
        <f ca="1">IFERROR(__xludf.DUMMYFUNCTION("""COMPUTED_VALUE"""),252.54)</f>
        <v>252.54</v>
      </c>
      <c r="D239" s="1">
        <f ca="1">IFERROR(__xludf.DUMMYFUNCTION("""COMPUTED_VALUE"""),247.17)</f>
        <v>247.17</v>
      </c>
      <c r="E239" s="1">
        <f ca="1">IFERROR(__xludf.DUMMYFUNCTION("""COMPUTED_VALUE"""),252.51)</f>
        <v>252.51</v>
      </c>
      <c r="F239" s="1">
        <f ca="1">IFERROR(__xludf.DUMMYFUNCTION("""COMPUTED_VALUE"""),30665069)</f>
        <v>30665069</v>
      </c>
    </row>
    <row r="240" spans="1:6" ht="12.6">
      <c r="A240" s="2">
        <f ca="1">IFERROR(__xludf.DUMMYFUNCTION("""COMPUTED_VALUE"""),44908.6666666666)</f>
        <v>44908.666666666599</v>
      </c>
      <c r="B240" s="1">
        <f ca="1">IFERROR(__xludf.DUMMYFUNCTION("""COMPUTED_VALUE"""),261.69)</f>
        <v>261.69</v>
      </c>
      <c r="C240" s="1">
        <f ca="1">IFERROR(__xludf.DUMMYFUNCTION("""COMPUTED_VALUE"""),263.92)</f>
        <v>263.92</v>
      </c>
      <c r="D240" s="1">
        <f ca="1">IFERROR(__xludf.DUMMYFUNCTION("""COMPUTED_VALUE"""),253.07)</f>
        <v>253.07</v>
      </c>
      <c r="E240" s="1">
        <f ca="1">IFERROR(__xludf.DUMMYFUNCTION("""COMPUTED_VALUE"""),256.92)</f>
        <v>256.92</v>
      </c>
      <c r="F240" s="1">
        <f ca="1">IFERROR(__xludf.DUMMYFUNCTION("""COMPUTED_VALUE"""),42196884)</f>
        <v>42196884</v>
      </c>
    </row>
    <row r="241" spans="1:6" ht="12.6">
      <c r="A241" s="2">
        <f ca="1">IFERROR(__xludf.DUMMYFUNCTION("""COMPUTED_VALUE"""),44909.6666666666)</f>
        <v>44909.666666666599</v>
      </c>
      <c r="B241" s="1">
        <f ca="1">IFERROR(__xludf.DUMMYFUNCTION("""COMPUTED_VALUE"""),257.13)</f>
        <v>257.13</v>
      </c>
      <c r="C241" s="1">
        <f ca="1">IFERROR(__xludf.DUMMYFUNCTION("""COMPUTED_VALUE"""),262.59)</f>
        <v>262.58999999999997</v>
      </c>
      <c r="D241" s="1">
        <f ca="1">IFERROR(__xludf.DUMMYFUNCTION("""COMPUTED_VALUE"""),254.31)</f>
        <v>254.31</v>
      </c>
      <c r="E241" s="1">
        <f ca="1">IFERROR(__xludf.DUMMYFUNCTION("""COMPUTED_VALUE"""),257.22)</f>
        <v>257.22000000000003</v>
      </c>
      <c r="F241" s="1">
        <f ca="1">IFERROR(__xludf.DUMMYFUNCTION("""COMPUTED_VALUE"""),35410933)</f>
        <v>35410933</v>
      </c>
    </row>
    <row r="242" spans="1:6" ht="12.6">
      <c r="A242" s="2">
        <f ca="1">IFERROR(__xludf.DUMMYFUNCTION("""COMPUTED_VALUE"""),44910.6666666666)</f>
        <v>44910.666666666599</v>
      </c>
      <c r="B242" s="1">
        <f ca="1">IFERROR(__xludf.DUMMYFUNCTION("""COMPUTED_VALUE"""),253.72)</f>
        <v>253.72</v>
      </c>
      <c r="C242" s="1">
        <f ca="1">IFERROR(__xludf.DUMMYFUNCTION("""COMPUTED_VALUE"""),254.2)</f>
        <v>254.2</v>
      </c>
      <c r="D242" s="1">
        <f ca="1">IFERROR(__xludf.DUMMYFUNCTION("""COMPUTED_VALUE"""),247.34)</f>
        <v>247.34</v>
      </c>
      <c r="E242" s="1">
        <f ca="1">IFERROR(__xludf.DUMMYFUNCTION("""COMPUTED_VALUE"""),249.01)</f>
        <v>249.01</v>
      </c>
      <c r="F242" s="1">
        <f ca="1">IFERROR(__xludf.DUMMYFUNCTION("""COMPUTED_VALUE"""),35568093)</f>
        <v>35568093</v>
      </c>
    </row>
    <row r="243" spans="1:6" ht="12.6">
      <c r="A243" s="2">
        <f ca="1">IFERROR(__xludf.DUMMYFUNCTION("""COMPUTED_VALUE"""),44911.6666666666)</f>
        <v>44911.666666666599</v>
      </c>
      <c r="B243" s="1">
        <f ca="1">IFERROR(__xludf.DUMMYFUNCTION("""COMPUTED_VALUE"""),248.55)</f>
        <v>248.55</v>
      </c>
      <c r="C243" s="1">
        <f ca="1">IFERROR(__xludf.DUMMYFUNCTION("""COMPUTED_VALUE"""),249.84)</f>
        <v>249.84</v>
      </c>
      <c r="D243" s="1">
        <f ca="1">IFERROR(__xludf.DUMMYFUNCTION("""COMPUTED_VALUE"""),243.51)</f>
        <v>243.51</v>
      </c>
      <c r="E243" s="1">
        <f ca="1">IFERROR(__xludf.DUMMYFUNCTION("""COMPUTED_VALUE"""),244.69)</f>
        <v>244.69</v>
      </c>
      <c r="F243" s="1">
        <f ca="1">IFERROR(__xludf.DUMMYFUNCTION("""COMPUTED_VALUE"""),86101994)</f>
        <v>86101994</v>
      </c>
    </row>
    <row r="244" spans="1:6" ht="12.6">
      <c r="A244" s="2">
        <f ca="1">IFERROR(__xludf.DUMMYFUNCTION("""COMPUTED_VALUE"""),44914.6666666666)</f>
        <v>44914.666666666599</v>
      </c>
      <c r="B244" s="1">
        <f ca="1">IFERROR(__xludf.DUMMYFUNCTION("""COMPUTED_VALUE"""),244.86)</f>
        <v>244.86</v>
      </c>
      <c r="C244" s="1">
        <f ca="1">IFERROR(__xludf.DUMMYFUNCTION("""COMPUTED_VALUE"""),245.21)</f>
        <v>245.21</v>
      </c>
      <c r="D244" s="1">
        <f ca="1">IFERROR(__xludf.DUMMYFUNCTION("""COMPUTED_VALUE"""),238.71)</f>
        <v>238.71</v>
      </c>
      <c r="E244" s="1">
        <f ca="1">IFERROR(__xludf.DUMMYFUNCTION("""COMPUTED_VALUE"""),240.45)</f>
        <v>240.45</v>
      </c>
      <c r="F244" s="1">
        <f ca="1">IFERROR(__xludf.DUMMYFUNCTION("""COMPUTED_VALUE"""),29696436)</f>
        <v>29696436</v>
      </c>
    </row>
    <row r="245" spans="1:6" ht="12.6">
      <c r="A245" s="2">
        <f ca="1">IFERROR(__xludf.DUMMYFUNCTION("""COMPUTED_VALUE"""),44915.6666666666)</f>
        <v>44915.666666666599</v>
      </c>
      <c r="B245" s="1">
        <f ca="1">IFERROR(__xludf.DUMMYFUNCTION("""COMPUTED_VALUE"""),239.4)</f>
        <v>239.4</v>
      </c>
      <c r="C245" s="1">
        <f ca="1">IFERROR(__xludf.DUMMYFUNCTION("""COMPUTED_VALUE"""),242.91)</f>
        <v>242.91</v>
      </c>
      <c r="D245" s="1">
        <f ca="1">IFERROR(__xludf.DUMMYFUNCTION("""COMPUTED_VALUE"""),238.42)</f>
        <v>238.42</v>
      </c>
      <c r="E245" s="1">
        <f ca="1">IFERROR(__xludf.DUMMYFUNCTION("""COMPUTED_VALUE"""),241.8)</f>
        <v>241.8</v>
      </c>
      <c r="F245" s="1">
        <f ca="1">IFERROR(__xludf.DUMMYFUNCTION("""COMPUTED_VALUE"""),25150802)</f>
        <v>25150802</v>
      </c>
    </row>
    <row r="246" spans="1:6" ht="12.6">
      <c r="A246" s="2">
        <f ca="1">IFERROR(__xludf.DUMMYFUNCTION("""COMPUTED_VALUE"""),44916.6666666666)</f>
        <v>44916.666666666599</v>
      </c>
      <c r="B246" s="1">
        <f ca="1">IFERROR(__xludf.DUMMYFUNCTION("""COMPUTED_VALUE"""),241.69)</f>
        <v>241.69</v>
      </c>
      <c r="C246" s="1">
        <f ca="1">IFERROR(__xludf.DUMMYFUNCTION("""COMPUTED_VALUE"""),245.62)</f>
        <v>245.62</v>
      </c>
      <c r="D246" s="1">
        <f ca="1">IFERROR(__xludf.DUMMYFUNCTION("""COMPUTED_VALUE"""),240.11)</f>
        <v>240.11</v>
      </c>
      <c r="E246" s="1">
        <f ca="1">IFERROR(__xludf.DUMMYFUNCTION("""COMPUTED_VALUE"""),244.43)</f>
        <v>244.43</v>
      </c>
      <c r="F246" s="1">
        <f ca="1">IFERROR(__xludf.DUMMYFUNCTION("""COMPUTED_VALUE"""),23690607)</f>
        <v>23690607</v>
      </c>
    </row>
    <row r="247" spans="1:6" ht="12.6">
      <c r="A247" s="2">
        <f ca="1">IFERROR(__xludf.DUMMYFUNCTION("""COMPUTED_VALUE"""),44917.6666666666)</f>
        <v>44917.666666666599</v>
      </c>
      <c r="B247" s="1">
        <f ca="1">IFERROR(__xludf.DUMMYFUNCTION("""COMPUTED_VALUE"""),241.26)</f>
        <v>241.26</v>
      </c>
      <c r="C247" s="1">
        <f ca="1">IFERROR(__xludf.DUMMYFUNCTION("""COMPUTED_VALUE"""),241.99)</f>
        <v>241.99</v>
      </c>
      <c r="D247" s="1">
        <f ca="1">IFERROR(__xludf.DUMMYFUNCTION("""COMPUTED_VALUE"""),233.87)</f>
        <v>233.87</v>
      </c>
      <c r="E247" s="1">
        <f ca="1">IFERROR(__xludf.DUMMYFUNCTION("""COMPUTED_VALUE"""),238.19)</f>
        <v>238.19</v>
      </c>
      <c r="F247" s="1">
        <f ca="1">IFERROR(__xludf.DUMMYFUNCTION("""COMPUTED_VALUE"""),28651664)</f>
        <v>28651664</v>
      </c>
    </row>
    <row r="248" spans="1:6" ht="12.6">
      <c r="A248" s="2">
        <f ca="1">IFERROR(__xludf.DUMMYFUNCTION("""COMPUTED_VALUE"""),44918.6666666666)</f>
        <v>44918.666666666599</v>
      </c>
      <c r="B248" s="1">
        <f ca="1">IFERROR(__xludf.DUMMYFUNCTION("""COMPUTED_VALUE"""),236.11)</f>
        <v>236.11</v>
      </c>
      <c r="C248" s="1">
        <f ca="1">IFERROR(__xludf.DUMMYFUNCTION("""COMPUTED_VALUE"""),238.87)</f>
        <v>238.87</v>
      </c>
      <c r="D248" s="1">
        <f ca="1">IFERROR(__xludf.DUMMYFUNCTION("""COMPUTED_VALUE"""),233.94)</f>
        <v>233.94</v>
      </c>
      <c r="E248" s="1">
        <f ca="1">IFERROR(__xludf.DUMMYFUNCTION("""COMPUTED_VALUE"""),238.73)</f>
        <v>238.73</v>
      </c>
      <c r="F248" s="1">
        <f ca="1">IFERROR(__xludf.DUMMYFUNCTION("""COMPUTED_VALUE"""),21206982)</f>
        <v>21206982</v>
      </c>
    </row>
    <row r="249" spans="1:6" ht="12.6">
      <c r="A249" s="2">
        <f ca="1">IFERROR(__xludf.DUMMYFUNCTION("""COMPUTED_VALUE"""),44922.6666666666)</f>
        <v>44922.666666666599</v>
      </c>
      <c r="B249" s="1">
        <f ca="1">IFERROR(__xludf.DUMMYFUNCTION("""COMPUTED_VALUE"""),238.7)</f>
        <v>238.7</v>
      </c>
      <c r="C249" s="1">
        <f ca="1">IFERROR(__xludf.DUMMYFUNCTION("""COMPUTED_VALUE"""),238.93)</f>
        <v>238.93</v>
      </c>
      <c r="D249" s="1">
        <f ca="1">IFERROR(__xludf.DUMMYFUNCTION("""COMPUTED_VALUE"""),235.83)</f>
        <v>235.83</v>
      </c>
      <c r="E249" s="1">
        <f ca="1">IFERROR(__xludf.DUMMYFUNCTION("""COMPUTED_VALUE"""),236.96)</f>
        <v>236.96</v>
      </c>
      <c r="F249" s="1">
        <f ca="1">IFERROR(__xludf.DUMMYFUNCTION("""COMPUTED_VALUE"""),16688648)</f>
        <v>16688648</v>
      </c>
    </row>
    <row r="250" spans="1:6" ht="12.6">
      <c r="A250" s="2">
        <f ca="1">IFERROR(__xludf.DUMMYFUNCTION("""COMPUTED_VALUE"""),44923.6666666666)</f>
        <v>44923.666666666599</v>
      </c>
      <c r="B250" s="1">
        <f ca="1">IFERROR(__xludf.DUMMYFUNCTION("""COMPUTED_VALUE"""),236.89)</f>
        <v>236.89</v>
      </c>
      <c r="C250" s="1">
        <f ca="1">IFERROR(__xludf.DUMMYFUNCTION("""COMPUTED_VALUE"""),239.72)</f>
        <v>239.72</v>
      </c>
      <c r="D250" s="1">
        <f ca="1">IFERROR(__xludf.DUMMYFUNCTION("""COMPUTED_VALUE"""),234.17)</f>
        <v>234.17</v>
      </c>
      <c r="E250" s="1">
        <f ca="1">IFERROR(__xludf.DUMMYFUNCTION("""COMPUTED_VALUE"""),234.53)</f>
        <v>234.53</v>
      </c>
      <c r="F250" s="1">
        <f ca="1">IFERROR(__xludf.DUMMYFUNCTION("""COMPUTED_VALUE"""),17457104)</f>
        <v>17457104</v>
      </c>
    </row>
    <row r="251" spans="1:6" ht="12.6">
      <c r="A251" s="2">
        <f ca="1">IFERROR(__xludf.DUMMYFUNCTION("""COMPUTED_VALUE"""),44924.6666666666)</f>
        <v>44924.666666666599</v>
      </c>
      <c r="B251" s="1">
        <f ca="1">IFERROR(__xludf.DUMMYFUNCTION("""COMPUTED_VALUE"""),235.65)</f>
        <v>235.65</v>
      </c>
      <c r="C251" s="1">
        <f ca="1">IFERROR(__xludf.DUMMYFUNCTION("""COMPUTED_VALUE"""),241.92)</f>
        <v>241.92</v>
      </c>
      <c r="D251" s="1">
        <f ca="1">IFERROR(__xludf.DUMMYFUNCTION("""COMPUTED_VALUE"""),235.65)</f>
        <v>235.65</v>
      </c>
      <c r="E251" s="1">
        <f ca="1">IFERROR(__xludf.DUMMYFUNCTION("""COMPUTED_VALUE"""),241.01)</f>
        <v>241.01</v>
      </c>
      <c r="F251" s="1">
        <f ca="1">IFERROR(__xludf.DUMMYFUNCTION("""COMPUTED_VALUE"""),19770693)</f>
        <v>19770693</v>
      </c>
    </row>
    <row r="252" spans="1:6" ht="12.6">
      <c r="A252" s="2">
        <f ca="1">IFERROR(__xludf.DUMMYFUNCTION("""COMPUTED_VALUE"""),44925.6666666666)</f>
        <v>44925.666666666599</v>
      </c>
      <c r="B252" s="1">
        <f ca="1">IFERROR(__xludf.DUMMYFUNCTION("""COMPUTED_VALUE"""),238.21)</f>
        <v>238.21</v>
      </c>
      <c r="C252" s="1">
        <f ca="1">IFERROR(__xludf.DUMMYFUNCTION("""COMPUTED_VALUE"""),239.96)</f>
        <v>239.96</v>
      </c>
      <c r="D252" s="1">
        <f ca="1">IFERROR(__xludf.DUMMYFUNCTION("""COMPUTED_VALUE"""),236.66)</f>
        <v>236.66</v>
      </c>
      <c r="E252" s="1">
        <f ca="1">IFERROR(__xludf.DUMMYFUNCTION("""COMPUTED_VALUE"""),239.82)</f>
        <v>239.82</v>
      </c>
      <c r="F252" s="1">
        <f ca="1">IFERROR(__xludf.DUMMYFUNCTION("""COMPUTED_VALUE"""),21938472)</f>
        <v>21938472</v>
      </c>
    </row>
    <row r="253" spans="1:6" ht="12.6">
      <c r="A253" s="2">
        <f ca="1">IFERROR(__xludf.DUMMYFUNCTION("""COMPUTED_VALUE"""),44929.6666666666)</f>
        <v>44929.666666666599</v>
      </c>
      <c r="B253" s="1">
        <f ca="1">IFERROR(__xludf.DUMMYFUNCTION("""COMPUTED_VALUE"""),243.08)</f>
        <v>243.08</v>
      </c>
      <c r="C253" s="1">
        <f ca="1">IFERROR(__xludf.DUMMYFUNCTION("""COMPUTED_VALUE"""),245.75)</f>
        <v>245.75</v>
      </c>
      <c r="D253" s="1">
        <f ca="1">IFERROR(__xludf.DUMMYFUNCTION("""COMPUTED_VALUE"""),237.4)</f>
        <v>237.4</v>
      </c>
      <c r="E253" s="1">
        <f ca="1">IFERROR(__xludf.DUMMYFUNCTION("""COMPUTED_VALUE"""),239.58)</f>
        <v>239.58</v>
      </c>
      <c r="F253" s="1">
        <f ca="1">IFERROR(__xludf.DUMMYFUNCTION("""COMPUTED_VALUE"""),25740036)</f>
        <v>25740036</v>
      </c>
    </row>
    <row r="254" spans="1:6" ht="12.6">
      <c r="A254" s="2">
        <f ca="1">IFERROR(__xludf.DUMMYFUNCTION("""COMPUTED_VALUE"""),44930.6666666666)</f>
        <v>44930.666666666599</v>
      </c>
      <c r="B254" s="1">
        <f ca="1">IFERROR(__xludf.DUMMYFUNCTION("""COMPUTED_VALUE"""),232.28)</f>
        <v>232.28</v>
      </c>
      <c r="C254" s="1">
        <f ca="1">IFERROR(__xludf.DUMMYFUNCTION("""COMPUTED_VALUE"""),232.87)</f>
        <v>232.87</v>
      </c>
      <c r="D254" s="1">
        <f ca="1">IFERROR(__xludf.DUMMYFUNCTION("""COMPUTED_VALUE"""),225.96)</f>
        <v>225.96</v>
      </c>
      <c r="E254" s="1">
        <f ca="1">IFERROR(__xludf.DUMMYFUNCTION("""COMPUTED_VALUE"""),229.1)</f>
        <v>229.1</v>
      </c>
      <c r="F254" s="1">
        <f ca="1">IFERROR(__xludf.DUMMYFUNCTION("""COMPUTED_VALUE"""),50623394)</f>
        <v>50623394</v>
      </c>
    </row>
    <row r="255" spans="1:6" ht="12.6">
      <c r="A255" s="2">
        <f ca="1">IFERROR(__xludf.DUMMYFUNCTION("""COMPUTED_VALUE"""),44931.6666666666)</f>
        <v>44931.666666666599</v>
      </c>
      <c r="B255" s="1">
        <f ca="1">IFERROR(__xludf.DUMMYFUNCTION("""COMPUTED_VALUE"""),227.2)</f>
        <v>227.2</v>
      </c>
      <c r="C255" s="1">
        <f ca="1">IFERROR(__xludf.DUMMYFUNCTION("""COMPUTED_VALUE"""),227.55)</f>
        <v>227.55</v>
      </c>
      <c r="D255" s="1">
        <f ca="1">IFERROR(__xludf.DUMMYFUNCTION("""COMPUTED_VALUE"""),221.76)</f>
        <v>221.76</v>
      </c>
      <c r="E255" s="1">
        <f ca="1">IFERROR(__xludf.DUMMYFUNCTION("""COMPUTED_VALUE"""),222.31)</f>
        <v>222.31</v>
      </c>
      <c r="F255" s="1">
        <f ca="1">IFERROR(__xludf.DUMMYFUNCTION("""COMPUTED_VALUE"""),39585623)</f>
        <v>39585623</v>
      </c>
    </row>
    <row r="256" spans="1:6" ht="12.6">
      <c r="A256" s="2">
        <f ca="1">IFERROR(__xludf.DUMMYFUNCTION("""COMPUTED_VALUE"""),44932.6666666666)</f>
        <v>44932.666666666599</v>
      </c>
      <c r="B256" s="1">
        <f ca="1">IFERROR(__xludf.DUMMYFUNCTION("""COMPUTED_VALUE"""),223)</f>
        <v>223</v>
      </c>
      <c r="C256" s="1">
        <f ca="1">IFERROR(__xludf.DUMMYFUNCTION("""COMPUTED_VALUE"""),225.76)</f>
        <v>225.76</v>
      </c>
      <c r="D256" s="1">
        <f ca="1">IFERROR(__xludf.DUMMYFUNCTION("""COMPUTED_VALUE"""),219.35)</f>
        <v>219.35</v>
      </c>
      <c r="E256" s="1">
        <f ca="1">IFERROR(__xludf.DUMMYFUNCTION("""COMPUTED_VALUE"""),224.93)</f>
        <v>224.93</v>
      </c>
      <c r="F256" s="1">
        <f ca="1">IFERROR(__xludf.DUMMYFUNCTION("""COMPUTED_VALUE"""),43613574)</f>
        <v>43613574</v>
      </c>
    </row>
    <row r="257" spans="1:6" ht="12.6">
      <c r="A257" s="2">
        <f ca="1">IFERROR(__xludf.DUMMYFUNCTION("""COMPUTED_VALUE"""),44935.6666666666)</f>
        <v>44935.666666666599</v>
      </c>
      <c r="B257" s="1">
        <f ca="1">IFERROR(__xludf.DUMMYFUNCTION("""COMPUTED_VALUE"""),226.45)</f>
        <v>226.45</v>
      </c>
      <c r="C257" s="1">
        <f ca="1">IFERROR(__xludf.DUMMYFUNCTION("""COMPUTED_VALUE"""),231.24)</f>
        <v>231.24</v>
      </c>
      <c r="D257" s="1">
        <f ca="1">IFERROR(__xludf.DUMMYFUNCTION("""COMPUTED_VALUE"""),226.41)</f>
        <v>226.41</v>
      </c>
      <c r="E257" s="1">
        <f ca="1">IFERROR(__xludf.DUMMYFUNCTION("""COMPUTED_VALUE"""),227.12)</f>
        <v>227.12</v>
      </c>
      <c r="F257" s="1">
        <f ca="1">IFERROR(__xludf.DUMMYFUNCTION("""COMPUTED_VALUE"""),27369784)</f>
        <v>27369784</v>
      </c>
    </row>
    <row r="258" spans="1:6" ht="12.6">
      <c r="A258" s="2">
        <f ca="1">IFERROR(__xludf.DUMMYFUNCTION("""COMPUTED_VALUE"""),44936.6666666666)</f>
        <v>44936.666666666599</v>
      </c>
      <c r="B258" s="1">
        <f ca="1">IFERROR(__xludf.DUMMYFUNCTION("""COMPUTED_VALUE"""),227.76)</f>
        <v>227.76</v>
      </c>
      <c r="C258" s="1">
        <f ca="1">IFERROR(__xludf.DUMMYFUNCTION("""COMPUTED_VALUE"""),231.31)</f>
        <v>231.31</v>
      </c>
      <c r="D258" s="1">
        <f ca="1">IFERROR(__xludf.DUMMYFUNCTION("""COMPUTED_VALUE"""),227.33)</f>
        <v>227.33</v>
      </c>
      <c r="E258" s="1">
        <f ca="1">IFERROR(__xludf.DUMMYFUNCTION("""COMPUTED_VALUE"""),228.85)</f>
        <v>228.85</v>
      </c>
      <c r="F258" s="1">
        <f ca="1">IFERROR(__xludf.DUMMYFUNCTION("""COMPUTED_VALUE"""),27033881)</f>
        <v>27033881</v>
      </c>
    </row>
    <row r="259" spans="1:6" ht="12.6">
      <c r="A259" s="2">
        <f ca="1">IFERROR(__xludf.DUMMYFUNCTION("""COMPUTED_VALUE"""),44937.6666666666)</f>
        <v>44937.666666666599</v>
      </c>
      <c r="B259" s="1">
        <f ca="1">IFERROR(__xludf.DUMMYFUNCTION("""COMPUTED_VALUE"""),231.29)</f>
        <v>231.29</v>
      </c>
      <c r="C259" s="1">
        <f ca="1">IFERROR(__xludf.DUMMYFUNCTION("""COMPUTED_VALUE"""),235.95)</f>
        <v>235.95</v>
      </c>
      <c r="D259" s="1">
        <f ca="1">IFERROR(__xludf.DUMMYFUNCTION("""COMPUTED_VALUE"""),231.11)</f>
        <v>231.11</v>
      </c>
      <c r="E259" s="1">
        <f ca="1">IFERROR(__xludf.DUMMYFUNCTION("""COMPUTED_VALUE"""),235.77)</f>
        <v>235.77</v>
      </c>
      <c r="F259" s="1">
        <f ca="1">IFERROR(__xludf.DUMMYFUNCTION("""COMPUTED_VALUE"""),28669331)</f>
        <v>28669331</v>
      </c>
    </row>
    <row r="260" spans="1:6" ht="12.6">
      <c r="A260" s="2">
        <f ca="1">IFERROR(__xludf.DUMMYFUNCTION("""COMPUTED_VALUE"""),44938.6666666666)</f>
        <v>44938.666666666599</v>
      </c>
      <c r="B260" s="1">
        <f ca="1">IFERROR(__xludf.DUMMYFUNCTION("""COMPUTED_VALUE"""),235.26)</f>
        <v>235.26</v>
      </c>
      <c r="C260" s="1">
        <f ca="1">IFERROR(__xludf.DUMMYFUNCTION("""COMPUTED_VALUE"""),239.9)</f>
        <v>239.9</v>
      </c>
      <c r="D260" s="1">
        <f ca="1">IFERROR(__xludf.DUMMYFUNCTION("""COMPUTED_VALUE"""),233.56)</f>
        <v>233.56</v>
      </c>
      <c r="E260" s="1">
        <f ca="1">IFERROR(__xludf.DUMMYFUNCTION("""COMPUTED_VALUE"""),238.51)</f>
        <v>238.51</v>
      </c>
      <c r="F260" s="1">
        <f ca="1">IFERROR(__xludf.DUMMYFUNCTION("""COMPUTED_VALUE"""),27269486)</f>
        <v>27269486</v>
      </c>
    </row>
    <row r="261" spans="1:6" ht="12.6">
      <c r="A261" s="2">
        <f ca="1">IFERROR(__xludf.DUMMYFUNCTION("""COMPUTED_VALUE"""),44939.6666666666)</f>
        <v>44939.666666666599</v>
      </c>
      <c r="B261" s="1">
        <f ca="1">IFERROR(__xludf.DUMMYFUNCTION("""COMPUTED_VALUE"""),237)</f>
        <v>237</v>
      </c>
      <c r="C261" s="1">
        <f ca="1">IFERROR(__xludf.DUMMYFUNCTION("""COMPUTED_VALUE"""),239.37)</f>
        <v>239.37</v>
      </c>
      <c r="D261" s="1">
        <f ca="1">IFERROR(__xludf.DUMMYFUNCTION("""COMPUTED_VALUE"""),234.92)</f>
        <v>234.92</v>
      </c>
      <c r="E261" s="1">
        <f ca="1">IFERROR(__xludf.DUMMYFUNCTION("""COMPUTED_VALUE"""),239.23)</f>
        <v>239.23</v>
      </c>
      <c r="F261" s="1">
        <f ca="1">IFERROR(__xludf.DUMMYFUNCTION("""COMPUTED_VALUE"""),21333265)</f>
        <v>21333265</v>
      </c>
    </row>
    <row r="262" spans="1:6" ht="12.6">
      <c r="A262" s="2">
        <f ca="1">IFERROR(__xludf.DUMMYFUNCTION("""COMPUTED_VALUE"""),44943.6666666666)</f>
        <v>44943.666666666599</v>
      </c>
      <c r="B262" s="1">
        <f ca="1">IFERROR(__xludf.DUMMYFUNCTION("""COMPUTED_VALUE"""),237.97)</f>
        <v>237.97</v>
      </c>
      <c r="C262" s="1">
        <f ca="1">IFERROR(__xludf.DUMMYFUNCTION("""COMPUTED_VALUE"""),240.91)</f>
        <v>240.91</v>
      </c>
      <c r="D262" s="1">
        <f ca="1">IFERROR(__xludf.DUMMYFUNCTION("""COMPUTED_VALUE"""),237.09)</f>
        <v>237.09</v>
      </c>
      <c r="E262" s="1">
        <f ca="1">IFERROR(__xludf.DUMMYFUNCTION("""COMPUTED_VALUE"""),240.35)</f>
        <v>240.35</v>
      </c>
      <c r="F262" s="1">
        <f ca="1">IFERROR(__xludf.DUMMYFUNCTION("""COMPUTED_VALUE"""),29831257)</f>
        <v>29831257</v>
      </c>
    </row>
    <row r="263" spans="1:6" ht="12.6">
      <c r="A263" s="2">
        <f ca="1">IFERROR(__xludf.DUMMYFUNCTION("""COMPUTED_VALUE"""),44944.6666666666)</f>
        <v>44944.666666666599</v>
      </c>
      <c r="B263" s="1">
        <f ca="1">IFERROR(__xludf.DUMMYFUNCTION("""COMPUTED_VALUE"""),241.57)</f>
        <v>241.57</v>
      </c>
      <c r="C263" s="1">
        <f ca="1">IFERROR(__xludf.DUMMYFUNCTION("""COMPUTED_VALUE"""),242.38)</f>
        <v>242.38</v>
      </c>
      <c r="D263" s="1">
        <f ca="1">IFERROR(__xludf.DUMMYFUNCTION("""COMPUTED_VALUE"""),235.52)</f>
        <v>235.52</v>
      </c>
      <c r="E263" s="1">
        <f ca="1">IFERROR(__xludf.DUMMYFUNCTION("""COMPUTED_VALUE"""),235.81)</f>
        <v>235.81</v>
      </c>
      <c r="F263" s="1">
        <f ca="1">IFERROR(__xludf.DUMMYFUNCTION("""COMPUTED_VALUE"""),30028692)</f>
        <v>30028692</v>
      </c>
    </row>
    <row r="264" spans="1:6" ht="12.6">
      <c r="A264" s="2">
        <f ca="1">IFERROR(__xludf.DUMMYFUNCTION("""COMPUTED_VALUE"""),44945.6666666666)</f>
        <v>44945.666666666599</v>
      </c>
      <c r="B264" s="1">
        <f ca="1">IFERROR(__xludf.DUMMYFUNCTION("""COMPUTED_VALUE"""),233.78)</f>
        <v>233.78</v>
      </c>
      <c r="C264" s="1">
        <f ca="1">IFERROR(__xludf.DUMMYFUNCTION("""COMPUTED_VALUE"""),235.52)</f>
        <v>235.52</v>
      </c>
      <c r="D264" s="1">
        <f ca="1">IFERROR(__xludf.DUMMYFUNCTION("""COMPUTED_VALUE"""),230.68)</f>
        <v>230.68</v>
      </c>
      <c r="E264" s="1">
        <f ca="1">IFERROR(__xludf.DUMMYFUNCTION("""COMPUTED_VALUE"""),231.93)</f>
        <v>231.93</v>
      </c>
      <c r="F264" s="1">
        <f ca="1">IFERROR(__xludf.DUMMYFUNCTION("""COMPUTED_VALUE"""),28623033)</f>
        <v>28623033</v>
      </c>
    </row>
    <row r="265" spans="1:6" ht="12.6">
      <c r="A265" s="2">
        <f ca="1">IFERROR(__xludf.DUMMYFUNCTION("""COMPUTED_VALUE"""),44946.6666666666)</f>
        <v>44946.666666666599</v>
      </c>
      <c r="B265" s="1">
        <f ca="1">IFERROR(__xludf.DUMMYFUNCTION("""COMPUTED_VALUE"""),234.86)</f>
        <v>234.86</v>
      </c>
      <c r="C265" s="1">
        <f ca="1">IFERROR(__xludf.DUMMYFUNCTION("""COMPUTED_VALUE"""),240.74)</f>
        <v>240.74</v>
      </c>
      <c r="D265" s="1">
        <f ca="1">IFERROR(__xludf.DUMMYFUNCTION("""COMPUTED_VALUE"""),234.51)</f>
        <v>234.51</v>
      </c>
      <c r="E265" s="1">
        <f ca="1">IFERROR(__xludf.DUMMYFUNCTION("""COMPUTED_VALUE"""),240.22)</f>
        <v>240.22</v>
      </c>
      <c r="F265" s="1">
        <f ca="1">IFERROR(__xludf.DUMMYFUNCTION("""COMPUTED_VALUE"""),35389809)</f>
        <v>35389809</v>
      </c>
    </row>
    <row r="266" spans="1:6" ht="12.6">
      <c r="A266" s="2">
        <f ca="1">IFERROR(__xludf.DUMMYFUNCTION("""COMPUTED_VALUE"""),44949.6666666666)</f>
        <v>44949.666666666599</v>
      </c>
      <c r="B266" s="1">
        <f ca="1">IFERROR(__xludf.DUMMYFUNCTION("""COMPUTED_VALUE"""),241.1)</f>
        <v>241.1</v>
      </c>
      <c r="C266" s="1">
        <f ca="1">IFERROR(__xludf.DUMMYFUNCTION("""COMPUTED_VALUE"""),245.17)</f>
        <v>245.17</v>
      </c>
      <c r="D266" s="1">
        <f ca="1">IFERROR(__xludf.DUMMYFUNCTION("""COMPUTED_VALUE"""),239.65)</f>
        <v>239.65</v>
      </c>
      <c r="E266" s="1">
        <f ca="1">IFERROR(__xludf.DUMMYFUNCTION("""COMPUTED_VALUE"""),242.58)</f>
        <v>242.58</v>
      </c>
      <c r="F266" s="1">
        <f ca="1">IFERROR(__xludf.DUMMYFUNCTION("""COMPUTED_VALUE"""),31933951)</f>
        <v>31933951</v>
      </c>
    </row>
    <row r="267" spans="1:6" ht="12.6">
      <c r="A267" s="2">
        <f ca="1">IFERROR(__xludf.DUMMYFUNCTION("""COMPUTED_VALUE"""),44950.6666666666)</f>
        <v>44950.666666666599</v>
      </c>
      <c r="B267" s="1">
        <f ca="1">IFERROR(__xludf.DUMMYFUNCTION("""COMPUTED_VALUE"""),242.5)</f>
        <v>242.5</v>
      </c>
      <c r="C267" s="1">
        <f ca="1">IFERROR(__xludf.DUMMYFUNCTION("""COMPUTED_VALUE"""),243.95)</f>
        <v>243.95</v>
      </c>
      <c r="D267" s="1">
        <f ca="1">IFERROR(__xludf.DUMMYFUNCTION("""COMPUTED_VALUE"""),240.44)</f>
        <v>240.44</v>
      </c>
      <c r="E267" s="1">
        <f ca="1">IFERROR(__xludf.DUMMYFUNCTION("""COMPUTED_VALUE"""),242.04)</f>
        <v>242.04</v>
      </c>
      <c r="F267" s="1">
        <f ca="1">IFERROR(__xludf.DUMMYFUNCTION("""COMPUTED_VALUE"""),40234444)</f>
        <v>40234444</v>
      </c>
    </row>
    <row r="268" spans="1:6" ht="12.6">
      <c r="A268" s="2">
        <f ca="1">IFERROR(__xludf.DUMMYFUNCTION("""COMPUTED_VALUE"""),44951.6666666666)</f>
        <v>44951.666666666599</v>
      </c>
      <c r="B268" s="1">
        <f ca="1">IFERROR(__xludf.DUMMYFUNCTION("""COMPUTED_VALUE"""),234.48)</f>
        <v>234.48</v>
      </c>
      <c r="C268" s="1">
        <f ca="1">IFERROR(__xludf.DUMMYFUNCTION("""COMPUTED_VALUE"""),243.3)</f>
        <v>243.3</v>
      </c>
      <c r="D268" s="1">
        <f ca="1">IFERROR(__xludf.DUMMYFUNCTION("""COMPUTED_VALUE"""),230.9)</f>
        <v>230.9</v>
      </c>
      <c r="E268" s="1">
        <f ca="1">IFERROR(__xludf.DUMMYFUNCTION("""COMPUTED_VALUE"""),240.61)</f>
        <v>240.61</v>
      </c>
      <c r="F268" s="1">
        <f ca="1">IFERROR(__xludf.DUMMYFUNCTION("""COMPUTED_VALUE"""),66526641)</f>
        <v>66526641</v>
      </c>
    </row>
    <row r="269" spans="1:6" ht="12.6">
      <c r="A269" s="2">
        <f ca="1">IFERROR(__xludf.DUMMYFUNCTION("""COMPUTED_VALUE"""),44952.6666666666)</f>
        <v>44952.666666666599</v>
      </c>
      <c r="B269" s="1">
        <f ca="1">IFERROR(__xludf.DUMMYFUNCTION("""COMPUTED_VALUE"""),243.65)</f>
        <v>243.65</v>
      </c>
      <c r="C269" s="1">
        <f ca="1">IFERROR(__xludf.DUMMYFUNCTION("""COMPUTED_VALUE"""),248.31)</f>
        <v>248.31</v>
      </c>
      <c r="D269" s="1">
        <f ca="1">IFERROR(__xludf.DUMMYFUNCTION("""COMPUTED_VALUE"""),242)</f>
        <v>242</v>
      </c>
      <c r="E269" s="1">
        <f ca="1">IFERROR(__xludf.DUMMYFUNCTION("""COMPUTED_VALUE"""),248)</f>
        <v>248</v>
      </c>
      <c r="F269" s="1">
        <f ca="1">IFERROR(__xludf.DUMMYFUNCTION("""COMPUTED_VALUE"""),33454491)</f>
        <v>33454491</v>
      </c>
    </row>
    <row r="270" spans="1:6" ht="12.6">
      <c r="A270" s="2">
        <f ca="1">IFERROR(__xludf.DUMMYFUNCTION("""COMPUTED_VALUE"""),44953.6666666666)</f>
        <v>44953.666666666599</v>
      </c>
      <c r="B270" s="1">
        <f ca="1">IFERROR(__xludf.DUMMYFUNCTION("""COMPUTED_VALUE"""),248.99)</f>
        <v>248.99</v>
      </c>
      <c r="C270" s="1">
        <f ca="1">IFERROR(__xludf.DUMMYFUNCTION("""COMPUTED_VALUE"""),249.83)</f>
        <v>249.83</v>
      </c>
      <c r="D270" s="1">
        <f ca="1">IFERROR(__xludf.DUMMYFUNCTION("""COMPUTED_VALUE"""),246.83)</f>
        <v>246.83</v>
      </c>
      <c r="E270" s="1">
        <f ca="1">IFERROR(__xludf.DUMMYFUNCTION("""COMPUTED_VALUE"""),248.16)</f>
        <v>248.16</v>
      </c>
      <c r="F270" s="1">
        <f ca="1">IFERROR(__xludf.DUMMYFUNCTION("""COMPUTED_VALUE"""),26498939)</f>
        <v>26498939</v>
      </c>
    </row>
    <row r="271" spans="1:6" ht="12.6">
      <c r="A271" s="2">
        <f ca="1">IFERROR(__xludf.DUMMYFUNCTION("""COMPUTED_VALUE"""),44956.6666666666)</f>
        <v>44956.666666666599</v>
      </c>
      <c r="B271" s="1">
        <f ca="1">IFERROR(__xludf.DUMMYFUNCTION("""COMPUTED_VALUE"""),244.51)</f>
        <v>244.51</v>
      </c>
      <c r="C271" s="1">
        <f ca="1">IFERROR(__xludf.DUMMYFUNCTION("""COMPUTED_VALUE"""),245.6)</f>
        <v>245.6</v>
      </c>
      <c r="D271" s="1">
        <f ca="1">IFERROR(__xludf.DUMMYFUNCTION("""COMPUTED_VALUE"""),242.2)</f>
        <v>242.2</v>
      </c>
      <c r="E271" s="1">
        <f ca="1">IFERROR(__xludf.DUMMYFUNCTION("""COMPUTED_VALUE"""),242.71)</f>
        <v>242.71</v>
      </c>
      <c r="F271" s="1">
        <f ca="1">IFERROR(__xludf.DUMMYFUNCTION("""COMPUTED_VALUE"""),25867365)</f>
        <v>25867365</v>
      </c>
    </row>
    <row r="272" spans="1:6" ht="12.6">
      <c r="A272" s="2">
        <f ca="1">IFERROR(__xludf.DUMMYFUNCTION("""COMPUTED_VALUE"""),44957.6666666666)</f>
        <v>44957.666666666599</v>
      </c>
      <c r="B272" s="1">
        <f ca="1">IFERROR(__xludf.DUMMYFUNCTION("""COMPUTED_VALUE"""),243.45)</f>
        <v>243.45</v>
      </c>
      <c r="C272" s="1">
        <f ca="1">IFERROR(__xludf.DUMMYFUNCTION("""COMPUTED_VALUE"""),247.95)</f>
        <v>247.95</v>
      </c>
      <c r="D272" s="1">
        <f ca="1">IFERROR(__xludf.DUMMYFUNCTION("""COMPUTED_VALUE"""),242.95)</f>
        <v>242.95</v>
      </c>
      <c r="E272" s="1">
        <f ca="1">IFERROR(__xludf.DUMMYFUNCTION("""COMPUTED_VALUE"""),247.81)</f>
        <v>247.81</v>
      </c>
      <c r="F272" s="1">
        <f ca="1">IFERROR(__xludf.DUMMYFUNCTION("""COMPUTED_VALUE"""),26541072)</f>
        <v>26541072</v>
      </c>
    </row>
    <row r="273" spans="1:6" ht="12.6">
      <c r="A273" s="2">
        <f ca="1">IFERROR(__xludf.DUMMYFUNCTION("""COMPUTED_VALUE"""),44958.6666666666)</f>
        <v>44958.666666666599</v>
      </c>
      <c r="B273" s="1">
        <f ca="1">IFERROR(__xludf.DUMMYFUNCTION("""COMPUTED_VALUE"""),248)</f>
        <v>248</v>
      </c>
      <c r="C273" s="1">
        <f ca="1">IFERROR(__xludf.DUMMYFUNCTION("""COMPUTED_VALUE"""),255.18)</f>
        <v>255.18</v>
      </c>
      <c r="D273" s="1">
        <f ca="1">IFERROR(__xludf.DUMMYFUNCTION("""COMPUTED_VALUE"""),245.47)</f>
        <v>245.47</v>
      </c>
      <c r="E273" s="1">
        <f ca="1">IFERROR(__xludf.DUMMYFUNCTION("""COMPUTED_VALUE"""),252.75)</f>
        <v>252.75</v>
      </c>
      <c r="F273" s="1">
        <f ca="1">IFERROR(__xludf.DUMMYFUNCTION("""COMPUTED_VALUE"""),31259912)</f>
        <v>31259912</v>
      </c>
    </row>
    <row r="274" spans="1:6" ht="12.6">
      <c r="A274" s="2">
        <f ca="1">IFERROR(__xludf.DUMMYFUNCTION("""COMPUTED_VALUE"""),44959.6666666666)</f>
        <v>44959.666666666599</v>
      </c>
      <c r="B274" s="1">
        <f ca="1">IFERROR(__xludf.DUMMYFUNCTION("""COMPUTED_VALUE"""),258.82)</f>
        <v>258.82</v>
      </c>
      <c r="C274" s="1">
        <f ca="1">IFERROR(__xludf.DUMMYFUNCTION("""COMPUTED_VALUE"""),264.69)</f>
        <v>264.69</v>
      </c>
      <c r="D274" s="1">
        <f ca="1">IFERROR(__xludf.DUMMYFUNCTION("""COMPUTED_VALUE"""),257.25)</f>
        <v>257.25</v>
      </c>
      <c r="E274" s="1">
        <f ca="1">IFERROR(__xludf.DUMMYFUNCTION("""COMPUTED_VALUE"""),264.6)</f>
        <v>264.60000000000002</v>
      </c>
      <c r="F274" s="1">
        <f ca="1">IFERROR(__xludf.DUMMYFUNCTION("""COMPUTED_VALUE"""),39940437)</f>
        <v>39940437</v>
      </c>
    </row>
    <row r="275" spans="1:6" ht="12.6">
      <c r="A275" s="2">
        <f ca="1">IFERROR(__xludf.DUMMYFUNCTION("""COMPUTED_VALUE"""),44960.6666666666)</f>
        <v>44960.666666666599</v>
      </c>
      <c r="B275" s="1">
        <f ca="1">IFERROR(__xludf.DUMMYFUNCTION("""COMPUTED_VALUE"""),259.54)</f>
        <v>259.54000000000002</v>
      </c>
      <c r="C275" s="1">
        <f ca="1">IFERROR(__xludf.DUMMYFUNCTION("""COMPUTED_VALUE"""),264.2)</f>
        <v>264.2</v>
      </c>
      <c r="D275" s="1">
        <f ca="1">IFERROR(__xludf.DUMMYFUNCTION("""COMPUTED_VALUE"""),257.1)</f>
        <v>257.10000000000002</v>
      </c>
      <c r="E275" s="1">
        <f ca="1">IFERROR(__xludf.DUMMYFUNCTION("""COMPUTED_VALUE"""),258.35)</f>
        <v>258.35000000000002</v>
      </c>
      <c r="F275" s="1">
        <f ca="1">IFERROR(__xludf.DUMMYFUNCTION("""COMPUTED_VALUE"""),29077256)</f>
        <v>29077256</v>
      </c>
    </row>
    <row r="276" spans="1:6" ht="12.6">
      <c r="A276" s="2">
        <f ca="1">IFERROR(__xludf.DUMMYFUNCTION("""COMPUTED_VALUE"""),44963.6666666666)</f>
        <v>44963.666666666599</v>
      </c>
      <c r="B276" s="1">
        <f ca="1">IFERROR(__xludf.DUMMYFUNCTION("""COMPUTED_VALUE"""),257.44)</f>
        <v>257.44</v>
      </c>
      <c r="C276" s="1">
        <f ca="1">IFERROR(__xludf.DUMMYFUNCTION("""COMPUTED_VALUE"""),258.3)</f>
        <v>258.3</v>
      </c>
      <c r="D276" s="1">
        <f ca="1">IFERROR(__xludf.DUMMYFUNCTION("""COMPUTED_VALUE"""),254.78)</f>
        <v>254.78</v>
      </c>
      <c r="E276" s="1">
        <f ca="1">IFERROR(__xludf.DUMMYFUNCTION("""COMPUTED_VALUE"""),256.77)</f>
        <v>256.77</v>
      </c>
      <c r="F276" s="1">
        <f ca="1">IFERROR(__xludf.DUMMYFUNCTION("""COMPUTED_VALUE"""),22517997)</f>
        <v>22517997</v>
      </c>
    </row>
    <row r="277" spans="1:6" ht="12.6">
      <c r="A277" s="2">
        <f ca="1">IFERROR(__xludf.DUMMYFUNCTION("""COMPUTED_VALUE"""),44964.6666666666)</f>
        <v>44964.666666666599</v>
      </c>
      <c r="B277" s="1">
        <f ca="1">IFERROR(__xludf.DUMMYFUNCTION("""COMPUTED_VALUE"""),260.53)</f>
        <v>260.52999999999997</v>
      </c>
      <c r="C277" s="1">
        <f ca="1">IFERROR(__xludf.DUMMYFUNCTION("""COMPUTED_VALUE"""),268.77)</f>
        <v>268.77</v>
      </c>
      <c r="D277" s="1">
        <f ca="1">IFERROR(__xludf.DUMMYFUNCTION("""COMPUTED_VALUE"""),260.08)</f>
        <v>260.08</v>
      </c>
      <c r="E277" s="1">
        <f ca="1">IFERROR(__xludf.DUMMYFUNCTION("""COMPUTED_VALUE"""),267.56)</f>
        <v>267.56</v>
      </c>
      <c r="F277" s="1">
        <f ca="1">IFERROR(__xludf.DUMMYFUNCTION("""COMPUTED_VALUE"""),50841365)</f>
        <v>50841365</v>
      </c>
    </row>
    <row r="278" spans="1:6" ht="12.6">
      <c r="A278" s="2">
        <f ca="1">IFERROR(__xludf.DUMMYFUNCTION("""COMPUTED_VALUE"""),44965.6666666666)</f>
        <v>44965.666666666599</v>
      </c>
      <c r="B278" s="1">
        <f ca="1">IFERROR(__xludf.DUMMYFUNCTION("""COMPUTED_VALUE"""),273.2)</f>
        <v>273.2</v>
      </c>
      <c r="C278" s="1">
        <f ca="1">IFERROR(__xludf.DUMMYFUNCTION("""COMPUTED_VALUE"""),276.76)</f>
        <v>276.76</v>
      </c>
      <c r="D278" s="1">
        <f ca="1">IFERROR(__xludf.DUMMYFUNCTION("""COMPUTED_VALUE"""),266.21)</f>
        <v>266.20999999999998</v>
      </c>
      <c r="E278" s="1">
        <f ca="1">IFERROR(__xludf.DUMMYFUNCTION("""COMPUTED_VALUE"""),266.73)</f>
        <v>266.73</v>
      </c>
      <c r="F278" s="1">
        <f ca="1">IFERROR(__xludf.DUMMYFUNCTION("""COMPUTED_VALUE"""),54686049)</f>
        <v>54686049</v>
      </c>
    </row>
    <row r="279" spans="1:6" ht="12.6">
      <c r="A279" s="2">
        <f ca="1">IFERROR(__xludf.DUMMYFUNCTION("""COMPUTED_VALUE"""),44966.6666666666)</f>
        <v>44966.666666666599</v>
      </c>
      <c r="B279" s="1">
        <f ca="1">IFERROR(__xludf.DUMMYFUNCTION("""COMPUTED_VALUE"""),273.8)</f>
        <v>273.8</v>
      </c>
      <c r="C279" s="1">
        <f ca="1">IFERROR(__xludf.DUMMYFUNCTION("""COMPUTED_VALUE"""),273.98)</f>
        <v>273.98</v>
      </c>
      <c r="D279" s="1">
        <f ca="1">IFERROR(__xludf.DUMMYFUNCTION("""COMPUTED_VALUE"""),262.8)</f>
        <v>262.8</v>
      </c>
      <c r="E279" s="1">
        <f ca="1">IFERROR(__xludf.DUMMYFUNCTION("""COMPUTED_VALUE"""),263.62)</f>
        <v>263.62</v>
      </c>
      <c r="F279" s="1">
        <f ca="1">IFERROR(__xludf.DUMMYFUNCTION("""COMPUTED_VALUE"""),42375102)</f>
        <v>42375102</v>
      </c>
    </row>
    <row r="280" spans="1:6" ht="12.6">
      <c r="A280" s="2">
        <f ca="1">IFERROR(__xludf.DUMMYFUNCTION("""COMPUTED_VALUE"""),44967.6666666666)</f>
        <v>44967.666666666599</v>
      </c>
      <c r="B280" s="1">
        <f ca="1">IFERROR(__xludf.DUMMYFUNCTION("""COMPUTED_VALUE"""),261.53)</f>
        <v>261.52999999999997</v>
      </c>
      <c r="C280" s="1">
        <f ca="1">IFERROR(__xludf.DUMMYFUNCTION("""COMPUTED_VALUE"""),264.09)</f>
        <v>264.08999999999997</v>
      </c>
      <c r="D280" s="1">
        <f ca="1">IFERROR(__xludf.DUMMYFUNCTION("""COMPUTED_VALUE"""),260.66)</f>
        <v>260.66000000000003</v>
      </c>
      <c r="E280" s="1">
        <f ca="1">IFERROR(__xludf.DUMMYFUNCTION("""COMPUTED_VALUE"""),263.1)</f>
        <v>263.10000000000002</v>
      </c>
      <c r="F280" s="1">
        <f ca="1">IFERROR(__xludf.DUMMYFUNCTION("""COMPUTED_VALUE"""),25818489)</f>
        <v>25818489</v>
      </c>
    </row>
    <row r="281" spans="1:6" ht="12.6">
      <c r="A281" s="2">
        <f ca="1">IFERROR(__xludf.DUMMYFUNCTION("""COMPUTED_VALUE"""),44970.6666666666)</f>
        <v>44970.666666666599</v>
      </c>
      <c r="B281" s="1">
        <f ca="1">IFERROR(__xludf.DUMMYFUNCTION("""COMPUTED_VALUE"""),267.64)</f>
        <v>267.64</v>
      </c>
      <c r="C281" s="1">
        <f ca="1">IFERROR(__xludf.DUMMYFUNCTION("""COMPUTED_VALUE"""),274.6)</f>
        <v>274.60000000000002</v>
      </c>
      <c r="D281" s="1">
        <f ca="1">IFERROR(__xludf.DUMMYFUNCTION("""COMPUTED_VALUE"""),267.15)</f>
        <v>267.14999999999998</v>
      </c>
      <c r="E281" s="1">
        <f ca="1">IFERROR(__xludf.DUMMYFUNCTION("""COMPUTED_VALUE"""),271.32)</f>
        <v>271.32</v>
      </c>
      <c r="F281" s="1">
        <f ca="1">IFERROR(__xludf.DUMMYFUNCTION("""COMPUTED_VALUE"""),44630921)</f>
        <v>44630921</v>
      </c>
    </row>
    <row r="282" spans="1:6" ht="12.6">
      <c r="A282" s="2">
        <f ca="1">IFERROR(__xludf.DUMMYFUNCTION("""COMPUTED_VALUE"""),44971.6666666666)</f>
        <v>44971.666666666599</v>
      </c>
      <c r="B282" s="1">
        <f ca="1">IFERROR(__xludf.DUMMYFUNCTION("""COMPUTED_VALUE"""),272.67)</f>
        <v>272.67</v>
      </c>
      <c r="C282" s="1">
        <f ca="1">IFERROR(__xludf.DUMMYFUNCTION("""COMPUTED_VALUE"""),274.97)</f>
        <v>274.97000000000003</v>
      </c>
      <c r="D282" s="1">
        <f ca="1">IFERROR(__xludf.DUMMYFUNCTION("""COMPUTED_VALUE"""),269.28)</f>
        <v>269.27999999999997</v>
      </c>
      <c r="E282" s="1">
        <f ca="1">IFERROR(__xludf.DUMMYFUNCTION("""COMPUTED_VALUE"""),272.17)</f>
        <v>272.17</v>
      </c>
      <c r="F282" s="1">
        <f ca="1">IFERROR(__xludf.DUMMYFUNCTION("""COMPUTED_VALUE"""),37047924)</f>
        <v>37047924</v>
      </c>
    </row>
    <row r="283" spans="1:6" ht="12.6">
      <c r="A283" s="2">
        <f ca="1">IFERROR(__xludf.DUMMYFUNCTION("""COMPUTED_VALUE"""),44972.6666666666)</f>
        <v>44972.666666666599</v>
      </c>
      <c r="B283" s="1">
        <f ca="1">IFERROR(__xludf.DUMMYFUNCTION("""COMPUTED_VALUE"""),268.32)</f>
        <v>268.32</v>
      </c>
      <c r="C283" s="1">
        <f ca="1">IFERROR(__xludf.DUMMYFUNCTION("""COMPUTED_VALUE"""),270.73)</f>
        <v>270.73</v>
      </c>
      <c r="D283" s="1">
        <f ca="1">IFERROR(__xludf.DUMMYFUNCTION("""COMPUTED_VALUE"""),266.18)</f>
        <v>266.18</v>
      </c>
      <c r="E283" s="1">
        <f ca="1">IFERROR(__xludf.DUMMYFUNCTION("""COMPUTED_VALUE"""),269.32)</f>
        <v>269.32</v>
      </c>
      <c r="F283" s="1">
        <f ca="1">IFERROR(__xludf.DUMMYFUNCTION("""COMPUTED_VALUE"""),28962163)</f>
        <v>28962163</v>
      </c>
    </row>
    <row r="284" spans="1:6" ht="12.6">
      <c r="A284" s="2">
        <f ca="1">IFERROR(__xludf.DUMMYFUNCTION("""COMPUTED_VALUE"""),44973.6666666666)</f>
        <v>44973.666666666599</v>
      </c>
      <c r="B284" s="1">
        <f ca="1">IFERROR(__xludf.DUMMYFUNCTION("""COMPUTED_VALUE"""),264.02)</f>
        <v>264.02</v>
      </c>
      <c r="C284" s="1">
        <f ca="1">IFERROR(__xludf.DUMMYFUNCTION("""COMPUTED_VALUE"""),266.74)</f>
        <v>266.74</v>
      </c>
      <c r="D284" s="1">
        <f ca="1">IFERROR(__xludf.DUMMYFUNCTION("""COMPUTED_VALUE"""),261.9)</f>
        <v>261.89999999999998</v>
      </c>
      <c r="E284" s="1">
        <f ca="1">IFERROR(__xludf.DUMMYFUNCTION("""COMPUTED_VALUE"""),262.15)</f>
        <v>262.14999999999998</v>
      </c>
      <c r="F284" s="1">
        <f ca="1">IFERROR(__xludf.DUMMYFUNCTION("""COMPUTED_VALUE"""),29603616)</f>
        <v>29603616</v>
      </c>
    </row>
    <row r="285" spans="1:6" ht="12.6">
      <c r="A285" s="2">
        <f ca="1">IFERROR(__xludf.DUMMYFUNCTION("""COMPUTED_VALUE"""),44974.6666666666)</f>
        <v>44974.666666666599</v>
      </c>
      <c r="B285" s="1">
        <f ca="1">IFERROR(__xludf.DUMMYFUNCTION("""COMPUTED_VALUE"""),259.39)</f>
        <v>259.39</v>
      </c>
      <c r="C285" s="1">
        <f ca="1">IFERROR(__xludf.DUMMYFUNCTION("""COMPUTED_VALUE"""),260.09)</f>
        <v>260.08999999999997</v>
      </c>
      <c r="D285" s="1">
        <f ca="1">IFERROR(__xludf.DUMMYFUNCTION("""COMPUTED_VALUE"""),256)</f>
        <v>256</v>
      </c>
      <c r="E285" s="1">
        <f ca="1">IFERROR(__xludf.DUMMYFUNCTION("""COMPUTED_VALUE"""),258.06)</f>
        <v>258.06</v>
      </c>
      <c r="F285" s="1">
        <f ca="1">IFERROR(__xludf.DUMMYFUNCTION("""COMPUTED_VALUE"""),30000055)</f>
        <v>30000055</v>
      </c>
    </row>
    <row r="286" spans="1:6" ht="12.6">
      <c r="A286" s="2">
        <f ca="1">IFERROR(__xludf.DUMMYFUNCTION("""COMPUTED_VALUE"""),44978.6666666666)</f>
        <v>44978.666666666599</v>
      </c>
      <c r="B286" s="1">
        <f ca="1">IFERROR(__xludf.DUMMYFUNCTION("""COMPUTED_VALUE"""),254.48)</f>
        <v>254.48</v>
      </c>
      <c r="C286" s="1">
        <f ca="1">IFERROR(__xludf.DUMMYFUNCTION("""COMPUTED_VALUE"""),255.49)</f>
        <v>255.49</v>
      </c>
      <c r="D286" s="1">
        <f ca="1">IFERROR(__xludf.DUMMYFUNCTION("""COMPUTED_VALUE"""),251.59)</f>
        <v>251.59</v>
      </c>
      <c r="E286" s="1">
        <f ca="1">IFERROR(__xludf.DUMMYFUNCTION("""COMPUTED_VALUE"""),252.67)</f>
        <v>252.67</v>
      </c>
      <c r="F286" s="1">
        <f ca="1">IFERROR(__xludf.DUMMYFUNCTION("""COMPUTED_VALUE"""),28397444)</f>
        <v>28397444</v>
      </c>
    </row>
    <row r="287" spans="1:6" ht="12.6">
      <c r="A287" s="2">
        <f ca="1">IFERROR(__xludf.DUMMYFUNCTION("""COMPUTED_VALUE"""),44979.6666666666)</f>
        <v>44979.666666666599</v>
      </c>
      <c r="B287" s="1">
        <f ca="1">IFERROR(__xludf.DUMMYFUNCTION("""COMPUTED_VALUE"""),254.09)</f>
        <v>254.09</v>
      </c>
      <c r="C287" s="1">
        <f ca="1">IFERROR(__xludf.DUMMYFUNCTION("""COMPUTED_VALUE"""),254.34)</f>
        <v>254.34</v>
      </c>
      <c r="D287" s="1">
        <f ca="1">IFERROR(__xludf.DUMMYFUNCTION("""COMPUTED_VALUE"""),250.34)</f>
        <v>250.34</v>
      </c>
      <c r="E287" s="1">
        <f ca="1">IFERROR(__xludf.DUMMYFUNCTION("""COMPUTED_VALUE"""),251.51)</f>
        <v>251.51</v>
      </c>
      <c r="F287" s="1">
        <f ca="1">IFERROR(__xludf.DUMMYFUNCTION("""COMPUTED_VALUE"""),22491056)</f>
        <v>22491056</v>
      </c>
    </row>
    <row r="288" spans="1:6" ht="12.6">
      <c r="A288" s="2">
        <f ca="1">IFERROR(__xludf.DUMMYFUNCTION("""COMPUTED_VALUE"""),44980.6666666666)</f>
        <v>44980.666666666599</v>
      </c>
      <c r="B288" s="1">
        <f ca="1">IFERROR(__xludf.DUMMYFUNCTION("""COMPUTED_VALUE"""),255.56)</f>
        <v>255.56</v>
      </c>
      <c r="C288" s="1">
        <f ca="1">IFERROR(__xludf.DUMMYFUNCTION("""COMPUTED_VALUE"""),256.84)</f>
        <v>256.83999999999997</v>
      </c>
      <c r="D288" s="1">
        <f ca="1">IFERROR(__xludf.DUMMYFUNCTION("""COMPUTED_VALUE"""),250.48)</f>
        <v>250.48</v>
      </c>
      <c r="E288" s="1">
        <f ca="1">IFERROR(__xludf.DUMMYFUNCTION("""COMPUTED_VALUE"""),254.77)</f>
        <v>254.77</v>
      </c>
      <c r="F288" s="1">
        <f ca="1">IFERROR(__xludf.DUMMYFUNCTION("""COMPUTED_VALUE"""),29219095)</f>
        <v>29219095</v>
      </c>
    </row>
    <row r="289" spans="1:6" ht="12.6">
      <c r="A289" s="2">
        <f ca="1">IFERROR(__xludf.DUMMYFUNCTION("""COMPUTED_VALUE"""),44981.6666666666)</f>
        <v>44981.666666666599</v>
      </c>
      <c r="B289" s="1">
        <f ca="1">IFERROR(__xludf.DUMMYFUNCTION("""COMPUTED_VALUE"""),249.96)</f>
        <v>249.96</v>
      </c>
      <c r="C289" s="1">
        <f ca="1">IFERROR(__xludf.DUMMYFUNCTION("""COMPUTED_VALUE"""),251)</f>
        <v>251</v>
      </c>
      <c r="D289" s="1">
        <f ca="1">IFERROR(__xludf.DUMMYFUNCTION("""COMPUTED_VALUE"""),248.1)</f>
        <v>248.1</v>
      </c>
      <c r="E289" s="1">
        <f ca="1">IFERROR(__xludf.DUMMYFUNCTION("""COMPUTED_VALUE"""),249.22)</f>
        <v>249.22</v>
      </c>
      <c r="F289" s="1">
        <f ca="1">IFERROR(__xludf.DUMMYFUNCTION("""COMPUTED_VALUE"""),24990905)</f>
        <v>24990905</v>
      </c>
    </row>
    <row r="290" spans="1:6" ht="12.6">
      <c r="A290" s="2">
        <f ca="1">IFERROR(__xludf.DUMMYFUNCTION("""COMPUTED_VALUE"""),44984.6666666666)</f>
        <v>44984.666666666599</v>
      </c>
      <c r="B290" s="1">
        <f ca="1">IFERROR(__xludf.DUMMYFUNCTION("""COMPUTED_VALUE"""),252.46)</f>
        <v>252.46</v>
      </c>
      <c r="C290" s="1">
        <f ca="1">IFERROR(__xludf.DUMMYFUNCTION("""COMPUTED_VALUE"""),252.82)</f>
        <v>252.82</v>
      </c>
      <c r="D290" s="1">
        <f ca="1">IFERROR(__xludf.DUMMYFUNCTION("""COMPUTED_VALUE"""),249.39)</f>
        <v>249.39</v>
      </c>
      <c r="E290" s="1">
        <f ca="1">IFERROR(__xludf.DUMMYFUNCTION("""COMPUTED_VALUE"""),250.16)</f>
        <v>250.16</v>
      </c>
      <c r="F290" s="1">
        <f ca="1">IFERROR(__xludf.DUMMYFUNCTION("""COMPUTED_VALUE"""),21190042)</f>
        <v>21190042</v>
      </c>
    </row>
    <row r="291" spans="1:6" ht="12.6">
      <c r="A291" s="2">
        <f ca="1">IFERROR(__xludf.DUMMYFUNCTION("""COMPUTED_VALUE"""),44985.6666666666)</f>
        <v>44985.666666666599</v>
      </c>
      <c r="B291" s="1">
        <f ca="1">IFERROR(__xludf.DUMMYFUNCTION("""COMPUTED_VALUE"""),249.07)</f>
        <v>249.07</v>
      </c>
      <c r="C291" s="1">
        <f ca="1">IFERROR(__xludf.DUMMYFUNCTION("""COMPUTED_VALUE"""),251.49)</f>
        <v>251.49</v>
      </c>
      <c r="D291" s="1">
        <f ca="1">IFERROR(__xludf.DUMMYFUNCTION("""COMPUTED_VALUE"""),248.73)</f>
        <v>248.73</v>
      </c>
      <c r="E291" s="1">
        <f ca="1">IFERROR(__xludf.DUMMYFUNCTION("""COMPUTED_VALUE"""),249.42)</f>
        <v>249.42</v>
      </c>
      <c r="F291" s="1">
        <f ca="1">IFERROR(__xludf.DUMMYFUNCTION("""COMPUTED_VALUE"""),22490950)</f>
        <v>22490950</v>
      </c>
    </row>
    <row r="292" spans="1:6" ht="12.6">
      <c r="A292" s="2">
        <f ca="1">IFERROR(__xludf.DUMMYFUNCTION("""COMPUTED_VALUE"""),44986.6666666666)</f>
        <v>44986.666666666599</v>
      </c>
      <c r="B292" s="1">
        <f ca="1">IFERROR(__xludf.DUMMYFUNCTION("""COMPUTED_VALUE"""),250.76)</f>
        <v>250.76</v>
      </c>
      <c r="C292" s="1">
        <f ca="1">IFERROR(__xludf.DUMMYFUNCTION("""COMPUTED_VALUE"""),250.93)</f>
        <v>250.93</v>
      </c>
      <c r="D292" s="1">
        <f ca="1">IFERROR(__xludf.DUMMYFUNCTION("""COMPUTED_VALUE"""),245.79)</f>
        <v>245.79</v>
      </c>
      <c r="E292" s="1">
        <f ca="1">IFERROR(__xludf.DUMMYFUNCTION("""COMPUTED_VALUE"""),246.27)</f>
        <v>246.27</v>
      </c>
      <c r="F292" s="1">
        <f ca="1">IFERROR(__xludf.DUMMYFUNCTION("""COMPUTED_VALUE"""),27565259)</f>
        <v>27565259</v>
      </c>
    </row>
    <row r="293" spans="1:6" ht="12.6">
      <c r="A293" s="2">
        <f ca="1">IFERROR(__xludf.DUMMYFUNCTION("""COMPUTED_VALUE"""),44987.6666666666)</f>
        <v>44987.666666666599</v>
      </c>
      <c r="B293" s="1">
        <f ca="1">IFERROR(__xludf.DUMMYFUNCTION("""COMPUTED_VALUE"""),246.55)</f>
        <v>246.55</v>
      </c>
      <c r="C293" s="1">
        <f ca="1">IFERROR(__xludf.DUMMYFUNCTION("""COMPUTED_VALUE"""),251.4)</f>
        <v>251.4</v>
      </c>
      <c r="D293" s="1">
        <f ca="1">IFERROR(__xludf.DUMMYFUNCTION("""COMPUTED_VALUE"""),245.61)</f>
        <v>245.61</v>
      </c>
      <c r="E293" s="1">
        <f ca="1">IFERROR(__xludf.DUMMYFUNCTION("""COMPUTED_VALUE"""),251.11)</f>
        <v>251.11</v>
      </c>
      <c r="F293" s="1">
        <f ca="1">IFERROR(__xludf.DUMMYFUNCTION("""COMPUTED_VALUE"""),24833646)</f>
        <v>24833646</v>
      </c>
    </row>
    <row r="294" spans="1:6" ht="12.6">
      <c r="A294" s="2">
        <f ca="1">IFERROR(__xludf.DUMMYFUNCTION("""COMPUTED_VALUE"""),44988.6666666666)</f>
        <v>44988.666666666599</v>
      </c>
      <c r="B294" s="1">
        <f ca="1">IFERROR(__xludf.DUMMYFUNCTION("""COMPUTED_VALUE"""),252.19)</f>
        <v>252.19</v>
      </c>
      <c r="C294" s="1">
        <f ca="1">IFERROR(__xludf.DUMMYFUNCTION("""COMPUTED_VALUE"""),255.62)</f>
        <v>255.62</v>
      </c>
      <c r="D294" s="1">
        <f ca="1">IFERROR(__xludf.DUMMYFUNCTION("""COMPUTED_VALUE"""),251.39)</f>
        <v>251.39</v>
      </c>
      <c r="E294" s="1">
        <f ca="1">IFERROR(__xludf.DUMMYFUNCTION("""COMPUTED_VALUE"""),255.29)</f>
        <v>255.29</v>
      </c>
      <c r="F294" s="1">
        <f ca="1">IFERROR(__xludf.DUMMYFUNCTION("""COMPUTED_VALUE"""),30760136)</f>
        <v>30760136</v>
      </c>
    </row>
    <row r="295" spans="1:6" ht="12.6">
      <c r="A295" s="2">
        <f ca="1">IFERROR(__xludf.DUMMYFUNCTION("""COMPUTED_VALUE"""),44991.6666666666)</f>
        <v>44991.666666666599</v>
      </c>
      <c r="B295" s="1">
        <f ca="1">IFERROR(__xludf.DUMMYFUNCTION("""COMPUTED_VALUE"""),256.43)</f>
        <v>256.43</v>
      </c>
      <c r="C295" s="1">
        <f ca="1">IFERROR(__xludf.DUMMYFUNCTION("""COMPUTED_VALUE"""),260.12)</f>
        <v>260.12</v>
      </c>
      <c r="D295" s="1">
        <f ca="1">IFERROR(__xludf.DUMMYFUNCTION("""COMPUTED_VALUE"""),255.98)</f>
        <v>255.98</v>
      </c>
      <c r="E295" s="1">
        <f ca="1">IFERROR(__xludf.DUMMYFUNCTION("""COMPUTED_VALUE"""),256.87)</f>
        <v>256.87</v>
      </c>
      <c r="F295" s="1">
        <f ca="1">IFERROR(__xludf.DUMMYFUNCTION("""COMPUTED_VALUE"""),24109849)</f>
        <v>24109849</v>
      </c>
    </row>
    <row r="296" spans="1:6" ht="12.6">
      <c r="A296" s="2">
        <f ca="1">IFERROR(__xludf.DUMMYFUNCTION("""COMPUTED_VALUE"""),44992.6666666666)</f>
        <v>44992.666666666599</v>
      </c>
      <c r="B296" s="1">
        <f ca="1">IFERROR(__xludf.DUMMYFUNCTION("""COMPUTED_VALUE"""),256.3)</f>
        <v>256.3</v>
      </c>
      <c r="C296" s="1">
        <f ca="1">IFERROR(__xludf.DUMMYFUNCTION("""COMPUTED_VALUE"""),257.69)</f>
        <v>257.69</v>
      </c>
      <c r="D296" s="1">
        <f ca="1">IFERROR(__xludf.DUMMYFUNCTION("""COMPUTED_VALUE"""),253.39)</f>
        <v>253.39</v>
      </c>
      <c r="E296" s="1">
        <f ca="1">IFERROR(__xludf.DUMMYFUNCTION("""COMPUTED_VALUE"""),254.15)</f>
        <v>254.15</v>
      </c>
      <c r="F296" s="1">
        <f ca="1">IFERROR(__xludf.DUMMYFUNCTION("""COMPUTED_VALUE"""),21473179)</f>
        <v>21473179</v>
      </c>
    </row>
    <row r="297" spans="1:6" ht="12.6">
      <c r="A297" s="2">
        <f ca="1">IFERROR(__xludf.DUMMYFUNCTION("""COMPUTED_VALUE"""),44993.6666666666)</f>
        <v>44993.666666666599</v>
      </c>
      <c r="B297" s="1">
        <f ca="1">IFERROR(__xludf.DUMMYFUNCTION("""COMPUTED_VALUE"""),254.04)</f>
        <v>254.04</v>
      </c>
      <c r="C297" s="1">
        <f ca="1">IFERROR(__xludf.DUMMYFUNCTION("""COMPUTED_VALUE"""),254.54)</f>
        <v>254.54</v>
      </c>
      <c r="D297" s="1">
        <f ca="1">IFERROR(__xludf.DUMMYFUNCTION("""COMPUTED_VALUE"""),250.81)</f>
        <v>250.81</v>
      </c>
      <c r="E297" s="1">
        <f ca="1">IFERROR(__xludf.DUMMYFUNCTION("""COMPUTED_VALUE"""),253.7)</f>
        <v>253.7</v>
      </c>
      <c r="F297" s="1">
        <f ca="1">IFERROR(__xludf.DUMMYFUNCTION("""COMPUTED_VALUE"""),17340217)</f>
        <v>17340217</v>
      </c>
    </row>
    <row r="298" spans="1:6" ht="12.6">
      <c r="A298" s="2">
        <f ca="1">IFERROR(__xludf.DUMMYFUNCTION("""COMPUTED_VALUE"""),44994.6666666666)</f>
        <v>44994.666666666599</v>
      </c>
      <c r="B298" s="1">
        <f ca="1">IFERROR(__xludf.DUMMYFUNCTION("""COMPUTED_VALUE"""),255.82)</f>
        <v>255.82</v>
      </c>
      <c r="C298" s="1">
        <f ca="1">IFERROR(__xludf.DUMMYFUNCTION("""COMPUTED_VALUE"""),259.56)</f>
        <v>259.56</v>
      </c>
      <c r="D298" s="1">
        <f ca="1">IFERROR(__xludf.DUMMYFUNCTION("""COMPUTED_VALUE"""),251.58)</f>
        <v>251.58</v>
      </c>
      <c r="E298" s="1">
        <f ca="1">IFERROR(__xludf.DUMMYFUNCTION("""COMPUTED_VALUE"""),252.32)</f>
        <v>252.32</v>
      </c>
      <c r="F298" s="1">
        <f ca="1">IFERROR(__xludf.DUMMYFUNCTION("""COMPUTED_VALUE"""),26653387)</f>
        <v>26653387</v>
      </c>
    </row>
    <row r="299" spans="1:6" ht="12.6">
      <c r="A299" s="2">
        <f ca="1">IFERROR(__xludf.DUMMYFUNCTION("""COMPUTED_VALUE"""),44995.6666666666)</f>
        <v>44995.666666666599</v>
      </c>
      <c r="B299" s="1">
        <f ca="1">IFERROR(__xludf.DUMMYFUNCTION("""COMPUTED_VALUE"""),251.08)</f>
        <v>251.08</v>
      </c>
      <c r="C299" s="1">
        <f ca="1">IFERROR(__xludf.DUMMYFUNCTION("""COMPUTED_VALUE"""),252.79)</f>
        <v>252.79</v>
      </c>
      <c r="D299" s="1">
        <f ca="1">IFERROR(__xludf.DUMMYFUNCTION("""COMPUTED_VALUE"""),247.6)</f>
        <v>247.6</v>
      </c>
      <c r="E299" s="1">
        <f ca="1">IFERROR(__xludf.DUMMYFUNCTION("""COMPUTED_VALUE"""),248.59)</f>
        <v>248.59</v>
      </c>
      <c r="F299" s="1">
        <f ca="1">IFERROR(__xludf.DUMMYFUNCTION("""COMPUTED_VALUE"""),28333930)</f>
        <v>28333930</v>
      </c>
    </row>
    <row r="300" spans="1:6" ht="12.6">
      <c r="A300" s="2">
        <f ca="1">IFERROR(__xludf.DUMMYFUNCTION("""COMPUTED_VALUE"""),44998.6666666666)</f>
        <v>44998.666666666599</v>
      </c>
      <c r="B300" s="1">
        <f ca="1">IFERROR(__xludf.DUMMYFUNCTION("""COMPUTED_VALUE"""),247.4)</f>
        <v>247.4</v>
      </c>
      <c r="C300" s="1">
        <f ca="1">IFERROR(__xludf.DUMMYFUNCTION("""COMPUTED_VALUE"""),257.91)</f>
        <v>257.91000000000003</v>
      </c>
      <c r="D300" s="1">
        <f ca="1">IFERROR(__xludf.DUMMYFUNCTION("""COMPUTED_VALUE"""),245.73)</f>
        <v>245.73</v>
      </c>
      <c r="E300" s="1">
        <f ca="1">IFERROR(__xludf.DUMMYFUNCTION("""COMPUTED_VALUE"""),253.92)</f>
        <v>253.92</v>
      </c>
      <c r="F300" s="1">
        <f ca="1">IFERROR(__xludf.DUMMYFUNCTION("""COMPUTED_VALUE"""),33339721)</f>
        <v>33339721</v>
      </c>
    </row>
    <row r="301" spans="1:6" ht="12.6">
      <c r="A301" s="2">
        <f ca="1">IFERROR(__xludf.DUMMYFUNCTION("""COMPUTED_VALUE"""),44999.6666666666)</f>
        <v>44999.666666666599</v>
      </c>
      <c r="B301" s="1">
        <f ca="1">IFERROR(__xludf.DUMMYFUNCTION("""COMPUTED_VALUE"""),256.75)</f>
        <v>256.75</v>
      </c>
      <c r="C301" s="1">
        <f ca="1">IFERROR(__xludf.DUMMYFUNCTION("""COMPUTED_VALUE"""),261.07)</f>
        <v>261.07</v>
      </c>
      <c r="D301" s="1">
        <f ca="1">IFERROR(__xludf.DUMMYFUNCTION("""COMPUTED_VALUE"""),255.86)</f>
        <v>255.86</v>
      </c>
      <c r="E301" s="1">
        <f ca="1">IFERROR(__xludf.DUMMYFUNCTION("""COMPUTED_VALUE"""),260.79)</f>
        <v>260.79000000000002</v>
      </c>
      <c r="F301" s="1">
        <f ca="1">IFERROR(__xludf.DUMMYFUNCTION("""COMPUTED_VALUE"""),33620293)</f>
        <v>33620293</v>
      </c>
    </row>
    <row r="302" spans="1:6" ht="12.6">
      <c r="A302" s="2">
        <f ca="1">IFERROR(__xludf.DUMMYFUNCTION("""COMPUTED_VALUE"""),45000.6666666666)</f>
        <v>45000.666666666599</v>
      </c>
      <c r="B302" s="1">
        <f ca="1">IFERROR(__xludf.DUMMYFUNCTION("""COMPUTED_VALUE"""),259.98)</f>
        <v>259.98</v>
      </c>
      <c r="C302" s="1">
        <f ca="1">IFERROR(__xludf.DUMMYFUNCTION("""COMPUTED_VALUE"""),266.48)</f>
        <v>266.48</v>
      </c>
      <c r="D302" s="1">
        <f ca="1">IFERROR(__xludf.DUMMYFUNCTION("""COMPUTED_VALUE"""),259.21)</f>
        <v>259.20999999999998</v>
      </c>
      <c r="E302" s="1">
        <f ca="1">IFERROR(__xludf.DUMMYFUNCTION("""COMPUTED_VALUE"""),265.44)</f>
        <v>265.44</v>
      </c>
      <c r="F302" s="1">
        <f ca="1">IFERROR(__xludf.DUMMYFUNCTION("""COMPUTED_VALUE"""),46028047)</f>
        <v>46028047</v>
      </c>
    </row>
    <row r="303" spans="1:6" ht="12.6">
      <c r="A303" s="2">
        <f ca="1">IFERROR(__xludf.DUMMYFUNCTION("""COMPUTED_VALUE"""),45001.6666666666)</f>
        <v>45001.666666666599</v>
      </c>
      <c r="B303" s="1">
        <f ca="1">IFERROR(__xludf.DUMMYFUNCTION("""COMPUTED_VALUE"""),265.21)</f>
        <v>265.20999999999998</v>
      </c>
      <c r="C303" s="1">
        <f ca="1">IFERROR(__xludf.DUMMYFUNCTION("""COMPUTED_VALUE"""),276.56)</f>
        <v>276.56</v>
      </c>
      <c r="D303" s="1">
        <f ca="1">IFERROR(__xludf.DUMMYFUNCTION("""COMPUTED_VALUE"""),263.28)</f>
        <v>263.27999999999997</v>
      </c>
      <c r="E303" s="1">
        <f ca="1">IFERROR(__xludf.DUMMYFUNCTION("""COMPUTED_VALUE"""),276.2)</f>
        <v>276.2</v>
      </c>
      <c r="F303" s="1">
        <f ca="1">IFERROR(__xludf.DUMMYFUNCTION("""COMPUTED_VALUE"""),54832140)</f>
        <v>54832140</v>
      </c>
    </row>
    <row r="304" spans="1:6" ht="12.6">
      <c r="A304" s="2">
        <f ca="1">IFERROR(__xludf.DUMMYFUNCTION("""COMPUTED_VALUE"""),45002.6666666666)</f>
        <v>45002.666666666599</v>
      </c>
      <c r="B304" s="1">
        <f ca="1">IFERROR(__xludf.DUMMYFUNCTION("""COMPUTED_VALUE"""),278.26)</f>
        <v>278.26</v>
      </c>
      <c r="C304" s="1">
        <f ca="1">IFERROR(__xludf.DUMMYFUNCTION("""COMPUTED_VALUE"""),283.33)</f>
        <v>283.33</v>
      </c>
      <c r="D304" s="1">
        <f ca="1">IFERROR(__xludf.DUMMYFUNCTION("""COMPUTED_VALUE"""),276.32)</f>
        <v>276.32</v>
      </c>
      <c r="E304" s="1">
        <f ca="1">IFERROR(__xludf.DUMMYFUNCTION("""COMPUTED_VALUE"""),279.43)</f>
        <v>279.43</v>
      </c>
      <c r="F304" s="1">
        <f ca="1">IFERROR(__xludf.DUMMYFUNCTION("""COMPUTED_VALUE"""),69527371)</f>
        <v>69527371</v>
      </c>
    </row>
    <row r="305" spans="1:6" ht="12.6">
      <c r="A305" s="2">
        <f ca="1">IFERROR(__xludf.DUMMYFUNCTION("""COMPUTED_VALUE"""),45005.6666666666)</f>
        <v>45005.666666666599</v>
      </c>
      <c r="B305" s="1">
        <f ca="1">IFERROR(__xludf.DUMMYFUNCTION("""COMPUTED_VALUE"""),276.98)</f>
        <v>276.98</v>
      </c>
      <c r="C305" s="1">
        <f ca="1">IFERROR(__xludf.DUMMYFUNCTION("""COMPUTED_VALUE"""),277.48)</f>
        <v>277.48</v>
      </c>
      <c r="D305" s="1">
        <f ca="1">IFERROR(__xludf.DUMMYFUNCTION("""COMPUTED_VALUE"""),269.85)</f>
        <v>269.85000000000002</v>
      </c>
      <c r="E305" s="1">
        <f ca="1">IFERROR(__xludf.DUMMYFUNCTION("""COMPUTED_VALUE"""),272.23)</f>
        <v>272.23</v>
      </c>
      <c r="F305" s="1">
        <f ca="1">IFERROR(__xludf.DUMMYFUNCTION("""COMPUTED_VALUE"""),43466649)</f>
        <v>43466649</v>
      </c>
    </row>
    <row r="306" spans="1:6" ht="12.6">
      <c r="A306" s="2">
        <f ca="1">IFERROR(__xludf.DUMMYFUNCTION("""COMPUTED_VALUE"""),45006.6666666666)</f>
        <v>45006.666666666599</v>
      </c>
      <c r="B306" s="1">
        <f ca="1">IFERROR(__xludf.DUMMYFUNCTION("""COMPUTED_VALUE"""),274.88)</f>
        <v>274.88</v>
      </c>
      <c r="C306" s="1">
        <f ca="1">IFERROR(__xludf.DUMMYFUNCTION("""COMPUTED_VALUE"""),275)</f>
        <v>275</v>
      </c>
      <c r="D306" s="1">
        <f ca="1">IFERROR(__xludf.DUMMYFUNCTION("""COMPUTED_VALUE"""),269.52)</f>
        <v>269.52</v>
      </c>
      <c r="E306" s="1">
        <f ca="1">IFERROR(__xludf.DUMMYFUNCTION("""COMPUTED_VALUE"""),273.78)</f>
        <v>273.77999999999997</v>
      </c>
      <c r="F306" s="1">
        <f ca="1">IFERROR(__xludf.DUMMYFUNCTION("""COMPUTED_VALUE"""),34558704)</f>
        <v>34558704</v>
      </c>
    </row>
    <row r="307" spans="1:6" ht="12.6">
      <c r="A307" s="2">
        <f ca="1">IFERROR(__xludf.DUMMYFUNCTION("""COMPUTED_VALUE"""),45007.6666666666)</f>
        <v>45007.666666666599</v>
      </c>
      <c r="B307" s="1">
        <f ca="1">IFERROR(__xludf.DUMMYFUNCTION("""COMPUTED_VALUE"""),273.4)</f>
        <v>273.39999999999998</v>
      </c>
      <c r="C307" s="1">
        <f ca="1">IFERROR(__xludf.DUMMYFUNCTION("""COMPUTED_VALUE"""),281.04)</f>
        <v>281.04000000000002</v>
      </c>
      <c r="D307" s="1">
        <f ca="1">IFERROR(__xludf.DUMMYFUNCTION("""COMPUTED_VALUE"""),272.18)</f>
        <v>272.18</v>
      </c>
      <c r="E307" s="1">
        <f ca="1">IFERROR(__xludf.DUMMYFUNCTION("""COMPUTED_VALUE"""),272.29)</f>
        <v>272.29000000000002</v>
      </c>
      <c r="F307" s="1">
        <f ca="1">IFERROR(__xludf.DUMMYFUNCTION("""COMPUTED_VALUE"""),34873330)</f>
        <v>34873330</v>
      </c>
    </row>
    <row r="308" spans="1:6" ht="12.6">
      <c r="A308" s="2">
        <f ca="1">IFERROR(__xludf.DUMMYFUNCTION("""COMPUTED_VALUE"""),45008.6666666666)</f>
        <v>45008.666666666599</v>
      </c>
      <c r="B308" s="1">
        <f ca="1">IFERROR(__xludf.DUMMYFUNCTION("""COMPUTED_VALUE"""),277.94)</f>
        <v>277.94</v>
      </c>
      <c r="C308" s="1">
        <f ca="1">IFERROR(__xludf.DUMMYFUNCTION("""COMPUTED_VALUE"""),281.06)</f>
        <v>281.06</v>
      </c>
      <c r="D308" s="1">
        <f ca="1">IFERROR(__xludf.DUMMYFUNCTION("""COMPUTED_VALUE"""),275.2)</f>
        <v>275.2</v>
      </c>
      <c r="E308" s="1">
        <f ca="1">IFERROR(__xludf.DUMMYFUNCTION("""COMPUTED_VALUE"""),277.66)</f>
        <v>277.66000000000003</v>
      </c>
      <c r="F308" s="1">
        <f ca="1">IFERROR(__xludf.DUMMYFUNCTION("""COMPUTED_VALUE"""),36610879)</f>
        <v>36610879</v>
      </c>
    </row>
    <row r="309" spans="1:6" ht="12.6">
      <c r="A309" s="2">
        <f ca="1">IFERROR(__xludf.DUMMYFUNCTION("""COMPUTED_VALUE"""),45009.6666666666)</f>
        <v>45009.666666666599</v>
      </c>
      <c r="B309" s="1">
        <f ca="1">IFERROR(__xludf.DUMMYFUNCTION("""COMPUTED_VALUE"""),277.24)</f>
        <v>277.24</v>
      </c>
      <c r="C309" s="1">
        <f ca="1">IFERROR(__xludf.DUMMYFUNCTION("""COMPUTED_VALUE"""),280.63)</f>
        <v>280.63</v>
      </c>
      <c r="D309" s="1">
        <f ca="1">IFERROR(__xludf.DUMMYFUNCTION("""COMPUTED_VALUE"""),275.28)</f>
        <v>275.27999999999997</v>
      </c>
      <c r="E309" s="1">
        <f ca="1">IFERROR(__xludf.DUMMYFUNCTION("""COMPUTED_VALUE"""),280.57)</f>
        <v>280.57</v>
      </c>
      <c r="F309" s="1">
        <f ca="1">IFERROR(__xludf.DUMMYFUNCTION("""COMPUTED_VALUE"""),28199962)</f>
        <v>28199962</v>
      </c>
    </row>
    <row r="310" spans="1:6" ht="12.6">
      <c r="A310" s="2">
        <f ca="1">IFERROR(__xludf.DUMMYFUNCTION("""COMPUTED_VALUE"""),45012.6666666666)</f>
        <v>45012.666666666599</v>
      </c>
      <c r="B310" s="1">
        <f ca="1">IFERROR(__xludf.DUMMYFUNCTION("""COMPUTED_VALUE"""),280.5)</f>
        <v>280.5</v>
      </c>
      <c r="C310" s="1">
        <f ca="1">IFERROR(__xludf.DUMMYFUNCTION("""COMPUTED_VALUE"""),281.46)</f>
        <v>281.45999999999998</v>
      </c>
      <c r="D310" s="1">
        <f ca="1">IFERROR(__xludf.DUMMYFUNCTION("""COMPUTED_VALUE"""),275.52)</f>
        <v>275.52</v>
      </c>
      <c r="E310" s="1">
        <f ca="1">IFERROR(__xludf.DUMMYFUNCTION("""COMPUTED_VALUE"""),276.38)</f>
        <v>276.38</v>
      </c>
      <c r="F310" s="1">
        <f ca="1">IFERROR(__xludf.DUMMYFUNCTION("""COMPUTED_VALUE"""),26840212)</f>
        <v>26840212</v>
      </c>
    </row>
    <row r="311" spans="1:6" ht="12.6">
      <c r="A311" s="2">
        <f ca="1">IFERROR(__xludf.DUMMYFUNCTION("""COMPUTED_VALUE"""),45013.6666666666)</f>
        <v>45013.666666666599</v>
      </c>
      <c r="B311" s="1">
        <f ca="1">IFERROR(__xludf.DUMMYFUNCTION("""COMPUTED_VALUE"""),275.79)</f>
        <v>275.79000000000002</v>
      </c>
      <c r="C311" s="1">
        <f ca="1">IFERROR(__xludf.DUMMYFUNCTION("""COMPUTED_VALUE"""),276.14)</f>
        <v>276.14</v>
      </c>
      <c r="D311" s="1">
        <f ca="1">IFERROR(__xludf.DUMMYFUNCTION("""COMPUTED_VALUE"""),272.05)</f>
        <v>272.05</v>
      </c>
      <c r="E311" s="1">
        <f ca="1">IFERROR(__xludf.DUMMYFUNCTION("""COMPUTED_VALUE"""),275.23)</f>
        <v>275.23</v>
      </c>
      <c r="F311" s="1">
        <f ca="1">IFERROR(__xludf.DUMMYFUNCTION("""COMPUTED_VALUE"""),21878647)</f>
        <v>21878647</v>
      </c>
    </row>
    <row r="312" spans="1:6" ht="12.6">
      <c r="A312" s="2">
        <f ca="1">IFERROR(__xludf.DUMMYFUNCTION("""COMPUTED_VALUE"""),45014.6666666666)</f>
        <v>45014.666666666599</v>
      </c>
      <c r="B312" s="1">
        <f ca="1">IFERROR(__xludf.DUMMYFUNCTION("""COMPUTED_VALUE"""),278.96)</f>
        <v>278.95999999999998</v>
      </c>
      <c r="C312" s="1">
        <f ca="1">IFERROR(__xludf.DUMMYFUNCTION("""COMPUTED_VALUE"""),281.14)</f>
        <v>281.14</v>
      </c>
      <c r="D312" s="1">
        <f ca="1">IFERROR(__xludf.DUMMYFUNCTION("""COMPUTED_VALUE"""),278.41)</f>
        <v>278.41000000000003</v>
      </c>
      <c r="E312" s="1">
        <f ca="1">IFERROR(__xludf.DUMMYFUNCTION("""COMPUTED_VALUE"""),280.51)</f>
        <v>280.51</v>
      </c>
      <c r="F312" s="1">
        <f ca="1">IFERROR(__xludf.DUMMYFUNCTION("""COMPUTED_VALUE"""),25087032)</f>
        <v>25087032</v>
      </c>
    </row>
    <row r="313" spans="1:6" ht="12.6">
      <c r="A313" s="2">
        <f ca="1">IFERROR(__xludf.DUMMYFUNCTION("""COMPUTED_VALUE"""),45015.6666666666)</f>
        <v>45015.666666666599</v>
      </c>
      <c r="B313" s="1">
        <f ca="1">IFERROR(__xludf.DUMMYFUNCTION("""COMPUTED_VALUE"""),284.23)</f>
        <v>284.23</v>
      </c>
      <c r="C313" s="1">
        <f ca="1">IFERROR(__xludf.DUMMYFUNCTION("""COMPUTED_VALUE"""),284.46)</f>
        <v>284.45999999999998</v>
      </c>
      <c r="D313" s="1">
        <f ca="1">IFERROR(__xludf.DUMMYFUNCTION("""COMPUTED_VALUE"""),281.48)</f>
        <v>281.48</v>
      </c>
      <c r="E313" s="1">
        <f ca="1">IFERROR(__xludf.DUMMYFUNCTION("""COMPUTED_VALUE"""),284.05)</f>
        <v>284.05</v>
      </c>
      <c r="F313" s="1">
        <f ca="1">IFERROR(__xludf.DUMMYFUNCTION("""COMPUTED_VALUE"""),25053410)</f>
        <v>25053410</v>
      </c>
    </row>
    <row r="314" spans="1:6" ht="12.6">
      <c r="A314" s="2">
        <f ca="1">IFERROR(__xludf.DUMMYFUNCTION("""COMPUTED_VALUE"""),45016.6666666666)</f>
        <v>45016.666666666599</v>
      </c>
      <c r="B314" s="1">
        <f ca="1">IFERROR(__xludf.DUMMYFUNCTION("""COMPUTED_VALUE"""),283.73)</f>
        <v>283.73</v>
      </c>
      <c r="C314" s="1">
        <f ca="1">IFERROR(__xludf.DUMMYFUNCTION("""COMPUTED_VALUE"""),289.27)</f>
        <v>289.27</v>
      </c>
      <c r="D314" s="1">
        <f ca="1">IFERROR(__xludf.DUMMYFUNCTION("""COMPUTED_VALUE"""),283)</f>
        <v>283</v>
      </c>
      <c r="E314" s="1">
        <f ca="1">IFERROR(__xludf.DUMMYFUNCTION("""COMPUTED_VALUE"""),288.3)</f>
        <v>288.3</v>
      </c>
      <c r="F314" s="1">
        <f ca="1">IFERROR(__xludf.DUMMYFUNCTION("""COMPUTED_VALUE"""),32765976)</f>
        <v>32765976</v>
      </c>
    </row>
    <row r="315" spans="1:6" ht="12.6">
      <c r="A315" s="2">
        <f ca="1">IFERROR(__xludf.DUMMYFUNCTION("""COMPUTED_VALUE"""),45019.6666666666)</f>
        <v>45019.666666666599</v>
      </c>
      <c r="B315" s="1">
        <f ca="1">IFERROR(__xludf.DUMMYFUNCTION("""COMPUTED_VALUE"""),286.52)</f>
        <v>286.52</v>
      </c>
      <c r="C315" s="1">
        <f ca="1">IFERROR(__xludf.DUMMYFUNCTION("""COMPUTED_VALUE"""),288.27)</f>
        <v>288.27</v>
      </c>
      <c r="D315" s="1">
        <f ca="1">IFERROR(__xludf.DUMMYFUNCTION("""COMPUTED_VALUE"""),283.95)</f>
        <v>283.95</v>
      </c>
      <c r="E315" s="1">
        <f ca="1">IFERROR(__xludf.DUMMYFUNCTION("""COMPUTED_VALUE"""),287.23)</f>
        <v>287.23</v>
      </c>
      <c r="F315" s="1">
        <f ca="1">IFERROR(__xludf.DUMMYFUNCTION("""COMPUTED_VALUE"""),24883342)</f>
        <v>24883342</v>
      </c>
    </row>
    <row r="316" spans="1:6" ht="12.6">
      <c r="A316" s="2">
        <f ca="1">IFERROR(__xludf.DUMMYFUNCTION("""COMPUTED_VALUE"""),45020.6666666666)</f>
        <v>45020.666666666599</v>
      </c>
      <c r="B316" s="1">
        <f ca="1">IFERROR(__xludf.DUMMYFUNCTION("""COMPUTED_VALUE"""),287.23)</f>
        <v>287.23</v>
      </c>
      <c r="C316" s="1">
        <f ca="1">IFERROR(__xludf.DUMMYFUNCTION("""COMPUTED_VALUE"""),290.45)</f>
        <v>290.45</v>
      </c>
      <c r="D316" s="1">
        <f ca="1">IFERROR(__xludf.DUMMYFUNCTION("""COMPUTED_VALUE"""),285.67)</f>
        <v>285.67</v>
      </c>
      <c r="E316" s="1">
        <f ca="1">IFERROR(__xludf.DUMMYFUNCTION("""COMPUTED_VALUE"""),287.18)</f>
        <v>287.18</v>
      </c>
      <c r="F316" s="1">
        <f ca="1">IFERROR(__xludf.DUMMYFUNCTION("""COMPUTED_VALUE"""),25824299)</f>
        <v>25824299</v>
      </c>
    </row>
    <row r="317" spans="1:6" ht="12.6">
      <c r="A317" s="2">
        <f ca="1">IFERROR(__xludf.DUMMYFUNCTION("""COMPUTED_VALUE"""),45021.6666666666)</f>
        <v>45021.666666666599</v>
      </c>
      <c r="B317" s="1">
        <f ca="1">IFERROR(__xludf.DUMMYFUNCTION("""COMPUTED_VALUE"""),285.85)</f>
        <v>285.85000000000002</v>
      </c>
      <c r="C317" s="1">
        <f ca="1">IFERROR(__xludf.DUMMYFUNCTION("""COMPUTED_VALUE"""),287.15)</f>
        <v>287.14999999999998</v>
      </c>
      <c r="D317" s="1">
        <f ca="1">IFERROR(__xludf.DUMMYFUNCTION("""COMPUTED_VALUE"""),282.92)</f>
        <v>282.92</v>
      </c>
      <c r="E317" s="1">
        <f ca="1">IFERROR(__xludf.DUMMYFUNCTION("""COMPUTED_VALUE"""),284.34)</f>
        <v>284.33999999999997</v>
      </c>
      <c r="F317" s="1">
        <f ca="1">IFERROR(__xludf.DUMMYFUNCTION("""COMPUTED_VALUE"""),22064770)</f>
        <v>22064770</v>
      </c>
    </row>
    <row r="318" spans="1:6" ht="12.6">
      <c r="A318" s="2">
        <f ca="1">IFERROR(__xludf.DUMMYFUNCTION("""COMPUTED_VALUE"""),45022.6666666666)</f>
        <v>45022.666666666599</v>
      </c>
      <c r="B318" s="1">
        <f ca="1">IFERROR(__xludf.DUMMYFUNCTION("""COMPUTED_VALUE"""),283.21)</f>
        <v>283.20999999999998</v>
      </c>
      <c r="C318" s="1">
        <f ca="1">IFERROR(__xludf.DUMMYFUNCTION("""COMPUTED_VALUE"""),292.08)</f>
        <v>292.08</v>
      </c>
      <c r="D318" s="1">
        <f ca="1">IFERROR(__xludf.DUMMYFUNCTION("""COMPUTED_VALUE"""),282.03)</f>
        <v>282.02999999999997</v>
      </c>
      <c r="E318" s="1">
        <f ca="1">IFERROR(__xludf.DUMMYFUNCTION("""COMPUTED_VALUE"""),291.6)</f>
        <v>291.60000000000002</v>
      </c>
      <c r="F318" s="1">
        <f ca="1">IFERROR(__xludf.DUMMYFUNCTION("""COMPUTED_VALUE"""),29770334)</f>
        <v>29770334</v>
      </c>
    </row>
    <row r="319" spans="1:6" ht="12.6">
      <c r="A319" s="2">
        <f ca="1">IFERROR(__xludf.DUMMYFUNCTION("""COMPUTED_VALUE"""),45026.6666666666)</f>
        <v>45026.666666666599</v>
      </c>
      <c r="B319" s="1">
        <f ca="1">IFERROR(__xludf.DUMMYFUNCTION("""COMPUTED_VALUE"""),289.21)</f>
        <v>289.20999999999998</v>
      </c>
      <c r="C319" s="1">
        <f ca="1">IFERROR(__xludf.DUMMYFUNCTION("""COMPUTED_VALUE"""),289.6)</f>
        <v>289.60000000000002</v>
      </c>
      <c r="D319" s="1">
        <f ca="1">IFERROR(__xludf.DUMMYFUNCTION("""COMPUTED_VALUE"""),284.71)</f>
        <v>284.70999999999998</v>
      </c>
      <c r="E319" s="1">
        <f ca="1">IFERROR(__xludf.DUMMYFUNCTION("""COMPUTED_VALUE"""),289.39)</f>
        <v>289.39</v>
      </c>
      <c r="F319" s="1">
        <f ca="1">IFERROR(__xludf.DUMMYFUNCTION("""COMPUTED_VALUE"""),23102994)</f>
        <v>23102994</v>
      </c>
    </row>
    <row r="320" spans="1:6" ht="12.6">
      <c r="A320" s="2">
        <f ca="1">IFERROR(__xludf.DUMMYFUNCTION("""COMPUTED_VALUE"""),45027.6666666666)</f>
        <v>45027.666666666599</v>
      </c>
      <c r="B320" s="1">
        <f ca="1">IFERROR(__xludf.DUMMYFUNCTION("""COMPUTED_VALUE"""),285.75)</f>
        <v>285.75</v>
      </c>
      <c r="C320" s="1">
        <f ca="1">IFERROR(__xludf.DUMMYFUNCTION("""COMPUTED_VALUE"""),285.98)</f>
        <v>285.98</v>
      </c>
      <c r="D320" s="1">
        <f ca="1">IFERROR(__xludf.DUMMYFUNCTION("""COMPUTED_VALUE"""),281.64)</f>
        <v>281.64</v>
      </c>
      <c r="E320" s="1">
        <f ca="1">IFERROR(__xludf.DUMMYFUNCTION("""COMPUTED_VALUE"""),282.83)</f>
        <v>282.83</v>
      </c>
      <c r="F320" s="1">
        <f ca="1">IFERROR(__xludf.DUMMYFUNCTION("""COMPUTED_VALUE"""),27276589)</f>
        <v>27276589</v>
      </c>
    </row>
    <row r="321" spans="1:6" ht="12.6">
      <c r="A321" s="2">
        <f ca="1">IFERROR(__xludf.DUMMYFUNCTION("""COMPUTED_VALUE"""),45028.6666666666)</f>
        <v>45028.666666666599</v>
      </c>
      <c r="B321" s="1">
        <f ca="1">IFERROR(__xludf.DUMMYFUNCTION("""COMPUTED_VALUE"""),284.79)</f>
        <v>284.79000000000002</v>
      </c>
      <c r="C321" s="1">
        <f ca="1">IFERROR(__xludf.DUMMYFUNCTION("""COMPUTED_VALUE"""),287.01)</f>
        <v>287.01</v>
      </c>
      <c r="D321" s="1">
        <f ca="1">IFERROR(__xludf.DUMMYFUNCTION("""COMPUTED_VALUE"""),281.96)</f>
        <v>281.95999999999998</v>
      </c>
      <c r="E321" s="1">
        <f ca="1">IFERROR(__xludf.DUMMYFUNCTION("""COMPUTED_VALUE"""),283.49)</f>
        <v>283.49</v>
      </c>
      <c r="F321" s="1">
        <f ca="1">IFERROR(__xludf.DUMMYFUNCTION("""COMPUTED_VALUE"""),27403432)</f>
        <v>27403432</v>
      </c>
    </row>
    <row r="322" spans="1:6" ht="12.6">
      <c r="A322" s="2">
        <f ca="1">IFERROR(__xludf.DUMMYFUNCTION("""COMPUTED_VALUE"""),45029.6666666666)</f>
        <v>45029.666666666599</v>
      </c>
      <c r="B322" s="1">
        <f ca="1">IFERROR(__xludf.DUMMYFUNCTION("""COMPUTED_VALUE"""),283.59)</f>
        <v>283.58999999999997</v>
      </c>
      <c r="C322" s="1">
        <f ca="1">IFERROR(__xludf.DUMMYFUNCTION("""COMPUTED_VALUE"""),289.9)</f>
        <v>289.89999999999998</v>
      </c>
      <c r="D322" s="1">
        <f ca="1">IFERROR(__xludf.DUMMYFUNCTION("""COMPUTED_VALUE"""),283.17)</f>
        <v>283.17</v>
      </c>
      <c r="E322" s="1">
        <f ca="1">IFERROR(__xludf.DUMMYFUNCTION("""COMPUTED_VALUE"""),289.84)</f>
        <v>289.83999999999997</v>
      </c>
      <c r="F322" s="1">
        <f ca="1">IFERROR(__xludf.DUMMYFUNCTION("""COMPUTED_VALUE"""),24222678)</f>
        <v>24222678</v>
      </c>
    </row>
    <row r="323" spans="1:6" ht="12.6">
      <c r="A323" s="2">
        <f ca="1">IFERROR(__xludf.DUMMYFUNCTION("""COMPUTED_VALUE"""),45030.6666666666)</f>
        <v>45030.666666666599</v>
      </c>
      <c r="B323" s="1">
        <f ca="1">IFERROR(__xludf.DUMMYFUNCTION("""COMPUTED_VALUE"""),287)</f>
        <v>287</v>
      </c>
      <c r="C323" s="1">
        <f ca="1">IFERROR(__xludf.DUMMYFUNCTION("""COMPUTED_VALUE"""),288.48)</f>
        <v>288.48</v>
      </c>
      <c r="D323" s="1">
        <f ca="1">IFERROR(__xludf.DUMMYFUNCTION("""COMPUTED_VALUE"""),283.69)</f>
        <v>283.69</v>
      </c>
      <c r="E323" s="1">
        <f ca="1">IFERROR(__xludf.DUMMYFUNCTION("""COMPUTED_VALUE"""),286.14)</f>
        <v>286.14</v>
      </c>
      <c r="F323" s="1">
        <f ca="1">IFERROR(__xludf.DUMMYFUNCTION("""COMPUTED_VALUE"""),20987917)</f>
        <v>20987917</v>
      </c>
    </row>
    <row r="324" spans="1:6" ht="12.6">
      <c r="A324" s="2">
        <f ca="1">IFERROR(__xludf.DUMMYFUNCTION("""COMPUTED_VALUE"""),45033.6666666666)</f>
        <v>45033.666666666599</v>
      </c>
      <c r="B324" s="1">
        <f ca="1">IFERROR(__xludf.DUMMYFUNCTION("""COMPUTED_VALUE"""),289.93)</f>
        <v>289.93</v>
      </c>
      <c r="C324" s="1">
        <f ca="1">IFERROR(__xludf.DUMMYFUNCTION("""COMPUTED_VALUE"""),291.6)</f>
        <v>291.60000000000002</v>
      </c>
      <c r="D324" s="1">
        <f ca="1">IFERROR(__xludf.DUMMYFUNCTION("""COMPUTED_VALUE"""),286.16)</f>
        <v>286.16000000000003</v>
      </c>
      <c r="E324" s="1">
        <f ca="1">IFERROR(__xludf.DUMMYFUNCTION("""COMPUTED_VALUE"""),288.8)</f>
        <v>288.8</v>
      </c>
      <c r="F324" s="1">
        <f ca="1">IFERROR(__xludf.DUMMYFUNCTION("""COMPUTED_VALUE"""),23836223)</f>
        <v>23836223</v>
      </c>
    </row>
    <row r="325" spans="1:6" ht="12.6">
      <c r="A325" s="2">
        <f ca="1">IFERROR(__xludf.DUMMYFUNCTION("""COMPUTED_VALUE"""),45034.6666666666)</f>
        <v>45034.666666666599</v>
      </c>
      <c r="B325" s="1">
        <f ca="1">IFERROR(__xludf.DUMMYFUNCTION("""COMPUTED_VALUE"""),291.57)</f>
        <v>291.57</v>
      </c>
      <c r="C325" s="1">
        <f ca="1">IFERROR(__xludf.DUMMYFUNCTION("""COMPUTED_VALUE"""),291.76)</f>
        <v>291.76</v>
      </c>
      <c r="D325" s="1">
        <f ca="1">IFERROR(__xludf.DUMMYFUNCTION("""COMPUTED_VALUE"""),287.01)</f>
        <v>287.01</v>
      </c>
      <c r="E325" s="1">
        <f ca="1">IFERROR(__xludf.DUMMYFUNCTION("""COMPUTED_VALUE"""),288.37)</f>
        <v>288.37</v>
      </c>
      <c r="F325" s="1">
        <f ca="1">IFERROR(__xludf.DUMMYFUNCTION("""COMPUTED_VALUE"""),20161845)</f>
        <v>20161845</v>
      </c>
    </row>
    <row r="326" spans="1:6" ht="12.6">
      <c r="A326" s="2">
        <f ca="1">IFERROR(__xludf.DUMMYFUNCTION("""COMPUTED_VALUE"""),45035.6666666666)</f>
        <v>45035.666666666599</v>
      </c>
      <c r="B326" s="1">
        <f ca="1">IFERROR(__xludf.DUMMYFUNCTION("""COMPUTED_VALUE"""),285.99)</f>
        <v>285.99</v>
      </c>
      <c r="C326" s="1">
        <f ca="1">IFERROR(__xludf.DUMMYFUNCTION("""COMPUTED_VALUE"""),289.05)</f>
        <v>289.05</v>
      </c>
      <c r="D326" s="1">
        <f ca="1">IFERROR(__xludf.DUMMYFUNCTION("""COMPUTED_VALUE"""),284.54)</f>
        <v>284.54000000000002</v>
      </c>
      <c r="E326" s="1">
        <f ca="1">IFERROR(__xludf.DUMMYFUNCTION("""COMPUTED_VALUE"""),288.45)</f>
        <v>288.45</v>
      </c>
      <c r="F326" s="1">
        <f ca="1">IFERROR(__xludf.DUMMYFUNCTION("""COMPUTED_VALUE"""),17150271)</f>
        <v>17150271</v>
      </c>
    </row>
    <row r="327" spans="1:6" ht="12.6">
      <c r="A327" s="2">
        <f ca="1">IFERROR(__xludf.DUMMYFUNCTION("""COMPUTED_VALUE"""),45036.6666666666)</f>
        <v>45036.666666666599</v>
      </c>
      <c r="B327" s="1">
        <f ca="1">IFERROR(__xludf.DUMMYFUNCTION("""COMPUTED_VALUE"""),285.25)</f>
        <v>285.25</v>
      </c>
      <c r="C327" s="1">
        <f ca="1">IFERROR(__xludf.DUMMYFUNCTION("""COMPUTED_VALUE"""),289.03)</f>
        <v>289.02999999999997</v>
      </c>
      <c r="D327" s="1">
        <f ca="1">IFERROR(__xludf.DUMMYFUNCTION("""COMPUTED_VALUE"""),285.08)</f>
        <v>285.08</v>
      </c>
      <c r="E327" s="1">
        <f ca="1">IFERROR(__xludf.DUMMYFUNCTION("""COMPUTED_VALUE"""),286.11)</f>
        <v>286.11</v>
      </c>
      <c r="F327" s="1">
        <f ca="1">IFERROR(__xludf.DUMMYFUNCTION("""COMPUTED_VALUE"""),23244363)</f>
        <v>23244363</v>
      </c>
    </row>
    <row r="328" spans="1:6" ht="12.6">
      <c r="A328" s="2">
        <f ca="1">IFERROR(__xludf.DUMMYFUNCTION("""COMPUTED_VALUE"""),45037.6666666666)</f>
        <v>45037.666666666599</v>
      </c>
      <c r="B328" s="1">
        <f ca="1">IFERROR(__xludf.DUMMYFUNCTION("""COMPUTED_VALUE"""),285.01)</f>
        <v>285.01</v>
      </c>
      <c r="C328" s="1">
        <f ca="1">IFERROR(__xludf.DUMMYFUNCTION("""COMPUTED_VALUE"""),286.27)</f>
        <v>286.27</v>
      </c>
      <c r="D328" s="1">
        <f ca="1">IFERROR(__xludf.DUMMYFUNCTION("""COMPUTED_VALUE"""),283.06)</f>
        <v>283.06</v>
      </c>
      <c r="E328" s="1">
        <f ca="1">IFERROR(__xludf.DUMMYFUNCTION("""COMPUTED_VALUE"""),285.76)</f>
        <v>285.76</v>
      </c>
      <c r="F328" s="1">
        <f ca="1">IFERROR(__xludf.DUMMYFUNCTION("""COMPUTED_VALUE"""),21676387)</f>
        <v>21676387</v>
      </c>
    </row>
    <row r="329" spans="1:6" ht="12.6">
      <c r="A329" s="2">
        <f ca="1">IFERROR(__xludf.DUMMYFUNCTION("""COMPUTED_VALUE"""),45040.6666666666)</f>
        <v>45040.666666666599</v>
      </c>
      <c r="B329" s="1">
        <f ca="1">IFERROR(__xludf.DUMMYFUNCTION("""COMPUTED_VALUE"""),282.09)</f>
        <v>282.08999999999997</v>
      </c>
      <c r="C329" s="1">
        <f ca="1">IFERROR(__xludf.DUMMYFUNCTION("""COMPUTED_VALUE"""),284.95)</f>
        <v>284.95</v>
      </c>
      <c r="D329" s="1">
        <f ca="1">IFERROR(__xludf.DUMMYFUNCTION("""COMPUTED_VALUE"""),278.72)</f>
        <v>278.72000000000003</v>
      </c>
      <c r="E329" s="1">
        <f ca="1">IFERROR(__xludf.DUMMYFUNCTION("""COMPUTED_VALUE"""),281.77)</f>
        <v>281.77</v>
      </c>
      <c r="F329" s="1">
        <f ca="1">IFERROR(__xludf.DUMMYFUNCTION("""COMPUTED_VALUE"""),26611014)</f>
        <v>26611014</v>
      </c>
    </row>
    <row r="330" spans="1:6" ht="12.6">
      <c r="A330" s="2">
        <f ca="1">IFERROR(__xludf.DUMMYFUNCTION("""COMPUTED_VALUE"""),45041.6666666666)</f>
        <v>45041.666666666599</v>
      </c>
      <c r="B330" s="1">
        <f ca="1">IFERROR(__xludf.DUMMYFUNCTION("""COMPUTED_VALUE"""),279.51)</f>
        <v>279.51</v>
      </c>
      <c r="C330" s="1">
        <f ca="1">IFERROR(__xludf.DUMMYFUNCTION("""COMPUTED_VALUE"""),281.6)</f>
        <v>281.60000000000002</v>
      </c>
      <c r="D330" s="1">
        <f ca="1">IFERROR(__xludf.DUMMYFUNCTION("""COMPUTED_VALUE"""),275.37)</f>
        <v>275.37</v>
      </c>
      <c r="E330" s="1">
        <f ca="1">IFERROR(__xludf.DUMMYFUNCTION("""COMPUTED_VALUE"""),275.42)</f>
        <v>275.42</v>
      </c>
      <c r="F330" s="1">
        <f ca="1">IFERROR(__xludf.DUMMYFUNCTION("""COMPUTED_VALUE"""),45772236)</f>
        <v>45772236</v>
      </c>
    </row>
    <row r="331" spans="1:6" ht="12.6">
      <c r="A331" s="2">
        <f ca="1">IFERROR(__xludf.DUMMYFUNCTION("""COMPUTED_VALUE"""),45042.6666666666)</f>
        <v>45042.666666666599</v>
      </c>
      <c r="B331" s="1">
        <f ca="1">IFERROR(__xludf.DUMMYFUNCTION("""COMPUTED_VALUE"""),296.7)</f>
        <v>296.7</v>
      </c>
      <c r="C331" s="1">
        <f ca="1">IFERROR(__xludf.DUMMYFUNCTION("""COMPUTED_VALUE"""),299.57)</f>
        <v>299.57</v>
      </c>
      <c r="D331" s="1">
        <f ca="1">IFERROR(__xludf.DUMMYFUNCTION("""COMPUTED_VALUE"""),292.73)</f>
        <v>292.73</v>
      </c>
      <c r="E331" s="1">
        <f ca="1">IFERROR(__xludf.DUMMYFUNCTION("""COMPUTED_VALUE"""),295.37)</f>
        <v>295.37</v>
      </c>
      <c r="F331" s="1">
        <f ca="1">IFERROR(__xludf.DUMMYFUNCTION("""COMPUTED_VALUE"""),64599182)</f>
        <v>64599182</v>
      </c>
    </row>
    <row r="332" spans="1:6" ht="12.6">
      <c r="A332" s="2">
        <f ca="1">IFERROR(__xludf.DUMMYFUNCTION("""COMPUTED_VALUE"""),45043.6666666666)</f>
        <v>45043.666666666599</v>
      </c>
      <c r="B332" s="1">
        <f ca="1">IFERROR(__xludf.DUMMYFUNCTION("""COMPUTED_VALUE"""),295.97)</f>
        <v>295.97000000000003</v>
      </c>
      <c r="C332" s="1">
        <f ca="1">IFERROR(__xludf.DUMMYFUNCTION("""COMPUTED_VALUE"""),305.2)</f>
        <v>305.2</v>
      </c>
      <c r="D332" s="1">
        <f ca="1">IFERROR(__xludf.DUMMYFUNCTION("""COMPUTED_VALUE"""),295.25)</f>
        <v>295.25</v>
      </c>
      <c r="E332" s="1">
        <f ca="1">IFERROR(__xludf.DUMMYFUNCTION("""COMPUTED_VALUE"""),304.83)</f>
        <v>304.83</v>
      </c>
      <c r="F332" s="1">
        <f ca="1">IFERROR(__xludf.DUMMYFUNCTION("""COMPUTED_VALUE"""),46462638)</f>
        <v>46462638</v>
      </c>
    </row>
    <row r="333" spans="1:6" ht="12.6">
      <c r="A333" s="2">
        <f ca="1">IFERROR(__xludf.DUMMYFUNCTION("""COMPUTED_VALUE"""),45044.6666666666)</f>
        <v>45044.666666666599</v>
      </c>
      <c r="B333" s="1">
        <f ca="1">IFERROR(__xludf.DUMMYFUNCTION("""COMPUTED_VALUE"""),304.01)</f>
        <v>304.01</v>
      </c>
      <c r="C333" s="1">
        <f ca="1">IFERROR(__xludf.DUMMYFUNCTION("""COMPUTED_VALUE"""),308.93)</f>
        <v>308.93</v>
      </c>
      <c r="D333" s="1">
        <f ca="1">IFERROR(__xludf.DUMMYFUNCTION("""COMPUTED_VALUE"""),303.31)</f>
        <v>303.31</v>
      </c>
      <c r="E333" s="1">
        <f ca="1">IFERROR(__xludf.DUMMYFUNCTION("""COMPUTED_VALUE"""),307.26)</f>
        <v>307.26</v>
      </c>
      <c r="F333" s="1">
        <f ca="1">IFERROR(__xludf.DUMMYFUNCTION("""COMPUTED_VALUE"""),36469613)</f>
        <v>36469613</v>
      </c>
    </row>
    <row r="334" spans="1:6" ht="12.6">
      <c r="A334" s="2">
        <f ca="1">IFERROR(__xludf.DUMMYFUNCTION("""COMPUTED_VALUE"""),45047.6666666666)</f>
        <v>45047.666666666599</v>
      </c>
      <c r="B334" s="1">
        <f ca="1">IFERROR(__xludf.DUMMYFUNCTION("""COMPUTED_VALUE"""),306.97)</f>
        <v>306.97000000000003</v>
      </c>
      <c r="C334" s="1">
        <f ca="1">IFERROR(__xludf.DUMMYFUNCTION("""COMPUTED_VALUE"""),308.6)</f>
        <v>308.60000000000002</v>
      </c>
      <c r="D334" s="1">
        <f ca="1">IFERROR(__xludf.DUMMYFUNCTION("""COMPUTED_VALUE"""),305.15)</f>
        <v>305.14999999999998</v>
      </c>
      <c r="E334" s="1">
        <f ca="1">IFERROR(__xludf.DUMMYFUNCTION("""COMPUTED_VALUE"""),305.56)</f>
        <v>305.56</v>
      </c>
      <c r="F334" s="1">
        <f ca="1">IFERROR(__xludf.DUMMYFUNCTION("""COMPUTED_VALUE"""),21294115)</f>
        <v>21294115</v>
      </c>
    </row>
    <row r="335" spans="1:6" ht="12.6">
      <c r="A335" s="2">
        <f ca="1">IFERROR(__xludf.DUMMYFUNCTION("""COMPUTED_VALUE"""),45048.6666666666)</f>
        <v>45048.666666666599</v>
      </c>
      <c r="B335" s="1">
        <f ca="1">IFERROR(__xludf.DUMMYFUNCTION("""COMPUTED_VALUE"""),307.76)</f>
        <v>307.76</v>
      </c>
      <c r="C335" s="1">
        <f ca="1">IFERROR(__xludf.DUMMYFUNCTION("""COMPUTED_VALUE"""),309.18)</f>
        <v>309.18</v>
      </c>
      <c r="D335" s="1">
        <f ca="1">IFERROR(__xludf.DUMMYFUNCTION("""COMPUTED_VALUE"""),303.91)</f>
        <v>303.91000000000003</v>
      </c>
      <c r="E335" s="1">
        <f ca="1">IFERROR(__xludf.DUMMYFUNCTION("""COMPUTED_VALUE"""),305.41)</f>
        <v>305.41000000000003</v>
      </c>
      <c r="F335" s="1">
        <f ca="1">IFERROR(__xludf.DUMMYFUNCTION("""COMPUTED_VALUE"""),26404431)</f>
        <v>26404431</v>
      </c>
    </row>
    <row r="336" spans="1:6" ht="12.6">
      <c r="A336" s="2">
        <f ca="1">IFERROR(__xludf.DUMMYFUNCTION("""COMPUTED_VALUE"""),45049.6666666666)</f>
        <v>45049.666666666599</v>
      </c>
      <c r="B336" s="1">
        <f ca="1">IFERROR(__xludf.DUMMYFUNCTION("""COMPUTED_VALUE"""),306.62)</f>
        <v>306.62</v>
      </c>
      <c r="C336" s="1">
        <f ca="1">IFERROR(__xludf.DUMMYFUNCTION("""COMPUTED_VALUE"""),308.61)</f>
        <v>308.61</v>
      </c>
      <c r="D336" s="1">
        <f ca="1">IFERROR(__xludf.DUMMYFUNCTION("""COMPUTED_VALUE"""),304.09)</f>
        <v>304.08999999999997</v>
      </c>
      <c r="E336" s="1">
        <f ca="1">IFERROR(__xludf.DUMMYFUNCTION("""COMPUTED_VALUE"""),304.4)</f>
        <v>304.39999999999998</v>
      </c>
      <c r="F336" s="1">
        <f ca="1">IFERROR(__xludf.DUMMYFUNCTION("""COMPUTED_VALUE"""),22360754)</f>
        <v>22360754</v>
      </c>
    </row>
    <row r="337" spans="1:6" ht="12.6">
      <c r="A337" s="2">
        <f ca="1">IFERROR(__xludf.DUMMYFUNCTION("""COMPUTED_VALUE"""),45050.6666666666)</f>
        <v>45050.666666666599</v>
      </c>
      <c r="B337" s="1">
        <f ca="1">IFERROR(__xludf.DUMMYFUNCTION("""COMPUTED_VALUE"""),306.24)</f>
        <v>306.24</v>
      </c>
      <c r="C337" s="1">
        <f ca="1">IFERROR(__xludf.DUMMYFUNCTION("""COMPUTED_VALUE"""),307.76)</f>
        <v>307.76</v>
      </c>
      <c r="D337" s="1">
        <f ca="1">IFERROR(__xludf.DUMMYFUNCTION("""COMPUTED_VALUE"""),303.4)</f>
        <v>303.39999999999998</v>
      </c>
      <c r="E337" s="1">
        <f ca="1">IFERROR(__xludf.DUMMYFUNCTION("""COMPUTED_VALUE"""),305.41)</f>
        <v>305.41000000000003</v>
      </c>
      <c r="F337" s="1">
        <f ca="1">IFERROR(__xludf.DUMMYFUNCTION("""COMPUTED_VALUE"""),22519907)</f>
        <v>22519907</v>
      </c>
    </row>
    <row r="338" spans="1:6" ht="12.6">
      <c r="A338" s="2">
        <f ca="1">IFERROR(__xludf.DUMMYFUNCTION("""COMPUTED_VALUE"""),45051.6666666666)</f>
        <v>45051.666666666599</v>
      </c>
      <c r="B338" s="1">
        <f ca="1">IFERROR(__xludf.DUMMYFUNCTION("""COMPUTED_VALUE"""),305.72)</f>
        <v>305.72000000000003</v>
      </c>
      <c r="C338" s="1">
        <f ca="1">IFERROR(__xludf.DUMMYFUNCTION("""COMPUTED_VALUE"""),311.97)</f>
        <v>311.97000000000003</v>
      </c>
      <c r="D338" s="1">
        <f ca="1">IFERROR(__xludf.DUMMYFUNCTION("""COMPUTED_VALUE"""),304.27)</f>
        <v>304.27</v>
      </c>
      <c r="E338" s="1">
        <f ca="1">IFERROR(__xludf.DUMMYFUNCTION("""COMPUTED_VALUE"""),310.65)</f>
        <v>310.64999999999998</v>
      </c>
      <c r="F338" s="1">
        <f ca="1">IFERROR(__xludf.DUMMYFUNCTION("""COMPUTED_VALUE"""),28197052)</f>
        <v>28197052</v>
      </c>
    </row>
    <row r="339" spans="1:6" ht="12.6">
      <c r="A339" s="2">
        <f ca="1">IFERROR(__xludf.DUMMYFUNCTION("""COMPUTED_VALUE"""),45054.6666666666)</f>
        <v>45054.666666666599</v>
      </c>
      <c r="B339" s="1">
        <f ca="1">IFERROR(__xludf.DUMMYFUNCTION("""COMPUTED_VALUE"""),310.13)</f>
        <v>310.13</v>
      </c>
      <c r="C339" s="1">
        <f ca="1">IFERROR(__xludf.DUMMYFUNCTION("""COMPUTED_VALUE"""),310.2)</f>
        <v>310.2</v>
      </c>
      <c r="D339" s="1">
        <f ca="1">IFERROR(__xludf.DUMMYFUNCTION("""COMPUTED_VALUE"""),306.09)</f>
        <v>306.08999999999997</v>
      </c>
      <c r="E339" s="1">
        <f ca="1">IFERROR(__xludf.DUMMYFUNCTION("""COMPUTED_VALUE"""),308.65)</f>
        <v>308.64999999999998</v>
      </c>
      <c r="F339" s="1">
        <f ca="1">IFERROR(__xludf.DUMMYFUNCTION("""COMPUTED_VALUE"""),21318613)</f>
        <v>21318613</v>
      </c>
    </row>
    <row r="340" spans="1:6" ht="12.6">
      <c r="A340" s="2">
        <f ca="1">IFERROR(__xludf.DUMMYFUNCTION("""COMPUTED_VALUE"""),45055.6666666666)</f>
        <v>45055.666666666599</v>
      </c>
      <c r="B340" s="1">
        <f ca="1">IFERROR(__xludf.DUMMYFUNCTION("""COMPUTED_VALUE"""),308)</f>
        <v>308</v>
      </c>
      <c r="C340" s="1">
        <f ca="1">IFERROR(__xludf.DUMMYFUNCTION("""COMPUTED_VALUE"""),310.04)</f>
        <v>310.04000000000002</v>
      </c>
      <c r="D340" s="1">
        <f ca="1">IFERROR(__xludf.DUMMYFUNCTION("""COMPUTED_VALUE"""),306.31)</f>
        <v>306.31</v>
      </c>
      <c r="E340" s="1">
        <f ca="1">IFERROR(__xludf.DUMMYFUNCTION("""COMPUTED_VALUE"""),307)</f>
        <v>307</v>
      </c>
      <c r="F340" s="1">
        <f ca="1">IFERROR(__xludf.DUMMYFUNCTION("""COMPUTED_VALUE"""),21340829)</f>
        <v>21340829</v>
      </c>
    </row>
    <row r="341" spans="1:6" ht="12.6">
      <c r="A341" s="2">
        <f ca="1">IFERROR(__xludf.DUMMYFUNCTION("""COMPUTED_VALUE"""),45056.6666666666)</f>
        <v>45056.666666666599</v>
      </c>
      <c r="B341" s="1">
        <f ca="1">IFERROR(__xludf.DUMMYFUNCTION("""COMPUTED_VALUE"""),308.62)</f>
        <v>308.62</v>
      </c>
      <c r="C341" s="1">
        <f ca="1">IFERROR(__xludf.DUMMYFUNCTION("""COMPUTED_VALUE"""),313)</f>
        <v>313</v>
      </c>
      <c r="D341" s="1">
        <f ca="1">IFERROR(__xludf.DUMMYFUNCTION("""COMPUTED_VALUE"""),307.67)</f>
        <v>307.67</v>
      </c>
      <c r="E341" s="1">
        <f ca="1">IFERROR(__xludf.DUMMYFUNCTION("""COMPUTED_VALUE"""),312.31)</f>
        <v>312.31</v>
      </c>
      <c r="F341" s="1">
        <f ca="1">IFERROR(__xludf.DUMMYFUNCTION("""COMPUTED_VALUE"""),30078044)</f>
        <v>30078044</v>
      </c>
    </row>
    <row r="342" spans="1:6" ht="12.6">
      <c r="A342" s="2">
        <f ca="1">IFERROR(__xludf.DUMMYFUNCTION("""COMPUTED_VALUE"""),45057.6666666666)</f>
        <v>45057.666666666599</v>
      </c>
      <c r="B342" s="1">
        <f ca="1">IFERROR(__xludf.DUMMYFUNCTION("""COMPUTED_VALUE"""),310.1)</f>
        <v>310.10000000000002</v>
      </c>
      <c r="C342" s="1">
        <f ca="1">IFERROR(__xludf.DUMMYFUNCTION("""COMPUTED_VALUE"""),311.12)</f>
        <v>311.12</v>
      </c>
      <c r="D342" s="1">
        <f ca="1">IFERROR(__xludf.DUMMYFUNCTION("""COMPUTED_VALUE"""),306.26)</f>
        <v>306.26</v>
      </c>
      <c r="E342" s="1">
        <f ca="1">IFERROR(__xludf.DUMMYFUNCTION("""COMPUTED_VALUE"""),310.11)</f>
        <v>310.11</v>
      </c>
      <c r="F342" s="1">
        <f ca="1">IFERROR(__xludf.DUMMYFUNCTION("""COMPUTED_VALUE"""),31680179)</f>
        <v>31680179</v>
      </c>
    </row>
    <row r="343" spans="1:6" ht="12.6">
      <c r="A343" s="2">
        <f ca="1">IFERROR(__xludf.DUMMYFUNCTION("""COMPUTED_VALUE"""),45058.6666666666)</f>
        <v>45058.666666666599</v>
      </c>
      <c r="B343" s="1">
        <f ca="1">IFERROR(__xludf.DUMMYFUNCTION("""COMPUTED_VALUE"""),310.55)</f>
        <v>310.55</v>
      </c>
      <c r="C343" s="1">
        <f ca="1">IFERROR(__xludf.DUMMYFUNCTION("""COMPUTED_VALUE"""),310.65)</f>
        <v>310.64999999999998</v>
      </c>
      <c r="D343" s="1">
        <f ca="1">IFERROR(__xludf.DUMMYFUNCTION("""COMPUTED_VALUE"""),306.6)</f>
        <v>306.60000000000002</v>
      </c>
      <c r="E343" s="1">
        <f ca="1">IFERROR(__xludf.DUMMYFUNCTION("""COMPUTED_VALUE"""),308.97)</f>
        <v>308.97000000000003</v>
      </c>
      <c r="F343" s="1">
        <f ca="1">IFERROR(__xludf.DUMMYFUNCTION("""COMPUTED_VALUE"""),19774696)</f>
        <v>19774696</v>
      </c>
    </row>
    <row r="344" spans="1:6" ht="12.6">
      <c r="A344" s="2">
        <f ca="1">IFERROR(__xludf.DUMMYFUNCTION("""COMPUTED_VALUE"""),45061.6666666666)</f>
        <v>45061.666666666599</v>
      </c>
      <c r="B344" s="1">
        <f ca="1">IFERROR(__xludf.DUMMYFUNCTION("""COMPUTED_VALUE"""),309.1)</f>
        <v>309.10000000000002</v>
      </c>
      <c r="C344" s="1">
        <f ca="1">IFERROR(__xludf.DUMMYFUNCTION("""COMPUTED_VALUE"""),309.9)</f>
        <v>309.89999999999998</v>
      </c>
      <c r="D344" s="1">
        <f ca="1">IFERROR(__xludf.DUMMYFUNCTION("""COMPUTED_VALUE"""),307.59)</f>
        <v>307.58999999999997</v>
      </c>
      <c r="E344" s="1">
        <f ca="1">IFERROR(__xludf.DUMMYFUNCTION("""COMPUTED_VALUE"""),309.46)</f>
        <v>309.45999999999998</v>
      </c>
      <c r="F344" s="1">
        <f ca="1">IFERROR(__xludf.DUMMYFUNCTION("""COMPUTED_VALUE"""),16336547)</f>
        <v>16336547</v>
      </c>
    </row>
    <row r="345" spans="1:6" ht="12.6">
      <c r="A345" s="2">
        <f ca="1">IFERROR(__xludf.DUMMYFUNCTION("""COMPUTED_VALUE"""),45062.6666666666)</f>
        <v>45062.666666666599</v>
      </c>
      <c r="B345" s="1">
        <f ca="1">IFERROR(__xludf.DUMMYFUNCTION("""COMPUTED_VALUE"""),309.83)</f>
        <v>309.83</v>
      </c>
      <c r="C345" s="1">
        <f ca="1">IFERROR(__xludf.DUMMYFUNCTION("""COMPUTED_VALUE"""),313.71)</f>
        <v>313.70999999999998</v>
      </c>
      <c r="D345" s="1">
        <f ca="1">IFERROR(__xludf.DUMMYFUNCTION("""COMPUTED_VALUE"""),309.83)</f>
        <v>309.83</v>
      </c>
      <c r="E345" s="1">
        <f ca="1">IFERROR(__xludf.DUMMYFUNCTION("""COMPUTED_VALUE"""),311.74)</f>
        <v>311.74</v>
      </c>
      <c r="F345" s="1">
        <f ca="1">IFERROR(__xludf.DUMMYFUNCTION("""COMPUTED_VALUE"""),26730347)</f>
        <v>26730347</v>
      </c>
    </row>
    <row r="346" spans="1:6" ht="12.6">
      <c r="A346" s="2">
        <f ca="1">IFERROR(__xludf.DUMMYFUNCTION("""COMPUTED_VALUE"""),45063.6666666666)</f>
        <v>45063.666666666599</v>
      </c>
      <c r="B346" s="1">
        <f ca="1">IFERROR(__xludf.DUMMYFUNCTION("""COMPUTED_VALUE"""),312.29)</f>
        <v>312.29000000000002</v>
      </c>
      <c r="C346" s="1">
        <f ca="1">IFERROR(__xludf.DUMMYFUNCTION("""COMPUTED_VALUE"""),314.43)</f>
        <v>314.43</v>
      </c>
      <c r="D346" s="1">
        <f ca="1">IFERROR(__xludf.DUMMYFUNCTION("""COMPUTED_VALUE"""),310.74)</f>
        <v>310.74</v>
      </c>
      <c r="E346" s="1">
        <f ca="1">IFERROR(__xludf.DUMMYFUNCTION("""COMPUTED_VALUE"""),314)</f>
        <v>314</v>
      </c>
      <c r="F346" s="1">
        <f ca="1">IFERROR(__xludf.DUMMYFUNCTION("""COMPUTED_VALUE"""),24315012)</f>
        <v>24315012</v>
      </c>
    </row>
    <row r="347" spans="1:6" ht="12.6">
      <c r="A347" s="2">
        <f ca="1">IFERROR(__xludf.DUMMYFUNCTION("""COMPUTED_VALUE"""),45064.6666666666)</f>
        <v>45064.666666666599</v>
      </c>
      <c r="B347" s="1">
        <f ca="1">IFERROR(__xludf.DUMMYFUNCTION("""COMPUTED_VALUE"""),314.53)</f>
        <v>314.52999999999997</v>
      </c>
      <c r="C347" s="1">
        <f ca="1">IFERROR(__xludf.DUMMYFUNCTION("""COMPUTED_VALUE"""),319.04)</f>
        <v>319.04000000000002</v>
      </c>
      <c r="D347" s="1">
        <f ca="1">IFERROR(__xludf.DUMMYFUNCTION("""COMPUTED_VALUE"""),313.72)</f>
        <v>313.72000000000003</v>
      </c>
      <c r="E347" s="1">
        <f ca="1">IFERROR(__xludf.DUMMYFUNCTION("""COMPUTED_VALUE"""),318.52)</f>
        <v>318.52</v>
      </c>
      <c r="F347" s="1">
        <f ca="1">IFERROR(__xludf.DUMMYFUNCTION("""COMPUTED_VALUE"""),27275991)</f>
        <v>27275991</v>
      </c>
    </row>
    <row r="348" spans="1:6" ht="12.6">
      <c r="A348" s="2">
        <f ca="1">IFERROR(__xludf.DUMMYFUNCTION("""COMPUTED_VALUE"""),45065.6666666666)</f>
        <v>45065.666666666599</v>
      </c>
      <c r="B348" s="1">
        <f ca="1">IFERROR(__xludf.DUMMYFUNCTION("""COMPUTED_VALUE"""),316.74)</f>
        <v>316.74</v>
      </c>
      <c r="C348" s="1">
        <f ca="1">IFERROR(__xludf.DUMMYFUNCTION("""COMPUTED_VALUE"""),318.75)</f>
        <v>318.75</v>
      </c>
      <c r="D348" s="1">
        <f ca="1">IFERROR(__xludf.DUMMYFUNCTION("""COMPUTED_VALUE"""),316.37)</f>
        <v>316.37</v>
      </c>
      <c r="E348" s="1">
        <f ca="1">IFERROR(__xludf.DUMMYFUNCTION("""COMPUTED_VALUE"""),318.34)</f>
        <v>318.33999999999997</v>
      </c>
      <c r="F348" s="1">
        <f ca="1">IFERROR(__xludf.DUMMYFUNCTION("""COMPUTED_VALUE"""),27546701)</f>
        <v>27546701</v>
      </c>
    </row>
    <row r="349" spans="1:6" ht="12.6">
      <c r="A349" s="2">
        <f ca="1">IFERROR(__xludf.DUMMYFUNCTION("""COMPUTED_VALUE"""),45068.6666666666)</f>
        <v>45068.666666666599</v>
      </c>
      <c r="B349" s="1">
        <f ca="1">IFERROR(__xludf.DUMMYFUNCTION("""COMPUTED_VALUE"""),318.6)</f>
        <v>318.60000000000002</v>
      </c>
      <c r="C349" s="1">
        <f ca="1">IFERROR(__xludf.DUMMYFUNCTION("""COMPUTED_VALUE"""),322.59)</f>
        <v>322.58999999999997</v>
      </c>
      <c r="D349" s="1">
        <f ca="1">IFERROR(__xludf.DUMMYFUNCTION("""COMPUTED_VALUE"""),318.01)</f>
        <v>318.01</v>
      </c>
      <c r="E349" s="1">
        <f ca="1">IFERROR(__xludf.DUMMYFUNCTION("""COMPUTED_VALUE"""),321.18)</f>
        <v>321.18</v>
      </c>
      <c r="F349" s="1">
        <f ca="1">IFERROR(__xludf.DUMMYFUNCTION("""COMPUTED_VALUE"""),24115664)</f>
        <v>24115664</v>
      </c>
    </row>
    <row r="350" spans="1:6" ht="12.6">
      <c r="A350" s="2">
        <f ca="1">IFERROR(__xludf.DUMMYFUNCTION("""COMPUTED_VALUE"""),45069.6666666666)</f>
        <v>45069.666666666599</v>
      </c>
      <c r="B350" s="1">
        <f ca="1">IFERROR(__xludf.DUMMYFUNCTION("""COMPUTED_VALUE"""),320.03)</f>
        <v>320.02999999999997</v>
      </c>
      <c r="C350" s="1">
        <f ca="1">IFERROR(__xludf.DUMMYFUNCTION("""COMPUTED_VALUE"""),322.72)</f>
        <v>322.72000000000003</v>
      </c>
      <c r="D350" s="1">
        <f ca="1">IFERROR(__xludf.DUMMYFUNCTION("""COMPUTED_VALUE"""),315.25)</f>
        <v>315.25</v>
      </c>
      <c r="E350" s="1">
        <f ca="1">IFERROR(__xludf.DUMMYFUNCTION("""COMPUTED_VALUE"""),315.26)</f>
        <v>315.26</v>
      </c>
      <c r="F350" s="1">
        <f ca="1">IFERROR(__xludf.DUMMYFUNCTION("""COMPUTED_VALUE"""),30797173)</f>
        <v>30797173</v>
      </c>
    </row>
    <row r="351" spans="1:6" ht="12.6">
      <c r="A351" s="2">
        <f ca="1">IFERROR(__xludf.DUMMYFUNCTION("""COMPUTED_VALUE"""),45070.6666666666)</f>
        <v>45070.666666666599</v>
      </c>
      <c r="B351" s="1">
        <f ca="1">IFERROR(__xludf.DUMMYFUNCTION("""COMPUTED_VALUE"""),314.73)</f>
        <v>314.73</v>
      </c>
      <c r="C351" s="1">
        <f ca="1">IFERROR(__xludf.DUMMYFUNCTION("""COMPUTED_VALUE"""),316.5)</f>
        <v>316.5</v>
      </c>
      <c r="D351" s="1">
        <f ca="1">IFERROR(__xludf.DUMMYFUNCTION("""COMPUTED_VALUE"""),312.61)</f>
        <v>312.61</v>
      </c>
      <c r="E351" s="1">
        <f ca="1">IFERROR(__xludf.DUMMYFUNCTION("""COMPUTED_VALUE"""),313.85)</f>
        <v>313.85000000000002</v>
      </c>
      <c r="F351" s="1">
        <f ca="1">IFERROR(__xludf.DUMMYFUNCTION("""COMPUTED_VALUE"""),23384887)</f>
        <v>23384887</v>
      </c>
    </row>
    <row r="352" spans="1:6" ht="12.6">
      <c r="A352" s="2">
        <f ca="1">IFERROR(__xludf.DUMMYFUNCTION("""COMPUTED_VALUE"""),45071.6666666666)</f>
        <v>45071.666666666599</v>
      </c>
      <c r="B352" s="1">
        <f ca="1">IFERROR(__xludf.DUMMYFUNCTION("""COMPUTED_VALUE"""),323.24)</f>
        <v>323.24</v>
      </c>
      <c r="C352" s="1">
        <f ca="1">IFERROR(__xludf.DUMMYFUNCTION("""COMPUTED_VALUE"""),326.9)</f>
        <v>326.89999999999998</v>
      </c>
      <c r="D352" s="1">
        <f ca="1">IFERROR(__xludf.DUMMYFUNCTION("""COMPUTED_VALUE"""),320)</f>
        <v>320</v>
      </c>
      <c r="E352" s="1">
        <f ca="1">IFERROR(__xludf.DUMMYFUNCTION("""COMPUTED_VALUE"""),325.92)</f>
        <v>325.92</v>
      </c>
      <c r="F352" s="1">
        <f ca="1">IFERROR(__xludf.DUMMYFUNCTION("""COMPUTED_VALUE"""),43301743)</f>
        <v>43301743</v>
      </c>
    </row>
    <row r="353" spans="1:6" ht="12.6">
      <c r="A353" s="2">
        <f ca="1">IFERROR(__xludf.DUMMYFUNCTION("""COMPUTED_VALUE"""),45072.6666666666)</f>
        <v>45072.666666666599</v>
      </c>
      <c r="B353" s="1">
        <f ca="1">IFERROR(__xludf.DUMMYFUNCTION("""COMPUTED_VALUE"""),324.02)</f>
        <v>324.02</v>
      </c>
      <c r="C353" s="1">
        <f ca="1">IFERROR(__xludf.DUMMYFUNCTION("""COMPUTED_VALUE"""),333.4)</f>
        <v>333.4</v>
      </c>
      <c r="D353" s="1">
        <f ca="1">IFERROR(__xludf.DUMMYFUNCTION("""COMPUTED_VALUE"""),323.88)</f>
        <v>323.88</v>
      </c>
      <c r="E353" s="1">
        <f ca="1">IFERROR(__xludf.DUMMYFUNCTION("""COMPUTED_VALUE"""),332.89)</f>
        <v>332.89</v>
      </c>
      <c r="F353" s="1">
        <f ca="1">IFERROR(__xludf.DUMMYFUNCTION("""COMPUTED_VALUE"""),36630633)</f>
        <v>36630633</v>
      </c>
    </row>
    <row r="354" spans="1:6" ht="12.6">
      <c r="A354" s="2">
        <f ca="1">IFERROR(__xludf.DUMMYFUNCTION("""COMPUTED_VALUE"""),45076.6666666666)</f>
        <v>45076.666666666599</v>
      </c>
      <c r="B354" s="1">
        <f ca="1">IFERROR(__xludf.DUMMYFUNCTION("""COMPUTED_VALUE"""),335.23)</f>
        <v>335.23</v>
      </c>
      <c r="C354" s="1">
        <f ca="1">IFERROR(__xludf.DUMMYFUNCTION("""COMPUTED_VALUE"""),335.74)</f>
        <v>335.74</v>
      </c>
      <c r="D354" s="1">
        <f ca="1">IFERROR(__xludf.DUMMYFUNCTION("""COMPUTED_VALUE"""),330.52)</f>
        <v>330.52</v>
      </c>
      <c r="E354" s="1">
        <f ca="1">IFERROR(__xludf.DUMMYFUNCTION("""COMPUTED_VALUE"""),331.21)</f>
        <v>331.21</v>
      </c>
      <c r="F354" s="1">
        <f ca="1">IFERROR(__xludf.DUMMYFUNCTION("""COMPUTED_VALUE"""),29503070)</f>
        <v>29503070</v>
      </c>
    </row>
    <row r="355" spans="1:6" ht="12.6">
      <c r="A355" s="2">
        <f ca="1">IFERROR(__xludf.DUMMYFUNCTION("""COMPUTED_VALUE"""),45077.6666666666)</f>
        <v>45077.666666666599</v>
      </c>
      <c r="B355" s="1">
        <f ca="1">IFERROR(__xludf.DUMMYFUNCTION("""COMPUTED_VALUE"""),332.29)</f>
        <v>332.29</v>
      </c>
      <c r="C355" s="1">
        <f ca="1">IFERROR(__xludf.DUMMYFUNCTION("""COMPUTED_VALUE"""),335.94)</f>
        <v>335.94</v>
      </c>
      <c r="D355" s="1">
        <f ca="1">IFERROR(__xludf.DUMMYFUNCTION("""COMPUTED_VALUE"""),327.33)</f>
        <v>327.33</v>
      </c>
      <c r="E355" s="1">
        <f ca="1">IFERROR(__xludf.DUMMYFUNCTION("""COMPUTED_VALUE"""),328.39)</f>
        <v>328.39</v>
      </c>
      <c r="F355" s="1">
        <f ca="1">IFERROR(__xludf.DUMMYFUNCTION("""COMPUTED_VALUE"""),45950553)</f>
        <v>45950553</v>
      </c>
    </row>
    <row r="356" spans="1:6" ht="12.6">
      <c r="A356" s="2">
        <f ca="1">IFERROR(__xludf.DUMMYFUNCTION("""COMPUTED_VALUE"""),45078.6666666666)</f>
        <v>45078.666666666599</v>
      </c>
      <c r="B356" s="1">
        <f ca="1">IFERROR(__xludf.DUMMYFUNCTION("""COMPUTED_VALUE"""),325.93)</f>
        <v>325.93</v>
      </c>
      <c r="C356" s="1">
        <f ca="1">IFERROR(__xludf.DUMMYFUNCTION("""COMPUTED_VALUE"""),333.53)</f>
        <v>333.53</v>
      </c>
      <c r="D356" s="1">
        <f ca="1">IFERROR(__xludf.DUMMYFUNCTION("""COMPUTED_VALUE"""),324.72)</f>
        <v>324.72000000000003</v>
      </c>
      <c r="E356" s="1">
        <f ca="1">IFERROR(__xludf.DUMMYFUNCTION("""COMPUTED_VALUE"""),332.58)</f>
        <v>332.58</v>
      </c>
      <c r="F356" s="1">
        <f ca="1">IFERROR(__xludf.DUMMYFUNCTION("""COMPUTED_VALUE"""),26773851)</f>
        <v>26773851</v>
      </c>
    </row>
    <row r="357" spans="1:6" ht="12.6">
      <c r="A357" s="2">
        <f ca="1">IFERROR(__xludf.DUMMYFUNCTION("""COMPUTED_VALUE"""),45079.6666666666)</f>
        <v>45079.666666666599</v>
      </c>
      <c r="B357" s="1">
        <f ca="1">IFERROR(__xludf.DUMMYFUNCTION("""COMPUTED_VALUE"""),334.25)</f>
        <v>334.25</v>
      </c>
      <c r="C357" s="1">
        <f ca="1">IFERROR(__xludf.DUMMYFUNCTION("""COMPUTED_VALUE"""),337.5)</f>
        <v>337.5</v>
      </c>
      <c r="D357" s="1">
        <f ca="1">IFERROR(__xludf.DUMMYFUNCTION("""COMPUTED_VALUE"""),332.55)</f>
        <v>332.55</v>
      </c>
      <c r="E357" s="1">
        <f ca="1">IFERROR(__xludf.DUMMYFUNCTION("""COMPUTED_VALUE"""),335.4)</f>
        <v>335.4</v>
      </c>
      <c r="F357" s="1">
        <f ca="1">IFERROR(__xludf.DUMMYFUNCTION("""COMPUTED_VALUE"""),25873769)</f>
        <v>25873769</v>
      </c>
    </row>
    <row r="358" spans="1:6" ht="12.6">
      <c r="A358" s="2">
        <f ca="1">IFERROR(__xludf.DUMMYFUNCTION("""COMPUTED_VALUE"""),45082.6666666666)</f>
        <v>45082.666666666599</v>
      </c>
      <c r="B358" s="1">
        <f ca="1">IFERROR(__xludf.DUMMYFUNCTION("""COMPUTED_VALUE"""),335.22)</f>
        <v>335.22</v>
      </c>
      <c r="C358" s="1">
        <f ca="1">IFERROR(__xludf.DUMMYFUNCTION("""COMPUTED_VALUE"""),338.56)</f>
        <v>338.56</v>
      </c>
      <c r="D358" s="1">
        <f ca="1">IFERROR(__xludf.DUMMYFUNCTION("""COMPUTED_VALUE"""),334.66)</f>
        <v>334.66</v>
      </c>
      <c r="E358" s="1">
        <f ca="1">IFERROR(__xludf.DUMMYFUNCTION("""COMPUTED_VALUE"""),335.94)</f>
        <v>335.94</v>
      </c>
      <c r="F358" s="1">
        <f ca="1">IFERROR(__xludf.DUMMYFUNCTION("""COMPUTED_VALUE"""),21307053)</f>
        <v>21307053</v>
      </c>
    </row>
    <row r="359" spans="1:6" ht="12.6">
      <c r="A359" s="2">
        <f ca="1">IFERROR(__xludf.DUMMYFUNCTION("""COMPUTED_VALUE"""),45083.6666666666)</f>
        <v>45083.666666666599</v>
      </c>
      <c r="B359" s="1">
        <f ca="1">IFERROR(__xludf.DUMMYFUNCTION("""COMPUTED_VALUE"""),335.33)</f>
        <v>335.33</v>
      </c>
      <c r="C359" s="1">
        <f ca="1">IFERROR(__xludf.DUMMYFUNCTION("""COMPUTED_VALUE"""),335.37)</f>
        <v>335.37</v>
      </c>
      <c r="D359" s="1">
        <f ca="1">IFERROR(__xludf.DUMMYFUNCTION("""COMPUTED_VALUE"""),332.17)</f>
        <v>332.17</v>
      </c>
      <c r="E359" s="1">
        <f ca="1">IFERROR(__xludf.DUMMYFUNCTION("""COMPUTED_VALUE"""),333.68)</f>
        <v>333.68</v>
      </c>
      <c r="F359" s="1">
        <f ca="1">IFERROR(__xludf.DUMMYFUNCTION("""COMPUTED_VALUE"""),20396223)</f>
        <v>20396223</v>
      </c>
    </row>
    <row r="360" spans="1:6" ht="12.6">
      <c r="A360" s="2">
        <f ca="1">IFERROR(__xludf.DUMMYFUNCTION("""COMPUTED_VALUE"""),45084.6666666666)</f>
        <v>45084.666666666599</v>
      </c>
      <c r="B360" s="1">
        <f ca="1">IFERROR(__xludf.DUMMYFUNCTION("""COMPUTED_VALUE"""),331.65)</f>
        <v>331.65</v>
      </c>
      <c r="C360" s="1">
        <f ca="1">IFERROR(__xludf.DUMMYFUNCTION("""COMPUTED_VALUE"""),334.49)</f>
        <v>334.49</v>
      </c>
      <c r="D360" s="1">
        <f ca="1">IFERROR(__xludf.DUMMYFUNCTION("""COMPUTED_VALUE"""),322.5)</f>
        <v>322.5</v>
      </c>
      <c r="E360" s="1">
        <f ca="1">IFERROR(__xludf.DUMMYFUNCTION("""COMPUTED_VALUE"""),323.38)</f>
        <v>323.38</v>
      </c>
      <c r="F360" s="1">
        <f ca="1">IFERROR(__xludf.DUMMYFUNCTION("""COMPUTED_VALUE"""),40717129)</f>
        <v>40717129</v>
      </c>
    </row>
    <row r="361" spans="1:6" ht="12.6">
      <c r="A361" s="2">
        <f ca="1">IFERROR(__xludf.DUMMYFUNCTION("""COMPUTED_VALUE"""),45085.6666666666)</f>
        <v>45085.666666666599</v>
      </c>
      <c r="B361" s="1">
        <f ca="1">IFERROR(__xludf.DUMMYFUNCTION("""COMPUTED_VALUE"""),323.94)</f>
        <v>323.94</v>
      </c>
      <c r="C361" s="1">
        <f ca="1">IFERROR(__xludf.DUMMYFUNCTION("""COMPUTED_VALUE"""),326.64)</f>
        <v>326.64</v>
      </c>
      <c r="D361" s="1">
        <f ca="1">IFERROR(__xludf.DUMMYFUNCTION("""COMPUTED_VALUE"""),323.35)</f>
        <v>323.35000000000002</v>
      </c>
      <c r="E361" s="1">
        <f ca="1">IFERROR(__xludf.DUMMYFUNCTION("""COMPUTED_VALUE"""),325.26)</f>
        <v>325.26</v>
      </c>
      <c r="F361" s="1">
        <f ca="1">IFERROR(__xludf.DUMMYFUNCTION("""COMPUTED_VALUE"""),23277708)</f>
        <v>23277708</v>
      </c>
    </row>
    <row r="362" spans="1:6" ht="12.6">
      <c r="A362" s="2">
        <f ca="1">IFERROR(__xludf.DUMMYFUNCTION("""COMPUTED_VALUE"""),45086.6666666666)</f>
        <v>45086.666666666599</v>
      </c>
      <c r="B362" s="1">
        <f ca="1">IFERROR(__xludf.DUMMYFUNCTION("""COMPUTED_VALUE"""),324.99)</f>
        <v>324.99</v>
      </c>
      <c r="C362" s="1">
        <f ca="1">IFERROR(__xludf.DUMMYFUNCTION("""COMPUTED_VALUE"""),329.99)</f>
        <v>329.99</v>
      </c>
      <c r="D362" s="1">
        <f ca="1">IFERROR(__xludf.DUMMYFUNCTION("""COMPUTED_VALUE"""),324.41)</f>
        <v>324.41000000000003</v>
      </c>
      <c r="E362" s="1">
        <f ca="1">IFERROR(__xludf.DUMMYFUNCTION("""COMPUTED_VALUE"""),326.79)</f>
        <v>326.79000000000002</v>
      </c>
      <c r="F362" s="1">
        <f ca="1">IFERROR(__xludf.DUMMYFUNCTION("""COMPUTED_VALUE"""),22528950)</f>
        <v>22528950</v>
      </c>
    </row>
    <row r="363" spans="1:6" ht="12.6">
      <c r="A363" s="2">
        <f ca="1">IFERROR(__xludf.DUMMYFUNCTION("""COMPUTED_VALUE"""),45089.6666666666)</f>
        <v>45089.666666666599</v>
      </c>
      <c r="B363" s="1">
        <f ca="1">IFERROR(__xludf.DUMMYFUNCTION("""COMPUTED_VALUE"""),328.58)</f>
        <v>328.58</v>
      </c>
      <c r="C363" s="1">
        <f ca="1">IFERROR(__xludf.DUMMYFUNCTION("""COMPUTED_VALUE"""),332.1)</f>
        <v>332.1</v>
      </c>
      <c r="D363" s="1">
        <f ca="1">IFERROR(__xludf.DUMMYFUNCTION("""COMPUTED_VALUE"""),325.16)</f>
        <v>325.16000000000003</v>
      </c>
      <c r="E363" s="1">
        <f ca="1">IFERROR(__xludf.DUMMYFUNCTION("""COMPUTED_VALUE"""),331.85)</f>
        <v>331.85</v>
      </c>
      <c r="F363" s="1">
        <f ca="1">IFERROR(__xludf.DUMMYFUNCTION("""COMPUTED_VALUE"""),24306753)</f>
        <v>24306753</v>
      </c>
    </row>
    <row r="364" spans="1:6" ht="12.6">
      <c r="A364" s="2">
        <f ca="1">IFERROR(__xludf.DUMMYFUNCTION("""COMPUTED_VALUE"""),45090.6666666666)</f>
        <v>45090.666666666599</v>
      </c>
      <c r="B364" s="1">
        <f ca="1">IFERROR(__xludf.DUMMYFUNCTION("""COMPUTED_VALUE"""),334.47)</f>
        <v>334.47</v>
      </c>
      <c r="C364" s="1">
        <f ca="1">IFERROR(__xludf.DUMMYFUNCTION("""COMPUTED_VALUE"""),336.98)</f>
        <v>336.98</v>
      </c>
      <c r="D364" s="1">
        <f ca="1">IFERROR(__xludf.DUMMYFUNCTION("""COMPUTED_VALUE"""),330.39)</f>
        <v>330.39</v>
      </c>
      <c r="E364" s="1">
        <f ca="1">IFERROR(__xludf.DUMMYFUNCTION("""COMPUTED_VALUE"""),334.29)</f>
        <v>334.29</v>
      </c>
      <c r="F364" s="1">
        <f ca="1">IFERROR(__xludf.DUMMYFUNCTION("""COMPUTED_VALUE"""),22951279)</f>
        <v>22951279</v>
      </c>
    </row>
    <row r="365" spans="1:6" ht="12.6">
      <c r="A365" s="2">
        <f ca="1">IFERROR(__xludf.DUMMYFUNCTION("""COMPUTED_VALUE"""),45091.6666666666)</f>
        <v>45091.666666666599</v>
      </c>
      <c r="B365" s="1">
        <f ca="1">IFERROR(__xludf.DUMMYFUNCTION("""COMPUTED_VALUE"""),334.34)</f>
        <v>334.34</v>
      </c>
      <c r="C365" s="1">
        <f ca="1">IFERROR(__xludf.DUMMYFUNCTION("""COMPUTED_VALUE"""),339.04)</f>
        <v>339.04</v>
      </c>
      <c r="D365" s="1">
        <f ca="1">IFERROR(__xludf.DUMMYFUNCTION("""COMPUTED_VALUE"""),332.81)</f>
        <v>332.81</v>
      </c>
      <c r="E365" s="1">
        <f ca="1">IFERROR(__xludf.DUMMYFUNCTION("""COMPUTED_VALUE"""),337.34)</f>
        <v>337.34</v>
      </c>
      <c r="F365" s="1">
        <f ca="1">IFERROR(__xludf.DUMMYFUNCTION("""COMPUTED_VALUE"""),26003791)</f>
        <v>26003791</v>
      </c>
    </row>
    <row r="366" spans="1:6" ht="12.6">
      <c r="A366" s="2">
        <f ca="1">IFERROR(__xludf.DUMMYFUNCTION("""COMPUTED_VALUE"""),45092.6666666666)</f>
        <v>45092.666666666599</v>
      </c>
      <c r="B366" s="1">
        <f ca="1">IFERROR(__xludf.DUMMYFUNCTION("""COMPUTED_VALUE"""),337.48)</f>
        <v>337.48</v>
      </c>
      <c r="C366" s="1">
        <f ca="1">IFERROR(__xludf.DUMMYFUNCTION("""COMPUTED_VALUE"""),349.84)</f>
        <v>349.84</v>
      </c>
      <c r="D366" s="1">
        <f ca="1">IFERROR(__xludf.DUMMYFUNCTION("""COMPUTED_VALUE"""),337.2)</f>
        <v>337.2</v>
      </c>
      <c r="E366" s="1">
        <f ca="1">IFERROR(__xludf.DUMMYFUNCTION("""COMPUTED_VALUE"""),348.1)</f>
        <v>348.1</v>
      </c>
      <c r="F366" s="1">
        <f ca="1">IFERROR(__xludf.DUMMYFUNCTION("""COMPUTED_VALUE"""),38899075)</f>
        <v>38899075</v>
      </c>
    </row>
    <row r="367" spans="1:6" ht="12.6">
      <c r="A367" s="2">
        <f ca="1">IFERROR(__xludf.DUMMYFUNCTION("""COMPUTED_VALUE"""),45093.6666666666)</f>
        <v>45093.666666666599</v>
      </c>
      <c r="B367" s="1">
        <f ca="1">IFERROR(__xludf.DUMMYFUNCTION("""COMPUTED_VALUE"""),351.32)</f>
        <v>351.32</v>
      </c>
      <c r="C367" s="1">
        <f ca="1">IFERROR(__xludf.DUMMYFUNCTION("""COMPUTED_VALUE"""),351.47)</f>
        <v>351.47</v>
      </c>
      <c r="D367" s="1">
        <f ca="1">IFERROR(__xludf.DUMMYFUNCTION("""COMPUTED_VALUE"""),341.95)</f>
        <v>341.95</v>
      </c>
      <c r="E367" s="1">
        <f ca="1">IFERROR(__xludf.DUMMYFUNCTION("""COMPUTED_VALUE"""),342.33)</f>
        <v>342.33</v>
      </c>
      <c r="F367" s="1">
        <f ca="1">IFERROR(__xludf.DUMMYFUNCTION("""COMPUTED_VALUE"""),46551985)</f>
        <v>46551985</v>
      </c>
    </row>
    <row r="368" spans="1:6" ht="12.6">
      <c r="A368" s="2">
        <f ca="1">IFERROR(__xludf.DUMMYFUNCTION("""COMPUTED_VALUE"""),45097.6666666666)</f>
        <v>45097.666666666599</v>
      </c>
      <c r="B368" s="1">
        <f ca="1">IFERROR(__xludf.DUMMYFUNCTION("""COMPUTED_VALUE"""),339.31)</f>
        <v>339.31</v>
      </c>
      <c r="C368" s="1">
        <f ca="1">IFERROR(__xludf.DUMMYFUNCTION("""COMPUTED_VALUE"""),342.08)</f>
        <v>342.08</v>
      </c>
      <c r="D368" s="1">
        <f ca="1">IFERROR(__xludf.DUMMYFUNCTION("""COMPUTED_VALUE"""),335.86)</f>
        <v>335.86</v>
      </c>
      <c r="E368" s="1">
        <f ca="1">IFERROR(__xludf.DUMMYFUNCTION("""COMPUTED_VALUE"""),338.05)</f>
        <v>338.05</v>
      </c>
      <c r="F368" s="1">
        <f ca="1">IFERROR(__xludf.DUMMYFUNCTION("""COMPUTED_VALUE"""),26375407)</f>
        <v>26375407</v>
      </c>
    </row>
    <row r="369" spans="1:6" ht="12.6">
      <c r="A369" s="2">
        <f ca="1">IFERROR(__xludf.DUMMYFUNCTION("""COMPUTED_VALUE"""),45098.6666666666)</f>
        <v>45098.666666666599</v>
      </c>
      <c r="B369" s="1">
        <f ca="1">IFERROR(__xludf.DUMMYFUNCTION("""COMPUTED_VALUE"""),336.37)</f>
        <v>336.37</v>
      </c>
      <c r="C369" s="1">
        <f ca="1">IFERROR(__xludf.DUMMYFUNCTION("""COMPUTED_VALUE"""),337.73)</f>
        <v>337.73</v>
      </c>
      <c r="D369" s="1">
        <f ca="1">IFERROR(__xludf.DUMMYFUNCTION("""COMPUTED_VALUE"""),332.07)</f>
        <v>332.07</v>
      </c>
      <c r="E369" s="1">
        <f ca="1">IFERROR(__xludf.DUMMYFUNCTION("""COMPUTED_VALUE"""),333.56)</f>
        <v>333.56</v>
      </c>
      <c r="F369" s="1">
        <f ca="1">IFERROR(__xludf.DUMMYFUNCTION("""COMPUTED_VALUE"""),25117799)</f>
        <v>25117799</v>
      </c>
    </row>
    <row r="370" spans="1:6" ht="12.6">
      <c r="A370" s="2">
        <f ca="1">IFERROR(__xludf.DUMMYFUNCTION("""COMPUTED_VALUE"""),45099.6666666666)</f>
        <v>45099.666666666599</v>
      </c>
      <c r="B370" s="1">
        <f ca="1">IFERROR(__xludf.DUMMYFUNCTION("""COMPUTED_VALUE"""),334.12)</f>
        <v>334.12</v>
      </c>
      <c r="C370" s="1">
        <f ca="1">IFERROR(__xludf.DUMMYFUNCTION("""COMPUTED_VALUE"""),340.12)</f>
        <v>340.12</v>
      </c>
      <c r="D370" s="1">
        <f ca="1">IFERROR(__xludf.DUMMYFUNCTION("""COMPUTED_VALUE"""),333.34)</f>
        <v>333.34</v>
      </c>
      <c r="E370" s="1">
        <f ca="1">IFERROR(__xludf.DUMMYFUNCTION("""COMPUTED_VALUE"""),339.71)</f>
        <v>339.71</v>
      </c>
      <c r="F370" s="1">
        <f ca="1">IFERROR(__xludf.DUMMYFUNCTION("""COMPUTED_VALUE"""),23556764)</f>
        <v>23556764</v>
      </c>
    </row>
    <row r="371" spans="1:6" ht="12.6">
      <c r="A371" s="2">
        <f ca="1">IFERROR(__xludf.DUMMYFUNCTION("""COMPUTED_VALUE"""),45100.6666666666)</f>
        <v>45100.666666666599</v>
      </c>
      <c r="B371" s="1">
        <f ca="1">IFERROR(__xludf.DUMMYFUNCTION("""COMPUTED_VALUE"""),334.36)</f>
        <v>334.36</v>
      </c>
      <c r="C371" s="1">
        <f ca="1">IFERROR(__xludf.DUMMYFUNCTION("""COMPUTED_VALUE"""),337.96)</f>
        <v>337.96</v>
      </c>
      <c r="D371" s="1">
        <f ca="1">IFERROR(__xludf.DUMMYFUNCTION("""COMPUTED_VALUE"""),333.45)</f>
        <v>333.45</v>
      </c>
      <c r="E371" s="1">
        <f ca="1">IFERROR(__xludf.DUMMYFUNCTION("""COMPUTED_VALUE"""),335.02)</f>
        <v>335.02</v>
      </c>
      <c r="F371" s="1">
        <f ca="1">IFERROR(__xludf.DUMMYFUNCTION("""COMPUTED_VALUE"""),23146901)</f>
        <v>23146901</v>
      </c>
    </row>
    <row r="372" spans="1:6" ht="12.6">
      <c r="A372" s="2">
        <f ca="1">IFERROR(__xludf.DUMMYFUNCTION("""COMPUTED_VALUE"""),45103.6666666666)</f>
        <v>45103.666666666599</v>
      </c>
      <c r="B372" s="1">
        <f ca="1">IFERROR(__xludf.DUMMYFUNCTION("""COMPUTED_VALUE"""),333.72)</f>
        <v>333.72</v>
      </c>
      <c r="C372" s="1">
        <f ca="1">IFERROR(__xludf.DUMMYFUNCTION("""COMPUTED_VALUE"""),336.11)</f>
        <v>336.11</v>
      </c>
      <c r="D372" s="1">
        <f ca="1">IFERROR(__xludf.DUMMYFUNCTION("""COMPUTED_VALUE"""),328.49)</f>
        <v>328.49</v>
      </c>
      <c r="E372" s="1">
        <f ca="1">IFERROR(__xludf.DUMMYFUNCTION("""COMPUTED_VALUE"""),328.6)</f>
        <v>328.6</v>
      </c>
      <c r="F372" s="1">
        <f ca="1">IFERROR(__xludf.DUMMYFUNCTION("""COMPUTED_VALUE"""),21520582)</f>
        <v>21520582</v>
      </c>
    </row>
    <row r="373" spans="1:6" ht="12.6">
      <c r="A373" s="2">
        <f ca="1">IFERROR(__xludf.DUMMYFUNCTION("""COMPUTED_VALUE"""),45104.6666666666)</f>
        <v>45104.666666666599</v>
      </c>
      <c r="B373" s="1">
        <f ca="1">IFERROR(__xludf.DUMMYFUNCTION("""COMPUTED_VALUE"""),331.86)</f>
        <v>331.86</v>
      </c>
      <c r="C373" s="1">
        <f ca="1">IFERROR(__xludf.DUMMYFUNCTION("""COMPUTED_VALUE"""),336.15)</f>
        <v>336.15</v>
      </c>
      <c r="D373" s="1">
        <f ca="1">IFERROR(__xludf.DUMMYFUNCTION("""COMPUTED_VALUE"""),329.3)</f>
        <v>329.3</v>
      </c>
      <c r="E373" s="1">
        <f ca="1">IFERROR(__xludf.DUMMYFUNCTION("""COMPUTED_VALUE"""),334.57)</f>
        <v>334.57</v>
      </c>
      <c r="F373" s="1">
        <f ca="1">IFERROR(__xludf.DUMMYFUNCTION("""COMPUTED_VALUE"""),24354110)</f>
        <v>24354110</v>
      </c>
    </row>
    <row r="374" spans="1:6" ht="12.6">
      <c r="A374" s="2">
        <f ca="1">IFERROR(__xludf.DUMMYFUNCTION("""COMPUTED_VALUE"""),45105.6666666666)</f>
        <v>45105.666666666599</v>
      </c>
      <c r="B374" s="1">
        <f ca="1">IFERROR(__xludf.DUMMYFUNCTION("""COMPUTED_VALUE"""),334.66)</f>
        <v>334.66</v>
      </c>
      <c r="C374" s="1">
        <f ca="1">IFERROR(__xludf.DUMMYFUNCTION("""COMPUTED_VALUE"""),337.98)</f>
        <v>337.98</v>
      </c>
      <c r="D374" s="1">
        <f ca="1">IFERROR(__xludf.DUMMYFUNCTION("""COMPUTED_VALUE"""),333.81)</f>
        <v>333.81</v>
      </c>
      <c r="E374" s="1">
        <f ca="1">IFERROR(__xludf.DUMMYFUNCTION("""COMPUTED_VALUE"""),335.85)</f>
        <v>335.85</v>
      </c>
      <c r="F374" s="1">
        <f ca="1">IFERROR(__xludf.DUMMYFUNCTION("""COMPUTED_VALUE"""),20259523)</f>
        <v>20259523</v>
      </c>
    </row>
    <row r="375" spans="1:6" ht="12.6">
      <c r="A375" s="2">
        <f ca="1">IFERROR(__xludf.DUMMYFUNCTION("""COMPUTED_VALUE"""),45106.6666666666)</f>
        <v>45106.666666666599</v>
      </c>
      <c r="B375" s="1">
        <f ca="1">IFERROR(__xludf.DUMMYFUNCTION("""COMPUTED_VALUE"""),334.71)</f>
        <v>334.71</v>
      </c>
      <c r="C375" s="1">
        <f ca="1">IFERROR(__xludf.DUMMYFUNCTION("""COMPUTED_VALUE"""),336.11)</f>
        <v>336.11</v>
      </c>
      <c r="D375" s="1">
        <f ca="1">IFERROR(__xludf.DUMMYFUNCTION("""COMPUTED_VALUE"""),332.62)</f>
        <v>332.62</v>
      </c>
      <c r="E375" s="1">
        <f ca="1">IFERROR(__xludf.DUMMYFUNCTION("""COMPUTED_VALUE"""),335.05)</f>
        <v>335.05</v>
      </c>
      <c r="F375" s="1">
        <f ca="1">IFERROR(__xludf.DUMMYFUNCTION("""COMPUTED_VALUE"""),16997042)</f>
        <v>16997042</v>
      </c>
    </row>
    <row r="376" spans="1:6" ht="12.6">
      <c r="A376" s="2">
        <f ca="1">IFERROR(__xludf.DUMMYFUNCTION("""COMPUTED_VALUE"""),45107.6666666666)</f>
        <v>45107.666666666599</v>
      </c>
      <c r="B376" s="1">
        <f ca="1">IFERROR(__xludf.DUMMYFUNCTION("""COMPUTED_VALUE"""),337.75)</f>
        <v>337.75</v>
      </c>
      <c r="C376" s="1">
        <f ca="1">IFERROR(__xludf.DUMMYFUNCTION("""COMPUTED_VALUE"""),342.73)</f>
        <v>342.73</v>
      </c>
      <c r="D376" s="1">
        <f ca="1">IFERROR(__xludf.DUMMYFUNCTION("""COMPUTED_VALUE"""),337.2)</f>
        <v>337.2</v>
      </c>
      <c r="E376" s="1">
        <f ca="1">IFERROR(__xludf.DUMMYFUNCTION("""COMPUTED_VALUE"""),340.54)</f>
        <v>340.54</v>
      </c>
      <c r="F376" s="1">
        <f ca="1">IFERROR(__xludf.DUMMYFUNCTION("""COMPUTED_VALUE"""),26832756)</f>
        <v>26832756</v>
      </c>
    </row>
    <row r="377" spans="1:6" ht="12.6">
      <c r="A377" s="2">
        <f ca="1">IFERROR(__xludf.DUMMYFUNCTION("""COMPUTED_VALUE"""),45110.5451388888)</f>
        <v>45110.545138888803</v>
      </c>
      <c r="B377" s="1">
        <f ca="1">IFERROR(__xludf.DUMMYFUNCTION("""COMPUTED_VALUE"""),339.19)</f>
        <v>339.19</v>
      </c>
      <c r="C377" s="1">
        <f ca="1">IFERROR(__xludf.DUMMYFUNCTION("""COMPUTED_VALUE"""),340.9)</f>
        <v>340.9</v>
      </c>
      <c r="D377" s="1">
        <f ca="1">IFERROR(__xludf.DUMMYFUNCTION("""COMPUTED_VALUE"""),336.57)</f>
        <v>336.57</v>
      </c>
      <c r="E377" s="1">
        <f ca="1">IFERROR(__xludf.DUMMYFUNCTION("""COMPUTED_VALUE"""),337.99)</f>
        <v>337.99</v>
      </c>
      <c r="F377" s="1">
        <f ca="1">IFERROR(__xludf.DUMMYFUNCTION("""COMPUTED_VALUE"""),12508692)</f>
        <v>12508692</v>
      </c>
    </row>
    <row r="378" spans="1:6" ht="12.6">
      <c r="A378" s="2">
        <f ca="1">IFERROR(__xludf.DUMMYFUNCTION("""COMPUTED_VALUE"""),45112.6666666666)</f>
        <v>45112.666666666599</v>
      </c>
      <c r="B378" s="1">
        <f ca="1">IFERROR(__xludf.DUMMYFUNCTION("""COMPUTED_VALUE"""),335.09)</f>
        <v>335.09</v>
      </c>
      <c r="C378" s="1">
        <f ca="1">IFERROR(__xludf.DUMMYFUNCTION("""COMPUTED_VALUE"""),341.65)</f>
        <v>341.65</v>
      </c>
      <c r="D378" s="1">
        <f ca="1">IFERROR(__xludf.DUMMYFUNCTION("""COMPUTED_VALUE"""),334.73)</f>
        <v>334.73</v>
      </c>
      <c r="E378" s="1">
        <f ca="1">IFERROR(__xludf.DUMMYFUNCTION("""COMPUTED_VALUE"""),338.15)</f>
        <v>338.15</v>
      </c>
      <c r="F378" s="1">
        <f ca="1">IFERROR(__xludf.DUMMYFUNCTION("""COMPUTED_VALUE"""),18172378)</f>
        <v>18172378</v>
      </c>
    </row>
    <row r="379" spans="1:6" ht="12.6">
      <c r="A379" s="2">
        <f ca="1">IFERROR(__xludf.DUMMYFUNCTION("""COMPUTED_VALUE"""),45113.6666666666)</f>
        <v>45113.666666666599</v>
      </c>
      <c r="B379" s="1">
        <f ca="1">IFERROR(__xludf.DUMMYFUNCTION("""COMPUTED_VALUE"""),337.3)</f>
        <v>337.3</v>
      </c>
      <c r="C379" s="1">
        <f ca="1">IFERROR(__xludf.DUMMYFUNCTION("""COMPUTED_VALUE"""),342.99)</f>
        <v>342.99</v>
      </c>
      <c r="D379" s="1">
        <f ca="1">IFERROR(__xludf.DUMMYFUNCTION("""COMPUTED_VALUE"""),335.5)</f>
        <v>335.5</v>
      </c>
      <c r="E379" s="1">
        <f ca="1">IFERROR(__xludf.DUMMYFUNCTION("""COMPUTED_VALUE"""),341.27)</f>
        <v>341.27</v>
      </c>
      <c r="F379" s="1">
        <f ca="1">IFERROR(__xludf.DUMMYFUNCTION("""COMPUTED_VALUE"""),28195534)</f>
        <v>28195534</v>
      </c>
    </row>
    <row r="380" spans="1:6" ht="12.6">
      <c r="A380" s="2">
        <f ca="1">IFERROR(__xludf.DUMMYFUNCTION("""COMPUTED_VALUE"""),45114.6666666666)</f>
        <v>45114.666666666599</v>
      </c>
      <c r="B380" s="1">
        <f ca="1">IFERROR(__xludf.DUMMYFUNCTION("""COMPUTED_VALUE"""),339.32)</f>
        <v>339.32</v>
      </c>
      <c r="C380" s="1">
        <f ca="1">IFERROR(__xludf.DUMMYFUNCTION("""COMPUTED_VALUE"""),341.79)</f>
        <v>341.79</v>
      </c>
      <c r="D380" s="1">
        <f ca="1">IFERROR(__xludf.DUMMYFUNCTION("""COMPUTED_VALUE"""),337)</f>
        <v>337</v>
      </c>
      <c r="E380" s="1">
        <f ca="1">IFERROR(__xludf.DUMMYFUNCTION("""COMPUTED_VALUE"""),337.22)</f>
        <v>337.22</v>
      </c>
      <c r="F380" s="1">
        <f ca="1">IFERROR(__xludf.DUMMYFUNCTION("""COMPUTED_VALUE"""),21214824)</f>
        <v>21214824</v>
      </c>
    </row>
    <row r="381" spans="1:6" ht="12.6">
      <c r="A381" s="2">
        <f ca="1">IFERROR(__xludf.DUMMYFUNCTION("""COMPUTED_VALUE"""),45117.6666666666)</f>
        <v>45117.666666666599</v>
      </c>
      <c r="B381" s="1">
        <f ca="1">IFERROR(__xludf.DUMMYFUNCTION("""COMPUTED_VALUE"""),334.6)</f>
        <v>334.6</v>
      </c>
      <c r="C381" s="1">
        <f ca="1">IFERROR(__xludf.DUMMYFUNCTION("""COMPUTED_VALUE"""),335.23)</f>
        <v>335.23</v>
      </c>
      <c r="D381" s="1">
        <f ca="1">IFERROR(__xludf.DUMMYFUNCTION("""COMPUTED_VALUE"""),327.59)</f>
        <v>327.58999999999997</v>
      </c>
      <c r="E381" s="1">
        <f ca="1">IFERROR(__xludf.DUMMYFUNCTION("""COMPUTED_VALUE"""),331.83)</f>
        <v>331.83</v>
      </c>
      <c r="F381" s="1">
        <f ca="1">IFERROR(__xludf.DUMMYFUNCTION("""COMPUTED_VALUE"""),32791449)</f>
        <v>32791449</v>
      </c>
    </row>
    <row r="382" spans="1:6" ht="12.6">
      <c r="A382" s="2">
        <f ca="1">IFERROR(__xludf.DUMMYFUNCTION("""COMPUTED_VALUE"""),45118.6666666666)</f>
        <v>45118.666666666599</v>
      </c>
      <c r="B382" s="1">
        <f ca="1">IFERROR(__xludf.DUMMYFUNCTION("""COMPUTED_VALUE"""),331.06)</f>
        <v>331.06</v>
      </c>
      <c r="C382" s="1">
        <f ca="1">IFERROR(__xludf.DUMMYFUNCTION("""COMPUTED_VALUE"""),332.86)</f>
        <v>332.86</v>
      </c>
      <c r="D382" s="1">
        <f ca="1">IFERROR(__xludf.DUMMYFUNCTION("""COMPUTED_VALUE"""),327)</f>
        <v>327</v>
      </c>
      <c r="E382" s="1">
        <f ca="1">IFERROR(__xludf.DUMMYFUNCTION("""COMPUTED_VALUE"""),332.47)</f>
        <v>332.47</v>
      </c>
      <c r="F382" s="1">
        <f ca="1">IFERROR(__xludf.DUMMYFUNCTION("""COMPUTED_VALUE"""),26698218)</f>
        <v>26698218</v>
      </c>
    </row>
    <row r="383" spans="1:6" ht="12.6">
      <c r="A383" s="2">
        <f ca="1">IFERROR(__xludf.DUMMYFUNCTION("""COMPUTED_VALUE"""),45119.6666666666)</f>
        <v>45119.666666666599</v>
      </c>
      <c r="B383" s="1">
        <f ca="1">IFERROR(__xludf.DUMMYFUNCTION("""COMPUTED_VALUE"""),336.6)</f>
        <v>336.6</v>
      </c>
      <c r="C383" s="1">
        <f ca="1">IFERROR(__xludf.DUMMYFUNCTION("""COMPUTED_VALUE"""),341.65)</f>
        <v>341.65</v>
      </c>
      <c r="D383" s="1">
        <f ca="1">IFERROR(__xludf.DUMMYFUNCTION("""COMPUTED_VALUE"""),335.67)</f>
        <v>335.67</v>
      </c>
      <c r="E383" s="1">
        <f ca="1">IFERROR(__xludf.DUMMYFUNCTION("""COMPUTED_VALUE"""),337.2)</f>
        <v>337.2</v>
      </c>
      <c r="F383" s="1">
        <f ca="1">IFERROR(__xludf.DUMMYFUNCTION("""COMPUTED_VALUE"""),29995262)</f>
        <v>29995262</v>
      </c>
    </row>
    <row r="384" spans="1:6" ht="12.6">
      <c r="A384" s="2">
        <f ca="1">IFERROR(__xludf.DUMMYFUNCTION("""COMPUTED_VALUE"""),45120.6666666666)</f>
        <v>45120.666666666599</v>
      </c>
      <c r="B384" s="1">
        <f ca="1">IFERROR(__xludf.DUMMYFUNCTION("""COMPUTED_VALUE"""),339.56)</f>
        <v>339.56</v>
      </c>
      <c r="C384" s="1">
        <f ca="1">IFERROR(__xludf.DUMMYFUNCTION("""COMPUTED_VALUE"""),343.74)</f>
        <v>343.74</v>
      </c>
      <c r="D384" s="1">
        <f ca="1">IFERROR(__xludf.DUMMYFUNCTION("""COMPUTED_VALUE"""),339.02)</f>
        <v>339.02</v>
      </c>
      <c r="E384" s="1">
        <f ca="1">IFERROR(__xludf.DUMMYFUNCTION("""COMPUTED_VALUE"""),342.66)</f>
        <v>342.66</v>
      </c>
      <c r="F384" s="1">
        <f ca="1">IFERROR(__xludf.DUMMYFUNCTION("""COMPUTED_VALUE"""),20567159)</f>
        <v>20567159</v>
      </c>
    </row>
    <row r="385" spans="1:6" ht="12.6">
      <c r="A385" s="2">
        <f ca="1">IFERROR(__xludf.DUMMYFUNCTION("""COMPUTED_VALUE"""),45121.6666666666)</f>
        <v>45121.666666666599</v>
      </c>
      <c r="B385" s="1">
        <f ca="1">IFERROR(__xludf.DUMMYFUNCTION("""COMPUTED_VALUE"""),347.59)</f>
        <v>347.59</v>
      </c>
      <c r="C385" s="1">
        <f ca="1">IFERROR(__xludf.DUMMYFUNCTION("""COMPUTED_VALUE"""),351.43)</f>
        <v>351.43</v>
      </c>
      <c r="D385" s="1">
        <f ca="1">IFERROR(__xludf.DUMMYFUNCTION("""COMPUTED_VALUE"""),344.31)</f>
        <v>344.31</v>
      </c>
      <c r="E385" s="1">
        <f ca="1">IFERROR(__xludf.DUMMYFUNCTION("""COMPUTED_VALUE"""),345.24)</f>
        <v>345.24</v>
      </c>
      <c r="F385" s="1">
        <f ca="1">IFERROR(__xludf.DUMMYFUNCTION("""COMPUTED_VALUE"""),28352729)</f>
        <v>28352729</v>
      </c>
    </row>
    <row r="386" spans="1:6" ht="12.6">
      <c r="A386" s="2">
        <f ca="1">IFERROR(__xludf.DUMMYFUNCTION("""COMPUTED_VALUE"""),45124.6666666666)</f>
        <v>45124.666666666599</v>
      </c>
      <c r="B386" s="1">
        <f ca="1">IFERROR(__xludf.DUMMYFUNCTION("""COMPUTED_VALUE"""),345.68)</f>
        <v>345.68</v>
      </c>
      <c r="C386" s="1">
        <f ca="1">IFERROR(__xludf.DUMMYFUNCTION("""COMPUTED_VALUE"""),346.99)</f>
        <v>346.99</v>
      </c>
      <c r="D386" s="1">
        <f ca="1">IFERROR(__xludf.DUMMYFUNCTION("""COMPUTED_VALUE"""),342.2)</f>
        <v>342.2</v>
      </c>
      <c r="E386" s="1">
        <f ca="1">IFERROR(__xludf.DUMMYFUNCTION("""COMPUTED_VALUE"""),345.73)</f>
        <v>345.73</v>
      </c>
      <c r="F386" s="1">
        <f ca="1">IFERROR(__xludf.DUMMYFUNCTION("""COMPUTED_VALUE"""),20363927)</f>
        <v>20363927</v>
      </c>
    </row>
    <row r="387" spans="1:6" ht="12.6">
      <c r="A387" s="2">
        <f ca="1">IFERROR(__xludf.DUMMYFUNCTION("""COMPUTED_VALUE"""),45125.6666666666)</f>
        <v>45125.666666666599</v>
      </c>
      <c r="B387" s="1">
        <f ca="1">IFERROR(__xludf.DUMMYFUNCTION("""COMPUTED_VALUE"""),345.83)</f>
        <v>345.83</v>
      </c>
      <c r="C387" s="1">
        <f ca="1">IFERROR(__xludf.DUMMYFUNCTION("""COMPUTED_VALUE"""),366.78)</f>
        <v>366.78</v>
      </c>
      <c r="D387" s="1">
        <f ca="1">IFERROR(__xludf.DUMMYFUNCTION("""COMPUTED_VALUE"""),342.17)</f>
        <v>342.17</v>
      </c>
      <c r="E387" s="1">
        <f ca="1">IFERROR(__xludf.DUMMYFUNCTION("""COMPUTED_VALUE"""),359.49)</f>
        <v>359.49</v>
      </c>
      <c r="F387" s="1">
        <f ca="1">IFERROR(__xludf.DUMMYFUNCTION("""COMPUTED_VALUE"""),64872705)</f>
        <v>64872705</v>
      </c>
    </row>
    <row r="388" spans="1:6" ht="12.6">
      <c r="A388" s="2">
        <f ca="1">IFERROR(__xludf.DUMMYFUNCTION("""COMPUTED_VALUE"""),45126.6666666666)</f>
        <v>45126.666666666599</v>
      </c>
      <c r="B388" s="1">
        <f ca="1">IFERROR(__xludf.DUMMYFUNCTION("""COMPUTED_VALUE"""),361.75)</f>
        <v>361.75</v>
      </c>
      <c r="C388" s="1">
        <f ca="1">IFERROR(__xludf.DUMMYFUNCTION("""COMPUTED_VALUE"""),362.46)</f>
        <v>362.46</v>
      </c>
      <c r="D388" s="1">
        <f ca="1">IFERROR(__xludf.DUMMYFUNCTION("""COMPUTED_VALUE"""),352.44)</f>
        <v>352.44</v>
      </c>
      <c r="E388" s="1">
        <f ca="1">IFERROR(__xludf.DUMMYFUNCTION("""COMPUTED_VALUE"""),355.08)</f>
        <v>355.08</v>
      </c>
      <c r="F388" s="1">
        <f ca="1">IFERROR(__xludf.DUMMYFUNCTION("""COMPUTED_VALUE"""),39732901)</f>
        <v>39732901</v>
      </c>
    </row>
    <row r="389" spans="1:6" ht="12.6">
      <c r="A389" s="2">
        <f ca="1">IFERROR(__xludf.DUMMYFUNCTION("""COMPUTED_VALUE"""),45127.6666666666)</f>
        <v>45127.666666666599</v>
      </c>
      <c r="B389" s="1">
        <f ca="1">IFERROR(__xludf.DUMMYFUNCTION("""COMPUTED_VALUE"""),353.57)</f>
        <v>353.57</v>
      </c>
      <c r="C389" s="1">
        <f ca="1">IFERROR(__xludf.DUMMYFUNCTION("""COMPUTED_VALUE"""),357.97)</f>
        <v>357.97</v>
      </c>
      <c r="D389" s="1">
        <f ca="1">IFERROR(__xludf.DUMMYFUNCTION("""COMPUTED_VALUE"""),345.37)</f>
        <v>345.37</v>
      </c>
      <c r="E389" s="1">
        <f ca="1">IFERROR(__xludf.DUMMYFUNCTION("""COMPUTED_VALUE"""),346.87)</f>
        <v>346.87</v>
      </c>
      <c r="F389" s="1">
        <f ca="1">IFERROR(__xludf.DUMMYFUNCTION("""COMPUTED_VALUE"""),33778395)</f>
        <v>33778395</v>
      </c>
    </row>
    <row r="390" spans="1:6" ht="12.6">
      <c r="A390" s="2">
        <f ca="1">IFERROR(__xludf.DUMMYFUNCTION("""COMPUTED_VALUE"""),45128.6666666666)</f>
        <v>45128.666666666599</v>
      </c>
      <c r="B390" s="1">
        <f ca="1">IFERROR(__xludf.DUMMYFUNCTION("""COMPUTED_VALUE"""),349.15)</f>
        <v>349.15</v>
      </c>
      <c r="C390" s="1">
        <f ca="1">IFERROR(__xludf.DUMMYFUNCTION("""COMPUTED_VALUE"""),350.3)</f>
        <v>350.3</v>
      </c>
      <c r="D390" s="1">
        <f ca="1">IFERROR(__xludf.DUMMYFUNCTION("""COMPUTED_VALUE"""),339.83)</f>
        <v>339.83</v>
      </c>
      <c r="E390" s="1">
        <f ca="1">IFERROR(__xludf.DUMMYFUNCTION("""COMPUTED_VALUE"""),343.77)</f>
        <v>343.77</v>
      </c>
      <c r="F390" s="1">
        <f ca="1">IFERROR(__xludf.DUMMYFUNCTION("""COMPUTED_VALUE"""),69405382)</f>
        <v>69405382</v>
      </c>
    </row>
    <row r="391" spans="1:6" ht="12.6">
      <c r="A391" s="2">
        <f ca="1">IFERROR(__xludf.DUMMYFUNCTION("""COMPUTED_VALUE"""),45131.6666666666)</f>
        <v>45131.666666666599</v>
      </c>
      <c r="B391" s="1">
        <f ca="1">IFERROR(__xludf.DUMMYFUNCTION("""COMPUTED_VALUE"""),345.85)</f>
        <v>345.85</v>
      </c>
      <c r="C391" s="1">
        <f ca="1">IFERROR(__xludf.DUMMYFUNCTION("""COMPUTED_VALUE"""),346.92)</f>
        <v>346.92</v>
      </c>
      <c r="D391" s="1">
        <f ca="1">IFERROR(__xludf.DUMMYFUNCTION("""COMPUTED_VALUE"""),342.31)</f>
        <v>342.31</v>
      </c>
      <c r="E391" s="1">
        <f ca="1">IFERROR(__xludf.DUMMYFUNCTION("""COMPUTED_VALUE"""),345.11)</f>
        <v>345.11</v>
      </c>
      <c r="F391" s="1">
        <f ca="1">IFERROR(__xludf.DUMMYFUNCTION("""COMPUTED_VALUE"""),26719207)</f>
        <v>26719207</v>
      </c>
    </row>
    <row r="392" spans="1:6" ht="12.6">
      <c r="A392" s="2">
        <f ca="1">IFERROR(__xludf.DUMMYFUNCTION("""COMPUTED_VALUE"""),45132.6666666666)</f>
        <v>45132.666666666599</v>
      </c>
      <c r="B392" s="1">
        <f ca="1">IFERROR(__xludf.DUMMYFUNCTION("""COMPUTED_VALUE"""),347.11)</f>
        <v>347.11</v>
      </c>
      <c r="C392" s="1">
        <f ca="1">IFERROR(__xludf.DUMMYFUNCTION("""COMPUTED_VALUE"""),351.89)</f>
        <v>351.89</v>
      </c>
      <c r="D392" s="1">
        <f ca="1">IFERROR(__xludf.DUMMYFUNCTION("""COMPUTED_VALUE"""),345.07)</f>
        <v>345.07</v>
      </c>
      <c r="E392" s="1">
        <f ca="1">IFERROR(__xludf.DUMMYFUNCTION("""COMPUTED_VALUE"""),350.98)</f>
        <v>350.98</v>
      </c>
      <c r="F392" s="1">
        <f ca="1">IFERROR(__xludf.DUMMYFUNCTION("""COMPUTED_VALUE"""),41637739)</f>
        <v>41637739</v>
      </c>
    </row>
    <row r="393" spans="1:6" ht="12.6">
      <c r="A393" s="2">
        <f ca="1">IFERROR(__xludf.DUMMYFUNCTION("""COMPUTED_VALUE"""),45133.6666666666)</f>
        <v>45133.666666666599</v>
      </c>
      <c r="B393" s="1">
        <f ca="1">IFERROR(__xludf.DUMMYFUNCTION("""COMPUTED_VALUE"""),341.44)</f>
        <v>341.44</v>
      </c>
      <c r="C393" s="1">
        <f ca="1">IFERROR(__xludf.DUMMYFUNCTION("""COMPUTED_VALUE"""),344.67)</f>
        <v>344.67</v>
      </c>
      <c r="D393" s="1">
        <f ca="1">IFERROR(__xludf.DUMMYFUNCTION("""COMPUTED_VALUE"""),333.11)</f>
        <v>333.11</v>
      </c>
      <c r="E393" s="1">
        <f ca="1">IFERROR(__xludf.DUMMYFUNCTION("""COMPUTED_VALUE"""),337.77)</f>
        <v>337.77</v>
      </c>
      <c r="F393" s="1">
        <f ca="1">IFERROR(__xludf.DUMMYFUNCTION("""COMPUTED_VALUE"""),58383702)</f>
        <v>58383702</v>
      </c>
    </row>
    <row r="394" spans="1:6" ht="12.6">
      <c r="A394" s="2">
        <f ca="1">IFERROR(__xludf.DUMMYFUNCTION("""COMPUTED_VALUE"""),45134.6666666666)</f>
        <v>45134.666666666599</v>
      </c>
      <c r="B394" s="1">
        <f ca="1">IFERROR(__xludf.DUMMYFUNCTION("""COMPUTED_VALUE"""),340.48)</f>
        <v>340.48</v>
      </c>
      <c r="C394" s="1">
        <f ca="1">IFERROR(__xludf.DUMMYFUNCTION("""COMPUTED_VALUE"""),341.33)</f>
        <v>341.33</v>
      </c>
      <c r="D394" s="1">
        <f ca="1">IFERROR(__xludf.DUMMYFUNCTION("""COMPUTED_VALUE"""),329.05)</f>
        <v>329.05</v>
      </c>
      <c r="E394" s="1">
        <f ca="1">IFERROR(__xludf.DUMMYFUNCTION("""COMPUTED_VALUE"""),330.72)</f>
        <v>330.72</v>
      </c>
      <c r="F394" s="1">
        <f ca="1">IFERROR(__xludf.DUMMYFUNCTION("""COMPUTED_VALUE"""),39635262)</f>
        <v>39635262</v>
      </c>
    </row>
    <row r="395" spans="1:6" ht="12.6">
      <c r="A395" s="2">
        <f ca="1">IFERROR(__xludf.DUMMYFUNCTION("""COMPUTED_VALUE"""),45135.6666666666)</f>
        <v>45135.666666666599</v>
      </c>
      <c r="B395" s="1">
        <f ca="1">IFERROR(__xludf.DUMMYFUNCTION("""COMPUTED_VALUE"""),333.67)</f>
        <v>333.67</v>
      </c>
      <c r="C395" s="1">
        <f ca="1">IFERROR(__xludf.DUMMYFUNCTION("""COMPUTED_VALUE"""),340.01)</f>
        <v>340.01</v>
      </c>
      <c r="D395" s="1">
        <f ca="1">IFERROR(__xludf.DUMMYFUNCTION("""COMPUTED_VALUE"""),333.17)</f>
        <v>333.17</v>
      </c>
      <c r="E395" s="1">
        <f ca="1">IFERROR(__xludf.DUMMYFUNCTION("""COMPUTED_VALUE"""),338.37)</f>
        <v>338.37</v>
      </c>
      <c r="F395" s="1">
        <f ca="1">IFERROR(__xludf.DUMMYFUNCTION("""COMPUTED_VALUE"""),28484868)</f>
        <v>28484868</v>
      </c>
    </row>
    <row r="396" spans="1:6" ht="12.6">
      <c r="A396" s="2">
        <f ca="1">IFERROR(__xludf.DUMMYFUNCTION("""COMPUTED_VALUE"""),45138.6666666666)</f>
        <v>45138.666666666599</v>
      </c>
      <c r="B396" s="1">
        <f ca="1">IFERROR(__xludf.DUMMYFUNCTION("""COMPUTED_VALUE"""),336.92)</f>
        <v>336.92</v>
      </c>
      <c r="C396" s="1">
        <f ca="1">IFERROR(__xludf.DUMMYFUNCTION("""COMPUTED_VALUE"""),337.7)</f>
        <v>337.7</v>
      </c>
      <c r="D396" s="1">
        <f ca="1">IFERROR(__xludf.DUMMYFUNCTION("""COMPUTED_VALUE"""),333.36)</f>
        <v>333.36</v>
      </c>
      <c r="E396" s="1">
        <f ca="1">IFERROR(__xludf.DUMMYFUNCTION("""COMPUTED_VALUE"""),335.92)</f>
        <v>335.92</v>
      </c>
      <c r="F396" s="1">
        <f ca="1">IFERROR(__xludf.DUMMYFUNCTION("""COMPUTED_VALUE"""),25446022)</f>
        <v>25446022</v>
      </c>
    </row>
    <row r="397" spans="1:6" ht="12.6">
      <c r="A397" s="2">
        <f ca="1">IFERROR(__xludf.DUMMYFUNCTION("""COMPUTED_VALUE"""),45139.6666666666)</f>
        <v>45139.666666666599</v>
      </c>
      <c r="B397" s="1">
        <f ca="1">IFERROR(__xludf.DUMMYFUNCTION("""COMPUTED_VALUE"""),335.19)</f>
        <v>335.19</v>
      </c>
      <c r="C397" s="1">
        <f ca="1">IFERROR(__xludf.DUMMYFUNCTION("""COMPUTED_VALUE"""),338.54)</f>
        <v>338.54</v>
      </c>
      <c r="D397" s="1">
        <f ca="1">IFERROR(__xludf.DUMMYFUNCTION("""COMPUTED_VALUE"""),333.7)</f>
        <v>333.7</v>
      </c>
      <c r="E397" s="1">
        <f ca="1">IFERROR(__xludf.DUMMYFUNCTION("""COMPUTED_VALUE"""),336.34)</f>
        <v>336.34</v>
      </c>
      <c r="F397" s="1">
        <f ca="1">IFERROR(__xludf.DUMMYFUNCTION("""COMPUTED_VALUE"""),18381253)</f>
        <v>18381253</v>
      </c>
    </row>
    <row r="398" spans="1:6" ht="12.6">
      <c r="A398" s="2">
        <f ca="1">IFERROR(__xludf.DUMMYFUNCTION("""COMPUTED_VALUE"""),45140.6666666666)</f>
        <v>45140.666666666599</v>
      </c>
      <c r="B398" s="1">
        <f ca="1">IFERROR(__xludf.DUMMYFUNCTION("""COMPUTED_VALUE"""),333.63)</f>
        <v>333.63</v>
      </c>
      <c r="C398" s="1">
        <f ca="1">IFERROR(__xludf.DUMMYFUNCTION("""COMPUTED_VALUE"""),333.63)</f>
        <v>333.63</v>
      </c>
      <c r="D398" s="1">
        <f ca="1">IFERROR(__xludf.DUMMYFUNCTION("""COMPUTED_VALUE"""),326.36)</f>
        <v>326.36</v>
      </c>
      <c r="E398" s="1">
        <f ca="1">IFERROR(__xludf.DUMMYFUNCTION("""COMPUTED_VALUE"""),327.5)</f>
        <v>327.5</v>
      </c>
      <c r="F398" s="1">
        <f ca="1">IFERROR(__xludf.DUMMYFUNCTION("""COMPUTED_VALUE"""),27761257)</f>
        <v>27761257</v>
      </c>
    </row>
    <row r="399" spans="1:6" ht="12.6">
      <c r="A399" s="2">
        <f ca="1">IFERROR(__xludf.DUMMYFUNCTION("""COMPUTED_VALUE"""),45141.6666666666)</f>
        <v>45141.666666666599</v>
      </c>
      <c r="B399" s="1">
        <f ca="1">IFERROR(__xludf.DUMMYFUNCTION("""COMPUTED_VALUE"""),326)</f>
        <v>326</v>
      </c>
      <c r="C399" s="1">
        <f ca="1">IFERROR(__xludf.DUMMYFUNCTION("""COMPUTED_VALUE"""),329.88)</f>
        <v>329.88</v>
      </c>
      <c r="D399" s="1">
        <f ca="1">IFERROR(__xludf.DUMMYFUNCTION("""COMPUTED_VALUE"""),325.95)</f>
        <v>325.95</v>
      </c>
      <c r="E399" s="1">
        <f ca="1">IFERROR(__xludf.DUMMYFUNCTION("""COMPUTED_VALUE"""),326.66)</f>
        <v>326.66000000000003</v>
      </c>
      <c r="F399" s="1">
        <f ca="1">IFERROR(__xludf.DUMMYFUNCTION("""COMPUTED_VALUE"""),18360352)</f>
        <v>18360352</v>
      </c>
    </row>
    <row r="400" spans="1:6" ht="12.6">
      <c r="A400" s="2">
        <f ca="1">IFERROR(__xludf.DUMMYFUNCTION("""COMPUTED_VALUE"""),45142.6666666666)</f>
        <v>45142.666666666599</v>
      </c>
      <c r="B400" s="1">
        <f ca="1">IFERROR(__xludf.DUMMYFUNCTION("""COMPUTED_VALUE"""),331.88)</f>
        <v>331.88</v>
      </c>
      <c r="C400" s="1">
        <f ca="1">IFERROR(__xludf.DUMMYFUNCTION("""COMPUTED_VALUE"""),335.14)</f>
        <v>335.14</v>
      </c>
      <c r="D400" s="1">
        <f ca="1">IFERROR(__xludf.DUMMYFUNCTION("""COMPUTED_VALUE"""),327.24)</f>
        <v>327.24</v>
      </c>
      <c r="E400" s="1">
        <f ca="1">IFERROR(__xludf.DUMMYFUNCTION("""COMPUTED_VALUE"""),327.78)</f>
        <v>327.78</v>
      </c>
      <c r="F400" s="1">
        <f ca="1">IFERROR(__xludf.DUMMYFUNCTION("""COMPUTED_VALUE"""),23741484)</f>
        <v>23741484</v>
      </c>
    </row>
    <row r="401" spans="1:6" ht="12.6">
      <c r="A401" s="2">
        <f ca="1">IFERROR(__xludf.DUMMYFUNCTION("""COMPUTED_VALUE"""),45145.6666666666)</f>
        <v>45145.666666666599</v>
      </c>
      <c r="B401" s="1">
        <f ca="1">IFERROR(__xludf.DUMMYFUNCTION("""COMPUTED_VALUE"""),328.37)</f>
        <v>328.37</v>
      </c>
      <c r="C401" s="1">
        <f ca="1">IFERROR(__xludf.DUMMYFUNCTION("""COMPUTED_VALUE"""),331.11)</f>
        <v>331.11</v>
      </c>
      <c r="D401" s="1">
        <f ca="1">IFERROR(__xludf.DUMMYFUNCTION("""COMPUTED_VALUE"""),327.52)</f>
        <v>327.52</v>
      </c>
      <c r="E401" s="1">
        <f ca="1">IFERROR(__xludf.DUMMYFUNCTION("""COMPUTED_VALUE"""),330.11)</f>
        <v>330.11</v>
      </c>
      <c r="F401" s="1">
        <f ca="1">IFERROR(__xludf.DUMMYFUNCTION("""COMPUTED_VALUE"""),17741526)</f>
        <v>17741526</v>
      </c>
    </row>
    <row r="402" spans="1:6" ht="12.6">
      <c r="A402" s="2">
        <f ca="1">IFERROR(__xludf.DUMMYFUNCTION("""COMPUTED_VALUE"""),45146.6666666666)</f>
        <v>45146.666666666599</v>
      </c>
      <c r="B402" s="1">
        <f ca="1">IFERROR(__xludf.DUMMYFUNCTION("""COMPUTED_VALUE"""),326.96)</f>
        <v>326.95999999999998</v>
      </c>
      <c r="C402" s="1">
        <f ca="1">IFERROR(__xludf.DUMMYFUNCTION("""COMPUTED_VALUE"""),328.75)</f>
        <v>328.75</v>
      </c>
      <c r="D402" s="1">
        <f ca="1">IFERROR(__xludf.DUMMYFUNCTION("""COMPUTED_VALUE"""),323)</f>
        <v>323</v>
      </c>
      <c r="E402" s="1">
        <f ca="1">IFERROR(__xludf.DUMMYFUNCTION("""COMPUTED_VALUE"""),326.05)</f>
        <v>326.05</v>
      </c>
      <c r="F402" s="1">
        <f ca="1">IFERROR(__xludf.DUMMYFUNCTION("""COMPUTED_VALUE"""),22327574)</f>
        <v>22327574</v>
      </c>
    </row>
    <row r="403" spans="1:6" ht="12.6">
      <c r="A403" s="2">
        <f ca="1">IFERROR(__xludf.DUMMYFUNCTION("""COMPUTED_VALUE"""),45147.6666666666)</f>
        <v>45147.666666666599</v>
      </c>
      <c r="B403" s="1">
        <f ca="1">IFERROR(__xludf.DUMMYFUNCTION("""COMPUTED_VALUE"""),326.47)</f>
        <v>326.47000000000003</v>
      </c>
      <c r="C403" s="1">
        <f ca="1">IFERROR(__xludf.DUMMYFUNCTION("""COMPUTED_VALUE"""),327.11)</f>
        <v>327.11</v>
      </c>
      <c r="D403" s="1">
        <f ca="1">IFERROR(__xludf.DUMMYFUNCTION("""COMPUTED_VALUE"""),321.05)</f>
        <v>321.05</v>
      </c>
      <c r="E403" s="1">
        <f ca="1">IFERROR(__xludf.DUMMYFUNCTION("""COMPUTED_VALUE"""),322.23)</f>
        <v>322.23</v>
      </c>
      <c r="F403" s="1">
        <f ca="1">IFERROR(__xludf.DUMMYFUNCTION("""COMPUTED_VALUE"""),22373268)</f>
        <v>22373268</v>
      </c>
    </row>
    <row r="404" spans="1:6" ht="12.6">
      <c r="A404" s="2">
        <f ca="1">IFERROR(__xludf.DUMMYFUNCTION("""COMPUTED_VALUE"""),45148.6666666666)</f>
        <v>45148.666666666599</v>
      </c>
      <c r="B404" s="1">
        <f ca="1">IFERROR(__xludf.DUMMYFUNCTION("""COMPUTED_VALUE"""),326.02)</f>
        <v>326.02</v>
      </c>
      <c r="C404" s="1">
        <f ca="1">IFERROR(__xludf.DUMMYFUNCTION("""COMPUTED_VALUE"""),328.26)</f>
        <v>328.26</v>
      </c>
      <c r="D404" s="1">
        <f ca="1">IFERROR(__xludf.DUMMYFUNCTION("""COMPUTED_VALUE"""),321.18)</f>
        <v>321.18</v>
      </c>
      <c r="E404" s="1">
        <f ca="1">IFERROR(__xludf.DUMMYFUNCTION("""COMPUTED_VALUE"""),322.93)</f>
        <v>322.93</v>
      </c>
      <c r="F404" s="1">
        <f ca="1">IFERROR(__xludf.DUMMYFUNCTION("""COMPUTED_VALUE"""),20113725)</f>
        <v>20113725</v>
      </c>
    </row>
    <row r="405" spans="1:6" ht="12.6">
      <c r="A405" s="2">
        <f ca="1">IFERROR(__xludf.DUMMYFUNCTION("""COMPUTED_VALUE"""),45149.6666666666)</f>
        <v>45149.666666666599</v>
      </c>
      <c r="B405" s="1">
        <f ca="1">IFERROR(__xludf.DUMMYFUNCTION("""COMPUTED_VALUE"""),320.26)</f>
        <v>320.26</v>
      </c>
      <c r="C405" s="1">
        <f ca="1">IFERROR(__xludf.DUMMYFUNCTION("""COMPUTED_VALUE"""),322.41)</f>
        <v>322.41000000000003</v>
      </c>
      <c r="D405" s="1">
        <f ca="1">IFERROR(__xludf.DUMMYFUNCTION("""COMPUTED_VALUE"""),319.21)</f>
        <v>319.20999999999998</v>
      </c>
      <c r="E405" s="1">
        <f ca="1">IFERROR(__xludf.DUMMYFUNCTION("""COMPUTED_VALUE"""),321.01)</f>
        <v>321.01</v>
      </c>
      <c r="F405" s="1">
        <f ca="1">IFERROR(__xludf.DUMMYFUNCTION("""COMPUTED_VALUE"""),24355491)</f>
        <v>24355491</v>
      </c>
    </row>
    <row r="406" spans="1:6" ht="12.6">
      <c r="A406" s="2">
        <f ca="1">IFERROR(__xludf.DUMMYFUNCTION("""COMPUTED_VALUE"""),45152.6666666666)</f>
        <v>45152.666666666599</v>
      </c>
      <c r="B406" s="1">
        <f ca="1">IFERROR(__xludf.DUMMYFUNCTION("""COMPUTED_VALUE"""),321.39)</f>
        <v>321.39</v>
      </c>
      <c r="C406" s="1">
        <f ca="1">IFERROR(__xludf.DUMMYFUNCTION("""COMPUTED_VALUE"""),324.06)</f>
        <v>324.06</v>
      </c>
      <c r="D406" s="1">
        <f ca="1">IFERROR(__xludf.DUMMYFUNCTION("""COMPUTED_VALUE"""),320.08)</f>
        <v>320.08</v>
      </c>
      <c r="E406" s="1">
        <f ca="1">IFERROR(__xludf.DUMMYFUNCTION("""COMPUTED_VALUE"""),324.04)</f>
        <v>324.04000000000002</v>
      </c>
      <c r="F406" s="1">
        <f ca="1">IFERROR(__xludf.DUMMYFUNCTION("""COMPUTED_VALUE"""),18836139)</f>
        <v>18836139</v>
      </c>
    </row>
    <row r="407" spans="1:6" ht="12.6">
      <c r="A407" s="2">
        <f ca="1">IFERROR(__xludf.DUMMYFUNCTION("""COMPUTED_VALUE"""),45153.6666666666)</f>
        <v>45153.666666666599</v>
      </c>
      <c r="B407" s="1">
        <f ca="1">IFERROR(__xludf.DUMMYFUNCTION("""COMPUTED_VALUE"""),323)</f>
        <v>323</v>
      </c>
      <c r="C407" s="1">
        <f ca="1">IFERROR(__xludf.DUMMYFUNCTION("""COMPUTED_VALUE"""),325.09)</f>
        <v>325.08999999999997</v>
      </c>
      <c r="D407" s="1">
        <f ca="1">IFERROR(__xludf.DUMMYFUNCTION("""COMPUTED_VALUE"""),320.9)</f>
        <v>320.89999999999998</v>
      </c>
      <c r="E407" s="1">
        <f ca="1">IFERROR(__xludf.DUMMYFUNCTION("""COMPUTED_VALUE"""),321.86)</f>
        <v>321.86</v>
      </c>
      <c r="F407" s="1">
        <f ca="1">IFERROR(__xludf.DUMMYFUNCTION("""COMPUTED_VALUE"""),16966285)</f>
        <v>16966285</v>
      </c>
    </row>
    <row r="408" spans="1:6" ht="12.6">
      <c r="A408" s="2">
        <f ca="1">IFERROR(__xludf.DUMMYFUNCTION("""COMPUTED_VALUE"""),45154.6666666666)</f>
        <v>45154.666666666599</v>
      </c>
      <c r="B408" s="1">
        <f ca="1">IFERROR(__xludf.DUMMYFUNCTION("""COMPUTED_VALUE"""),320.8)</f>
        <v>320.8</v>
      </c>
      <c r="C408" s="1">
        <f ca="1">IFERROR(__xludf.DUMMYFUNCTION("""COMPUTED_VALUE"""),324.42)</f>
        <v>324.42</v>
      </c>
      <c r="D408" s="1">
        <f ca="1">IFERROR(__xludf.DUMMYFUNCTION("""COMPUTED_VALUE"""),319.8)</f>
        <v>319.8</v>
      </c>
      <c r="E408" s="1">
        <f ca="1">IFERROR(__xludf.DUMMYFUNCTION("""COMPUTED_VALUE"""),320.4)</f>
        <v>320.39999999999998</v>
      </c>
      <c r="F408" s="1">
        <f ca="1">IFERROR(__xludf.DUMMYFUNCTION("""COMPUTED_VALUE"""),20698864)</f>
        <v>20698864</v>
      </c>
    </row>
    <row r="409" spans="1:6" ht="12.6">
      <c r="A409" s="2">
        <f ca="1">IFERROR(__xludf.DUMMYFUNCTION("""COMPUTED_VALUE"""),45155.6666666666)</f>
        <v>45155.666666666599</v>
      </c>
      <c r="B409" s="1">
        <f ca="1">IFERROR(__xludf.DUMMYFUNCTION("""COMPUTED_VALUE"""),320.54)</f>
        <v>320.54000000000002</v>
      </c>
      <c r="C409" s="1">
        <f ca="1">IFERROR(__xludf.DUMMYFUNCTION("""COMPUTED_VALUE"""),321.87)</f>
        <v>321.87</v>
      </c>
      <c r="D409" s="1">
        <f ca="1">IFERROR(__xludf.DUMMYFUNCTION("""COMPUTED_VALUE"""),316.21)</f>
        <v>316.20999999999998</v>
      </c>
      <c r="E409" s="1">
        <f ca="1">IFERROR(__xludf.DUMMYFUNCTION("""COMPUTED_VALUE"""),316.88)</f>
        <v>316.88</v>
      </c>
      <c r="F409" s="1">
        <f ca="1">IFERROR(__xludf.DUMMYFUNCTION("""COMPUTED_VALUE"""),21257161)</f>
        <v>21257161</v>
      </c>
    </row>
    <row r="410" spans="1:6" ht="12.6">
      <c r="A410" s="2">
        <f ca="1">IFERROR(__xludf.DUMMYFUNCTION("""COMPUTED_VALUE"""),45156.6666666666)</f>
        <v>45156.666666666599</v>
      </c>
      <c r="B410" s="1">
        <f ca="1">IFERROR(__xludf.DUMMYFUNCTION("""COMPUTED_VALUE"""),314.49)</f>
        <v>314.49</v>
      </c>
      <c r="C410" s="1">
        <f ca="1">IFERROR(__xludf.DUMMYFUNCTION("""COMPUTED_VALUE"""),318.38)</f>
        <v>318.38</v>
      </c>
      <c r="D410" s="1">
        <f ca="1">IFERROR(__xludf.DUMMYFUNCTION("""COMPUTED_VALUE"""),311.55)</f>
        <v>311.55</v>
      </c>
      <c r="E410" s="1">
        <f ca="1">IFERROR(__xludf.DUMMYFUNCTION("""COMPUTED_VALUE"""),316.48)</f>
        <v>316.48</v>
      </c>
      <c r="F410" s="1">
        <f ca="1">IFERROR(__xludf.DUMMYFUNCTION("""COMPUTED_VALUE"""),24755012)</f>
        <v>24755012</v>
      </c>
    </row>
    <row r="411" spans="1:6" ht="12.6">
      <c r="A411" s="2">
        <f ca="1">IFERROR(__xludf.DUMMYFUNCTION("""COMPUTED_VALUE"""),45159.6666666666)</f>
        <v>45159.666666666599</v>
      </c>
      <c r="B411" s="1">
        <f ca="1">IFERROR(__xludf.DUMMYFUNCTION("""COMPUTED_VALUE"""),317.93)</f>
        <v>317.93</v>
      </c>
      <c r="C411" s="1">
        <f ca="1">IFERROR(__xludf.DUMMYFUNCTION("""COMPUTED_VALUE"""),322.77)</f>
        <v>322.77</v>
      </c>
      <c r="D411" s="1">
        <f ca="1">IFERROR(__xludf.DUMMYFUNCTION("""COMPUTED_VALUE"""),317.04)</f>
        <v>317.04000000000002</v>
      </c>
      <c r="E411" s="1">
        <f ca="1">IFERROR(__xludf.DUMMYFUNCTION("""COMPUTED_VALUE"""),321.88)</f>
        <v>321.88</v>
      </c>
      <c r="F411" s="1">
        <f ca="1">IFERROR(__xludf.DUMMYFUNCTION("""COMPUTED_VALUE"""),24039956)</f>
        <v>24039956</v>
      </c>
    </row>
    <row r="412" spans="1:6" ht="12.6">
      <c r="A412" s="2">
        <f ca="1">IFERROR(__xludf.DUMMYFUNCTION("""COMPUTED_VALUE"""),45160.6666666666)</f>
        <v>45160.666666666599</v>
      </c>
      <c r="B412" s="1">
        <f ca="1">IFERROR(__xludf.DUMMYFUNCTION("""COMPUTED_VALUE"""),325.5)</f>
        <v>325.5</v>
      </c>
      <c r="C412" s="1">
        <f ca="1">IFERROR(__xludf.DUMMYFUNCTION("""COMPUTED_VALUE"""),326.08)</f>
        <v>326.08</v>
      </c>
      <c r="D412" s="1">
        <f ca="1">IFERROR(__xludf.DUMMYFUNCTION("""COMPUTED_VALUE"""),321.46)</f>
        <v>321.45999999999998</v>
      </c>
      <c r="E412" s="1">
        <f ca="1">IFERROR(__xludf.DUMMYFUNCTION("""COMPUTED_VALUE"""),322.46)</f>
        <v>322.45999999999998</v>
      </c>
      <c r="F412" s="1">
        <f ca="1">IFERROR(__xludf.DUMMYFUNCTION("""COMPUTED_VALUE"""),16102024)</f>
        <v>16102024</v>
      </c>
    </row>
    <row r="413" spans="1:6" ht="12.6">
      <c r="A413" s="2">
        <f ca="1">IFERROR(__xludf.DUMMYFUNCTION("""COMPUTED_VALUE"""),45161.6666666666)</f>
        <v>45161.666666666599</v>
      </c>
      <c r="B413" s="1">
        <f ca="1">IFERROR(__xludf.DUMMYFUNCTION("""COMPUTED_VALUE"""),323.82)</f>
        <v>323.82</v>
      </c>
      <c r="C413" s="1">
        <f ca="1">IFERROR(__xludf.DUMMYFUNCTION("""COMPUTED_VALUE"""),329.2)</f>
        <v>329.2</v>
      </c>
      <c r="D413" s="1">
        <f ca="1">IFERROR(__xludf.DUMMYFUNCTION("""COMPUTED_VALUE"""),323.46)</f>
        <v>323.45999999999998</v>
      </c>
      <c r="E413" s="1">
        <f ca="1">IFERROR(__xludf.DUMMYFUNCTION("""COMPUTED_VALUE"""),327)</f>
        <v>327</v>
      </c>
      <c r="F413" s="1">
        <f ca="1">IFERROR(__xludf.DUMMYFUNCTION("""COMPUTED_VALUE"""),21166382)</f>
        <v>21166382</v>
      </c>
    </row>
    <row r="414" spans="1:6" ht="12.6">
      <c r="A414" s="2">
        <f ca="1">IFERROR(__xludf.DUMMYFUNCTION("""COMPUTED_VALUE"""),45162.6666666666)</f>
        <v>45162.666666666599</v>
      </c>
      <c r="B414" s="1">
        <f ca="1">IFERROR(__xludf.DUMMYFUNCTION("""COMPUTED_VALUE"""),332.85)</f>
        <v>332.85</v>
      </c>
      <c r="C414" s="1">
        <f ca="1">IFERROR(__xludf.DUMMYFUNCTION("""COMPUTED_VALUE"""),332.98)</f>
        <v>332.98</v>
      </c>
      <c r="D414" s="1">
        <f ca="1">IFERROR(__xludf.DUMMYFUNCTION("""COMPUTED_VALUE"""),319.96)</f>
        <v>319.95999999999998</v>
      </c>
      <c r="E414" s="1">
        <f ca="1">IFERROR(__xludf.DUMMYFUNCTION("""COMPUTED_VALUE"""),319.97)</f>
        <v>319.97000000000003</v>
      </c>
      <c r="F414" s="1">
        <f ca="1">IFERROR(__xludf.DUMMYFUNCTION("""COMPUTED_VALUE"""),23281434)</f>
        <v>23281434</v>
      </c>
    </row>
    <row r="415" spans="1:6" ht="12.6">
      <c r="A415" s="2">
        <f ca="1">IFERROR(__xludf.DUMMYFUNCTION("""COMPUTED_VALUE"""),45163.6666666666)</f>
        <v>45163.666666666599</v>
      </c>
      <c r="B415" s="1">
        <f ca="1">IFERROR(__xludf.DUMMYFUNCTION("""COMPUTED_VALUE"""),321.47)</f>
        <v>321.47000000000003</v>
      </c>
      <c r="C415" s="1">
        <f ca="1">IFERROR(__xludf.DUMMYFUNCTION("""COMPUTED_VALUE"""),325.36)</f>
        <v>325.36</v>
      </c>
      <c r="D415" s="1">
        <f ca="1">IFERROR(__xludf.DUMMYFUNCTION("""COMPUTED_VALUE"""),318.8)</f>
        <v>318.8</v>
      </c>
      <c r="E415" s="1">
        <f ca="1">IFERROR(__xludf.DUMMYFUNCTION("""COMPUTED_VALUE"""),322.98)</f>
        <v>322.98</v>
      </c>
      <c r="F415" s="1">
        <f ca="1">IFERROR(__xludf.DUMMYFUNCTION("""COMPUTED_VALUE"""),21684104)</f>
        <v>21684104</v>
      </c>
    </row>
    <row r="416" spans="1:6" ht="12.6">
      <c r="A416" s="2">
        <f ca="1">IFERROR(__xludf.DUMMYFUNCTION("""COMPUTED_VALUE"""),45166.6666666666)</f>
        <v>45166.666666666599</v>
      </c>
      <c r="B416" s="1">
        <f ca="1">IFERROR(__xludf.DUMMYFUNCTION("""COMPUTED_VALUE"""),325.66)</f>
        <v>325.66000000000003</v>
      </c>
      <c r="C416" s="1">
        <f ca="1">IFERROR(__xludf.DUMMYFUNCTION("""COMPUTED_VALUE"""),326.15)</f>
        <v>326.14999999999998</v>
      </c>
      <c r="D416" s="1">
        <f ca="1">IFERROR(__xludf.DUMMYFUNCTION("""COMPUTED_VALUE"""),321.72)</f>
        <v>321.72000000000003</v>
      </c>
      <c r="E416" s="1">
        <f ca="1">IFERROR(__xludf.DUMMYFUNCTION("""COMPUTED_VALUE"""),323.7)</f>
        <v>323.7</v>
      </c>
      <c r="F416" s="1">
        <f ca="1">IFERROR(__xludf.DUMMYFUNCTION("""COMPUTED_VALUE"""),14808482)</f>
        <v>14808482</v>
      </c>
    </row>
    <row r="417" spans="1:6" ht="12.6">
      <c r="A417" s="2">
        <f ca="1">IFERROR(__xludf.DUMMYFUNCTION("""COMPUTED_VALUE"""),45167.6666666666)</f>
        <v>45167.666666666599</v>
      </c>
      <c r="B417" s="1">
        <f ca="1">IFERROR(__xludf.DUMMYFUNCTION("""COMPUTED_VALUE"""),321.88)</f>
        <v>321.88</v>
      </c>
      <c r="C417" s="1">
        <f ca="1">IFERROR(__xludf.DUMMYFUNCTION("""COMPUTED_VALUE"""),328.98)</f>
        <v>328.98</v>
      </c>
      <c r="D417" s="1">
        <f ca="1">IFERROR(__xludf.DUMMYFUNCTION("""COMPUTED_VALUE"""),321.88)</f>
        <v>321.88</v>
      </c>
      <c r="E417" s="1">
        <f ca="1">IFERROR(__xludf.DUMMYFUNCTION("""COMPUTED_VALUE"""),328.41)</f>
        <v>328.41</v>
      </c>
      <c r="F417" s="1">
        <f ca="1">IFERROR(__xludf.DUMMYFUNCTION("""COMPUTED_VALUE"""),19284590)</f>
        <v>19284590</v>
      </c>
    </row>
    <row r="418" spans="1:6" ht="12.6">
      <c r="A418" s="2">
        <f ca="1">IFERROR(__xludf.DUMMYFUNCTION("""COMPUTED_VALUE"""),45168.6666666666)</f>
        <v>45168.666666666599</v>
      </c>
      <c r="B418" s="1">
        <f ca="1">IFERROR(__xludf.DUMMYFUNCTION("""COMPUTED_VALUE"""),328.67)</f>
        <v>328.67</v>
      </c>
      <c r="C418" s="1">
        <f ca="1">IFERROR(__xludf.DUMMYFUNCTION("""COMPUTED_VALUE"""),329.81)</f>
        <v>329.81</v>
      </c>
      <c r="D418" s="1">
        <f ca="1">IFERROR(__xludf.DUMMYFUNCTION("""COMPUTED_VALUE"""),326.45)</f>
        <v>326.45</v>
      </c>
      <c r="E418" s="1">
        <f ca="1">IFERROR(__xludf.DUMMYFUNCTION("""COMPUTED_VALUE"""),328.79)</f>
        <v>328.79</v>
      </c>
      <c r="F418" s="1">
        <f ca="1">IFERROR(__xludf.DUMMYFUNCTION("""COMPUTED_VALUE"""),15222110)</f>
        <v>15222110</v>
      </c>
    </row>
    <row r="419" spans="1:6" ht="12.6">
      <c r="A419" s="2">
        <f ca="1">IFERROR(__xludf.DUMMYFUNCTION("""COMPUTED_VALUE"""),45169.6666666666)</f>
        <v>45169.666666666599</v>
      </c>
      <c r="B419" s="1">
        <f ca="1">IFERROR(__xludf.DUMMYFUNCTION("""COMPUTED_VALUE"""),329.2)</f>
        <v>329.2</v>
      </c>
      <c r="C419" s="1">
        <f ca="1">IFERROR(__xludf.DUMMYFUNCTION("""COMPUTED_VALUE"""),330.91)</f>
        <v>330.91</v>
      </c>
      <c r="D419" s="1">
        <f ca="1">IFERROR(__xludf.DUMMYFUNCTION("""COMPUTED_VALUE"""),326.78)</f>
        <v>326.77999999999997</v>
      </c>
      <c r="E419" s="1">
        <f ca="1">IFERROR(__xludf.DUMMYFUNCTION("""COMPUTED_VALUE"""),327.76)</f>
        <v>327.76</v>
      </c>
      <c r="F419" s="1">
        <f ca="1">IFERROR(__xludf.DUMMYFUNCTION("""COMPUTED_VALUE"""),26410954)</f>
        <v>26410954</v>
      </c>
    </row>
    <row r="420" spans="1:6" ht="12.6">
      <c r="A420" s="2">
        <f ca="1">IFERROR(__xludf.DUMMYFUNCTION("""COMPUTED_VALUE"""),45170.6666666666)</f>
        <v>45170.666666666599</v>
      </c>
      <c r="B420" s="1">
        <f ca="1">IFERROR(__xludf.DUMMYFUNCTION("""COMPUTED_VALUE"""),331.31)</f>
        <v>331.31</v>
      </c>
      <c r="C420" s="1">
        <f ca="1">IFERROR(__xludf.DUMMYFUNCTION("""COMPUTED_VALUE"""),331.99)</f>
        <v>331.99</v>
      </c>
      <c r="D420" s="1">
        <f ca="1">IFERROR(__xludf.DUMMYFUNCTION("""COMPUTED_VALUE"""),326.78)</f>
        <v>326.77999999999997</v>
      </c>
      <c r="E420" s="1">
        <f ca="1">IFERROR(__xludf.DUMMYFUNCTION("""COMPUTED_VALUE"""),328.66)</f>
        <v>328.66</v>
      </c>
      <c r="F420" s="1">
        <f ca="1">IFERROR(__xludf.DUMMYFUNCTION("""COMPUTED_VALUE"""),14942024)</f>
        <v>14942024</v>
      </c>
    </row>
    <row r="421" spans="1:6" ht="12.6">
      <c r="A421" s="2">
        <f ca="1">IFERROR(__xludf.DUMMYFUNCTION("""COMPUTED_VALUE"""),45174.6666666666)</f>
        <v>45174.666666666599</v>
      </c>
      <c r="B421" s="1">
        <f ca="1">IFERROR(__xludf.DUMMYFUNCTION("""COMPUTED_VALUE"""),329)</f>
        <v>329</v>
      </c>
      <c r="C421" s="1">
        <f ca="1">IFERROR(__xludf.DUMMYFUNCTION("""COMPUTED_VALUE"""),334.85)</f>
        <v>334.85</v>
      </c>
      <c r="D421" s="1">
        <f ca="1">IFERROR(__xludf.DUMMYFUNCTION("""COMPUTED_VALUE"""),328.66)</f>
        <v>328.66</v>
      </c>
      <c r="E421" s="1">
        <f ca="1">IFERROR(__xludf.DUMMYFUNCTION("""COMPUTED_VALUE"""),333.55)</f>
        <v>333.55</v>
      </c>
      <c r="F421" s="1">
        <f ca="1">IFERROR(__xludf.DUMMYFUNCTION("""COMPUTED_VALUE"""),18553859)</f>
        <v>18553859</v>
      </c>
    </row>
    <row r="422" spans="1:6" ht="12.6">
      <c r="A422" s="2">
        <f ca="1">IFERROR(__xludf.DUMMYFUNCTION("""COMPUTED_VALUE"""),45175.6666666666)</f>
        <v>45175.666666666599</v>
      </c>
      <c r="B422" s="1">
        <f ca="1">IFERROR(__xludf.DUMMYFUNCTION("""COMPUTED_VALUE"""),333.38)</f>
        <v>333.38</v>
      </c>
      <c r="C422" s="1">
        <f ca="1">IFERROR(__xludf.DUMMYFUNCTION("""COMPUTED_VALUE"""),334.46)</f>
        <v>334.46</v>
      </c>
      <c r="D422" s="1">
        <f ca="1">IFERROR(__xludf.DUMMYFUNCTION("""COMPUTED_VALUE"""),330.18)</f>
        <v>330.18</v>
      </c>
      <c r="E422" s="1">
        <f ca="1">IFERROR(__xludf.DUMMYFUNCTION("""COMPUTED_VALUE"""),332.88)</f>
        <v>332.88</v>
      </c>
      <c r="F422" s="1">
        <f ca="1">IFERROR(__xludf.DUMMYFUNCTION("""COMPUTED_VALUE"""),17535773)</f>
        <v>17535773</v>
      </c>
    </row>
    <row r="423" spans="1:6" ht="12.6">
      <c r="A423" s="2">
        <f ca="1">IFERROR(__xludf.DUMMYFUNCTION("""COMPUTED_VALUE"""),45176.6666666666)</f>
        <v>45176.666666666599</v>
      </c>
      <c r="B423" s="1">
        <f ca="1">IFERROR(__xludf.DUMMYFUNCTION("""COMPUTED_VALUE"""),331.29)</f>
        <v>331.29</v>
      </c>
      <c r="C423" s="1">
        <f ca="1">IFERROR(__xludf.DUMMYFUNCTION("""COMPUTED_VALUE"""),333.08)</f>
        <v>333.08</v>
      </c>
      <c r="D423" s="1">
        <f ca="1">IFERROR(__xludf.DUMMYFUNCTION("""COMPUTED_VALUE"""),329.03)</f>
        <v>329.03</v>
      </c>
      <c r="E423" s="1">
        <f ca="1">IFERROR(__xludf.DUMMYFUNCTION("""COMPUTED_VALUE"""),329.91)</f>
        <v>329.91</v>
      </c>
      <c r="F423" s="1">
        <f ca="1">IFERROR(__xludf.DUMMYFUNCTION("""COMPUTED_VALUE"""),18380995)</f>
        <v>18380995</v>
      </c>
    </row>
    <row r="424" spans="1:6" ht="12.6">
      <c r="A424" s="2">
        <f ca="1">IFERROR(__xludf.DUMMYFUNCTION("""COMPUTED_VALUE"""),45177.6666666666)</f>
        <v>45177.666666666599</v>
      </c>
      <c r="B424" s="1">
        <f ca="1">IFERROR(__xludf.DUMMYFUNCTION("""COMPUTED_VALUE"""),330.09)</f>
        <v>330.09</v>
      </c>
      <c r="C424" s="1">
        <f ca="1">IFERROR(__xludf.DUMMYFUNCTION("""COMPUTED_VALUE"""),336.16)</f>
        <v>336.16</v>
      </c>
      <c r="D424" s="1">
        <f ca="1">IFERROR(__xludf.DUMMYFUNCTION("""COMPUTED_VALUE"""),329.46)</f>
        <v>329.46</v>
      </c>
      <c r="E424" s="1">
        <f ca="1">IFERROR(__xludf.DUMMYFUNCTION("""COMPUTED_VALUE"""),334.27)</f>
        <v>334.27</v>
      </c>
      <c r="F424" s="1">
        <f ca="1">IFERROR(__xludf.DUMMYFUNCTION("""COMPUTED_VALUE"""),19548165)</f>
        <v>19548165</v>
      </c>
    </row>
    <row r="425" spans="1:6" ht="12.6">
      <c r="A425" s="2">
        <f ca="1">IFERROR(__xludf.DUMMYFUNCTION("""COMPUTED_VALUE"""),45180.6666666666)</f>
        <v>45180.666666666599</v>
      </c>
      <c r="B425" s="1">
        <f ca="1">IFERROR(__xludf.DUMMYFUNCTION("""COMPUTED_VALUE"""),337.24)</f>
        <v>337.24</v>
      </c>
      <c r="C425" s="1">
        <f ca="1">IFERROR(__xludf.DUMMYFUNCTION("""COMPUTED_VALUE"""),338.42)</f>
        <v>338.42</v>
      </c>
      <c r="D425" s="1">
        <f ca="1">IFERROR(__xludf.DUMMYFUNCTION("""COMPUTED_VALUE"""),335.43)</f>
        <v>335.43</v>
      </c>
      <c r="E425" s="1">
        <f ca="1">IFERROR(__xludf.DUMMYFUNCTION("""COMPUTED_VALUE"""),337.94)</f>
        <v>337.94</v>
      </c>
      <c r="F425" s="1">
        <f ca="1">IFERROR(__xludf.DUMMYFUNCTION("""COMPUTED_VALUE"""),16583324)</f>
        <v>16583324</v>
      </c>
    </row>
    <row r="426" spans="1:6" ht="12.6">
      <c r="A426" s="2">
        <f ca="1">IFERROR(__xludf.DUMMYFUNCTION("""COMPUTED_VALUE"""),45181.6666666666)</f>
        <v>45181.666666666599</v>
      </c>
      <c r="B426" s="1">
        <f ca="1">IFERROR(__xludf.DUMMYFUNCTION("""COMPUTED_VALUE"""),335.82)</f>
        <v>335.82</v>
      </c>
      <c r="C426" s="1">
        <f ca="1">IFERROR(__xludf.DUMMYFUNCTION("""COMPUTED_VALUE"""),336.79)</f>
        <v>336.79</v>
      </c>
      <c r="D426" s="1">
        <f ca="1">IFERROR(__xludf.DUMMYFUNCTION("""COMPUTED_VALUE"""),331.48)</f>
        <v>331.48</v>
      </c>
      <c r="E426" s="1">
        <f ca="1">IFERROR(__xludf.DUMMYFUNCTION("""COMPUTED_VALUE"""),331.77)</f>
        <v>331.77</v>
      </c>
      <c r="F426" s="1">
        <f ca="1">IFERROR(__xludf.DUMMYFUNCTION("""COMPUTED_VALUE"""),17565482)</f>
        <v>17565482</v>
      </c>
    </row>
    <row r="427" spans="1:6" ht="12.6">
      <c r="A427" s="2">
        <f ca="1">IFERROR(__xludf.DUMMYFUNCTION("""COMPUTED_VALUE"""),45182.6666666666)</f>
        <v>45182.666666666599</v>
      </c>
      <c r="B427" s="1">
        <f ca="1">IFERROR(__xludf.DUMMYFUNCTION("""COMPUTED_VALUE"""),331.31)</f>
        <v>331.31</v>
      </c>
      <c r="C427" s="1">
        <f ca="1">IFERROR(__xludf.DUMMYFUNCTION("""COMPUTED_VALUE"""),336.85)</f>
        <v>336.85</v>
      </c>
      <c r="D427" s="1">
        <f ca="1">IFERROR(__xludf.DUMMYFUNCTION("""COMPUTED_VALUE"""),331.17)</f>
        <v>331.17</v>
      </c>
      <c r="E427" s="1">
        <f ca="1">IFERROR(__xludf.DUMMYFUNCTION("""COMPUTED_VALUE"""),336.06)</f>
        <v>336.06</v>
      </c>
      <c r="F427" s="1">
        <f ca="1">IFERROR(__xludf.DUMMYFUNCTION("""COMPUTED_VALUE"""),16544412)</f>
        <v>16544412</v>
      </c>
    </row>
    <row r="428" spans="1:6" ht="12.6">
      <c r="A428" s="2">
        <f ca="1">IFERROR(__xludf.DUMMYFUNCTION("""COMPUTED_VALUE"""),45183.6666666666)</f>
        <v>45183.666666666599</v>
      </c>
      <c r="B428" s="1">
        <f ca="1">IFERROR(__xludf.DUMMYFUNCTION("""COMPUTED_VALUE"""),339.15)</f>
        <v>339.15</v>
      </c>
      <c r="C428" s="1">
        <f ca="1">IFERROR(__xludf.DUMMYFUNCTION("""COMPUTED_VALUE"""),340.86)</f>
        <v>340.86</v>
      </c>
      <c r="D428" s="1">
        <f ca="1">IFERROR(__xludf.DUMMYFUNCTION("""COMPUTED_VALUE"""),336.57)</f>
        <v>336.57</v>
      </c>
      <c r="E428" s="1">
        <f ca="1">IFERROR(__xludf.DUMMYFUNCTION("""COMPUTED_VALUE"""),338.7)</f>
        <v>338.7</v>
      </c>
      <c r="F428" s="1">
        <f ca="1">IFERROR(__xludf.DUMMYFUNCTION("""COMPUTED_VALUE"""),20267048)</f>
        <v>20267048</v>
      </c>
    </row>
    <row r="429" spans="1:6" ht="12.6">
      <c r="A429" s="2">
        <f ca="1">IFERROR(__xludf.DUMMYFUNCTION("""COMPUTED_VALUE"""),45184.6666666666)</f>
        <v>45184.666666666599</v>
      </c>
      <c r="B429" s="1">
        <f ca="1">IFERROR(__xludf.DUMMYFUNCTION("""COMPUTED_VALUE"""),336.92)</f>
        <v>336.92</v>
      </c>
      <c r="C429" s="1">
        <f ca="1">IFERROR(__xludf.DUMMYFUNCTION("""COMPUTED_VALUE"""),337.4)</f>
        <v>337.4</v>
      </c>
      <c r="D429" s="1">
        <f ca="1">IFERROR(__xludf.DUMMYFUNCTION("""COMPUTED_VALUE"""),329.65)</f>
        <v>329.65</v>
      </c>
      <c r="E429" s="1">
        <f ca="1">IFERROR(__xludf.DUMMYFUNCTION("""COMPUTED_VALUE"""),330.22)</f>
        <v>330.22</v>
      </c>
      <c r="F429" s="1">
        <f ca="1">IFERROR(__xludf.DUMMYFUNCTION("""COMPUTED_VALUE"""),37679792)</f>
        <v>37679792</v>
      </c>
    </row>
    <row r="430" spans="1:6" ht="12.6">
      <c r="A430" s="2">
        <f ca="1">IFERROR(__xludf.DUMMYFUNCTION("""COMPUTED_VALUE"""),45187.6666666666)</f>
        <v>45187.666666666599</v>
      </c>
      <c r="B430" s="1">
        <f ca="1">IFERROR(__xludf.DUMMYFUNCTION("""COMPUTED_VALUE"""),327.8)</f>
        <v>327.8</v>
      </c>
      <c r="C430" s="1">
        <f ca="1">IFERROR(__xludf.DUMMYFUNCTION("""COMPUTED_VALUE"""),330.4)</f>
        <v>330.4</v>
      </c>
      <c r="D430" s="1">
        <f ca="1">IFERROR(__xludf.DUMMYFUNCTION("""COMPUTED_VALUE"""),326.36)</f>
        <v>326.36</v>
      </c>
      <c r="E430" s="1">
        <f ca="1">IFERROR(__xludf.DUMMYFUNCTION("""COMPUTED_VALUE"""),329.06)</f>
        <v>329.06</v>
      </c>
      <c r="F430" s="1">
        <f ca="1">IFERROR(__xludf.DUMMYFUNCTION("""COMPUTED_VALUE"""),16834208)</f>
        <v>16834208</v>
      </c>
    </row>
    <row r="431" spans="1:6" ht="12.6">
      <c r="A431" s="2">
        <f ca="1">IFERROR(__xludf.DUMMYFUNCTION("""COMPUTED_VALUE"""),45188.6666666666)</f>
        <v>45188.666666666599</v>
      </c>
      <c r="B431" s="1">
        <f ca="1">IFERROR(__xludf.DUMMYFUNCTION("""COMPUTED_VALUE"""),326.17)</f>
        <v>326.17</v>
      </c>
      <c r="C431" s="1">
        <f ca="1">IFERROR(__xludf.DUMMYFUNCTION("""COMPUTED_VALUE"""),329.39)</f>
        <v>329.39</v>
      </c>
      <c r="D431" s="1">
        <f ca="1">IFERROR(__xludf.DUMMYFUNCTION("""COMPUTED_VALUE"""),324.51)</f>
        <v>324.51</v>
      </c>
      <c r="E431" s="1">
        <f ca="1">IFERROR(__xludf.DUMMYFUNCTION("""COMPUTED_VALUE"""),328.65)</f>
        <v>328.65</v>
      </c>
      <c r="F431" s="1">
        <f ca="1">IFERROR(__xludf.DUMMYFUNCTION("""COMPUTED_VALUE"""),16514487)</f>
        <v>16514487</v>
      </c>
    </row>
    <row r="432" spans="1:6" ht="12.6">
      <c r="A432" s="2">
        <f ca="1">IFERROR(__xludf.DUMMYFUNCTION("""COMPUTED_VALUE"""),45189.6666666666)</f>
        <v>45189.666666666599</v>
      </c>
      <c r="B432" s="1">
        <f ca="1">IFERROR(__xludf.DUMMYFUNCTION("""COMPUTED_VALUE"""),329.51)</f>
        <v>329.51</v>
      </c>
      <c r="C432" s="1">
        <f ca="1">IFERROR(__xludf.DUMMYFUNCTION("""COMPUTED_VALUE"""),329.59)</f>
        <v>329.59</v>
      </c>
      <c r="D432" s="1">
        <f ca="1">IFERROR(__xludf.DUMMYFUNCTION("""COMPUTED_VALUE"""),320.51)</f>
        <v>320.51</v>
      </c>
      <c r="E432" s="1">
        <f ca="1">IFERROR(__xludf.DUMMYFUNCTION("""COMPUTED_VALUE"""),320.77)</f>
        <v>320.77</v>
      </c>
      <c r="F432" s="1">
        <f ca="1">IFERROR(__xludf.DUMMYFUNCTION("""COMPUTED_VALUE"""),21436525)</f>
        <v>21436525</v>
      </c>
    </row>
    <row r="433" spans="1:6" ht="12.6">
      <c r="A433" s="2">
        <f ca="1">IFERROR(__xludf.DUMMYFUNCTION("""COMPUTED_VALUE"""),45190.6666666666)</f>
        <v>45190.666666666599</v>
      </c>
      <c r="B433" s="1">
        <f ca="1">IFERROR(__xludf.DUMMYFUNCTION("""COMPUTED_VALUE"""),319.26)</f>
        <v>319.26</v>
      </c>
      <c r="C433" s="1">
        <f ca="1">IFERROR(__xludf.DUMMYFUNCTION("""COMPUTED_VALUE"""),325.35)</f>
        <v>325.35000000000002</v>
      </c>
      <c r="D433" s="1">
        <f ca="1">IFERROR(__xludf.DUMMYFUNCTION("""COMPUTED_VALUE"""),315)</f>
        <v>315</v>
      </c>
      <c r="E433" s="1">
        <f ca="1">IFERROR(__xludf.DUMMYFUNCTION("""COMPUTED_VALUE"""),319.53)</f>
        <v>319.52999999999997</v>
      </c>
      <c r="F433" s="1">
        <f ca="1">IFERROR(__xludf.DUMMYFUNCTION("""COMPUTED_VALUE"""),35560362)</f>
        <v>35560362</v>
      </c>
    </row>
    <row r="434" spans="1:6" ht="12.6">
      <c r="A434" s="2">
        <f ca="1">IFERROR(__xludf.DUMMYFUNCTION("""COMPUTED_VALUE"""),45191.6666666666)</f>
        <v>45191.666666666599</v>
      </c>
      <c r="B434" s="1">
        <f ca="1">IFERROR(__xludf.DUMMYFUNCTION("""COMPUTED_VALUE"""),321.32)</f>
        <v>321.32</v>
      </c>
      <c r="C434" s="1">
        <f ca="1">IFERROR(__xludf.DUMMYFUNCTION("""COMPUTED_VALUE"""),321.45)</f>
        <v>321.45</v>
      </c>
      <c r="D434" s="1">
        <f ca="1">IFERROR(__xludf.DUMMYFUNCTION("""COMPUTED_VALUE"""),316.15)</f>
        <v>316.14999999999998</v>
      </c>
      <c r="E434" s="1">
        <f ca="1">IFERROR(__xludf.DUMMYFUNCTION("""COMPUTED_VALUE"""),317.01)</f>
        <v>317.01</v>
      </c>
      <c r="F434" s="1">
        <f ca="1">IFERROR(__xludf.DUMMYFUNCTION("""COMPUTED_VALUE"""),21447887)</f>
        <v>21447887</v>
      </c>
    </row>
    <row r="435" spans="1:6" ht="12.6">
      <c r="A435" s="2">
        <f ca="1">IFERROR(__xludf.DUMMYFUNCTION("""COMPUTED_VALUE"""),45194.6666666666)</f>
        <v>45194.666666666599</v>
      </c>
      <c r="B435" s="1">
        <f ca="1">IFERROR(__xludf.DUMMYFUNCTION("""COMPUTED_VALUE"""),316.59)</f>
        <v>316.58999999999997</v>
      </c>
      <c r="C435" s="1">
        <f ca="1">IFERROR(__xludf.DUMMYFUNCTION("""COMPUTED_VALUE"""),317.67)</f>
        <v>317.67</v>
      </c>
      <c r="D435" s="1">
        <f ca="1">IFERROR(__xludf.DUMMYFUNCTION("""COMPUTED_VALUE"""),315)</f>
        <v>315</v>
      </c>
      <c r="E435" s="1">
        <f ca="1">IFERROR(__xludf.DUMMYFUNCTION("""COMPUTED_VALUE"""),317.54)</f>
        <v>317.54000000000002</v>
      </c>
      <c r="F435" s="1">
        <f ca="1">IFERROR(__xludf.DUMMYFUNCTION("""COMPUTED_VALUE"""),17835964)</f>
        <v>17835964</v>
      </c>
    </row>
    <row r="436" spans="1:6" ht="12.6">
      <c r="A436" s="2">
        <f ca="1">IFERROR(__xludf.DUMMYFUNCTION("""COMPUTED_VALUE"""),45195.6666666666)</f>
        <v>45195.666666666599</v>
      </c>
      <c r="B436" s="1">
        <f ca="1">IFERROR(__xludf.DUMMYFUNCTION("""COMPUTED_VALUE"""),315.13)</f>
        <v>315.13</v>
      </c>
      <c r="C436" s="1">
        <f ca="1">IFERROR(__xludf.DUMMYFUNCTION("""COMPUTED_VALUE"""),315.88)</f>
        <v>315.88</v>
      </c>
      <c r="D436" s="1">
        <f ca="1">IFERROR(__xludf.DUMMYFUNCTION("""COMPUTED_VALUE"""),310.02)</f>
        <v>310.02</v>
      </c>
      <c r="E436" s="1">
        <f ca="1">IFERROR(__xludf.DUMMYFUNCTION("""COMPUTED_VALUE"""),312.14)</f>
        <v>312.14</v>
      </c>
      <c r="F436" s="1">
        <f ca="1">IFERROR(__xludf.DUMMYFUNCTION("""COMPUTED_VALUE"""),26297573)</f>
        <v>26297573</v>
      </c>
    </row>
    <row r="437" spans="1:6" ht="12.6">
      <c r="A437" s="2">
        <f ca="1">IFERROR(__xludf.DUMMYFUNCTION("""COMPUTED_VALUE"""),45196.6666666666)</f>
        <v>45196.666666666599</v>
      </c>
      <c r="B437" s="1">
        <f ca="1">IFERROR(__xludf.DUMMYFUNCTION("""COMPUTED_VALUE"""),312.3)</f>
        <v>312.3</v>
      </c>
      <c r="C437" s="1">
        <f ca="1">IFERROR(__xludf.DUMMYFUNCTION("""COMPUTED_VALUE"""),314.3)</f>
        <v>314.3</v>
      </c>
      <c r="D437" s="1">
        <f ca="1">IFERROR(__xludf.DUMMYFUNCTION("""COMPUTED_VALUE"""),309.69)</f>
        <v>309.69</v>
      </c>
      <c r="E437" s="1">
        <f ca="1">IFERROR(__xludf.DUMMYFUNCTION("""COMPUTED_VALUE"""),312.79)</f>
        <v>312.79000000000002</v>
      </c>
      <c r="F437" s="1">
        <f ca="1">IFERROR(__xludf.DUMMYFUNCTION("""COMPUTED_VALUE"""),19410082)</f>
        <v>19410082</v>
      </c>
    </row>
    <row r="438" spans="1:6" ht="12.6">
      <c r="A438" s="2">
        <f ca="1">IFERROR(__xludf.DUMMYFUNCTION("""COMPUTED_VALUE"""),45197.6666666666)</f>
        <v>45197.666666666599</v>
      </c>
      <c r="B438" s="1">
        <f ca="1">IFERROR(__xludf.DUMMYFUNCTION("""COMPUTED_VALUE"""),310.99)</f>
        <v>310.99</v>
      </c>
      <c r="C438" s="1">
        <f ca="1">IFERROR(__xludf.DUMMYFUNCTION("""COMPUTED_VALUE"""),315.48)</f>
        <v>315.48</v>
      </c>
      <c r="D438" s="1">
        <f ca="1">IFERROR(__xludf.DUMMYFUNCTION("""COMPUTED_VALUE"""),309.45)</f>
        <v>309.45</v>
      </c>
      <c r="E438" s="1">
        <f ca="1">IFERROR(__xludf.DUMMYFUNCTION("""COMPUTED_VALUE"""),313.64)</f>
        <v>313.64</v>
      </c>
      <c r="F438" s="1">
        <f ca="1">IFERROR(__xludf.DUMMYFUNCTION("""COMPUTED_VALUE"""),19683564)</f>
        <v>19683564</v>
      </c>
    </row>
    <row r="439" spans="1:6" ht="12.6">
      <c r="A439" s="2">
        <f ca="1">IFERROR(__xludf.DUMMYFUNCTION("""COMPUTED_VALUE"""),45198.6666666666)</f>
        <v>45198.666666666599</v>
      </c>
      <c r="B439" s="1">
        <f ca="1">IFERROR(__xludf.DUMMYFUNCTION("""COMPUTED_VALUE"""),317.75)</f>
        <v>317.75</v>
      </c>
      <c r="C439" s="1">
        <f ca="1">IFERROR(__xludf.DUMMYFUNCTION("""COMPUTED_VALUE"""),319.47)</f>
        <v>319.47000000000003</v>
      </c>
      <c r="D439" s="1">
        <f ca="1">IFERROR(__xludf.DUMMYFUNCTION("""COMPUTED_VALUE"""),314.98)</f>
        <v>314.98</v>
      </c>
      <c r="E439" s="1">
        <f ca="1">IFERROR(__xludf.DUMMYFUNCTION("""COMPUTED_VALUE"""),315.75)</f>
        <v>315.75</v>
      </c>
      <c r="F439" s="1">
        <f ca="1">IFERROR(__xludf.DUMMYFUNCTION("""COMPUTED_VALUE"""),24147298)</f>
        <v>24147298</v>
      </c>
    </row>
    <row r="440" spans="1:6" ht="12.6">
      <c r="A440" s="2">
        <f ca="1">IFERROR(__xludf.DUMMYFUNCTION("""COMPUTED_VALUE"""),45201.6666666666)</f>
        <v>45201.666666666599</v>
      </c>
      <c r="B440" s="1">
        <f ca="1">IFERROR(__xludf.DUMMYFUNCTION("""COMPUTED_VALUE"""),316.28)</f>
        <v>316.27999999999997</v>
      </c>
      <c r="C440" s="1">
        <f ca="1">IFERROR(__xludf.DUMMYFUNCTION("""COMPUTED_VALUE"""),321.89)</f>
        <v>321.89</v>
      </c>
      <c r="D440" s="1">
        <f ca="1">IFERROR(__xludf.DUMMYFUNCTION("""COMPUTED_VALUE"""),315.18)</f>
        <v>315.18</v>
      </c>
      <c r="E440" s="1">
        <f ca="1">IFERROR(__xludf.DUMMYFUNCTION("""COMPUTED_VALUE"""),321.8)</f>
        <v>321.8</v>
      </c>
      <c r="F440" s="1">
        <f ca="1">IFERROR(__xludf.DUMMYFUNCTION("""COMPUTED_VALUE"""),20570006)</f>
        <v>20570006</v>
      </c>
    </row>
    <row r="441" spans="1:6" ht="12.6">
      <c r="A441" s="2">
        <f ca="1">IFERROR(__xludf.DUMMYFUNCTION("""COMPUTED_VALUE"""),45202.6666666666)</f>
        <v>45202.666666666599</v>
      </c>
      <c r="B441" s="1">
        <f ca="1">IFERROR(__xludf.DUMMYFUNCTION("""COMPUTED_VALUE"""),320.83)</f>
        <v>320.83</v>
      </c>
      <c r="C441" s="1">
        <f ca="1">IFERROR(__xludf.DUMMYFUNCTION("""COMPUTED_VALUE"""),321.39)</f>
        <v>321.39</v>
      </c>
      <c r="D441" s="1">
        <f ca="1">IFERROR(__xludf.DUMMYFUNCTION("""COMPUTED_VALUE"""),311.21)</f>
        <v>311.20999999999998</v>
      </c>
      <c r="E441" s="1">
        <f ca="1">IFERROR(__xludf.DUMMYFUNCTION("""COMPUTED_VALUE"""),313.39)</f>
        <v>313.39</v>
      </c>
      <c r="F441" s="1">
        <f ca="1">IFERROR(__xludf.DUMMYFUNCTION("""COMPUTED_VALUE"""),21033492)</f>
        <v>21033492</v>
      </c>
    </row>
    <row r="442" spans="1:6" ht="12.6">
      <c r="A442" s="2">
        <f ca="1">IFERROR(__xludf.DUMMYFUNCTION("""COMPUTED_VALUE"""),45203.6666666666)</f>
        <v>45203.666666666599</v>
      </c>
      <c r="B442" s="1">
        <f ca="1">IFERROR(__xludf.DUMMYFUNCTION("""COMPUTED_VALUE"""),314.03)</f>
        <v>314.02999999999997</v>
      </c>
      <c r="C442" s="1">
        <f ca="1">IFERROR(__xludf.DUMMYFUNCTION("""COMPUTED_VALUE"""),320.04)</f>
        <v>320.04000000000002</v>
      </c>
      <c r="D442" s="1">
        <f ca="1">IFERROR(__xludf.DUMMYFUNCTION("""COMPUTED_VALUE"""),314)</f>
        <v>314</v>
      </c>
      <c r="E442" s="1">
        <f ca="1">IFERROR(__xludf.DUMMYFUNCTION("""COMPUTED_VALUE"""),318.96)</f>
        <v>318.95999999999998</v>
      </c>
      <c r="F442" s="1">
        <f ca="1">IFERROR(__xludf.DUMMYFUNCTION("""COMPUTED_VALUE"""),20720144)</f>
        <v>20720144</v>
      </c>
    </row>
    <row r="443" spans="1:6" ht="12.6">
      <c r="A443" s="2">
        <f ca="1">IFERROR(__xludf.DUMMYFUNCTION("""COMPUTED_VALUE"""),45204.6666666666)</f>
        <v>45204.666666666599</v>
      </c>
      <c r="B443" s="1">
        <f ca="1">IFERROR(__xludf.DUMMYFUNCTION("""COMPUTED_VALUE"""),319.09)</f>
        <v>319.08999999999997</v>
      </c>
      <c r="C443" s="1">
        <f ca="1">IFERROR(__xludf.DUMMYFUNCTION("""COMPUTED_VALUE"""),319.98)</f>
        <v>319.98</v>
      </c>
      <c r="D443" s="1">
        <f ca="1">IFERROR(__xludf.DUMMYFUNCTION("""COMPUTED_VALUE"""),314.9)</f>
        <v>314.89999999999998</v>
      </c>
      <c r="E443" s="1">
        <f ca="1">IFERROR(__xludf.DUMMYFUNCTION("""COMPUTED_VALUE"""),319.36)</f>
        <v>319.36</v>
      </c>
      <c r="F443" s="1">
        <f ca="1">IFERROR(__xludf.DUMMYFUNCTION("""COMPUTED_VALUE"""),16965629)</f>
        <v>16965629</v>
      </c>
    </row>
    <row r="444" spans="1:6" ht="12.6">
      <c r="A444" s="2">
        <f ca="1">IFERROR(__xludf.DUMMYFUNCTION("""COMPUTED_VALUE"""),45205.6666666666)</f>
        <v>45205.666666666599</v>
      </c>
      <c r="B444" s="1">
        <f ca="1">IFERROR(__xludf.DUMMYFUNCTION("""COMPUTED_VALUE"""),316.55)</f>
        <v>316.55</v>
      </c>
      <c r="C444" s="1">
        <f ca="1">IFERROR(__xludf.DUMMYFUNCTION("""COMPUTED_VALUE"""),329.19)</f>
        <v>329.19</v>
      </c>
      <c r="D444" s="1">
        <f ca="1">IFERROR(__xludf.DUMMYFUNCTION("""COMPUTED_VALUE"""),316.3)</f>
        <v>316.3</v>
      </c>
      <c r="E444" s="1">
        <f ca="1">IFERROR(__xludf.DUMMYFUNCTION("""COMPUTED_VALUE"""),327.26)</f>
        <v>327.26</v>
      </c>
      <c r="F444" s="1">
        <f ca="1">IFERROR(__xludf.DUMMYFUNCTION("""COMPUTED_VALUE"""),25673630)</f>
        <v>25673630</v>
      </c>
    </row>
    <row r="445" spans="1:6" ht="12.6">
      <c r="A445" s="2">
        <f ca="1">IFERROR(__xludf.DUMMYFUNCTION("""COMPUTED_VALUE"""),45208.6666666666)</f>
        <v>45208.666666666599</v>
      </c>
      <c r="B445" s="1">
        <f ca="1">IFERROR(__xludf.DUMMYFUNCTION("""COMPUTED_VALUE"""),324.75)</f>
        <v>324.75</v>
      </c>
      <c r="C445" s="1">
        <f ca="1">IFERROR(__xludf.DUMMYFUNCTION("""COMPUTED_VALUE"""),330.3)</f>
        <v>330.3</v>
      </c>
      <c r="D445" s="1">
        <f ca="1">IFERROR(__xludf.DUMMYFUNCTION("""COMPUTED_VALUE"""),323.18)</f>
        <v>323.18</v>
      </c>
      <c r="E445" s="1">
        <f ca="1">IFERROR(__xludf.DUMMYFUNCTION("""COMPUTED_VALUE"""),329.82)</f>
        <v>329.82</v>
      </c>
      <c r="F445" s="1">
        <f ca="1">IFERROR(__xludf.DUMMYFUNCTION("""COMPUTED_VALUE"""),19891180)</f>
        <v>19891180</v>
      </c>
    </row>
    <row r="446" spans="1:6" ht="12.6">
      <c r="A446" s="2">
        <f ca="1">IFERROR(__xludf.DUMMYFUNCTION("""COMPUTED_VALUE"""),45209.6666666666)</f>
        <v>45209.666666666599</v>
      </c>
      <c r="B446" s="1">
        <f ca="1">IFERROR(__xludf.DUMMYFUNCTION("""COMPUTED_VALUE"""),330.96)</f>
        <v>330.96</v>
      </c>
      <c r="C446" s="1">
        <f ca="1">IFERROR(__xludf.DUMMYFUNCTION("""COMPUTED_VALUE"""),331.1)</f>
        <v>331.1</v>
      </c>
      <c r="D446" s="1">
        <f ca="1">IFERROR(__xludf.DUMMYFUNCTION("""COMPUTED_VALUE"""),327.67)</f>
        <v>327.67</v>
      </c>
      <c r="E446" s="1">
        <f ca="1">IFERROR(__xludf.DUMMYFUNCTION("""COMPUTED_VALUE"""),328.39)</f>
        <v>328.39</v>
      </c>
      <c r="F446" s="1">
        <f ca="1">IFERROR(__xludf.DUMMYFUNCTION("""COMPUTED_VALUE"""),20557094)</f>
        <v>20557094</v>
      </c>
    </row>
    <row r="447" spans="1:6" ht="12.6">
      <c r="A447" s="2">
        <f ca="1">IFERROR(__xludf.DUMMYFUNCTION("""COMPUTED_VALUE"""),45210.6666666666)</f>
        <v>45210.666666666599</v>
      </c>
      <c r="B447" s="1">
        <f ca="1">IFERROR(__xludf.DUMMYFUNCTION("""COMPUTED_VALUE"""),331.21)</f>
        <v>331.21</v>
      </c>
      <c r="C447" s="1">
        <f ca="1">IFERROR(__xludf.DUMMYFUNCTION("""COMPUTED_VALUE"""),332.82)</f>
        <v>332.82</v>
      </c>
      <c r="D447" s="1">
        <f ca="1">IFERROR(__xludf.DUMMYFUNCTION("""COMPUTED_VALUE"""),329.14)</f>
        <v>329.14</v>
      </c>
      <c r="E447" s="1">
        <f ca="1">IFERROR(__xludf.DUMMYFUNCTION("""COMPUTED_VALUE"""),332.42)</f>
        <v>332.42</v>
      </c>
      <c r="F447" s="1">
        <f ca="1">IFERROR(__xludf.DUMMYFUNCTION("""COMPUTED_VALUE"""),20063246)</f>
        <v>20063246</v>
      </c>
    </row>
    <row r="448" spans="1:6" ht="12.6">
      <c r="A448" s="2">
        <f ca="1">IFERROR(__xludf.DUMMYFUNCTION("""COMPUTED_VALUE"""),45211.6666666666)</f>
        <v>45211.666666666599</v>
      </c>
      <c r="B448" s="1">
        <f ca="1">IFERROR(__xludf.DUMMYFUNCTION("""COMPUTED_VALUE"""),330.57)</f>
        <v>330.57</v>
      </c>
      <c r="C448" s="1">
        <f ca="1">IFERROR(__xludf.DUMMYFUNCTION("""COMPUTED_VALUE"""),333.63)</f>
        <v>333.63</v>
      </c>
      <c r="D448" s="1">
        <f ca="1">IFERROR(__xludf.DUMMYFUNCTION("""COMPUTED_VALUE"""),328.72)</f>
        <v>328.72</v>
      </c>
      <c r="E448" s="1">
        <f ca="1">IFERROR(__xludf.DUMMYFUNCTION("""COMPUTED_VALUE"""),331.16)</f>
        <v>331.16</v>
      </c>
      <c r="F448" s="1">
        <f ca="1">IFERROR(__xludf.DUMMYFUNCTION("""COMPUTED_VALUE"""),19313098)</f>
        <v>19313098</v>
      </c>
    </row>
    <row r="449" spans="1:6" ht="12.6">
      <c r="A449" s="2">
        <f ca="1">IFERROR(__xludf.DUMMYFUNCTION("""COMPUTED_VALUE"""),45212.6666666666)</f>
        <v>45212.666666666599</v>
      </c>
      <c r="B449" s="1">
        <f ca="1">IFERROR(__xludf.DUMMYFUNCTION("""COMPUTED_VALUE"""),332.38)</f>
        <v>332.38</v>
      </c>
      <c r="C449" s="1">
        <f ca="1">IFERROR(__xludf.DUMMYFUNCTION("""COMPUTED_VALUE"""),333.83)</f>
        <v>333.83</v>
      </c>
      <c r="D449" s="1">
        <f ca="1">IFERROR(__xludf.DUMMYFUNCTION("""COMPUTED_VALUE"""),326.36)</f>
        <v>326.36</v>
      </c>
      <c r="E449" s="1">
        <f ca="1">IFERROR(__xludf.DUMMYFUNCTION("""COMPUTED_VALUE"""),327.73)</f>
        <v>327.73</v>
      </c>
      <c r="F449" s="1">
        <f ca="1">IFERROR(__xludf.DUMMYFUNCTION("""COMPUTED_VALUE"""),21085695)</f>
        <v>21085695</v>
      </c>
    </row>
    <row r="450" spans="1:6" ht="12.6">
      <c r="A450" s="2">
        <f ca="1">IFERROR(__xludf.DUMMYFUNCTION("""COMPUTED_VALUE"""),45215.6666666666)</f>
        <v>45215.666666666599</v>
      </c>
      <c r="B450" s="1">
        <f ca="1">IFERROR(__xludf.DUMMYFUNCTION("""COMPUTED_VALUE"""),331.05)</f>
        <v>331.05</v>
      </c>
      <c r="C450" s="1">
        <f ca="1">IFERROR(__xludf.DUMMYFUNCTION("""COMPUTED_VALUE"""),336.14)</f>
        <v>336.14</v>
      </c>
      <c r="D450" s="1">
        <f ca="1">IFERROR(__xludf.DUMMYFUNCTION("""COMPUTED_VALUE"""),330.6)</f>
        <v>330.6</v>
      </c>
      <c r="E450" s="1">
        <f ca="1">IFERROR(__xludf.DUMMYFUNCTION("""COMPUTED_VALUE"""),332.64)</f>
        <v>332.64</v>
      </c>
      <c r="F450" s="1">
        <f ca="1">IFERROR(__xludf.DUMMYFUNCTION("""COMPUTED_VALUE"""),22158048)</f>
        <v>22158048</v>
      </c>
    </row>
    <row r="451" spans="1:6" ht="12.6">
      <c r="A451" s="2">
        <f ca="1">IFERROR(__xludf.DUMMYFUNCTION("""COMPUTED_VALUE"""),45216.6666666666)</f>
        <v>45216.666666666599</v>
      </c>
      <c r="B451" s="1">
        <f ca="1">IFERROR(__xludf.DUMMYFUNCTION("""COMPUTED_VALUE"""),329.59)</f>
        <v>329.59</v>
      </c>
      <c r="C451" s="1">
        <f ca="1">IFERROR(__xludf.DUMMYFUNCTION("""COMPUTED_VALUE"""),333.46)</f>
        <v>333.46</v>
      </c>
      <c r="D451" s="1">
        <f ca="1">IFERROR(__xludf.DUMMYFUNCTION("""COMPUTED_VALUE"""),327.41)</f>
        <v>327.41000000000003</v>
      </c>
      <c r="E451" s="1">
        <f ca="1">IFERROR(__xludf.DUMMYFUNCTION("""COMPUTED_VALUE"""),332.06)</f>
        <v>332.06</v>
      </c>
      <c r="F451" s="1">
        <f ca="1">IFERROR(__xludf.DUMMYFUNCTION("""COMPUTED_VALUE"""),18338523)</f>
        <v>18338523</v>
      </c>
    </row>
    <row r="452" spans="1:6" ht="12.6">
      <c r="A452" s="2">
        <f ca="1">IFERROR(__xludf.DUMMYFUNCTION("""COMPUTED_VALUE"""),45217.6666666666)</f>
        <v>45217.666666666599</v>
      </c>
      <c r="B452" s="1">
        <f ca="1">IFERROR(__xludf.DUMMYFUNCTION("""COMPUTED_VALUE"""),332.49)</f>
        <v>332.49</v>
      </c>
      <c r="C452" s="1">
        <f ca="1">IFERROR(__xludf.DUMMYFUNCTION("""COMPUTED_VALUE"""),335.59)</f>
        <v>335.59</v>
      </c>
      <c r="D452" s="1">
        <f ca="1">IFERROR(__xludf.DUMMYFUNCTION("""COMPUTED_VALUE"""),328.3)</f>
        <v>328.3</v>
      </c>
      <c r="E452" s="1">
        <f ca="1">IFERROR(__xludf.DUMMYFUNCTION("""COMPUTED_VALUE"""),330.11)</f>
        <v>330.11</v>
      </c>
      <c r="F452" s="1">
        <f ca="1">IFERROR(__xludf.DUMMYFUNCTION("""COMPUTED_VALUE"""),23153602)</f>
        <v>23153602</v>
      </c>
    </row>
    <row r="453" spans="1:6" ht="12.6">
      <c r="A453" s="2">
        <f ca="1">IFERROR(__xludf.DUMMYFUNCTION("""COMPUTED_VALUE"""),45218.6666666666)</f>
        <v>45218.666666666599</v>
      </c>
      <c r="B453" s="1">
        <f ca="1">IFERROR(__xludf.DUMMYFUNCTION("""COMPUTED_VALUE"""),332.15)</f>
        <v>332.15</v>
      </c>
      <c r="C453" s="1">
        <f ca="1">IFERROR(__xludf.DUMMYFUNCTION("""COMPUTED_VALUE"""),336.88)</f>
        <v>336.88</v>
      </c>
      <c r="D453" s="1">
        <f ca="1">IFERROR(__xludf.DUMMYFUNCTION("""COMPUTED_VALUE"""),330.91)</f>
        <v>330.91</v>
      </c>
      <c r="E453" s="1">
        <f ca="1">IFERROR(__xludf.DUMMYFUNCTION("""COMPUTED_VALUE"""),331.32)</f>
        <v>331.32</v>
      </c>
      <c r="F453" s="1">
        <f ca="1">IFERROR(__xludf.DUMMYFUNCTION("""COMPUTED_VALUE"""),25052071)</f>
        <v>25052071</v>
      </c>
    </row>
    <row r="454" spans="1:6" ht="12.6">
      <c r="A454" s="2">
        <f ca="1">IFERROR(__xludf.DUMMYFUNCTION("""COMPUTED_VALUE"""),45219.6666666666)</f>
        <v>45219.666666666599</v>
      </c>
      <c r="B454" s="1">
        <f ca="1">IFERROR(__xludf.DUMMYFUNCTION("""COMPUTED_VALUE"""),331.72)</f>
        <v>331.72</v>
      </c>
      <c r="C454" s="1">
        <f ca="1">IFERROR(__xludf.DUMMYFUNCTION("""COMPUTED_VALUE"""),331.92)</f>
        <v>331.92</v>
      </c>
      <c r="D454" s="1">
        <f ca="1">IFERROR(__xludf.DUMMYFUNCTION("""COMPUTED_VALUE"""),325.45)</f>
        <v>325.45</v>
      </c>
      <c r="E454" s="1">
        <f ca="1">IFERROR(__xludf.DUMMYFUNCTION("""COMPUTED_VALUE"""),326.67)</f>
        <v>326.67</v>
      </c>
      <c r="F454" s="1">
        <f ca="1">IFERROR(__xludf.DUMMYFUNCTION("""COMPUTED_VALUE"""),25027715)</f>
        <v>25027715</v>
      </c>
    </row>
    <row r="455" spans="1:6" ht="12.6">
      <c r="A455" s="2">
        <f ca="1">IFERROR(__xludf.DUMMYFUNCTION("""COMPUTED_VALUE"""),45222.6666666666)</f>
        <v>45222.666666666599</v>
      </c>
      <c r="B455" s="1">
        <f ca="1">IFERROR(__xludf.DUMMYFUNCTION("""COMPUTED_VALUE"""),325.47)</f>
        <v>325.47000000000003</v>
      </c>
      <c r="C455" s="1">
        <f ca="1">IFERROR(__xludf.DUMMYFUNCTION("""COMPUTED_VALUE"""),332.73)</f>
        <v>332.73</v>
      </c>
      <c r="D455" s="1">
        <f ca="1">IFERROR(__xludf.DUMMYFUNCTION("""COMPUTED_VALUE"""),324.39)</f>
        <v>324.39</v>
      </c>
      <c r="E455" s="1">
        <f ca="1">IFERROR(__xludf.DUMMYFUNCTION("""COMPUTED_VALUE"""),329.32)</f>
        <v>329.32</v>
      </c>
      <c r="F455" s="1">
        <f ca="1">IFERROR(__xludf.DUMMYFUNCTION("""COMPUTED_VALUE"""),24374748)</f>
        <v>24374748</v>
      </c>
    </row>
    <row r="456" spans="1:6" ht="12.6">
      <c r="A456" s="2">
        <f ca="1">IFERROR(__xludf.DUMMYFUNCTION("""COMPUTED_VALUE"""),45223.6666666666)</f>
        <v>45223.666666666599</v>
      </c>
      <c r="B456" s="1">
        <f ca="1">IFERROR(__xludf.DUMMYFUNCTION("""COMPUTED_VALUE"""),331.3)</f>
        <v>331.3</v>
      </c>
      <c r="C456" s="1">
        <f ca="1">IFERROR(__xludf.DUMMYFUNCTION("""COMPUTED_VALUE"""),331.84)</f>
        <v>331.84</v>
      </c>
      <c r="D456" s="1">
        <f ca="1">IFERROR(__xludf.DUMMYFUNCTION("""COMPUTED_VALUE"""),327.6)</f>
        <v>327.60000000000002</v>
      </c>
      <c r="E456" s="1">
        <f ca="1">IFERROR(__xludf.DUMMYFUNCTION("""COMPUTED_VALUE"""),330.53)</f>
        <v>330.53</v>
      </c>
      <c r="F456" s="1">
        <f ca="1">IFERROR(__xludf.DUMMYFUNCTION("""COMPUTED_VALUE"""),31153571)</f>
        <v>31153571</v>
      </c>
    </row>
    <row r="457" spans="1:6" ht="12.6">
      <c r="A457" s="2">
        <f ca="1">IFERROR(__xludf.DUMMYFUNCTION("""COMPUTED_VALUE"""),45224.6666666666)</f>
        <v>45224.666666666599</v>
      </c>
      <c r="B457" s="1">
        <f ca="1">IFERROR(__xludf.DUMMYFUNCTION("""COMPUTED_VALUE"""),345.02)</f>
        <v>345.02</v>
      </c>
      <c r="C457" s="1">
        <f ca="1">IFERROR(__xludf.DUMMYFUNCTION("""COMPUTED_VALUE"""),346.2)</f>
        <v>346.2</v>
      </c>
      <c r="D457" s="1">
        <f ca="1">IFERROR(__xludf.DUMMYFUNCTION("""COMPUTED_VALUE"""),337.62)</f>
        <v>337.62</v>
      </c>
      <c r="E457" s="1">
        <f ca="1">IFERROR(__xludf.DUMMYFUNCTION("""COMPUTED_VALUE"""),340.67)</f>
        <v>340.67</v>
      </c>
      <c r="F457" s="1">
        <f ca="1">IFERROR(__xludf.DUMMYFUNCTION("""COMPUTED_VALUE"""),55053828)</f>
        <v>55053828</v>
      </c>
    </row>
    <row r="458" spans="1:6" ht="12.6">
      <c r="A458" s="2">
        <f ca="1">IFERROR(__xludf.DUMMYFUNCTION("""COMPUTED_VALUE"""),45225.6666666666)</f>
        <v>45225.666666666599</v>
      </c>
      <c r="B458" s="1">
        <f ca="1">IFERROR(__xludf.DUMMYFUNCTION("""COMPUTED_VALUE"""),340.54)</f>
        <v>340.54</v>
      </c>
      <c r="C458" s="1">
        <f ca="1">IFERROR(__xludf.DUMMYFUNCTION("""COMPUTED_VALUE"""),341.63)</f>
        <v>341.63</v>
      </c>
      <c r="D458" s="1">
        <f ca="1">IFERROR(__xludf.DUMMYFUNCTION("""COMPUTED_VALUE"""),326.94)</f>
        <v>326.94</v>
      </c>
      <c r="E458" s="1">
        <f ca="1">IFERROR(__xludf.DUMMYFUNCTION("""COMPUTED_VALUE"""),327.89)</f>
        <v>327.89</v>
      </c>
      <c r="F458" s="1">
        <f ca="1">IFERROR(__xludf.DUMMYFUNCTION("""COMPUTED_VALUE"""),37828543)</f>
        <v>37828543</v>
      </c>
    </row>
    <row r="459" spans="1:6" ht="12.6">
      <c r="A459" s="2">
        <f ca="1">IFERROR(__xludf.DUMMYFUNCTION("""COMPUTED_VALUE"""),45226.6666666666)</f>
        <v>45226.666666666599</v>
      </c>
      <c r="B459" s="1">
        <f ca="1">IFERROR(__xludf.DUMMYFUNCTION("""COMPUTED_VALUE"""),330.43)</f>
        <v>330.43</v>
      </c>
      <c r="C459" s="1">
        <f ca="1">IFERROR(__xludf.DUMMYFUNCTION("""COMPUTED_VALUE"""),336.72)</f>
        <v>336.72</v>
      </c>
      <c r="D459" s="1">
        <f ca="1">IFERROR(__xludf.DUMMYFUNCTION("""COMPUTED_VALUE"""),328.4)</f>
        <v>328.4</v>
      </c>
      <c r="E459" s="1">
        <f ca="1">IFERROR(__xludf.DUMMYFUNCTION("""COMPUTED_VALUE"""),329.81)</f>
        <v>329.81</v>
      </c>
      <c r="F459" s="1">
        <f ca="1">IFERROR(__xludf.DUMMYFUNCTION("""COMPUTED_VALUE"""),29856522)</f>
        <v>29856522</v>
      </c>
    </row>
    <row r="460" spans="1:6" ht="12.6">
      <c r="A460" s="2">
        <f ca="1">IFERROR(__xludf.DUMMYFUNCTION("""COMPUTED_VALUE"""),45229.6666666666)</f>
        <v>45229.666666666599</v>
      </c>
      <c r="B460" s="1">
        <f ca="1">IFERROR(__xludf.DUMMYFUNCTION("""COMPUTED_VALUE"""),333.41)</f>
        <v>333.41</v>
      </c>
      <c r="C460" s="1">
        <f ca="1">IFERROR(__xludf.DUMMYFUNCTION("""COMPUTED_VALUE"""),339.45)</f>
        <v>339.45</v>
      </c>
      <c r="D460" s="1">
        <f ca="1">IFERROR(__xludf.DUMMYFUNCTION("""COMPUTED_VALUE"""),331.83)</f>
        <v>331.83</v>
      </c>
      <c r="E460" s="1">
        <f ca="1">IFERROR(__xludf.DUMMYFUNCTION("""COMPUTED_VALUE"""),337.31)</f>
        <v>337.31</v>
      </c>
      <c r="F460" s="1">
        <f ca="1">IFERROR(__xludf.DUMMYFUNCTION("""COMPUTED_VALUE"""),22828082)</f>
        <v>22828082</v>
      </c>
    </row>
    <row r="461" spans="1:6" ht="12.6">
      <c r="A461" s="2">
        <f ca="1">IFERROR(__xludf.DUMMYFUNCTION("""COMPUTED_VALUE"""),45230.6666666666)</f>
        <v>45230.666666666599</v>
      </c>
      <c r="B461" s="1">
        <f ca="1">IFERROR(__xludf.DUMMYFUNCTION("""COMPUTED_VALUE"""),338.85)</f>
        <v>338.85</v>
      </c>
      <c r="C461" s="1">
        <f ca="1">IFERROR(__xludf.DUMMYFUNCTION("""COMPUTED_VALUE"""),339)</f>
        <v>339</v>
      </c>
      <c r="D461" s="1">
        <f ca="1">IFERROR(__xludf.DUMMYFUNCTION("""COMPUTED_VALUE"""),334.69)</f>
        <v>334.69</v>
      </c>
      <c r="E461" s="1">
        <f ca="1">IFERROR(__xludf.DUMMYFUNCTION("""COMPUTED_VALUE"""),338.11)</f>
        <v>338.11</v>
      </c>
      <c r="F461" s="1">
        <f ca="1">IFERROR(__xludf.DUMMYFUNCTION("""COMPUTED_VALUE"""),20265282)</f>
        <v>20265282</v>
      </c>
    </row>
    <row r="462" spans="1:6" ht="12.6">
      <c r="A462" s="2">
        <f ca="1">IFERROR(__xludf.DUMMYFUNCTION("""COMPUTED_VALUE"""),45231.6666666666)</f>
        <v>45231.666666666599</v>
      </c>
      <c r="B462" s="1">
        <f ca="1">IFERROR(__xludf.DUMMYFUNCTION("""COMPUTED_VALUE"""),339.79)</f>
        <v>339.79</v>
      </c>
      <c r="C462" s="1">
        <f ca="1">IFERROR(__xludf.DUMMYFUNCTION("""COMPUTED_VALUE"""),347.42)</f>
        <v>347.42</v>
      </c>
      <c r="D462" s="1">
        <f ca="1">IFERROR(__xludf.DUMMYFUNCTION("""COMPUTED_VALUE"""),339.65)</f>
        <v>339.65</v>
      </c>
      <c r="E462" s="1">
        <f ca="1">IFERROR(__xludf.DUMMYFUNCTION("""COMPUTED_VALUE"""),346.07)</f>
        <v>346.07</v>
      </c>
      <c r="F462" s="1">
        <f ca="1">IFERROR(__xludf.DUMMYFUNCTION("""COMPUTED_VALUE"""),28158819)</f>
        <v>28158819</v>
      </c>
    </row>
    <row r="463" spans="1:6" ht="12.6">
      <c r="A463" s="2">
        <f ca="1">IFERROR(__xludf.DUMMYFUNCTION("""COMPUTED_VALUE"""),45232.6666666666)</f>
        <v>45232.666666666599</v>
      </c>
      <c r="B463" s="1">
        <f ca="1">IFERROR(__xludf.DUMMYFUNCTION("""COMPUTED_VALUE"""),347.24)</f>
        <v>347.24</v>
      </c>
      <c r="C463" s="1">
        <f ca="1">IFERROR(__xludf.DUMMYFUNCTION("""COMPUTED_VALUE"""),348.83)</f>
        <v>348.83</v>
      </c>
      <c r="D463" s="1">
        <f ca="1">IFERROR(__xludf.DUMMYFUNCTION("""COMPUTED_VALUE"""),344.77)</f>
        <v>344.77</v>
      </c>
      <c r="E463" s="1">
        <f ca="1">IFERROR(__xludf.DUMMYFUNCTION("""COMPUTED_VALUE"""),348.32)</f>
        <v>348.32</v>
      </c>
      <c r="F463" s="1">
        <f ca="1">IFERROR(__xludf.DUMMYFUNCTION("""COMPUTED_VALUE"""),24348072)</f>
        <v>24348072</v>
      </c>
    </row>
    <row r="464" spans="1:6" ht="12.6">
      <c r="A464" s="2">
        <f ca="1">IFERROR(__xludf.DUMMYFUNCTION("""COMPUTED_VALUE"""),45233.6666666666)</f>
        <v>45233.666666666599</v>
      </c>
      <c r="B464" s="1">
        <f ca="1">IFERROR(__xludf.DUMMYFUNCTION("""COMPUTED_VALUE"""),349.63)</f>
        <v>349.63</v>
      </c>
      <c r="C464" s="1">
        <f ca="1">IFERROR(__xludf.DUMMYFUNCTION("""COMPUTED_VALUE"""),354.39)</f>
        <v>354.39</v>
      </c>
      <c r="D464" s="1">
        <f ca="1">IFERROR(__xludf.DUMMYFUNCTION("""COMPUTED_VALUE"""),347.33)</f>
        <v>347.33</v>
      </c>
      <c r="E464" s="1">
        <f ca="1">IFERROR(__xludf.DUMMYFUNCTION("""COMPUTED_VALUE"""),352.8)</f>
        <v>352.8</v>
      </c>
      <c r="F464" s="1">
        <f ca="1">IFERROR(__xludf.DUMMYFUNCTION("""COMPUTED_VALUE"""),23637673)</f>
        <v>23637673</v>
      </c>
    </row>
    <row r="465" spans="1:6" ht="12.6">
      <c r="A465" s="2">
        <f ca="1">IFERROR(__xludf.DUMMYFUNCTION("""COMPUTED_VALUE"""),45236.6666666666)</f>
        <v>45236.666666666599</v>
      </c>
      <c r="B465" s="1">
        <f ca="1">IFERROR(__xludf.DUMMYFUNCTION("""COMPUTED_VALUE"""),353.45)</f>
        <v>353.45</v>
      </c>
      <c r="C465" s="1">
        <f ca="1">IFERROR(__xludf.DUMMYFUNCTION("""COMPUTED_VALUE"""),357.54)</f>
        <v>357.54</v>
      </c>
      <c r="D465" s="1">
        <f ca="1">IFERROR(__xludf.DUMMYFUNCTION("""COMPUTED_VALUE"""),353.35)</f>
        <v>353.35</v>
      </c>
      <c r="E465" s="1">
        <f ca="1">IFERROR(__xludf.DUMMYFUNCTION("""COMPUTED_VALUE"""),356.53)</f>
        <v>356.53</v>
      </c>
      <c r="F465" s="1">
        <f ca="1">IFERROR(__xludf.DUMMYFUNCTION("""COMPUTED_VALUE"""),23828301)</f>
        <v>23828301</v>
      </c>
    </row>
    <row r="466" spans="1:6" ht="12.6">
      <c r="A466" s="2">
        <f ca="1">IFERROR(__xludf.DUMMYFUNCTION("""COMPUTED_VALUE"""),45237.6666666666)</f>
        <v>45237.666666666599</v>
      </c>
      <c r="B466" s="1">
        <f ca="1">IFERROR(__xludf.DUMMYFUNCTION("""COMPUTED_VALUE"""),359.4)</f>
        <v>359.4</v>
      </c>
      <c r="C466" s="1">
        <f ca="1">IFERROR(__xludf.DUMMYFUNCTION("""COMPUTED_VALUE"""),362.46)</f>
        <v>362.46</v>
      </c>
      <c r="D466" s="1">
        <f ca="1">IFERROR(__xludf.DUMMYFUNCTION("""COMPUTED_VALUE"""),357.63)</f>
        <v>357.63</v>
      </c>
      <c r="E466" s="1">
        <f ca="1">IFERROR(__xludf.DUMMYFUNCTION("""COMPUTED_VALUE"""),360.53)</f>
        <v>360.53</v>
      </c>
      <c r="F466" s="1">
        <f ca="1">IFERROR(__xludf.DUMMYFUNCTION("""COMPUTED_VALUE"""),25833931)</f>
        <v>25833931</v>
      </c>
    </row>
    <row r="467" spans="1:6" ht="12.6">
      <c r="A467" s="2">
        <f ca="1">IFERROR(__xludf.DUMMYFUNCTION("""COMPUTED_VALUE"""),45238.6666666666)</f>
        <v>45238.666666666599</v>
      </c>
      <c r="B467" s="1">
        <f ca="1">IFERROR(__xludf.DUMMYFUNCTION("""COMPUTED_VALUE"""),361.68)</f>
        <v>361.68</v>
      </c>
      <c r="C467" s="1">
        <f ca="1">IFERROR(__xludf.DUMMYFUNCTION("""COMPUTED_VALUE"""),363.87)</f>
        <v>363.87</v>
      </c>
      <c r="D467" s="1">
        <f ca="1">IFERROR(__xludf.DUMMYFUNCTION("""COMPUTED_VALUE"""),360.55)</f>
        <v>360.55</v>
      </c>
      <c r="E467" s="1">
        <f ca="1">IFERROR(__xludf.DUMMYFUNCTION("""COMPUTED_VALUE"""),363.2)</f>
        <v>363.2</v>
      </c>
      <c r="F467" s="1">
        <f ca="1">IFERROR(__xludf.DUMMYFUNCTION("""COMPUTED_VALUE"""),26767828)</f>
        <v>26767828</v>
      </c>
    </row>
    <row r="468" spans="1:6" ht="12.6">
      <c r="A468" s="2">
        <f ca="1">IFERROR(__xludf.DUMMYFUNCTION("""COMPUTED_VALUE"""),45239.6666666666)</f>
        <v>45239.666666666599</v>
      </c>
      <c r="B468" s="1">
        <f ca="1">IFERROR(__xludf.DUMMYFUNCTION("""COMPUTED_VALUE"""),362.3)</f>
        <v>362.3</v>
      </c>
      <c r="C468" s="1">
        <f ca="1">IFERROR(__xludf.DUMMYFUNCTION("""COMPUTED_VALUE"""),364.79)</f>
        <v>364.79</v>
      </c>
      <c r="D468" s="1">
        <f ca="1">IFERROR(__xludf.DUMMYFUNCTION("""COMPUTED_VALUE"""),360.36)</f>
        <v>360.36</v>
      </c>
      <c r="E468" s="1">
        <f ca="1">IFERROR(__xludf.DUMMYFUNCTION("""COMPUTED_VALUE"""),360.69)</f>
        <v>360.69</v>
      </c>
      <c r="F468" s="1">
        <f ca="1">IFERROR(__xludf.DUMMYFUNCTION("""COMPUTED_VALUE"""),24847331)</f>
        <v>24847331</v>
      </c>
    </row>
    <row r="469" spans="1:6" ht="12.6">
      <c r="A469" s="2">
        <f ca="1">IFERROR(__xludf.DUMMYFUNCTION("""COMPUTED_VALUE"""),45240.6666666666)</f>
        <v>45240.666666666599</v>
      </c>
      <c r="B469" s="1">
        <f ca="1">IFERROR(__xludf.DUMMYFUNCTION("""COMPUTED_VALUE"""),361.49)</f>
        <v>361.49</v>
      </c>
      <c r="C469" s="1">
        <f ca="1">IFERROR(__xludf.DUMMYFUNCTION("""COMPUTED_VALUE"""),370.1)</f>
        <v>370.1</v>
      </c>
      <c r="D469" s="1">
        <f ca="1">IFERROR(__xludf.DUMMYFUNCTION("""COMPUTED_VALUE"""),361.07)</f>
        <v>361.07</v>
      </c>
      <c r="E469" s="1">
        <f ca="1">IFERROR(__xludf.DUMMYFUNCTION("""COMPUTED_VALUE"""),369.67)</f>
        <v>369.67</v>
      </c>
      <c r="F469" s="1">
        <f ca="1">IFERROR(__xludf.DUMMYFUNCTION("""COMPUTED_VALUE"""),28065164)</f>
        <v>28065164</v>
      </c>
    </row>
    <row r="470" spans="1:6" ht="12.6">
      <c r="A470" s="2">
        <f ca="1">IFERROR(__xludf.DUMMYFUNCTION("""COMPUTED_VALUE"""),45243.6666666666)</f>
        <v>45243.666666666599</v>
      </c>
      <c r="B470" s="1">
        <f ca="1">IFERROR(__xludf.DUMMYFUNCTION("""COMPUTED_VALUE"""),368.22)</f>
        <v>368.22</v>
      </c>
      <c r="C470" s="1">
        <f ca="1">IFERROR(__xludf.DUMMYFUNCTION("""COMPUTED_VALUE"""),368.47)</f>
        <v>368.47</v>
      </c>
      <c r="D470" s="1">
        <f ca="1">IFERROR(__xludf.DUMMYFUNCTION("""COMPUTED_VALUE"""),365.9)</f>
        <v>365.9</v>
      </c>
      <c r="E470" s="1">
        <f ca="1">IFERROR(__xludf.DUMMYFUNCTION("""COMPUTED_VALUE"""),366.68)</f>
        <v>366.68</v>
      </c>
      <c r="F470" s="1">
        <f ca="1">IFERROR(__xludf.DUMMYFUNCTION("""COMPUTED_VALUE"""),19986506)</f>
        <v>19986506</v>
      </c>
    </row>
    <row r="471" spans="1:6" ht="12.6">
      <c r="A471" s="2">
        <f ca="1">IFERROR(__xludf.DUMMYFUNCTION("""COMPUTED_VALUE"""),45244.6666666666)</f>
        <v>45244.666666666599</v>
      </c>
      <c r="B471" s="1">
        <f ca="1">IFERROR(__xludf.DUMMYFUNCTION("""COMPUTED_VALUE"""),371.01)</f>
        <v>371.01</v>
      </c>
      <c r="C471" s="1">
        <f ca="1">IFERROR(__xludf.DUMMYFUNCTION("""COMPUTED_VALUE"""),371.95)</f>
        <v>371.95</v>
      </c>
      <c r="D471" s="1">
        <f ca="1">IFERROR(__xludf.DUMMYFUNCTION("""COMPUTED_VALUE"""),367.35)</f>
        <v>367.35</v>
      </c>
      <c r="E471" s="1">
        <f ca="1">IFERROR(__xludf.DUMMYFUNCTION("""COMPUTED_VALUE"""),370.27)</f>
        <v>370.27</v>
      </c>
      <c r="F471" s="1">
        <f ca="1">IFERROR(__xludf.DUMMYFUNCTION("""COMPUTED_VALUE"""),27683862)</f>
        <v>27683862</v>
      </c>
    </row>
    <row r="472" spans="1:6" ht="12.6">
      <c r="A472" s="2">
        <f ca="1">IFERROR(__xludf.DUMMYFUNCTION("""COMPUTED_VALUE"""),45245.6666666666)</f>
        <v>45245.666666666599</v>
      </c>
      <c r="B472" s="1">
        <f ca="1">IFERROR(__xludf.DUMMYFUNCTION("""COMPUTED_VALUE"""),371.28)</f>
        <v>371.28</v>
      </c>
      <c r="C472" s="1">
        <f ca="1">IFERROR(__xludf.DUMMYFUNCTION("""COMPUTED_VALUE"""),373.13)</f>
        <v>373.13</v>
      </c>
      <c r="D472" s="1">
        <f ca="1">IFERROR(__xludf.DUMMYFUNCTION("""COMPUTED_VALUE"""),367.11)</f>
        <v>367.11</v>
      </c>
      <c r="E472" s="1">
        <f ca="1">IFERROR(__xludf.DUMMYFUNCTION("""COMPUTED_VALUE"""),369.67)</f>
        <v>369.67</v>
      </c>
      <c r="F472" s="1">
        <f ca="1">IFERROR(__xludf.DUMMYFUNCTION("""COMPUTED_VALUE"""),26860095)</f>
        <v>26860095</v>
      </c>
    </row>
    <row r="473" spans="1:6" ht="12.6">
      <c r="A473" s="2">
        <f ca="1">IFERROR(__xludf.DUMMYFUNCTION("""COMPUTED_VALUE"""),45246.6666666666)</f>
        <v>45246.666666666599</v>
      </c>
      <c r="B473" s="1">
        <f ca="1">IFERROR(__xludf.DUMMYFUNCTION("""COMPUTED_VALUE"""),370.96)</f>
        <v>370.96</v>
      </c>
      <c r="C473" s="1">
        <f ca="1">IFERROR(__xludf.DUMMYFUNCTION("""COMPUTED_VALUE"""),376.35)</f>
        <v>376.35</v>
      </c>
      <c r="D473" s="1">
        <f ca="1">IFERROR(__xludf.DUMMYFUNCTION("""COMPUTED_VALUE"""),370.18)</f>
        <v>370.18</v>
      </c>
      <c r="E473" s="1">
        <f ca="1">IFERROR(__xludf.DUMMYFUNCTION("""COMPUTED_VALUE"""),376.17)</f>
        <v>376.17</v>
      </c>
      <c r="F473" s="1">
        <f ca="1">IFERROR(__xludf.DUMMYFUNCTION("""COMPUTED_VALUE"""),27182315)</f>
        <v>27182315</v>
      </c>
    </row>
    <row r="474" spans="1:6" ht="12.6">
      <c r="A474" s="2">
        <f ca="1">IFERROR(__xludf.DUMMYFUNCTION("""COMPUTED_VALUE"""),45247.6666666666)</f>
        <v>45247.666666666599</v>
      </c>
      <c r="B474" s="1">
        <f ca="1">IFERROR(__xludf.DUMMYFUNCTION("""COMPUTED_VALUE"""),373.61)</f>
        <v>373.61</v>
      </c>
      <c r="C474" s="1">
        <f ca="1">IFERROR(__xludf.DUMMYFUNCTION("""COMPUTED_VALUE"""),374.37)</f>
        <v>374.37</v>
      </c>
      <c r="D474" s="1">
        <f ca="1">IFERROR(__xludf.DUMMYFUNCTION("""COMPUTED_VALUE"""),367)</f>
        <v>367</v>
      </c>
      <c r="E474" s="1">
        <f ca="1">IFERROR(__xludf.DUMMYFUNCTION("""COMPUTED_VALUE"""),369.85)</f>
        <v>369.85</v>
      </c>
      <c r="F474" s="1">
        <f ca="1">IFERROR(__xludf.DUMMYFUNCTION("""COMPUTED_VALUE"""),40325371)</f>
        <v>40325371</v>
      </c>
    </row>
    <row r="475" spans="1:6" ht="12.6">
      <c r="A475" s="2">
        <f ca="1">IFERROR(__xludf.DUMMYFUNCTION("""COMPUTED_VALUE"""),45250.6666666666)</f>
        <v>45250.666666666599</v>
      </c>
      <c r="B475" s="1">
        <f ca="1">IFERROR(__xludf.DUMMYFUNCTION("""COMPUTED_VALUE"""),371.22)</f>
        <v>371.22</v>
      </c>
      <c r="C475" s="1">
        <f ca="1">IFERROR(__xludf.DUMMYFUNCTION("""COMPUTED_VALUE"""),378.87)</f>
        <v>378.87</v>
      </c>
      <c r="D475" s="1">
        <f ca="1">IFERROR(__xludf.DUMMYFUNCTION("""COMPUTED_VALUE"""),371)</f>
        <v>371</v>
      </c>
      <c r="E475" s="1">
        <f ca="1">IFERROR(__xludf.DUMMYFUNCTION("""COMPUTED_VALUE"""),377.44)</f>
        <v>377.44</v>
      </c>
      <c r="F475" s="1">
        <f ca="1">IFERROR(__xludf.DUMMYFUNCTION("""COMPUTED_VALUE"""),52528964)</f>
        <v>52528964</v>
      </c>
    </row>
    <row r="476" spans="1:6" ht="12.6">
      <c r="A476" s="2">
        <f ca="1">IFERROR(__xludf.DUMMYFUNCTION("""COMPUTED_VALUE"""),45251.6666666666)</f>
        <v>45251.666666666599</v>
      </c>
      <c r="B476" s="1">
        <f ca="1">IFERROR(__xludf.DUMMYFUNCTION("""COMPUTED_VALUE"""),375.67)</f>
        <v>375.67</v>
      </c>
      <c r="C476" s="1">
        <f ca="1">IFERROR(__xludf.DUMMYFUNCTION("""COMPUTED_VALUE"""),376.22)</f>
        <v>376.22</v>
      </c>
      <c r="D476" s="1">
        <f ca="1">IFERROR(__xludf.DUMMYFUNCTION("""COMPUTED_VALUE"""),371.12)</f>
        <v>371.12</v>
      </c>
      <c r="E476" s="1">
        <f ca="1">IFERROR(__xludf.DUMMYFUNCTION("""COMPUTED_VALUE"""),373.07)</f>
        <v>373.07</v>
      </c>
      <c r="F476" s="1">
        <f ca="1">IFERROR(__xludf.DUMMYFUNCTION("""COMPUTED_VALUE"""),28423145)</f>
        <v>28423145</v>
      </c>
    </row>
    <row r="477" spans="1:6" ht="12.6">
      <c r="A477" s="2">
        <f ca="1">IFERROR(__xludf.DUMMYFUNCTION("""COMPUTED_VALUE"""),45252.6666666666)</f>
        <v>45252.666666666599</v>
      </c>
      <c r="B477" s="1">
        <f ca="1">IFERROR(__xludf.DUMMYFUNCTION("""COMPUTED_VALUE"""),378)</f>
        <v>378</v>
      </c>
      <c r="C477" s="1">
        <f ca="1">IFERROR(__xludf.DUMMYFUNCTION("""COMPUTED_VALUE"""),379.79)</f>
        <v>379.79</v>
      </c>
      <c r="D477" s="1">
        <f ca="1">IFERROR(__xludf.DUMMYFUNCTION("""COMPUTED_VALUE"""),374.97)</f>
        <v>374.97</v>
      </c>
      <c r="E477" s="1">
        <f ca="1">IFERROR(__xludf.DUMMYFUNCTION("""COMPUTED_VALUE"""),377.85)</f>
        <v>377.85</v>
      </c>
      <c r="F477" s="1">
        <f ca="1">IFERROR(__xludf.DUMMYFUNCTION("""COMPUTED_VALUE"""),23361184)</f>
        <v>23361184</v>
      </c>
    </row>
    <row r="478" spans="1:6" ht="12.6">
      <c r="A478" s="2">
        <f ca="1">IFERROR(__xludf.DUMMYFUNCTION("""COMPUTED_VALUE"""),45254.5451388888)</f>
        <v>45254.545138888803</v>
      </c>
      <c r="B478" s="1">
        <f ca="1">IFERROR(__xludf.DUMMYFUNCTION("""COMPUTED_VALUE"""),377.33)</f>
        <v>377.33</v>
      </c>
      <c r="C478" s="1">
        <f ca="1">IFERROR(__xludf.DUMMYFUNCTION("""COMPUTED_VALUE"""),377.97)</f>
        <v>377.97</v>
      </c>
      <c r="D478" s="1">
        <f ca="1">IFERROR(__xludf.DUMMYFUNCTION("""COMPUTED_VALUE"""),375.14)</f>
        <v>375.14</v>
      </c>
      <c r="E478" s="1">
        <f ca="1">IFERROR(__xludf.DUMMYFUNCTION("""COMPUTED_VALUE"""),377.43)</f>
        <v>377.43</v>
      </c>
      <c r="F478" s="1">
        <f ca="1">IFERROR(__xludf.DUMMYFUNCTION("""COMPUTED_VALUE"""),10176649)</f>
        <v>10176649</v>
      </c>
    </row>
    <row r="479" spans="1:6" ht="12.6">
      <c r="A479" s="2">
        <f ca="1">IFERROR(__xludf.DUMMYFUNCTION("""COMPUTED_VALUE"""),45257.6666666666)</f>
        <v>45257.666666666599</v>
      </c>
      <c r="B479" s="1">
        <f ca="1">IFERROR(__xludf.DUMMYFUNCTION("""COMPUTED_VALUE"""),376.78)</f>
        <v>376.78</v>
      </c>
      <c r="C479" s="1">
        <f ca="1">IFERROR(__xludf.DUMMYFUNCTION("""COMPUTED_VALUE"""),380.64)</f>
        <v>380.64</v>
      </c>
      <c r="D479" s="1">
        <f ca="1">IFERROR(__xludf.DUMMYFUNCTION("""COMPUTED_VALUE"""),376.2)</f>
        <v>376.2</v>
      </c>
      <c r="E479" s="1">
        <f ca="1">IFERROR(__xludf.DUMMYFUNCTION("""COMPUTED_VALUE"""),378.61)</f>
        <v>378.61</v>
      </c>
      <c r="F479" s="1">
        <f ca="1">IFERROR(__xludf.DUMMYFUNCTION("""COMPUTED_VALUE"""),22179228)</f>
        <v>22179228</v>
      </c>
    </row>
    <row r="480" spans="1:6" ht="12.6">
      <c r="A480" s="2">
        <f ca="1">IFERROR(__xludf.DUMMYFUNCTION("""COMPUTED_VALUE"""),45258.6666666666)</f>
        <v>45258.666666666599</v>
      </c>
      <c r="B480" s="1">
        <f ca="1">IFERROR(__xludf.DUMMYFUNCTION("""COMPUTED_VALUE"""),378.35)</f>
        <v>378.35</v>
      </c>
      <c r="C480" s="1">
        <f ca="1">IFERROR(__xludf.DUMMYFUNCTION("""COMPUTED_VALUE"""),383)</f>
        <v>383</v>
      </c>
      <c r="D480" s="1">
        <f ca="1">IFERROR(__xludf.DUMMYFUNCTION("""COMPUTED_VALUE"""),378.16)</f>
        <v>378.16</v>
      </c>
      <c r="E480" s="1">
        <f ca="1">IFERROR(__xludf.DUMMYFUNCTION("""COMPUTED_VALUE"""),382.7)</f>
        <v>382.7</v>
      </c>
      <c r="F480" s="1">
        <f ca="1">IFERROR(__xludf.DUMMYFUNCTION("""COMPUTED_VALUE"""),20453112)</f>
        <v>20453112</v>
      </c>
    </row>
    <row r="481" spans="1:6" ht="12.6">
      <c r="A481" s="2">
        <f ca="1">IFERROR(__xludf.DUMMYFUNCTION("""COMPUTED_VALUE"""),45259.6666666666)</f>
        <v>45259.666666666599</v>
      </c>
      <c r="B481" s="1">
        <f ca="1">IFERROR(__xludf.DUMMYFUNCTION("""COMPUTED_VALUE"""),383.76)</f>
        <v>383.76</v>
      </c>
      <c r="C481" s="1">
        <f ca="1">IFERROR(__xludf.DUMMYFUNCTION("""COMPUTED_VALUE"""),384.3)</f>
        <v>384.3</v>
      </c>
      <c r="D481" s="1">
        <f ca="1">IFERROR(__xludf.DUMMYFUNCTION("""COMPUTED_VALUE"""),377.44)</f>
        <v>377.44</v>
      </c>
      <c r="E481" s="1">
        <f ca="1">IFERROR(__xludf.DUMMYFUNCTION("""COMPUTED_VALUE"""),378.85)</f>
        <v>378.85</v>
      </c>
      <c r="F481" s="1">
        <f ca="1">IFERROR(__xludf.DUMMYFUNCTION("""COMPUTED_VALUE"""),28963399)</f>
        <v>28963399</v>
      </c>
    </row>
    <row r="482" spans="1:6" ht="12.6">
      <c r="A482" s="2">
        <f ca="1">IFERROR(__xludf.DUMMYFUNCTION("""COMPUTED_VALUE"""),45260.6666666666)</f>
        <v>45260.666666666599</v>
      </c>
      <c r="B482" s="1">
        <f ca="1">IFERROR(__xludf.DUMMYFUNCTION("""COMPUTED_VALUE"""),378.49)</f>
        <v>378.49</v>
      </c>
      <c r="C482" s="1">
        <f ca="1">IFERROR(__xludf.DUMMYFUNCTION("""COMPUTED_VALUE"""),380.09)</f>
        <v>380.09</v>
      </c>
      <c r="D482" s="1">
        <f ca="1">IFERROR(__xludf.DUMMYFUNCTION("""COMPUTED_VALUE"""),375.47)</f>
        <v>375.47</v>
      </c>
      <c r="E482" s="1">
        <f ca="1">IFERROR(__xludf.DUMMYFUNCTION("""COMPUTED_VALUE"""),378.91)</f>
        <v>378.91</v>
      </c>
      <c r="F482" s="1">
        <f ca="1">IFERROR(__xludf.DUMMYFUNCTION("""COMPUTED_VALUE"""),30554415)</f>
        <v>30554415</v>
      </c>
    </row>
    <row r="483" spans="1:6" ht="12.6">
      <c r="A483" s="2">
        <f ca="1">IFERROR(__xludf.DUMMYFUNCTION("""COMPUTED_VALUE"""),45261.6666666666)</f>
        <v>45261.666666666599</v>
      </c>
      <c r="B483" s="1">
        <f ca="1">IFERROR(__xludf.DUMMYFUNCTION("""COMPUTED_VALUE"""),376.76)</f>
        <v>376.76</v>
      </c>
      <c r="C483" s="1">
        <f ca="1">IFERROR(__xludf.DUMMYFUNCTION("""COMPUTED_VALUE"""),378.16)</f>
        <v>378.16</v>
      </c>
      <c r="D483" s="1">
        <f ca="1">IFERROR(__xludf.DUMMYFUNCTION("""COMPUTED_VALUE"""),371.31)</f>
        <v>371.31</v>
      </c>
      <c r="E483" s="1">
        <f ca="1">IFERROR(__xludf.DUMMYFUNCTION("""COMPUTED_VALUE"""),374.51)</f>
        <v>374.51</v>
      </c>
      <c r="F483" s="1">
        <f ca="1">IFERROR(__xludf.DUMMYFUNCTION("""COMPUTED_VALUE"""),33040472)</f>
        <v>33040472</v>
      </c>
    </row>
    <row r="484" spans="1:6" ht="12.6">
      <c r="A484" s="2">
        <f ca="1">IFERROR(__xludf.DUMMYFUNCTION("""COMPUTED_VALUE"""),45264.6666666666)</f>
        <v>45264.666666666599</v>
      </c>
      <c r="B484" s="1">
        <f ca="1">IFERROR(__xludf.DUMMYFUNCTION("""COMPUTED_VALUE"""),369.1)</f>
        <v>369.1</v>
      </c>
      <c r="C484" s="1">
        <f ca="1">IFERROR(__xludf.DUMMYFUNCTION("""COMPUTED_VALUE"""),369.52)</f>
        <v>369.52</v>
      </c>
      <c r="D484" s="1">
        <f ca="1">IFERROR(__xludf.DUMMYFUNCTION("""COMPUTED_VALUE"""),362.9)</f>
        <v>362.9</v>
      </c>
      <c r="E484" s="1">
        <f ca="1">IFERROR(__xludf.DUMMYFUNCTION("""COMPUTED_VALUE"""),369.14)</f>
        <v>369.14</v>
      </c>
      <c r="F484" s="1">
        <f ca="1">IFERROR(__xludf.DUMMYFUNCTION("""COMPUTED_VALUE"""),32063305)</f>
        <v>32063305</v>
      </c>
    </row>
    <row r="485" spans="1:6" ht="12.6">
      <c r="A485" s="2">
        <f ca="1">IFERROR(__xludf.DUMMYFUNCTION("""COMPUTED_VALUE"""),45265.6666666666)</f>
        <v>45265.666666666599</v>
      </c>
      <c r="B485" s="1">
        <f ca="1">IFERROR(__xludf.DUMMYFUNCTION("""COMPUTED_VALUE"""),366.45)</f>
        <v>366.45</v>
      </c>
      <c r="C485" s="1">
        <f ca="1">IFERROR(__xludf.DUMMYFUNCTION("""COMPUTED_VALUE"""),373.08)</f>
        <v>373.08</v>
      </c>
      <c r="D485" s="1">
        <f ca="1">IFERROR(__xludf.DUMMYFUNCTION("""COMPUTED_VALUE"""),365.62)</f>
        <v>365.62</v>
      </c>
      <c r="E485" s="1">
        <f ca="1">IFERROR(__xludf.DUMMYFUNCTION("""COMPUTED_VALUE"""),372.52)</f>
        <v>372.52</v>
      </c>
      <c r="F485" s="1">
        <f ca="1">IFERROR(__xludf.DUMMYFUNCTION("""COMPUTED_VALUE"""),23065035)</f>
        <v>23065035</v>
      </c>
    </row>
    <row r="486" spans="1:6" ht="12.6">
      <c r="A486" s="2">
        <f ca="1">IFERROR(__xludf.DUMMYFUNCTION("""COMPUTED_VALUE"""),45266.6666666666)</f>
        <v>45266.666666666599</v>
      </c>
      <c r="B486" s="1">
        <f ca="1">IFERROR(__xludf.DUMMYFUNCTION("""COMPUTED_VALUE"""),373.54)</f>
        <v>373.54</v>
      </c>
      <c r="C486" s="1">
        <f ca="1">IFERROR(__xludf.DUMMYFUNCTION("""COMPUTED_VALUE"""),374.18)</f>
        <v>374.18</v>
      </c>
      <c r="D486" s="1">
        <f ca="1">IFERROR(__xludf.DUMMYFUNCTION("""COMPUTED_VALUE"""),368.03)</f>
        <v>368.03</v>
      </c>
      <c r="E486" s="1">
        <f ca="1">IFERROR(__xludf.DUMMYFUNCTION("""COMPUTED_VALUE"""),368.8)</f>
        <v>368.8</v>
      </c>
      <c r="F486" s="1">
        <f ca="1">IFERROR(__xludf.DUMMYFUNCTION("""COMPUTED_VALUE"""),21182072)</f>
        <v>21182072</v>
      </c>
    </row>
    <row r="487" spans="1:6" ht="12.6">
      <c r="A487" s="2">
        <f ca="1">IFERROR(__xludf.DUMMYFUNCTION("""COMPUTED_VALUE"""),45267.6666666666)</f>
        <v>45267.666666666599</v>
      </c>
      <c r="B487" s="1">
        <f ca="1">IFERROR(__xludf.DUMMYFUNCTION("""COMPUTED_VALUE"""),368.23)</f>
        <v>368.23</v>
      </c>
      <c r="C487" s="1">
        <f ca="1">IFERROR(__xludf.DUMMYFUNCTION("""COMPUTED_VALUE"""),371.45)</f>
        <v>371.45</v>
      </c>
      <c r="D487" s="1">
        <f ca="1">IFERROR(__xludf.DUMMYFUNCTION("""COMPUTED_VALUE"""),366.32)</f>
        <v>366.32</v>
      </c>
      <c r="E487" s="1">
        <f ca="1">IFERROR(__xludf.DUMMYFUNCTION("""COMPUTED_VALUE"""),370.95)</f>
        <v>370.95</v>
      </c>
      <c r="F487" s="1">
        <f ca="1">IFERROR(__xludf.DUMMYFUNCTION("""COMPUTED_VALUE"""),23118864)</f>
        <v>23118864</v>
      </c>
    </row>
    <row r="488" spans="1:6" ht="12.6">
      <c r="A488" s="2">
        <f ca="1">IFERROR(__xludf.DUMMYFUNCTION("""COMPUTED_VALUE"""),45268.6666666666)</f>
        <v>45268.666666666599</v>
      </c>
      <c r="B488" s="1">
        <f ca="1">IFERROR(__xludf.DUMMYFUNCTION("""COMPUTED_VALUE"""),369.2)</f>
        <v>369.2</v>
      </c>
      <c r="C488" s="1">
        <f ca="1">IFERROR(__xludf.DUMMYFUNCTION("""COMPUTED_VALUE"""),374.46)</f>
        <v>374.46</v>
      </c>
      <c r="D488" s="1">
        <f ca="1">IFERROR(__xludf.DUMMYFUNCTION("""COMPUTED_VALUE"""),368.23)</f>
        <v>368.23</v>
      </c>
      <c r="E488" s="1">
        <f ca="1">IFERROR(__xludf.DUMMYFUNCTION("""COMPUTED_VALUE"""),374.23)</f>
        <v>374.23</v>
      </c>
      <c r="F488" s="1">
        <f ca="1">IFERROR(__xludf.DUMMYFUNCTION("""COMPUTED_VALUE"""),20154366)</f>
        <v>20154366</v>
      </c>
    </row>
    <row r="489" spans="1:6" ht="12.6">
      <c r="A489" s="2">
        <f ca="1">IFERROR(__xludf.DUMMYFUNCTION("""COMPUTED_VALUE"""),45271.6666666666)</f>
        <v>45271.666666666599</v>
      </c>
      <c r="B489" s="1">
        <f ca="1">IFERROR(__xludf.DUMMYFUNCTION("""COMPUTED_VALUE"""),368.48)</f>
        <v>368.48</v>
      </c>
      <c r="C489" s="1">
        <f ca="1">IFERROR(__xludf.DUMMYFUNCTION("""COMPUTED_VALUE"""),371.6)</f>
        <v>371.6</v>
      </c>
      <c r="D489" s="1">
        <f ca="1">IFERROR(__xludf.DUMMYFUNCTION("""COMPUTED_VALUE"""),366.1)</f>
        <v>366.1</v>
      </c>
      <c r="E489" s="1">
        <f ca="1">IFERROR(__xludf.DUMMYFUNCTION("""COMPUTED_VALUE"""),371.3)</f>
        <v>371.3</v>
      </c>
      <c r="F489" s="1">
        <f ca="1">IFERROR(__xludf.DUMMYFUNCTION("""COMPUTED_VALUE"""),27708757)</f>
        <v>27708757</v>
      </c>
    </row>
    <row r="490" spans="1:6" ht="12.6">
      <c r="A490" s="2">
        <f ca="1">IFERROR(__xludf.DUMMYFUNCTION("""COMPUTED_VALUE"""),45272.6666666666)</f>
        <v>45272.666666666599</v>
      </c>
      <c r="B490" s="1">
        <f ca="1">IFERROR(__xludf.DUMMYFUNCTION("""COMPUTED_VALUE"""),370.85)</f>
        <v>370.85</v>
      </c>
      <c r="C490" s="1">
        <f ca="1">IFERROR(__xludf.DUMMYFUNCTION("""COMPUTED_VALUE"""),374.42)</f>
        <v>374.42</v>
      </c>
      <c r="D490" s="1">
        <f ca="1">IFERROR(__xludf.DUMMYFUNCTION("""COMPUTED_VALUE"""),370.46)</f>
        <v>370.46</v>
      </c>
      <c r="E490" s="1">
        <f ca="1">IFERROR(__xludf.DUMMYFUNCTION("""COMPUTED_VALUE"""),374.38)</f>
        <v>374.38</v>
      </c>
      <c r="F490" s="1">
        <f ca="1">IFERROR(__xludf.DUMMYFUNCTION("""COMPUTED_VALUE"""),24838253)</f>
        <v>24838253</v>
      </c>
    </row>
    <row r="491" spans="1:6" ht="12.6">
      <c r="A491" s="2">
        <f ca="1">IFERROR(__xludf.DUMMYFUNCTION("""COMPUTED_VALUE"""),45273.6666666666)</f>
        <v>45273.666666666599</v>
      </c>
      <c r="B491" s="1">
        <f ca="1">IFERROR(__xludf.DUMMYFUNCTION("""COMPUTED_VALUE"""),376.02)</f>
        <v>376.02</v>
      </c>
      <c r="C491" s="1">
        <f ca="1">IFERROR(__xludf.DUMMYFUNCTION("""COMPUTED_VALUE"""),377.64)</f>
        <v>377.64</v>
      </c>
      <c r="D491" s="1">
        <f ca="1">IFERROR(__xludf.DUMMYFUNCTION("""COMPUTED_VALUE"""),370.77)</f>
        <v>370.77</v>
      </c>
      <c r="E491" s="1">
        <f ca="1">IFERROR(__xludf.DUMMYFUNCTION("""COMPUTED_VALUE"""),374.37)</f>
        <v>374.37</v>
      </c>
      <c r="F491" s="1">
        <f ca="1">IFERROR(__xludf.DUMMYFUNCTION("""COMPUTED_VALUE"""),30955531)</f>
        <v>30955531</v>
      </c>
    </row>
    <row r="492" spans="1:6" ht="12.6">
      <c r="A492" s="2">
        <f ca="1">IFERROR(__xludf.DUMMYFUNCTION("""COMPUTED_VALUE"""),45274.6666666666)</f>
        <v>45274.666666666599</v>
      </c>
      <c r="B492" s="1">
        <f ca="1">IFERROR(__xludf.DUMMYFUNCTION("""COMPUTED_VALUE"""),373.31)</f>
        <v>373.31</v>
      </c>
      <c r="C492" s="1">
        <f ca="1">IFERROR(__xludf.DUMMYFUNCTION("""COMPUTED_VALUE"""),373.76)</f>
        <v>373.76</v>
      </c>
      <c r="D492" s="1">
        <f ca="1">IFERROR(__xludf.DUMMYFUNCTION("""COMPUTED_VALUE"""),364.13)</f>
        <v>364.13</v>
      </c>
      <c r="E492" s="1">
        <f ca="1">IFERROR(__xludf.DUMMYFUNCTION("""COMPUTED_VALUE"""),365.93)</f>
        <v>365.93</v>
      </c>
      <c r="F492" s="1">
        <f ca="1">IFERROR(__xludf.DUMMYFUNCTION("""COMPUTED_VALUE"""),43277461)</f>
        <v>43277461</v>
      </c>
    </row>
    <row r="493" spans="1:6" ht="12.6">
      <c r="A493" s="2">
        <f ca="1">IFERROR(__xludf.DUMMYFUNCTION("""COMPUTED_VALUE"""),45275.6666666666)</f>
        <v>45275.666666666599</v>
      </c>
      <c r="B493" s="1">
        <f ca="1">IFERROR(__xludf.DUMMYFUNCTION("""COMPUTED_VALUE"""),366.85)</f>
        <v>366.85</v>
      </c>
      <c r="C493" s="1">
        <f ca="1">IFERROR(__xludf.DUMMYFUNCTION("""COMPUTED_VALUE"""),372.4)</f>
        <v>372.4</v>
      </c>
      <c r="D493" s="1">
        <f ca="1">IFERROR(__xludf.DUMMYFUNCTION("""COMPUTED_VALUE"""),366.28)</f>
        <v>366.28</v>
      </c>
      <c r="E493" s="1">
        <f ca="1">IFERROR(__xludf.DUMMYFUNCTION("""COMPUTED_VALUE"""),370.73)</f>
        <v>370.73</v>
      </c>
      <c r="F493" s="1">
        <f ca="1">IFERROR(__xludf.DUMMYFUNCTION("""COMPUTED_VALUE"""),78502324)</f>
        <v>78502324</v>
      </c>
    </row>
    <row r="494" spans="1:6" ht="12.6">
      <c r="A494" s="2">
        <f ca="1">IFERROR(__xludf.DUMMYFUNCTION("""COMPUTED_VALUE"""),45278.6666666666)</f>
        <v>45278.666666666599</v>
      </c>
      <c r="B494" s="1">
        <f ca="1">IFERROR(__xludf.DUMMYFUNCTION("""COMPUTED_VALUE"""),369.45)</f>
        <v>369.45</v>
      </c>
      <c r="C494" s="1">
        <f ca="1">IFERROR(__xludf.DUMMYFUNCTION("""COMPUTED_VALUE"""),373)</f>
        <v>373</v>
      </c>
      <c r="D494" s="1">
        <f ca="1">IFERROR(__xludf.DUMMYFUNCTION("""COMPUTED_VALUE"""),368.68)</f>
        <v>368.68</v>
      </c>
      <c r="E494" s="1">
        <f ca="1">IFERROR(__xludf.DUMMYFUNCTION("""COMPUTED_VALUE"""),372.65)</f>
        <v>372.65</v>
      </c>
      <c r="F494" s="1">
        <f ca="1">IFERROR(__xludf.DUMMYFUNCTION("""COMPUTED_VALUE"""),21802878)</f>
        <v>21802878</v>
      </c>
    </row>
    <row r="495" spans="1:6" ht="12.6">
      <c r="A495" s="2">
        <f ca="1">IFERROR(__xludf.DUMMYFUNCTION("""COMPUTED_VALUE"""),45279.6666666666)</f>
        <v>45279.666666666599</v>
      </c>
      <c r="B495" s="1">
        <f ca="1">IFERROR(__xludf.DUMMYFUNCTION("""COMPUTED_VALUE"""),371.49)</f>
        <v>371.49</v>
      </c>
      <c r="C495" s="1">
        <f ca="1">IFERROR(__xludf.DUMMYFUNCTION("""COMPUTED_VALUE"""),373.26)</f>
        <v>373.26</v>
      </c>
      <c r="D495" s="1">
        <f ca="1">IFERROR(__xludf.DUMMYFUNCTION("""COMPUTED_VALUE"""),369.84)</f>
        <v>369.84</v>
      </c>
      <c r="E495" s="1">
        <f ca="1">IFERROR(__xludf.DUMMYFUNCTION("""COMPUTED_VALUE"""),373.26)</f>
        <v>373.26</v>
      </c>
      <c r="F495" s="1">
        <f ca="1">IFERROR(__xludf.DUMMYFUNCTION("""COMPUTED_VALUE"""),20603658)</f>
        <v>20603658</v>
      </c>
    </row>
    <row r="496" spans="1:6" ht="12.6">
      <c r="A496" s="2">
        <f ca="1">IFERROR(__xludf.DUMMYFUNCTION("""COMPUTED_VALUE"""),45280.6666666666)</f>
        <v>45280.666666666599</v>
      </c>
      <c r="B496" s="1">
        <f ca="1">IFERROR(__xludf.DUMMYFUNCTION("""COMPUTED_VALUE"""),375)</f>
        <v>375</v>
      </c>
      <c r="C496" s="1">
        <f ca="1">IFERROR(__xludf.DUMMYFUNCTION("""COMPUTED_VALUE"""),376.03)</f>
        <v>376.03</v>
      </c>
      <c r="D496" s="1">
        <f ca="1">IFERROR(__xludf.DUMMYFUNCTION("""COMPUTED_VALUE"""),370.53)</f>
        <v>370.53</v>
      </c>
      <c r="E496" s="1">
        <f ca="1">IFERROR(__xludf.DUMMYFUNCTION("""COMPUTED_VALUE"""),370.62)</f>
        <v>370.62</v>
      </c>
      <c r="F496" s="1">
        <f ca="1">IFERROR(__xludf.DUMMYFUNCTION("""COMPUTED_VALUE"""),26316650)</f>
        <v>26316650</v>
      </c>
    </row>
    <row r="497" spans="1:6" ht="12.6">
      <c r="A497" s="2">
        <f ca="1">IFERROR(__xludf.DUMMYFUNCTION("""COMPUTED_VALUE"""),45281.6666666666)</f>
        <v>45281.666666666599</v>
      </c>
      <c r="B497" s="1">
        <f ca="1">IFERROR(__xludf.DUMMYFUNCTION("""COMPUTED_VALUE"""),372.56)</f>
        <v>372.56</v>
      </c>
      <c r="C497" s="1">
        <f ca="1">IFERROR(__xludf.DUMMYFUNCTION("""COMPUTED_VALUE"""),374.41)</f>
        <v>374.41</v>
      </c>
      <c r="D497" s="1">
        <f ca="1">IFERROR(__xludf.DUMMYFUNCTION("""COMPUTED_VALUE"""),370.04)</f>
        <v>370.04</v>
      </c>
      <c r="E497" s="1">
        <f ca="1">IFERROR(__xludf.DUMMYFUNCTION("""COMPUTED_VALUE"""),373.54)</f>
        <v>373.54</v>
      </c>
      <c r="F497" s="1">
        <f ca="1">IFERROR(__xludf.DUMMYFUNCTION("""COMPUTED_VALUE"""),17708006)</f>
        <v>17708006</v>
      </c>
    </row>
    <row r="498" spans="1:6" ht="12.6">
      <c r="A498" s="2">
        <f ca="1">IFERROR(__xludf.DUMMYFUNCTION("""COMPUTED_VALUE"""),45282.6666666666)</f>
        <v>45282.666666666599</v>
      </c>
      <c r="B498" s="1">
        <f ca="1">IFERROR(__xludf.DUMMYFUNCTION("""COMPUTED_VALUE"""),373.68)</f>
        <v>373.68</v>
      </c>
      <c r="C498" s="1">
        <f ca="1">IFERROR(__xludf.DUMMYFUNCTION("""COMPUTED_VALUE"""),375.18)</f>
        <v>375.18</v>
      </c>
      <c r="D498" s="1">
        <f ca="1">IFERROR(__xludf.DUMMYFUNCTION("""COMPUTED_VALUE"""),372.71)</f>
        <v>372.71</v>
      </c>
      <c r="E498" s="1">
        <f ca="1">IFERROR(__xludf.DUMMYFUNCTION("""COMPUTED_VALUE"""),374.58)</f>
        <v>374.58</v>
      </c>
      <c r="F498" s="1">
        <f ca="1">IFERROR(__xludf.DUMMYFUNCTION("""COMPUTED_VALUE"""),17107484)</f>
        <v>17107484</v>
      </c>
    </row>
    <row r="499" spans="1:6" ht="12.6">
      <c r="A499" s="2">
        <f ca="1">IFERROR(__xludf.DUMMYFUNCTION("""COMPUTED_VALUE"""),45286.6666666666)</f>
        <v>45286.666666666599</v>
      </c>
      <c r="B499" s="1">
        <f ca="1">IFERROR(__xludf.DUMMYFUNCTION("""COMPUTED_VALUE"""),375)</f>
        <v>375</v>
      </c>
      <c r="C499" s="1">
        <f ca="1">IFERROR(__xludf.DUMMYFUNCTION("""COMPUTED_VALUE"""),376.94)</f>
        <v>376.94</v>
      </c>
      <c r="D499" s="1">
        <f ca="1">IFERROR(__xludf.DUMMYFUNCTION("""COMPUTED_VALUE"""),373.5)</f>
        <v>373.5</v>
      </c>
      <c r="E499" s="1">
        <f ca="1">IFERROR(__xludf.DUMMYFUNCTION("""COMPUTED_VALUE"""),374.66)</f>
        <v>374.66</v>
      </c>
      <c r="F499" s="1">
        <f ca="1">IFERROR(__xludf.DUMMYFUNCTION("""COMPUTED_VALUE"""),12673050)</f>
        <v>12673050</v>
      </c>
    </row>
    <row r="500" spans="1:6" ht="12.6">
      <c r="A500" s="2">
        <f ca="1">IFERROR(__xludf.DUMMYFUNCTION("""COMPUTED_VALUE"""),45287.6666666666)</f>
        <v>45287.666666666599</v>
      </c>
      <c r="B500" s="1">
        <f ca="1">IFERROR(__xludf.DUMMYFUNCTION("""COMPUTED_VALUE"""),373.69)</f>
        <v>373.69</v>
      </c>
      <c r="C500" s="1">
        <f ca="1">IFERROR(__xludf.DUMMYFUNCTION("""COMPUTED_VALUE"""),375.06)</f>
        <v>375.06</v>
      </c>
      <c r="D500" s="1">
        <f ca="1">IFERROR(__xludf.DUMMYFUNCTION("""COMPUTED_VALUE"""),372.81)</f>
        <v>372.81</v>
      </c>
      <c r="E500" s="1">
        <f ca="1">IFERROR(__xludf.DUMMYFUNCTION("""COMPUTED_VALUE"""),374.07)</f>
        <v>374.07</v>
      </c>
      <c r="F500" s="1">
        <f ca="1">IFERROR(__xludf.DUMMYFUNCTION("""COMPUTED_VALUE"""),14905412)</f>
        <v>14905412</v>
      </c>
    </row>
    <row r="501" spans="1:6" ht="12.6">
      <c r="A501" s="2">
        <f ca="1">IFERROR(__xludf.DUMMYFUNCTION("""COMPUTED_VALUE"""),45288.6666666666)</f>
        <v>45288.666666666599</v>
      </c>
      <c r="B501" s="1">
        <f ca="1">IFERROR(__xludf.DUMMYFUNCTION("""COMPUTED_VALUE"""),375.37)</f>
        <v>375.37</v>
      </c>
      <c r="C501" s="1">
        <f ca="1">IFERROR(__xludf.DUMMYFUNCTION("""COMPUTED_VALUE"""),376.46)</f>
        <v>376.46</v>
      </c>
      <c r="D501" s="1">
        <f ca="1">IFERROR(__xludf.DUMMYFUNCTION("""COMPUTED_VALUE"""),374.16)</f>
        <v>374.16</v>
      </c>
      <c r="E501" s="1">
        <f ca="1">IFERROR(__xludf.DUMMYFUNCTION("""COMPUTED_VALUE"""),375.28)</f>
        <v>375.28</v>
      </c>
      <c r="F501" s="1">
        <f ca="1">IFERROR(__xludf.DUMMYFUNCTION("""COMPUTED_VALUE"""),14327013)</f>
        <v>14327013</v>
      </c>
    </row>
    <row r="502" spans="1:6" ht="12.6">
      <c r="A502" s="2">
        <f ca="1">IFERROR(__xludf.DUMMYFUNCTION("""COMPUTED_VALUE"""),45289.6666666666)</f>
        <v>45289.666666666599</v>
      </c>
      <c r="B502" s="1">
        <f ca="1">IFERROR(__xludf.DUMMYFUNCTION("""COMPUTED_VALUE"""),376)</f>
        <v>376</v>
      </c>
      <c r="C502" s="1">
        <f ca="1">IFERROR(__xludf.DUMMYFUNCTION("""COMPUTED_VALUE"""),377.16)</f>
        <v>377.16</v>
      </c>
      <c r="D502" s="1">
        <f ca="1">IFERROR(__xludf.DUMMYFUNCTION("""COMPUTED_VALUE"""),373.48)</f>
        <v>373.48</v>
      </c>
      <c r="E502" s="1">
        <f ca="1">IFERROR(__xludf.DUMMYFUNCTION("""COMPUTED_VALUE"""),376.04)</f>
        <v>376.04</v>
      </c>
      <c r="F502" s="1">
        <f ca="1">IFERROR(__xludf.DUMMYFUNCTION("""COMPUTED_VALUE"""),18730838)</f>
        <v>18730838</v>
      </c>
    </row>
    <row r="503" spans="1:6" ht="12.6">
      <c r="A503" s="2">
        <f ca="1">IFERROR(__xludf.DUMMYFUNCTION("""COMPUTED_VALUE"""),45293.6666666666)</f>
        <v>45293.666666666599</v>
      </c>
      <c r="B503" s="1">
        <f ca="1">IFERROR(__xludf.DUMMYFUNCTION("""COMPUTED_VALUE"""),373.86)</f>
        <v>373.86</v>
      </c>
      <c r="C503" s="1">
        <f ca="1">IFERROR(__xludf.DUMMYFUNCTION("""COMPUTED_VALUE"""),375.9)</f>
        <v>375.9</v>
      </c>
      <c r="D503" s="1">
        <f ca="1">IFERROR(__xludf.DUMMYFUNCTION("""COMPUTED_VALUE"""),366.77)</f>
        <v>366.77</v>
      </c>
      <c r="E503" s="1">
        <f ca="1">IFERROR(__xludf.DUMMYFUNCTION("""COMPUTED_VALUE"""),370.87)</f>
        <v>370.87</v>
      </c>
      <c r="F503" s="1">
        <f ca="1">IFERROR(__xludf.DUMMYFUNCTION("""COMPUTED_VALUE"""),25258633)</f>
        <v>25258633</v>
      </c>
    </row>
    <row r="504" spans="1:6" ht="12.6">
      <c r="A504" s="2">
        <f ca="1">IFERROR(__xludf.DUMMYFUNCTION("""COMPUTED_VALUE"""),45294.6666666666)</f>
        <v>45294.666666666599</v>
      </c>
      <c r="B504" s="1">
        <f ca="1">IFERROR(__xludf.DUMMYFUNCTION("""COMPUTED_VALUE"""),369.01)</f>
        <v>369.01</v>
      </c>
      <c r="C504" s="1">
        <f ca="1">IFERROR(__xludf.DUMMYFUNCTION("""COMPUTED_VALUE"""),373.26)</f>
        <v>373.26</v>
      </c>
      <c r="D504" s="1">
        <f ca="1">IFERROR(__xludf.DUMMYFUNCTION("""COMPUTED_VALUE"""),368.51)</f>
        <v>368.51</v>
      </c>
      <c r="E504" s="1">
        <f ca="1">IFERROR(__xludf.DUMMYFUNCTION("""COMPUTED_VALUE"""),370.6)</f>
        <v>370.6</v>
      </c>
      <c r="F504" s="1">
        <f ca="1">IFERROR(__xludf.DUMMYFUNCTION("""COMPUTED_VALUE"""),23083465)</f>
        <v>23083465</v>
      </c>
    </row>
    <row r="505" spans="1:6" ht="12.6">
      <c r="A505" s="2">
        <f ca="1">IFERROR(__xludf.DUMMYFUNCTION("""COMPUTED_VALUE"""),45295.6666666666)</f>
        <v>45295.666666666599</v>
      </c>
      <c r="B505" s="1">
        <f ca="1">IFERROR(__xludf.DUMMYFUNCTION("""COMPUTED_VALUE"""),370.67)</f>
        <v>370.67</v>
      </c>
      <c r="C505" s="1">
        <f ca="1">IFERROR(__xludf.DUMMYFUNCTION("""COMPUTED_VALUE"""),373.1)</f>
        <v>373.1</v>
      </c>
      <c r="D505" s="1">
        <f ca="1">IFERROR(__xludf.DUMMYFUNCTION("""COMPUTED_VALUE"""),367.17)</f>
        <v>367.17</v>
      </c>
      <c r="E505" s="1">
        <f ca="1">IFERROR(__xludf.DUMMYFUNCTION("""COMPUTED_VALUE"""),367.94)</f>
        <v>367.94</v>
      </c>
      <c r="F505" s="1">
        <f ca="1">IFERROR(__xludf.DUMMYFUNCTION("""COMPUTED_VALUE"""),20901502)</f>
        <v>20901502</v>
      </c>
    </row>
    <row r="506" spans="1:6" ht="12.6">
      <c r="A506" s="2">
        <f ca="1">IFERROR(__xludf.DUMMYFUNCTION("""COMPUTED_VALUE"""),45296.6666666666)</f>
        <v>45296.666666666599</v>
      </c>
      <c r="B506" s="1">
        <f ca="1">IFERROR(__xludf.DUMMYFUNCTION("""COMPUTED_VALUE"""),368.97)</f>
        <v>368.97</v>
      </c>
      <c r="C506" s="1">
        <f ca="1">IFERROR(__xludf.DUMMYFUNCTION("""COMPUTED_VALUE"""),372.06)</f>
        <v>372.06</v>
      </c>
      <c r="D506" s="1">
        <f ca="1">IFERROR(__xludf.DUMMYFUNCTION("""COMPUTED_VALUE"""),366.5)</f>
        <v>366.5</v>
      </c>
      <c r="E506" s="1">
        <f ca="1">IFERROR(__xludf.DUMMYFUNCTION("""COMPUTED_VALUE"""),367.75)</f>
        <v>367.75</v>
      </c>
      <c r="F506" s="1">
        <f ca="1">IFERROR(__xludf.DUMMYFUNCTION("""COMPUTED_VALUE"""),21004575)</f>
        <v>21004575</v>
      </c>
    </row>
    <row r="507" spans="1:6" ht="12.6">
      <c r="A507" s="2">
        <f ca="1">IFERROR(__xludf.DUMMYFUNCTION("""COMPUTED_VALUE"""),45299.6666666666)</f>
        <v>45299.666666666599</v>
      </c>
      <c r="B507" s="1">
        <f ca="1">IFERROR(__xludf.DUMMYFUNCTION("""COMPUTED_VALUE"""),369.3)</f>
        <v>369.3</v>
      </c>
      <c r="C507" s="1">
        <f ca="1">IFERROR(__xludf.DUMMYFUNCTION("""COMPUTED_VALUE"""),375.2)</f>
        <v>375.2</v>
      </c>
      <c r="D507" s="1">
        <f ca="1">IFERROR(__xludf.DUMMYFUNCTION("""COMPUTED_VALUE"""),369.01)</f>
        <v>369.01</v>
      </c>
      <c r="E507" s="1">
        <f ca="1">IFERROR(__xludf.DUMMYFUNCTION("""COMPUTED_VALUE"""),374.69)</f>
        <v>374.69</v>
      </c>
      <c r="F507" s="1">
        <f ca="1">IFERROR(__xludf.DUMMYFUNCTION("""COMPUTED_VALUE"""),23133967)</f>
        <v>23133967</v>
      </c>
    </row>
    <row r="508" spans="1:6" ht="12.6">
      <c r="A508" s="2">
        <f ca="1">IFERROR(__xludf.DUMMYFUNCTION("""COMPUTED_VALUE"""),45300.6666666666)</f>
        <v>45300.666666666599</v>
      </c>
      <c r="B508" s="1">
        <f ca="1">IFERROR(__xludf.DUMMYFUNCTION("""COMPUTED_VALUE"""),372.01)</f>
        <v>372.01</v>
      </c>
      <c r="C508" s="1">
        <f ca="1">IFERROR(__xludf.DUMMYFUNCTION("""COMPUTED_VALUE"""),375.99)</f>
        <v>375.99</v>
      </c>
      <c r="D508" s="1">
        <f ca="1">IFERROR(__xludf.DUMMYFUNCTION("""COMPUTED_VALUE"""),371.19)</f>
        <v>371.19</v>
      </c>
      <c r="E508" s="1">
        <f ca="1">IFERROR(__xludf.DUMMYFUNCTION("""COMPUTED_VALUE"""),375.79)</f>
        <v>375.79</v>
      </c>
      <c r="F508" s="1">
        <f ca="1">IFERROR(__xludf.DUMMYFUNCTION("""COMPUTED_VALUE"""),20829953)</f>
        <v>20829953</v>
      </c>
    </row>
    <row r="509" spans="1:6" ht="12.6">
      <c r="A509" s="2">
        <f ca="1">IFERROR(__xludf.DUMMYFUNCTION("""COMPUTED_VALUE"""),45301.6666666666)</f>
        <v>45301.666666666599</v>
      </c>
      <c r="B509" s="1">
        <f ca="1">IFERROR(__xludf.DUMMYFUNCTION("""COMPUTED_VALUE"""),376.37)</f>
        <v>376.37</v>
      </c>
      <c r="C509" s="1">
        <f ca="1">IFERROR(__xludf.DUMMYFUNCTION("""COMPUTED_VALUE"""),384.17)</f>
        <v>384.17</v>
      </c>
      <c r="D509" s="1">
        <f ca="1">IFERROR(__xludf.DUMMYFUNCTION("""COMPUTED_VALUE"""),376.32)</f>
        <v>376.32</v>
      </c>
      <c r="E509" s="1">
        <f ca="1">IFERROR(__xludf.DUMMYFUNCTION("""COMPUTED_VALUE"""),382.77)</f>
        <v>382.77</v>
      </c>
      <c r="F509" s="1">
        <f ca="1">IFERROR(__xludf.DUMMYFUNCTION("""COMPUTED_VALUE"""),25514245)</f>
        <v>25514245</v>
      </c>
    </row>
    <row r="510" spans="1:6" ht="12.6">
      <c r="A510" s="2">
        <f ca="1">IFERROR(__xludf.DUMMYFUNCTION("""COMPUTED_VALUE"""),45302.6666666666)</f>
        <v>45302.666666666599</v>
      </c>
      <c r="B510" s="1">
        <f ca="1">IFERROR(__xludf.DUMMYFUNCTION("""COMPUTED_VALUE"""),386)</f>
        <v>386</v>
      </c>
      <c r="C510" s="1">
        <f ca="1">IFERROR(__xludf.DUMMYFUNCTION("""COMPUTED_VALUE"""),390.68)</f>
        <v>390.68</v>
      </c>
      <c r="D510" s="1">
        <f ca="1">IFERROR(__xludf.DUMMYFUNCTION("""COMPUTED_VALUE"""),380.38)</f>
        <v>380.38</v>
      </c>
      <c r="E510" s="1">
        <f ca="1">IFERROR(__xludf.DUMMYFUNCTION("""COMPUTED_VALUE"""),384.63)</f>
        <v>384.63</v>
      </c>
      <c r="F510" s="1">
        <f ca="1">IFERROR(__xludf.DUMMYFUNCTION("""COMPUTED_VALUE"""),27850846)</f>
        <v>27850846</v>
      </c>
    </row>
    <row r="511" spans="1:6" ht="12.6">
      <c r="A511" s="2">
        <f ca="1">IFERROR(__xludf.DUMMYFUNCTION("""COMPUTED_VALUE"""),45303.6666666666)</f>
        <v>45303.666666666599</v>
      </c>
      <c r="B511" s="1">
        <f ca="1">IFERROR(__xludf.DUMMYFUNCTION("""COMPUTED_VALUE"""),385.49)</f>
        <v>385.49</v>
      </c>
      <c r="C511" s="1">
        <f ca="1">IFERROR(__xludf.DUMMYFUNCTION("""COMPUTED_VALUE"""),388.68)</f>
        <v>388.68</v>
      </c>
      <c r="D511" s="1">
        <f ca="1">IFERROR(__xludf.DUMMYFUNCTION("""COMPUTED_VALUE"""),384.65)</f>
        <v>384.65</v>
      </c>
      <c r="E511" s="1">
        <f ca="1">IFERROR(__xludf.DUMMYFUNCTION("""COMPUTED_VALUE"""),388.47)</f>
        <v>388.47</v>
      </c>
      <c r="F511" s="1">
        <f ca="1">IFERROR(__xludf.DUMMYFUNCTION("""COMPUTED_VALUE"""),21661153)</f>
        <v>21661153</v>
      </c>
    </row>
    <row r="512" spans="1:6" ht="12.6">
      <c r="A512" s="2">
        <f ca="1">IFERROR(__xludf.DUMMYFUNCTION("""COMPUTED_VALUE"""),45307.6666666666)</f>
        <v>45307.666666666599</v>
      </c>
      <c r="B512" s="1">
        <f ca="1">IFERROR(__xludf.DUMMYFUNCTION("""COMPUTED_VALUE"""),393.66)</f>
        <v>393.66</v>
      </c>
      <c r="C512" s="1">
        <f ca="1">IFERROR(__xludf.DUMMYFUNCTION("""COMPUTED_VALUE"""),394.03)</f>
        <v>394.03</v>
      </c>
      <c r="D512" s="1">
        <f ca="1">IFERROR(__xludf.DUMMYFUNCTION("""COMPUTED_VALUE"""),387.62)</f>
        <v>387.62</v>
      </c>
      <c r="E512" s="1">
        <f ca="1">IFERROR(__xludf.DUMMYFUNCTION("""COMPUTED_VALUE"""),390.27)</f>
        <v>390.27</v>
      </c>
      <c r="F512" s="1">
        <f ca="1">IFERROR(__xludf.DUMMYFUNCTION("""COMPUTED_VALUE"""),27202268)</f>
        <v>27202268</v>
      </c>
    </row>
    <row r="513" spans="1:6" ht="12.6">
      <c r="A513" s="2">
        <f ca="1">IFERROR(__xludf.DUMMYFUNCTION("""COMPUTED_VALUE"""),45308.6666666666)</f>
        <v>45308.666666666599</v>
      </c>
      <c r="B513" s="1">
        <f ca="1">IFERROR(__xludf.DUMMYFUNCTION("""COMPUTED_VALUE"""),387.98)</f>
        <v>387.98</v>
      </c>
      <c r="C513" s="1">
        <f ca="1">IFERROR(__xludf.DUMMYFUNCTION("""COMPUTED_VALUE"""),390.11)</f>
        <v>390.11</v>
      </c>
      <c r="D513" s="1">
        <f ca="1">IFERROR(__xludf.DUMMYFUNCTION("""COMPUTED_VALUE"""),384.81)</f>
        <v>384.81</v>
      </c>
      <c r="E513" s="1">
        <f ca="1">IFERROR(__xludf.DUMMYFUNCTION("""COMPUTED_VALUE"""),389.47)</f>
        <v>389.47</v>
      </c>
      <c r="F513" s="1">
        <f ca="1">IFERROR(__xludf.DUMMYFUNCTION("""COMPUTED_VALUE"""),22234108)</f>
        <v>22234108</v>
      </c>
    </row>
    <row r="514" spans="1:6" ht="12.6">
      <c r="A514" s="2">
        <f ca="1">IFERROR(__xludf.DUMMYFUNCTION("""COMPUTED_VALUE"""),45309.6666666666)</f>
        <v>45309.666666666599</v>
      </c>
      <c r="B514" s="1">
        <f ca="1">IFERROR(__xludf.DUMMYFUNCTION("""COMPUTED_VALUE"""),391.72)</f>
        <v>391.72</v>
      </c>
      <c r="C514" s="1">
        <f ca="1">IFERROR(__xludf.DUMMYFUNCTION("""COMPUTED_VALUE"""),393.99)</f>
        <v>393.99</v>
      </c>
      <c r="D514" s="1">
        <f ca="1">IFERROR(__xludf.DUMMYFUNCTION("""COMPUTED_VALUE"""),390.12)</f>
        <v>390.12</v>
      </c>
      <c r="E514" s="1">
        <f ca="1">IFERROR(__xludf.DUMMYFUNCTION("""COMPUTED_VALUE"""),393.87)</f>
        <v>393.87</v>
      </c>
      <c r="F514" s="1">
        <f ca="1">IFERROR(__xludf.DUMMYFUNCTION("""COMPUTED_VALUE"""),23392068)</f>
        <v>23392068</v>
      </c>
    </row>
    <row r="515" spans="1:6" ht="12.6">
      <c r="A515" s="2">
        <f ca="1">IFERROR(__xludf.DUMMYFUNCTION("""COMPUTED_VALUE"""),45310.6666666666)</f>
        <v>45310.666666666599</v>
      </c>
      <c r="B515" s="1">
        <f ca="1">IFERROR(__xludf.DUMMYFUNCTION("""COMPUTED_VALUE"""),395.76)</f>
        <v>395.76</v>
      </c>
      <c r="C515" s="1">
        <f ca="1">IFERROR(__xludf.DUMMYFUNCTION("""COMPUTED_VALUE"""),398.67)</f>
        <v>398.67</v>
      </c>
      <c r="D515" s="1">
        <f ca="1">IFERROR(__xludf.DUMMYFUNCTION("""COMPUTED_VALUE"""),393.5)</f>
        <v>393.5</v>
      </c>
      <c r="E515" s="1">
        <f ca="1">IFERROR(__xludf.DUMMYFUNCTION("""COMPUTED_VALUE"""),398.67)</f>
        <v>398.67</v>
      </c>
      <c r="F515" s="1">
        <f ca="1">IFERROR(__xludf.DUMMYFUNCTION("""COMPUTED_VALUE"""),29331136)</f>
        <v>29331136</v>
      </c>
    </row>
    <row r="516" spans="1:6" ht="12.6">
      <c r="A516" s="2">
        <f ca="1">IFERROR(__xludf.DUMMYFUNCTION("""COMPUTED_VALUE"""),45313.6666666666)</f>
        <v>45313.666666666599</v>
      </c>
      <c r="B516" s="1">
        <f ca="1">IFERROR(__xludf.DUMMYFUNCTION("""COMPUTED_VALUE"""),400.02)</f>
        <v>400.02</v>
      </c>
      <c r="C516" s="1">
        <f ca="1">IFERROR(__xludf.DUMMYFUNCTION("""COMPUTED_VALUE"""),400.62)</f>
        <v>400.62</v>
      </c>
      <c r="D516" s="1">
        <f ca="1">IFERROR(__xludf.DUMMYFUNCTION("""COMPUTED_VALUE"""),393.59)</f>
        <v>393.59</v>
      </c>
      <c r="E516" s="1">
        <f ca="1">IFERROR(__xludf.DUMMYFUNCTION("""COMPUTED_VALUE"""),396.51)</f>
        <v>396.51</v>
      </c>
      <c r="F516" s="1">
        <f ca="1">IFERROR(__xludf.DUMMYFUNCTION("""COMPUTED_VALUE"""),27016902)</f>
        <v>27016902</v>
      </c>
    </row>
    <row r="517" spans="1:6" ht="12.6">
      <c r="A517" s="2">
        <f ca="1">IFERROR(__xludf.DUMMYFUNCTION("""COMPUTED_VALUE"""),45314.6666666666)</f>
        <v>45314.666666666599</v>
      </c>
      <c r="B517" s="1">
        <f ca="1">IFERROR(__xludf.DUMMYFUNCTION("""COMPUTED_VALUE"""),395.75)</f>
        <v>395.75</v>
      </c>
      <c r="C517" s="1">
        <f ca="1">IFERROR(__xludf.DUMMYFUNCTION("""COMPUTED_VALUE"""),399.38)</f>
        <v>399.38</v>
      </c>
      <c r="D517" s="1">
        <f ca="1">IFERROR(__xludf.DUMMYFUNCTION("""COMPUTED_VALUE"""),393.93)</f>
        <v>393.93</v>
      </c>
      <c r="E517" s="1">
        <f ca="1">IFERROR(__xludf.DUMMYFUNCTION("""COMPUTED_VALUE"""),398.9)</f>
        <v>398.9</v>
      </c>
      <c r="F517" s="1">
        <f ca="1">IFERROR(__xludf.DUMMYFUNCTION("""COMPUTED_VALUE"""),20525882)</f>
        <v>20525882</v>
      </c>
    </row>
    <row r="518" spans="1:6" ht="12.6">
      <c r="A518" s="2">
        <f ca="1">IFERROR(__xludf.DUMMYFUNCTION("""COMPUTED_VALUE"""),45315.6666666666)</f>
        <v>45315.666666666599</v>
      </c>
      <c r="B518" s="1">
        <f ca="1">IFERROR(__xludf.DUMMYFUNCTION("""COMPUTED_VALUE"""),401.54)</f>
        <v>401.54</v>
      </c>
      <c r="C518" s="1">
        <f ca="1">IFERROR(__xludf.DUMMYFUNCTION("""COMPUTED_VALUE"""),405.63)</f>
        <v>405.63</v>
      </c>
      <c r="D518" s="1">
        <f ca="1">IFERROR(__xludf.DUMMYFUNCTION("""COMPUTED_VALUE"""),400.45)</f>
        <v>400.45</v>
      </c>
      <c r="E518" s="1">
        <f ca="1">IFERROR(__xludf.DUMMYFUNCTION("""COMPUTED_VALUE"""),402.56)</f>
        <v>402.56</v>
      </c>
      <c r="F518" s="1">
        <f ca="1">IFERROR(__xludf.DUMMYFUNCTION("""COMPUTED_VALUE"""),24866953)</f>
        <v>24866953</v>
      </c>
    </row>
    <row r="519" spans="1:6" ht="12.6">
      <c r="A519" s="2">
        <f ca="1">IFERROR(__xludf.DUMMYFUNCTION("""COMPUTED_VALUE"""),45316.6666666666)</f>
        <v>45316.666666666599</v>
      </c>
      <c r="B519" s="1">
        <f ca="1">IFERROR(__xludf.DUMMYFUNCTION("""COMPUTED_VALUE"""),404.32)</f>
        <v>404.32</v>
      </c>
      <c r="C519" s="1">
        <f ca="1">IFERROR(__xludf.DUMMYFUNCTION("""COMPUTED_VALUE"""),407.01)</f>
        <v>407.01</v>
      </c>
      <c r="D519" s="1">
        <f ca="1">IFERROR(__xludf.DUMMYFUNCTION("""COMPUTED_VALUE"""),402.53)</f>
        <v>402.53</v>
      </c>
      <c r="E519" s="1">
        <f ca="1">IFERROR(__xludf.DUMMYFUNCTION("""COMPUTED_VALUE"""),404.87)</f>
        <v>404.87</v>
      </c>
      <c r="F519" s="1">
        <f ca="1">IFERROR(__xludf.DUMMYFUNCTION("""COMPUTED_VALUE"""),21021155)</f>
        <v>21021155</v>
      </c>
    </row>
    <row r="520" spans="1:6" ht="12.6">
      <c r="A520" s="2">
        <f ca="1">IFERROR(__xludf.DUMMYFUNCTION("""COMPUTED_VALUE"""),45317.6666666666)</f>
        <v>45317.666666666599</v>
      </c>
      <c r="B520" s="1">
        <f ca="1">IFERROR(__xludf.DUMMYFUNCTION("""COMPUTED_VALUE"""),404.37)</f>
        <v>404.37</v>
      </c>
      <c r="C520" s="1">
        <f ca="1">IFERROR(__xludf.DUMMYFUNCTION("""COMPUTED_VALUE"""),406.17)</f>
        <v>406.17</v>
      </c>
      <c r="D520" s="1">
        <f ca="1">IFERROR(__xludf.DUMMYFUNCTION("""COMPUTED_VALUE"""),402.43)</f>
        <v>402.43</v>
      </c>
      <c r="E520" s="1">
        <f ca="1">IFERROR(__xludf.DUMMYFUNCTION("""COMPUTED_VALUE"""),403.93)</f>
        <v>403.93</v>
      </c>
      <c r="F520" s="1">
        <f ca="1">IFERROR(__xludf.DUMMYFUNCTION("""COMPUTED_VALUE"""),17803271)</f>
        <v>17803271</v>
      </c>
    </row>
    <row r="521" spans="1:6" ht="12.6">
      <c r="A521" s="2">
        <f ca="1">IFERROR(__xludf.DUMMYFUNCTION("""COMPUTED_VALUE"""),45320.6666666666)</f>
        <v>45320.666666666599</v>
      </c>
      <c r="B521" s="1">
        <f ca="1">IFERROR(__xludf.DUMMYFUNCTION("""COMPUTED_VALUE"""),406.06)</f>
        <v>406.06</v>
      </c>
      <c r="C521" s="1">
        <f ca="1">IFERROR(__xludf.DUMMYFUNCTION("""COMPUTED_VALUE"""),409.98)</f>
        <v>409.98</v>
      </c>
      <c r="D521" s="1">
        <f ca="1">IFERROR(__xludf.DUMMYFUNCTION("""COMPUTED_VALUE"""),404.33)</f>
        <v>404.33</v>
      </c>
      <c r="E521" s="1">
        <f ca="1">IFERROR(__xludf.DUMMYFUNCTION("""COMPUTED_VALUE"""),409.72)</f>
        <v>409.72</v>
      </c>
      <c r="F521" s="1">
        <f ca="1">IFERROR(__xludf.DUMMYFUNCTION("""COMPUTED_VALUE"""),24510236)</f>
        <v>24510236</v>
      </c>
    </row>
    <row r="522" spans="1:6" ht="12.6">
      <c r="A522" s="2">
        <f ca="1">IFERROR(__xludf.DUMMYFUNCTION("""COMPUTED_VALUE"""),45321.6666666666)</f>
        <v>45321.666666666599</v>
      </c>
      <c r="B522" s="1">
        <f ca="1">IFERROR(__xludf.DUMMYFUNCTION("""COMPUTED_VALUE"""),412.26)</f>
        <v>412.26</v>
      </c>
      <c r="C522" s="1">
        <f ca="1">IFERROR(__xludf.DUMMYFUNCTION("""COMPUTED_VALUE"""),413.05)</f>
        <v>413.05</v>
      </c>
      <c r="D522" s="1">
        <f ca="1">IFERROR(__xludf.DUMMYFUNCTION("""COMPUTED_VALUE"""),406.45)</f>
        <v>406.45</v>
      </c>
      <c r="E522" s="1">
        <f ca="1">IFERROR(__xludf.DUMMYFUNCTION("""COMPUTED_VALUE"""),408.59)</f>
        <v>408.59</v>
      </c>
      <c r="F522" s="1">
        <f ca="1">IFERROR(__xludf.DUMMYFUNCTION("""COMPUTED_VALUE"""),33477610)</f>
        <v>33477610</v>
      </c>
    </row>
    <row r="523" spans="1:6" ht="12.6">
      <c r="A523" s="2">
        <f ca="1">IFERROR(__xludf.DUMMYFUNCTION("""COMPUTED_VALUE"""),45322.6666666666)</f>
        <v>45322.666666666599</v>
      </c>
      <c r="B523" s="1">
        <f ca="1">IFERROR(__xludf.DUMMYFUNCTION("""COMPUTED_VALUE"""),406.96)</f>
        <v>406.96</v>
      </c>
      <c r="C523" s="1">
        <f ca="1">IFERROR(__xludf.DUMMYFUNCTION("""COMPUTED_VALUE"""),415.32)</f>
        <v>415.32</v>
      </c>
      <c r="D523" s="1">
        <f ca="1">IFERROR(__xludf.DUMMYFUNCTION("""COMPUTED_VALUE"""),397.21)</f>
        <v>397.21</v>
      </c>
      <c r="E523" s="1">
        <f ca="1">IFERROR(__xludf.DUMMYFUNCTION("""COMPUTED_VALUE"""),397.58)</f>
        <v>397.58</v>
      </c>
      <c r="F523" s="1">
        <f ca="1">IFERROR(__xludf.DUMMYFUNCTION("""COMPUTED_VALUE"""),47871097)</f>
        <v>47871097</v>
      </c>
    </row>
    <row r="524" spans="1:6" ht="12.6">
      <c r="A524" s="2">
        <f ca="1">IFERROR(__xludf.DUMMYFUNCTION("""COMPUTED_VALUE"""),45323.6666666666)</f>
        <v>45323.666666666599</v>
      </c>
      <c r="B524" s="1">
        <f ca="1">IFERROR(__xludf.DUMMYFUNCTION("""COMPUTED_VALUE"""),401.83)</f>
        <v>401.83</v>
      </c>
      <c r="C524" s="1">
        <f ca="1">IFERROR(__xludf.DUMMYFUNCTION("""COMPUTED_VALUE"""),408)</f>
        <v>408</v>
      </c>
      <c r="D524" s="1">
        <f ca="1">IFERROR(__xludf.DUMMYFUNCTION("""COMPUTED_VALUE"""),401.8)</f>
        <v>401.8</v>
      </c>
      <c r="E524" s="1">
        <f ca="1">IFERROR(__xludf.DUMMYFUNCTION("""COMPUTED_VALUE"""),403.78)</f>
        <v>403.78</v>
      </c>
      <c r="F524" s="1">
        <f ca="1">IFERROR(__xludf.DUMMYFUNCTION("""COMPUTED_VALUE"""),30657726)</f>
        <v>30657726</v>
      </c>
    </row>
    <row r="525" spans="1:6" ht="12.6">
      <c r="A525" s="2">
        <f ca="1">IFERROR(__xludf.DUMMYFUNCTION("""COMPUTED_VALUE"""),45324.6666666666)</f>
        <v>45324.666666666599</v>
      </c>
      <c r="B525" s="1">
        <f ca="1">IFERROR(__xludf.DUMMYFUNCTION("""COMPUTED_VALUE"""),403.81)</f>
        <v>403.81</v>
      </c>
      <c r="C525" s="1">
        <f ca="1">IFERROR(__xludf.DUMMYFUNCTION("""COMPUTED_VALUE"""),412.65)</f>
        <v>412.65</v>
      </c>
      <c r="D525" s="1">
        <f ca="1">IFERROR(__xludf.DUMMYFUNCTION("""COMPUTED_VALUE"""),403.56)</f>
        <v>403.56</v>
      </c>
      <c r="E525" s="1">
        <f ca="1">IFERROR(__xludf.DUMMYFUNCTION("""COMPUTED_VALUE"""),411.22)</f>
        <v>411.22</v>
      </c>
      <c r="F525" s="1">
        <f ca="1">IFERROR(__xludf.DUMMYFUNCTION("""COMPUTED_VALUE"""),28256670)</f>
        <v>28256670</v>
      </c>
    </row>
    <row r="526" spans="1:6" ht="12.6">
      <c r="A526" s="2">
        <f ca="1">IFERROR(__xludf.DUMMYFUNCTION("""COMPUTED_VALUE"""),45327.6666666666)</f>
        <v>45327.666666666599</v>
      </c>
      <c r="B526" s="1">
        <f ca="1">IFERROR(__xludf.DUMMYFUNCTION("""COMPUTED_VALUE"""),409.9)</f>
        <v>409.9</v>
      </c>
      <c r="C526" s="1">
        <f ca="1">IFERROR(__xludf.DUMMYFUNCTION("""COMPUTED_VALUE"""),411.16)</f>
        <v>411.16</v>
      </c>
      <c r="D526" s="1">
        <f ca="1">IFERROR(__xludf.DUMMYFUNCTION("""COMPUTED_VALUE"""),403.99)</f>
        <v>403.99</v>
      </c>
      <c r="E526" s="1">
        <f ca="1">IFERROR(__xludf.DUMMYFUNCTION("""COMPUTED_VALUE"""),405.65)</f>
        <v>405.65</v>
      </c>
      <c r="F526" s="1">
        <f ca="1">IFERROR(__xludf.DUMMYFUNCTION("""COMPUTED_VALUE"""),25352286)</f>
        <v>25352286</v>
      </c>
    </row>
    <row r="527" spans="1:6" ht="12.6">
      <c r="A527" s="2">
        <f ca="1">IFERROR(__xludf.DUMMYFUNCTION("""COMPUTED_VALUE"""),45328.6666666666)</f>
        <v>45328.666666666599</v>
      </c>
      <c r="B527" s="1">
        <f ca="1">IFERROR(__xludf.DUMMYFUNCTION("""COMPUTED_VALUE"""),405.88)</f>
        <v>405.88</v>
      </c>
      <c r="C527" s="1">
        <f ca="1">IFERROR(__xludf.DUMMYFUNCTION("""COMPUTED_VALUE"""),407.97)</f>
        <v>407.97</v>
      </c>
      <c r="D527" s="1">
        <f ca="1">IFERROR(__xludf.DUMMYFUNCTION("""COMPUTED_VALUE"""),402.91)</f>
        <v>402.91</v>
      </c>
      <c r="E527" s="1">
        <f ca="1">IFERROR(__xludf.DUMMYFUNCTION("""COMPUTED_VALUE"""),405.49)</f>
        <v>405.49</v>
      </c>
      <c r="F527" s="1">
        <f ca="1">IFERROR(__xludf.DUMMYFUNCTION("""COMPUTED_VALUE"""),18382624)</f>
        <v>18382624</v>
      </c>
    </row>
    <row r="528" spans="1:6" ht="12.6">
      <c r="A528" s="2">
        <f ca="1">IFERROR(__xludf.DUMMYFUNCTION("""COMPUTED_VALUE"""),45329.6666666666)</f>
        <v>45329.666666666599</v>
      </c>
      <c r="B528" s="1">
        <f ca="1">IFERROR(__xludf.DUMMYFUNCTION("""COMPUTED_VALUE"""),407.44)</f>
        <v>407.44</v>
      </c>
      <c r="C528" s="1">
        <f ca="1">IFERROR(__xludf.DUMMYFUNCTION("""COMPUTED_VALUE"""),414.3)</f>
        <v>414.3</v>
      </c>
      <c r="D528" s="1">
        <f ca="1">IFERROR(__xludf.DUMMYFUNCTION("""COMPUTED_VALUE"""),407.4)</f>
        <v>407.4</v>
      </c>
      <c r="E528" s="1">
        <f ca="1">IFERROR(__xludf.DUMMYFUNCTION("""COMPUTED_VALUE"""),414.05)</f>
        <v>414.05</v>
      </c>
      <c r="F528" s="1">
        <f ca="1">IFERROR(__xludf.DUMMYFUNCTION("""COMPUTED_VALUE"""),22340526)</f>
        <v>22340526</v>
      </c>
    </row>
    <row r="529" spans="1:6" ht="12.6">
      <c r="A529" s="2">
        <f ca="1">IFERROR(__xludf.DUMMYFUNCTION("""COMPUTED_VALUE"""),45330.6666666666)</f>
        <v>45330.666666666599</v>
      </c>
      <c r="B529" s="1">
        <f ca="1">IFERROR(__xludf.DUMMYFUNCTION("""COMPUTED_VALUE"""),414.05)</f>
        <v>414.05</v>
      </c>
      <c r="C529" s="1">
        <f ca="1">IFERROR(__xludf.DUMMYFUNCTION("""COMPUTED_VALUE"""),415.56)</f>
        <v>415.56</v>
      </c>
      <c r="D529" s="1">
        <f ca="1">IFERROR(__xludf.DUMMYFUNCTION("""COMPUTED_VALUE"""),412.53)</f>
        <v>412.53</v>
      </c>
      <c r="E529" s="1">
        <f ca="1">IFERROR(__xludf.DUMMYFUNCTION("""COMPUTED_VALUE"""),414.11)</f>
        <v>414.11</v>
      </c>
      <c r="F529" s="1">
        <f ca="1">IFERROR(__xludf.DUMMYFUNCTION("""COMPUTED_VALUE"""),21225257)</f>
        <v>21225257</v>
      </c>
    </row>
    <row r="530" spans="1:6" ht="12.6">
      <c r="A530" s="2">
        <f ca="1">IFERROR(__xludf.DUMMYFUNCTION("""COMPUTED_VALUE"""),45331.6666666666)</f>
        <v>45331.666666666599</v>
      </c>
      <c r="B530" s="1">
        <f ca="1">IFERROR(__xludf.DUMMYFUNCTION("""COMPUTED_VALUE"""),415.25)</f>
        <v>415.25</v>
      </c>
      <c r="C530" s="1">
        <f ca="1">IFERROR(__xludf.DUMMYFUNCTION("""COMPUTED_VALUE"""),420.82)</f>
        <v>420.82</v>
      </c>
      <c r="D530" s="1">
        <f ca="1">IFERROR(__xludf.DUMMYFUNCTION("""COMPUTED_VALUE"""),415.09)</f>
        <v>415.09</v>
      </c>
      <c r="E530" s="1">
        <f ca="1">IFERROR(__xludf.DUMMYFUNCTION("""COMPUTED_VALUE"""),420.55)</f>
        <v>420.55</v>
      </c>
      <c r="F530" s="1">
        <f ca="1">IFERROR(__xludf.DUMMYFUNCTION("""COMPUTED_VALUE"""),22032844)</f>
        <v>22032844</v>
      </c>
    </row>
    <row r="531" spans="1:6" ht="12.6">
      <c r="A531" s="2">
        <f ca="1">IFERROR(__xludf.DUMMYFUNCTION("""COMPUTED_VALUE"""),45334.6666666666)</f>
        <v>45334.666666666599</v>
      </c>
      <c r="B531" s="1">
        <f ca="1">IFERROR(__xludf.DUMMYFUNCTION("""COMPUTED_VALUE"""),420.56)</f>
        <v>420.56</v>
      </c>
      <c r="C531" s="1">
        <f ca="1">IFERROR(__xludf.DUMMYFUNCTION("""COMPUTED_VALUE"""),420.74)</f>
        <v>420.74</v>
      </c>
      <c r="D531" s="1">
        <f ca="1">IFERROR(__xludf.DUMMYFUNCTION("""COMPUTED_VALUE"""),414.75)</f>
        <v>414.75</v>
      </c>
      <c r="E531" s="1">
        <f ca="1">IFERROR(__xludf.DUMMYFUNCTION("""COMPUTED_VALUE"""),415.26)</f>
        <v>415.26</v>
      </c>
      <c r="F531" s="1">
        <f ca="1">IFERROR(__xludf.DUMMYFUNCTION("""COMPUTED_VALUE"""),21202921)</f>
        <v>21202921</v>
      </c>
    </row>
    <row r="532" spans="1:6" ht="12.6">
      <c r="A532" s="2">
        <f ca="1">IFERROR(__xludf.DUMMYFUNCTION("""COMPUTED_VALUE"""),45335.6666666666)</f>
        <v>45335.666666666599</v>
      </c>
      <c r="B532" s="1">
        <f ca="1">IFERROR(__xludf.DUMMYFUNCTION("""COMPUTED_VALUE"""),404.94)</f>
        <v>404.94</v>
      </c>
      <c r="C532" s="1">
        <f ca="1">IFERROR(__xludf.DUMMYFUNCTION("""COMPUTED_VALUE"""),410.07)</f>
        <v>410.07</v>
      </c>
      <c r="D532" s="1">
        <f ca="1">IFERROR(__xludf.DUMMYFUNCTION("""COMPUTED_VALUE"""),403.39)</f>
        <v>403.39</v>
      </c>
      <c r="E532" s="1">
        <f ca="1">IFERROR(__xludf.DUMMYFUNCTION("""COMPUTED_VALUE"""),406.32)</f>
        <v>406.32</v>
      </c>
      <c r="F532" s="1">
        <f ca="1">IFERROR(__xludf.DUMMYFUNCTION("""COMPUTED_VALUE"""),27824936)</f>
        <v>27824936</v>
      </c>
    </row>
    <row r="533" spans="1:6" ht="12.6">
      <c r="A533" s="2">
        <f ca="1">IFERROR(__xludf.DUMMYFUNCTION("""COMPUTED_VALUE"""),45336.6666666666)</f>
        <v>45336.666666666599</v>
      </c>
      <c r="B533" s="1">
        <f ca="1">IFERROR(__xludf.DUMMYFUNCTION("""COMPUTED_VALUE"""),408.07)</f>
        <v>408.07</v>
      </c>
      <c r="C533" s="1">
        <f ca="1">IFERROR(__xludf.DUMMYFUNCTION("""COMPUTED_VALUE"""),409.84)</f>
        <v>409.84</v>
      </c>
      <c r="D533" s="1">
        <f ca="1">IFERROR(__xludf.DUMMYFUNCTION("""COMPUTED_VALUE"""),404.57)</f>
        <v>404.57</v>
      </c>
      <c r="E533" s="1">
        <f ca="1">IFERROR(__xludf.DUMMYFUNCTION("""COMPUTED_VALUE"""),409.49)</f>
        <v>409.49</v>
      </c>
      <c r="F533" s="1">
        <f ca="1">IFERROR(__xludf.DUMMYFUNCTION("""COMPUTED_VALUE"""),20401190)</f>
        <v>20401190</v>
      </c>
    </row>
    <row r="534" spans="1:6" ht="12.6">
      <c r="A534" s="2">
        <f ca="1">IFERROR(__xludf.DUMMYFUNCTION("""COMPUTED_VALUE"""),45337.6666666666)</f>
        <v>45337.666666666599</v>
      </c>
      <c r="B534" s="1">
        <f ca="1">IFERROR(__xludf.DUMMYFUNCTION("""COMPUTED_VALUE"""),408.14)</f>
        <v>408.14</v>
      </c>
      <c r="C534" s="1">
        <f ca="1">IFERROR(__xludf.DUMMYFUNCTION("""COMPUTED_VALUE"""),409.13)</f>
        <v>409.13</v>
      </c>
      <c r="D534" s="1">
        <f ca="1">IFERROR(__xludf.DUMMYFUNCTION("""COMPUTED_VALUE"""),404.29)</f>
        <v>404.29</v>
      </c>
      <c r="E534" s="1">
        <f ca="1">IFERROR(__xludf.DUMMYFUNCTION("""COMPUTED_VALUE"""),406.56)</f>
        <v>406.56</v>
      </c>
      <c r="F534" s="1">
        <f ca="1">IFERROR(__xludf.DUMMYFUNCTION("""COMPUTED_VALUE"""),21825525)</f>
        <v>21825525</v>
      </c>
    </row>
    <row r="535" spans="1:6" ht="12.6">
      <c r="A535" s="2">
        <f ca="1">IFERROR(__xludf.DUMMYFUNCTION("""COMPUTED_VALUE"""),45338.6666666666)</f>
        <v>45338.666666666599</v>
      </c>
      <c r="B535" s="1">
        <f ca="1">IFERROR(__xludf.DUMMYFUNCTION("""COMPUTED_VALUE"""),407.96)</f>
        <v>407.96</v>
      </c>
      <c r="C535" s="1">
        <f ca="1">IFERROR(__xludf.DUMMYFUNCTION("""COMPUTED_VALUE"""),408.29)</f>
        <v>408.29</v>
      </c>
      <c r="D535" s="1">
        <f ca="1">IFERROR(__xludf.DUMMYFUNCTION("""COMPUTED_VALUE"""),403.44)</f>
        <v>403.44</v>
      </c>
      <c r="E535" s="1">
        <f ca="1">IFERROR(__xludf.DUMMYFUNCTION("""COMPUTED_VALUE"""),404.06)</f>
        <v>404.06</v>
      </c>
      <c r="F535" s="1">
        <f ca="1">IFERROR(__xludf.DUMMYFUNCTION("""COMPUTED_VALUE"""),22296495)</f>
        <v>22296495</v>
      </c>
    </row>
    <row r="536" spans="1:6" ht="12.6">
      <c r="A536" s="2">
        <f ca="1">IFERROR(__xludf.DUMMYFUNCTION("""COMPUTED_VALUE"""),45342.6666666666)</f>
        <v>45342.666666666599</v>
      </c>
      <c r="B536" s="1">
        <f ca="1">IFERROR(__xludf.DUMMYFUNCTION("""COMPUTED_VALUE"""),403.24)</f>
        <v>403.24</v>
      </c>
      <c r="C536" s="1">
        <f ca="1">IFERROR(__xludf.DUMMYFUNCTION("""COMPUTED_VALUE"""),404.49)</f>
        <v>404.49</v>
      </c>
      <c r="D536" s="1">
        <f ca="1">IFERROR(__xludf.DUMMYFUNCTION("""COMPUTED_VALUE"""),398.01)</f>
        <v>398.01</v>
      </c>
      <c r="E536" s="1">
        <f ca="1">IFERROR(__xludf.DUMMYFUNCTION("""COMPUTED_VALUE"""),402.79)</f>
        <v>402.79</v>
      </c>
      <c r="F536" s="1">
        <f ca="1">IFERROR(__xludf.DUMMYFUNCTION("""COMPUTED_VALUE"""),24307915)</f>
        <v>24307915</v>
      </c>
    </row>
    <row r="537" spans="1:6" ht="12.6">
      <c r="A537" s="2">
        <f ca="1">IFERROR(__xludf.DUMMYFUNCTION("""COMPUTED_VALUE"""),45343.6666666666)</f>
        <v>45343.666666666599</v>
      </c>
      <c r="B537" s="1">
        <f ca="1">IFERROR(__xludf.DUMMYFUNCTION("""COMPUTED_VALUE"""),400.17)</f>
        <v>400.17</v>
      </c>
      <c r="C537" s="1">
        <f ca="1">IFERROR(__xludf.DUMMYFUNCTION("""COMPUTED_VALUE"""),402.29)</f>
        <v>402.29</v>
      </c>
      <c r="D537" s="1">
        <f ca="1">IFERROR(__xludf.DUMMYFUNCTION("""COMPUTED_VALUE"""),397.22)</f>
        <v>397.22</v>
      </c>
      <c r="E537" s="1">
        <f ca="1">IFERROR(__xludf.DUMMYFUNCTION("""COMPUTED_VALUE"""),402.18)</f>
        <v>402.18</v>
      </c>
      <c r="F537" s="1">
        <f ca="1">IFERROR(__xludf.DUMMYFUNCTION("""COMPUTED_VALUE"""),18631072)</f>
        <v>18631072</v>
      </c>
    </row>
    <row r="538" spans="1:6" ht="12.6">
      <c r="A538" s="2">
        <f ca="1">IFERROR(__xludf.DUMMYFUNCTION("""COMPUTED_VALUE"""),45344.6666666666)</f>
        <v>45344.666666666599</v>
      </c>
      <c r="B538" s="1">
        <f ca="1">IFERROR(__xludf.DUMMYFUNCTION("""COMPUTED_VALUE"""),410.19)</f>
        <v>410.19</v>
      </c>
      <c r="C538" s="1">
        <f ca="1">IFERROR(__xludf.DUMMYFUNCTION("""COMPUTED_VALUE"""),412.83)</f>
        <v>412.83</v>
      </c>
      <c r="D538" s="1">
        <f ca="1">IFERROR(__xludf.DUMMYFUNCTION("""COMPUTED_VALUE"""),408.57)</f>
        <v>408.57</v>
      </c>
      <c r="E538" s="1">
        <f ca="1">IFERROR(__xludf.DUMMYFUNCTION("""COMPUTED_VALUE"""),411.65)</f>
        <v>411.65</v>
      </c>
      <c r="F538" s="1">
        <f ca="1">IFERROR(__xludf.DUMMYFUNCTION("""COMPUTED_VALUE"""),27009869)</f>
        <v>27009869</v>
      </c>
    </row>
    <row r="539" spans="1:6" ht="12.6">
      <c r="A539" s="2">
        <f ca="1">IFERROR(__xludf.DUMMYFUNCTION("""COMPUTED_VALUE"""),45345.6666666666)</f>
        <v>45345.666666666599</v>
      </c>
      <c r="B539" s="1">
        <f ca="1">IFERROR(__xludf.DUMMYFUNCTION("""COMPUTED_VALUE"""),415.67)</f>
        <v>415.67</v>
      </c>
      <c r="C539" s="1">
        <f ca="1">IFERROR(__xludf.DUMMYFUNCTION("""COMPUTED_VALUE"""),415.86)</f>
        <v>415.86</v>
      </c>
      <c r="D539" s="1">
        <f ca="1">IFERROR(__xludf.DUMMYFUNCTION("""COMPUTED_VALUE"""),408.97)</f>
        <v>408.97</v>
      </c>
      <c r="E539" s="1">
        <f ca="1">IFERROR(__xludf.DUMMYFUNCTION("""COMPUTED_VALUE"""),410.34)</f>
        <v>410.34</v>
      </c>
      <c r="F539" s="1">
        <f ca="1">IFERROR(__xludf.DUMMYFUNCTION("""COMPUTED_VALUE"""),16295879)</f>
        <v>16295879</v>
      </c>
    </row>
    <row r="540" spans="1:6" ht="12.6">
      <c r="A540" s="2">
        <f ca="1">IFERROR(__xludf.DUMMYFUNCTION("""COMPUTED_VALUE"""),45348.6666666666)</f>
        <v>45348.666666666599</v>
      </c>
      <c r="B540" s="1">
        <f ca="1">IFERROR(__xludf.DUMMYFUNCTION("""COMPUTED_VALUE"""),411.46)</f>
        <v>411.46</v>
      </c>
      <c r="C540" s="1">
        <f ca="1">IFERROR(__xludf.DUMMYFUNCTION("""COMPUTED_VALUE"""),412.16)</f>
        <v>412.16</v>
      </c>
      <c r="D540" s="1">
        <f ca="1">IFERROR(__xludf.DUMMYFUNCTION("""COMPUTED_VALUE"""),407.36)</f>
        <v>407.36</v>
      </c>
      <c r="E540" s="1">
        <f ca="1">IFERROR(__xludf.DUMMYFUNCTION("""COMPUTED_VALUE"""),407.54)</f>
        <v>407.54</v>
      </c>
      <c r="F540" s="1">
        <f ca="1">IFERROR(__xludf.DUMMYFUNCTION("""COMPUTED_VALUE"""),16193505)</f>
        <v>16193505</v>
      </c>
    </row>
    <row r="541" spans="1:6" ht="12.6">
      <c r="A541" s="2">
        <f ca="1">IFERROR(__xludf.DUMMYFUNCTION("""COMPUTED_VALUE"""),45349.6666666666)</f>
        <v>45349.666666666599</v>
      </c>
      <c r="B541" s="1">
        <f ca="1">IFERROR(__xludf.DUMMYFUNCTION("""COMPUTED_VALUE"""),407.99)</f>
        <v>407.99</v>
      </c>
      <c r="C541" s="1">
        <f ca="1">IFERROR(__xludf.DUMMYFUNCTION("""COMPUTED_VALUE"""),408.32)</f>
        <v>408.32</v>
      </c>
      <c r="D541" s="1">
        <f ca="1">IFERROR(__xludf.DUMMYFUNCTION("""COMPUTED_VALUE"""),403.85)</f>
        <v>403.85</v>
      </c>
      <c r="E541" s="1">
        <f ca="1">IFERROR(__xludf.DUMMYFUNCTION("""COMPUTED_VALUE"""),407.48)</f>
        <v>407.48</v>
      </c>
      <c r="F541" s="1">
        <f ca="1">IFERROR(__xludf.DUMMYFUNCTION("""COMPUTED_VALUE"""),14835827)</f>
        <v>14835827</v>
      </c>
    </row>
    <row r="542" spans="1:6" ht="12.6">
      <c r="A542" s="2">
        <f ca="1">IFERROR(__xludf.DUMMYFUNCTION("""COMPUTED_VALUE"""),45350.6666666666)</f>
        <v>45350.666666666599</v>
      </c>
      <c r="B542" s="1">
        <f ca="1">IFERROR(__xludf.DUMMYFUNCTION("""COMPUTED_VALUE"""),408.18)</f>
        <v>408.18</v>
      </c>
      <c r="C542" s="1">
        <f ca="1">IFERROR(__xludf.DUMMYFUNCTION("""COMPUTED_VALUE"""),409.3)</f>
        <v>409.3</v>
      </c>
      <c r="D542" s="1">
        <f ca="1">IFERROR(__xludf.DUMMYFUNCTION("""COMPUTED_VALUE"""),405.32)</f>
        <v>405.32</v>
      </c>
      <c r="E542" s="1">
        <f ca="1">IFERROR(__xludf.DUMMYFUNCTION("""COMPUTED_VALUE"""),407.72)</f>
        <v>407.72</v>
      </c>
      <c r="F542" s="1">
        <f ca="1">IFERROR(__xludf.DUMMYFUNCTION("""COMPUTED_VALUE"""),13183125)</f>
        <v>13183125</v>
      </c>
    </row>
    <row r="543" spans="1:6" ht="12.6">
      <c r="A543" s="2">
        <f ca="1">IFERROR(__xludf.DUMMYFUNCTION("""COMPUTED_VALUE"""),45351.6666666666)</f>
        <v>45351.666666666599</v>
      </c>
      <c r="B543" s="1">
        <f ca="1">IFERROR(__xludf.DUMMYFUNCTION("""COMPUTED_VALUE"""),408.64)</f>
        <v>408.64</v>
      </c>
      <c r="C543" s="1">
        <f ca="1">IFERROR(__xludf.DUMMYFUNCTION("""COMPUTED_VALUE"""),414.2)</f>
        <v>414.2</v>
      </c>
      <c r="D543" s="1">
        <f ca="1">IFERROR(__xludf.DUMMYFUNCTION("""COMPUTED_VALUE"""),405.92)</f>
        <v>405.92</v>
      </c>
      <c r="E543" s="1">
        <f ca="1">IFERROR(__xludf.DUMMYFUNCTION("""COMPUTED_VALUE"""),413.64)</f>
        <v>413.64</v>
      </c>
      <c r="F543" s="1">
        <f ca="1">IFERROR(__xludf.DUMMYFUNCTION("""COMPUTED_VALUE"""),31947263)</f>
        <v>31947263</v>
      </c>
    </row>
    <row r="544" spans="1:6" ht="12.6">
      <c r="A544" s="2">
        <f ca="1">IFERROR(__xludf.DUMMYFUNCTION("""COMPUTED_VALUE"""),45352.6666666666)</f>
        <v>45352.666666666599</v>
      </c>
      <c r="B544" s="1">
        <f ca="1">IFERROR(__xludf.DUMMYFUNCTION("""COMPUTED_VALUE"""),411.27)</f>
        <v>411.27</v>
      </c>
      <c r="C544" s="1">
        <f ca="1">IFERROR(__xludf.DUMMYFUNCTION("""COMPUTED_VALUE"""),415.87)</f>
        <v>415.87</v>
      </c>
      <c r="D544" s="1">
        <f ca="1">IFERROR(__xludf.DUMMYFUNCTION("""COMPUTED_VALUE"""),410.88)</f>
        <v>410.88</v>
      </c>
      <c r="E544" s="1">
        <f ca="1">IFERROR(__xludf.DUMMYFUNCTION("""COMPUTED_VALUE"""),415.5)</f>
        <v>415.5</v>
      </c>
      <c r="F544" s="1">
        <f ca="1">IFERROR(__xludf.DUMMYFUNCTION("""COMPUTED_VALUE"""),17823445)</f>
        <v>17823445</v>
      </c>
    </row>
    <row r="545" spans="1:6" ht="12.6">
      <c r="A545" s="2">
        <f ca="1">IFERROR(__xludf.DUMMYFUNCTION("""COMPUTED_VALUE"""),45355.6666666666)</f>
        <v>45355.666666666599</v>
      </c>
      <c r="B545" s="1">
        <f ca="1">IFERROR(__xludf.DUMMYFUNCTION("""COMPUTED_VALUE"""),413.44)</f>
        <v>413.44</v>
      </c>
      <c r="C545" s="1">
        <f ca="1">IFERROR(__xludf.DUMMYFUNCTION("""COMPUTED_VALUE"""),417.35)</f>
        <v>417.35</v>
      </c>
      <c r="D545" s="1">
        <f ca="1">IFERROR(__xludf.DUMMYFUNCTION("""COMPUTED_VALUE"""),412.32)</f>
        <v>412.32</v>
      </c>
      <c r="E545" s="1">
        <f ca="1">IFERROR(__xludf.DUMMYFUNCTION("""COMPUTED_VALUE"""),414.92)</f>
        <v>414.92</v>
      </c>
      <c r="F545" s="1">
        <f ca="1">IFERROR(__xludf.DUMMYFUNCTION("""COMPUTED_VALUE"""),17595956)</f>
        <v>17595956</v>
      </c>
    </row>
    <row r="546" spans="1:6" ht="12.6">
      <c r="A546" s="2">
        <f ca="1">IFERROR(__xludf.DUMMYFUNCTION("""COMPUTED_VALUE"""),45356.6666666666)</f>
        <v>45356.666666666599</v>
      </c>
      <c r="B546" s="1">
        <f ca="1">IFERROR(__xludf.DUMMYFUNCTION("""COMPUTED_VALUE"""),413.96)</f>
        <v>413.96</v>
      </c>
      <c r="C546" s="1">
        <f ca="1">IFERROR(__xludf.DUMMYFUNCTION("""COMPUTED_VALUE"""),414.25)</f>
        <v>414.25</v>
      </c>
      <c r="D546" s="1">
        <f ca="1">IFERROR(__xludf.DUMMYFUNCTION("""COMPUTED_VALUE"""),400.64)</f>
        <v>400.64</v>
      </c>
      <c r="E546" s="1">
        <f ca="1">IFERROR(__xludf.DUMMYFUNCTION("""COMPUTED_VALUE"""),402.65)</f>
        <v>402.65</v>
      </c>
      <c r="F546" s="1">
        <f ca="1">IFERROR(__xludf.DUMMYFUNCTION("""COMPUTED_VALUE"""),26919177)</f>
        <v>26919177</v>
      </c>
    </row>
    <row r="547" spans="1:6" ht="12.6">
      <c r="A547" s="2">
        <f ca="1">IFERROR(__xludf.DUMMYFUNCTION("""COMPUTED_VALUE"""),45357.6666666666)</f>
        <v>45357.666666666599</v>
      </c>
      <c r="B547" s="1">
        <f ca="1">IFERROR(__xludf.DUMMYFUNCTION("""COMPUTED_VALUE"""),402.97)</f>
        <v>402.97</v>
      </c>
      <c r="C547" s="1">
        <f ca="1">IFERROR(__xludf.DUMMYFUNCTION("""COMPUTED_VALUE"""),405.16)</f>
        <v>405.16</v>
      </c>
      <c r="D547" s="1">
        <f ca="1">IFERROR(__xludf.DUMMYFUNCTION("""COMPUTED_VALUE"""),398.39)</f>
        <v>398.39</v>
      </c>
      <c r="E547" s="1">
        <f ca="1">IFERROR(__xludf.DUMMYFUNCTION("""COMPUTED_VALUE"""),402.09)</f>
        <v>402.09</v>
      </c>
      <c r="F547" s="1">
        <f ca="1">IFERROR(__xludf.DUMMYFUNCTION("""COMPUTED_VALUE"""),22344149)</f>
        <v>22344149</v>
      </c>
    </row>
    <row r="548" spans="1:6" ht="12.6">
      <c r="A548" s="2">
        <f ca="1">IFERROR(__xludf.DUMMYFUNCTION("""COMPUTED_VALUE"""),45358.6666666666)</f>
        <v>45358.666666666599</v>
      </c>
      <c r="B548" s="1">
        <f ca="1">IFERROR(__xludf.DUMMYFUNCTION("""COMPUTED_VALUE"""),406.12)</f>
        <v>406.12</v>
      </c>
      <c r="C548" s="1">
        <f ca="1">IFERROR(__xludf.DUMMYFUNCTION("""COMPUTED_VALUE"""),409.78)</f>
        <v>409.78</v>
      </c>
      <c r="D548" s="1">
        <f ca="1">IFERROR(__xludf.DUMMYFUNCTION("""COMPUTED_VALUE"""),402.24)</f>
        <v>402.24</v>
      </c>
      <c r="E548" s="1">
        <f ca="1">IFERROR(__xludf.DUMMYFUNCTION("""COMPUTED_VALUE"""),409.14)</f>
        <v>409.14</v>
      </c>
      <c r="F548" s="1">
        <f ca="1">IFERROR(__xludf.DUMMYFUNCTION("""COMPUTED_VALUE"""),18718479)</f>
        <v>18718479</v>
      </c>
    </row>
    <row r="549" spans="1:6" ht="12.6">
      <c r="A549" s="2">
        <f ca="1">IFERROR(__xludf.DUMMYFUNCTION("""COMPUTED_VALUE"""),45359.6666666666)</f>
        <v>45359.666666666599</v>
      </c>
      <c r="B549" s="1">
        <f ca="1">IFERROR(__xludf.DUMMYFUNCTION("""COMPUTED_VALUE"""),407.96)</f>
        <v>407.96</v>
      </c>
      <c r="C549" s="1">
        <f ca="1">IFERROR(__xludf.DUMMYFUNCTION("""COMPUTED_VALUE"""),410.42)</f>
        <v>410.42</v>
      </c>
      <c r="D549" s="1">
        <f ca="1">IFERROR(__xludf.DUMMYFUNCTION("""COMPUTED_VALUE"""),404.33)</f>
        <v>404.33</v>
      </c>
      <c r="E549" s="1">
        <f ca="1">IFERROR(__xludf.DUMMYFUNCTION("""COMPUTED_VALUE"""),406.22)</f>
        <v>406.22</v>
      </c>
      <c r="F549" s="1">
        <f ca="1">IFERROR(__xludf.DUMMYFUNCTION("""COMPUTED_VALUE"""),18002186)</f>
        <v>18002186</v>
      </c>
    </row>
    <row r="550" spans="1:6" ht="12.6">
      <c r="A550" s="2">
        <f ca="1">IFERROR(__xludf.DUMMYFUNCTION("""COMPUTED_VALUE"""),45362.6666666666)</f>
        <v>45362.666666666599</v>
      </c>
      <c r="B550" s="1">
        <f ca="1">IFERROR(__xludf.DUMMYFUNCTION("""COMPUTED_VALUE"""),403.76)</f>
        <v>403.76</v>
      </c>
      <c r="C550" s="1">
        <f ca="1">IFERROR(__xludf.DUMMYFUNCTION("""COMPUTED_VALUE"""),405.68)</f>
        <v>405.68</v>
      </c>
      <c r="D550" s="1">
        <f ca="1">IFERROR(__xludf.DUMMYFUNCTION("""COMPUTED_VALUE"""),401.26)</f>
        <v>401.26</v>
      </c>
      <c r="E550" s="1">
        <f ca="1">IFERROR(__xludf.DUMMYFUNCTION("""COMPUTED_VALUE"""),404.52)</f>
        <v>404.52</v>
      </c>
      <c r="F550" s="1">
        <f ca="1">IFERROR(__xludf.DUMMYFUNCTION("""COMPUTED_VALUE"""),16120752)</f>
        <v>16120752</v>
      </c>
    </row>
    <row r="551" spans="1:6" ht="12.6">
      <c r="A551" s="2">
        <f ca="1">IFERROR(__xludf.DUMMYFUNCTION("""COMPUTED_VALUE"""),45363.6666666666)</f>
        <v>45363.666666666599</v>
      </c>
      <c r="B551" s="1">
        <f ca="1">IFERROR(__xludf.DUMMYFUNCTION("""COMPUTED_VALUE"""),407.62)</f>
        <v>407.62</v>
      </c>
      <c r="C551" s="1">
        <f ca="1">IFERROR(__xludf.DUMMYFUNCTION("""COMPUTED_VALUE"""),415.57)</f>
        <v>415.57</v>
      </c>
      <c r="D551" s="1">
        <f ca="1">IFERROR(__xludf.DUMMYFUNCTION("""COMPUTED_VALUE"""),406.79)</f>
        <v>406.79</v>
      </c>
      <c r="E551" s="1">
        <f ca="1">IFERROR(__xludf.DUMMYFUNCTION("""COMPUTED_VALUE"""),415.28)</f>
        <v>415.28</v>
      </c>
      <c r="F551" s="1">
        <f ca="1">IFERROR(__xludf.DUMMYFUNCTION("""COMPUTED_VALUE"""),22457003)</f>
        <v>22457003</v>
      </c>
    </row>
    <row r="552" spans="1:6" ht="12.6">
      <c r="A552" s="2">
        <f ca="1">IFERROR(__xludf.DUMMYFUNCTION("""COMPUTED_VALUE"""),45364.6666666666)</f>
        <v>45364.666666666599</v>
      </c>
      <c r="B552" s="1">
        <f ca="1">IFERROR(__xludf.DUMMYFUNCTION("""COMPUTED_VALUE"""),418.1)</f>
        <v>418.1</v>
      </c>
      <c r="C552" s="1">
        <f ca="1">IFERROR(__xludf.DUMMYFUNCTION("""COMPUTED_VALUE"""),418.18)</f>
        <v>418.18</v>
      </c>
      <c r="D552" s="1">
        <f ca="1">IFERROR(__xludf.DUMMYFUNCTION("""COMPUTED_VALUE"""),411.45)</f>
        <v>411.45</v>
      </c>
      <c r="E552" s="1">
        <f ca="1">IFERROR(__xludf.DUMMYFUNCTION("""COMPUTED_VALUE"""),415.1)</f>
        <v>415.1</v>
      </c>
      <c r="F552" s="1">
        <f ca="1">IFERROR(__xludf.DUMMYFUNCTION("""COMPUTED_VALUE"""),17115931)</f>
        <v>17115931</v>
      </c>
    </row>
    <row r="553" spans="1:6" ht="12.6">
      <c r="A553" s="2">
        <f ca="1">IFERROR(__xludf.DUMMYFUNCTION("""COMPUTED_VALUE"""),45365.6666666666)</f>
        <v>45365.666666666599</v>
      </c>
      <c r="B553" s="1">
        <f ca="1">IFERROR(__xludf.DUMMYFUNCTION("""COMPUTED_VALUE"""),420.24)</f>
        <v>420.24</v>
      </c>
      <c r="C553" s="1">
        <f ca="1">IFERROR(__xludf.DUMMYFUNCTION("""COMPUTED_VALUE"""),427.82)</f>
        <v>427.82</v>
      </c>
      <c r="D553" s="1">
        <f ca="1">IFERROR(__xludf.DUMMYFUNCTION("""COMPUTED_VALUE"""),417.99)</f>
        <v>417.99</v>
      </c>
      <c r="E553" s="1">
        <f ca="1">IFERROR(__xludf.DUMMYFUNCTION("""COMPUTED_VALUE"""),425.22)</f>
        <v>425.22</v>
      </c>
      <c r="F553" s="1">
        <f ca="1">IFERROR(__xludf.DUMMYFUNCTION("""COMPUTED_VALUE"""),34157299)</f>
        <v>34157299</v>
      </c>
    </row>
    <row r="554" spans="1:6" ht="12.6">
      <c r="A554" s="2">
        <f ca="1">IFERROR(__xludf.DUMMYFUNCTION("""COMPUTED_VALUE"""),45366.6666666666)</f>
        <v>45366.666666666599</v>
      </c>
      <c r="B554" s="1">
        <f ca="1">IFERROR(__xludf.DUMMYFUNCTION("""COMPUTED_VALUE"""),419.29)</f>
        <v>419.29</v>
      </c>
      <c r="C554" s="1">
        <f ca="1">IFERROR(__xludf.DUMMYFUNCTION("""COMPUTED_VALUE"""),422.6)</f>
        <v>422.6</v>
      </c>
      <c r="D554" s="1">
        <f ca="1">IFERROR(__xludf.DUMMYFUNCTION("""COMPUTED_VALUE"""),412.79)</f>
        <v>412.79</v>
      </c>
      <c r="E554" s="1">
        <f ca="1">IFERROR(__xludf.DUMMYFUNCTION("""COMPUTED_VALUE"""),416.42)</f>
        <v>416.42</v>
      </c>
      <c r="F554" s="1">
        <f ca="1">IFERROR(__xludf.DUMMYFUNCTION("""COMPUTED_VALUE"""),45079903)</f>
        <v>45079903</v>
      </c>
    </row>
    <row r="555" spans="1:6" ht="12.6">
      <c r="A555" s="2">
        <f ca="1">IFERROR(__xludf.DUMMYFUNCTION("""COMPUTED_VALUE"""),45369.6666666666)</f>
        <v>45369.666666666599</v>
      </c>
      <c r="B555" s="1">
        <f ca="1">IFERROR(__xludf.DUMMYFUNCTION("""COMPUTED_VALUE"""),414.25)</f>
        <v>414.25</v>
      </c>
      <c r="C555" s="1">
        <f ca="1">IFERROR(__xludf.DUMMYFUNCTION("""COMPUTED_VALUE"""),420.73)</f>
        <v>420.73</v>
      </c>
      <c r="D555" s="1">
        <f ca="1">IFERROR(__xludf.DUMMYFUNCTION("""COMPUTED_VALUE"""),413.78)</f>
        <v>413.78</v>
      </c>
      <c r="E555" s="1">
        <f ca="1">IFERROR(__xludf.DUMMYFUNCTION("""COMPUTED_VALUE"""),417.32)</f>
        <v>417.32</v>
      </c>
      <c r="F555" s="1">
        <f ca="1">IFERROR(__xludf.DUMMYFUNCTION("""COMPUTED_VALUE"""),20105977)</f>
        <v>20105977</v>
      </c>
    </row>
    <row r="556" spans="1:6" ht="12.6">
      <c r="A556" s="2">
        <f ca="1">IFERROR(__xludf.DUMMYFUNCTION("""COMPUTED_VALUE"""),45370.6666666666)</f>
        <v>45370.666666666599</v>
      </c>
      <c r="B556" s="1">
        <f ca="1">IFERROR(__xludf.DUMMYFUNCTION("""COMPUTED_VALUE"""),417.83)</f>
        <v>417.83</v>
      </c>
      <c r="C556" s="1">
        <f ca="1">IFERROR(__xludf.DUMMYFUNCTION("""COMPUTED_VALUE"""),421.67)</f>
        <v>421.67</v>
      </c>
      <c r="D556" s="1">
        <f ca="1">IFERROR(__xludf.DUMMYFUNCTION("""COMPUTED_VALUE"""),415.55)</f>
        <v>415.55</v>
      </c>
      <c r="E556" s="1">
        <f ca="1">IFERROR(__xludf.DUMMYFUNCTION("""COMPUTED_VALUE"""),421.41)</f>
        <v>421.41</v>
      </c>
      <c r="F556" s="1">
        <f ca="1">IFERROR(__xludf.DUMMYFUNCTION("""COMPUTED_VALUE"""),19837915)</f>
        <v>19837915</v>
      </c>
    </row>
    <row r="557" spans="1:6" ht="12.6">
      <c r="A557" s="2">
        <f ca="1">IFERROR(__xludf.DUMMYFUNCTION("""COMPUTED_VALUE"""),45371.6666666666)</f>
        <v>45371.666666666599</v>
      </c>
      <c r="B557" s="1">
        <f ca="1">IFERROR(__xludf.DUMMYFUNCTION("""COMPUTED_VALUE"""),422)</f>
        <v>422</v>
      </c>
      <c r="C557" s="1">
        <f ca="1">IFERROR(__xludf.DUMMYFUNCTION("""COMPUTED_VALUE"""),425.96)</f>
        <v>425.96</v>
      </c>
      <c r="D557" s="1">
        <f ca="1">IFERROR(__xludf.DUMMYFUNCTION("""COMPUTED_VALUE"""),420.66)</f>
        <v>420.66</v>
      </c>
      <c r="E557" s="1">
        <f ca="1">IFERROR(__xludf.DUMMYFUNCTION("""COMPUTED_VALUE"""),425.23)</f>
        <v>425.23</v>
      </c>
      <c r="F557" s="1">
        <f ca="1">IFERROR(__xludf.DUMMYFUNCTION("""COMPUTED_VALUE"""),17860085)</f>
        <v>17860085</v>
      </c>
    </row>
    <row r="558" spans="1:6" ht="12.6">
      <c r="A558" s="2">
        <f ca="1">IFERROR(__xludf.DUMMYFUNCTION("""COMPUTED_VALUE"""),45372.6666666666)</f>
        <v>45372.666666666599</v>
      </c>
      <c r="B558" s="1">
        <f ca="1">IFERROR(__xludf.DUMMYFUNCTION("""COMPUTED_VALUE"""),429.83)</f>
        <v>429.83</v>
      </c>
      <c r="C558" s="1">
        <f ca="1">IFERROR(__xludf.DUMMYFUNCTION("""COMPUTED_VALUE"""),430.82)</f>
        <v>430.82</v>
      </c>
      <c r="D558" s="1">
        <f ca="1">IFERROR(__xludf.DUMMYFUNCTION("""COMPUTED_VALUE"""),427.16)</f>
        <v>427.16</v>
      </c>
      <c r="E558" s="1">
        <f ca="1">IFERROR(__xludf.DUMMYFUNCTION("""COMPUTED_VALUE"""),429.37)</f>
        <v>429.37</v>
      </c>
      <c r="F558" s="1">
        <f ca="1">IFERROR(__xludf.DUMMYFUNCTION("""COMPUTED_VALUE"""),21296222)</f>
        <v>21296222</v>
      </c>
    </row>
    <row r="559" spans="1:6" ht="12.6">
      <c r="A559" s="2">
        <f ca="1">IFERROR(__xludf.DUMMYFUNCTION("""COMPUTED_VALUE"""),45373.6666666666)</f>
        <v>45373.666666666599</v>
      </c>
      <c r="B559" s="1">
        <f ca="1">IFERROR(__xludf.DUMMYFUNCTION("""COMPUTED_VALUE"""),429.7)</f>
        <v>429.7</v>
      </c>
      <c r="C559" s="1">
        <f ca="1">IFERROR(__xludf.DUMMYFUNCTION("""COMPUTED_VALUE"""),429.86)</f>
        <v>429.86</v>
      </c>
      <c r="D559" s="1">
        <f ca="1">IFERROR(__xludf.DUMMYFUNCTION("""COMPUTED_VALUE"""),426.07)</f>
        <v>426.07</v>
      </c>
      <c r="E559" s="1">
        <f ca="1">IFERROR(__xludf.DUMMYFUNCTION("""COMPUTED_VALUE"""),428.74)</f>
        <v>428.74</v>
      </c>
      <c r="F559" s="1">
        <f ca="1">IFERROR(__xludf.DUMMYFUNCTION("""COMPUTED_VALUE"""),17648473)</f>
        <v>17648473</v>
      </c>
    </row>
    <row r="560" spans="1:6" ht="12.6">
      <c r="A560" s="2">
        <f ca="1">IFERROR(__xludf.DUMMYFUNCTION("""COMPUTED_VALUE"""),45376.6666666666)</f>
        <v>45376.666666666599</v>
      </c>
      <c r="B560" s="1">
        <f ca="1">IFERROR(__xludf.DUMMYFUNCTION("""COMPUTED_VALUE"""),425.24)</f>
        <v>425.24</v>
      </c>
      <c r="C560" s="1">
        <f ca="1">IFERROR(__xludf.DUMMYFUNCTION("""COMPUTED_VALUE"""),427.41)</f>
        <v>427.41</v>
      </c>
      <c r="D560" s="1">
        <f ca="1">IFERROR(__xludf.DUMMYFUNCTION("""COMPUTED_VALUE"""),421.61)</f>
        <v>421.61</v>
      </c>
      <c r="E560" s="1">
        <f ca="1">IFERROR(__xludf.DUMMYFUNCTION("""COMPUTED_VALUE"""),422.86)</f>
        <v>422.86</v>
      </c>
      <c r="F560" s="1">
        <f ca="1">IFERROR(__xludf.DUMMYFUNCTION("""COMPUTED_VALUE"""),18060450)</f>
        <v>18060450</v>
      </c>
    </row>
    <row r="561" spans="1:6" ht="12.6">
      <c r="A561" s="2">
        <f ca="1">IFERROR(__xludf.DUMMYFUNCTION("""COMPUTED_VALUE"""),45377.6666666666)</f>
        <v>45377.666666666599</v>
      </c>
      <c r="B561" s="1">
        <f ca="1">IFERROR(__xludf.DUMMYFUNCTION("""COMPUTED_VALUE"""),425.61)</f>
        <v>425.61</v>
      </c>
      <c r="C561" s="1">
        <f ca="1">IFERROR(__xludf.DUMMYFUNCTION("""COMPUTED_VALUE"""),425.99)</f>
        <v>425.99</v>
      </c>
      <c r="D561" s="1">
        <f ca="1">IFERROR(__xludf.DUMMYFUNCTION("""COMPUTED_VALUE"""),421.35)</f>
        <v>421.35</v>
      </c>
      <c r="E561" s="1">
        <f ca="1">IFERROR(__xludf.DUMMYFUNCTION("""COMPUTED_VALUE"""),421.65)</f>
        <v>421.65</v>
      </c>
      <c r="F561" s="1">
        <f ca="1">IFERROR(__xludf.DUMMYFUNCTION("""COMPUTED_VALUE"""),16725647)</f>
        <v>16725647</v>
      </c>
    </row>
    <row r="562" spans="1:6" ht="12.6">
      <c r="A562" s="2">
        <f ca="1">IFERROR(__xludf.DUMMYFUNCTION("""COMPUTED_VALUE"""),45378.6666666666)</f>
        <v>45378.666666666599</v>
      </c>
      <c r="B562" s="1">
        <f ca="1">IFERROR(__xludf.DUMMYFUNCTION("""COMPUTED_VALUE"""),424.44)</f>
        <v>424.44</v>
      </c>
      <c r="C562" s="1">
        <f ca="1">IFERROR(__xludf.DUMMYFUNCTION("""COMPUTED_VALUE"""),424.45)</f>
        <v>424.45</v>
      </c>
      <c r="D562" s="1">
        <f ca="1">IFERROR(__xludf.DUMMYFUNCTION("""COMPUTED_VALUE"""),419.01)</f>
        <v>419.01</v>
      </c>
      <c r="E562" s="1">
        <f ca="1">IFERROR(__xludf.DUMMYFUNCTION("""COMPUTED_VALUE"""),421.43)</f>
        <v>421.43</v>
      </c>
      <c r="F562" s="1">
        <f ca="1">IFERROR(__xludf.DUMMYFUNCTION("""COMPUTED_VALUE"""),16704978)</f>
        <v>16704978</v>
      </c>
    </row>
    <row r="563" spans="1:6" ht="12.6">
      <c r="A563" s="2">
        <f ca="1">IFERROR(__xludf.DUMMYFUNCTION("""COMPUTED_VALUE"""),45379.6666666666)</f>
        <v>45379.666666666599</v>
      </c>
      <c r="B563" s="1">
        <f ca="1">IFERROR(__xludf.DUMMYFUNCTION("""COMPUTED_VALUE"""),420.96)</f>
        <v>420.96</v>
      </c>
      <c r="C563" s="1">
        <f ca="1">IFERROR(__xludf.DUMMYFUNCTION("""COMPUTED_VALUE"""),421.87)</f>
        <v>421.87</v>
      </c>
      <c r="D563" s="1">
        <f ca="1">IFERROR(__xludf.DUMMYFUNCTION("""COMPUTED_VALUE"""),419.12)</f>
        <v>419.12</v>
      </c>
      <c r="E563" s="1">
        <f ca="1">IFERROR(__xludf.DUMMYFUNCTION("""COMPUTED_VALUE"""),420.72)</f>
        <v>420.72</v>
      </c>
      <c r="F563" s="1">
        <f ca="1">IFERROR(__xludf.DUMMYFUNCTION("""COMPUTED_VALUE"""),21871161)</f>
        <v>21871161</v>
      </c>
    </row>
    <row r="564" spans="1:6" ht="12.6">
      <c r="A564" s="2">
        <f ca="1">IFERROR(__xludf.DUMMYFUNCTION("""COMPUTED_VALUE"""),45383.6666666666)</f>
        <v>45383.666666666599</v>
      </c>
      <c r="B564" s="1">
        <f ca="1">IFERROR(__xludf.DUMMYFUNCTION("""COMPUTED_VALUE"""),423.95)</f>
        <v>423.95</v>
      </c>
      <c r="C564" s="1">
        <f ca="1">IFERROR(__xludf.DUMMYFUNCTION("""COMPUTED_VALUE"""),427.89)</f>
        <v>427.89</v>
      </c>
      <c r="D564" s="1">
        <f ca="1">IFERROR(__xludf.DUMMYFUNCTION("""COMPUTED_VALUE"""),422.22)</f>
        <v>422.22</v>
      </c>
      <c r="E564" s="1">
        <f ca="1">IFERROR(__xludf.DUMMYFUNCTION("""COMPUTED_VALUE"""),424.57)</f>
        <v>424.57</v>
      </c>
      <c r="F564" s="1">
        <f ca="1">IFERROR(__xludf.DUMMYFUNCTION("""COMPUTED_VALUE"""),16315961)</f>
        <v>16315961</v>
      </c>
    </row>
    <row r="565" spans="1:6" ht="12.6">
      <c r="A565" s="2">
        <f ca="1">IFERROR(__xludf.DUMMYFUNCTION("""COMPUTED_VALUE"""),45384.6666666666)</f>
        <v>45384.666666666599</v>
      </c>
      <c r="B565" s="1">
        <f ca="1">IFERROR(__xludf.DUMMYFUNCTION("""COMPUTED_VALUE"""),420.11)</f>
        <v>420.11</v>
      </c>
      <c r="C565" s="1">
        <f ca="1">IFERROR(__xludf.DUMMYFUNCTION("""COMPUTED_VALUE"""),422.38)</f>
        <v>422.38</v>
      </c>
      <c r="D565" s="1">
        <f ca="1">IFERROR(__xludf.DUMMYFUNCTION("""COMPUTED_VALUE"""),417.84)</f>
        <v>417.84</v>
      </c>
      <c r="E565" s="1">
        <f ca="1">IFERROR(__xludf.DUMMYFUNCTION("""COMPUTED_VALUE"""),421.44)</f>
        <v>421.44</v>
      </c>
      <c r="F565" s="1">
        <f ca="1">IFERROR(__xludf.DUMMYFUNCTION("""COMPUTED_VALUE"""),17911992)</f>
        <v>17911992</v>
      </c>
    </row>
    <row r="566" spans="1:6" ht="12.6">
      <c r="A566" s="2">
        <f ca="1">IFERROR(__xludf.DUMMYFUNCTION("""COMPUTED_VALUE"""),45385.6666666666)</f>
        <v>45385.666666666599</v>
      </c>
      <c r="B566" s="1">
        <f ca="1">IFERROR(__xludf.DUMMYFUNCTION("""COMPUTED_VALUE"""),419.73)</f>
        <v>419.73</v>
      </c>
      <c r="C566" s="1">
        <f ca="1">IFERROR(__xludf.DUMMYFUNCTION("""COMPUTED_VALUE"""),423.26)</f>
        <v>423.26</v>
      </c>
      <c r="D566" s="1">
        <f ca="1">IFERROR(__xludf.DUMMYFUNCTION("""COMPUTED_VALUE"""),419.09)</f>
        <v>419.09</v>
      </c>
      <c r="E566" s="1">
        <f ca="1">IFERROR(__xludf.DUMMYFUNCTION("""COMPUTED_VALUE"""),420.45)</f>
        <v>420.45</v>
      </c>
      <c r="F566" s="1">
        <f ca="1">IFERROR(__xludf.DUMMYFUNCTION("""COMPUTED_VALUE"""),16502264)</f>
        <v>16502264</v>
      </c>
    </row>
    <row r="567" spans="1:6" ht="12.6">
      <c r="A567" s="2">
        <f ca="1">IFERROR(__xludf.DUMMYFUNCTION("""COMPUTED_VALUE"""),45386.6666666666)</f>
        <v>45386.666666666599</v>
      </c>
      <c r="B567" s="1">
        <f ca="1">IFERROR(__xludf.DUMMYFUNCTION("""COMPUTED_VALUE"""),424.99)</f>
        <v>424.99</v>
      </c>
      <c r="C567" s="1">
        <f ca="1">IFERROR(__xludf.DUMMYFUNCTION("""COMPUTED_VALUE"""),428.67)</f>
        <v>428.67</v>
      </c>
      <c r="D567" s="1">
        <f ca="1">IFERROR(__xludf.DUMMYFUNCTION("""COMPUTED_VALUE"""),417.57)</f>
        <v>417.57</v>
      </c>
      <c r="E567" s="1">
        <f ca="1">IFERROR(__xludf.DUMMYFUNCTION("""COMPUTED_VALUE"""),417.88)</f>
        <v>417.88</v>
      </c>
      <c r="F567" s="1">
        <f ca="1">IFERROR(__xludf.DUMMYFUNCTION("""COMPUTED_VALUE"""),19370875)</f>
        <v>19370875</v>
      </c>
    </row>
    <row r="568" spans="1:6" ht="12.6">
      <c r="A568" s="2">
        <f ca="1">IFERROR(__xludf.DUMMYFUNCTION("""COMPUTED_VALUE"""),45387.6666666666)</f>
        <v>45387.666666666599</v>
      </c>
      <c r="B568" s="1">
        <f ca="1">IFERROR(__xludf.DUMMYFUNCTION("""COMPUTED_VALUE"""),420.01)</f>
        <v>420.01</v>
      </c>
      <c r="C568" s="1">
        <f ca="1">IFERROR(__xludf.DUMMYFUNCTION("""COMPUTED_VALUE"""),426.51)</f>
        <v>426.51</v>
      </c>
      <c r="D568" s="1">
        <f ca="1">IFERROR(__xludf.DUMMYFUNCTION("""COMPUTED_VALUE"""),418.32)</f>
        <v>418.32</v>
      </c>
      <c r="E568" s="1">
        <f ca="1">IFERROR(__xludf.DUMMYFUNCTION("""COMPUTED_VALUE"""),425.52)</f>
        <v>425.52</v>
      </c>
      <c r="F568" s="1">
        <f ca="1">IFERROR(__xludf.DUMMYFUNCTION("""COMPUTED_VALUE"""),16554761)</f>
        <v>16554761</v>
      </c>
    </row>
    <row r="569" spans="1:6" ht="12.6">
      <c r="A569" s="2">
        <f ca="1">IFERROR(__xludf.DUMMYFUNCTION("""COMPUTED_VALUE"""),45390.6666666666)</f>
        <v>45390.666666666599</v>
      </c>
      <c r="B569" s="1">
        <f ca="1">IFERROR(__xludf.DUMMYFUNCTION("""COMPUTED_VALUE"""),425.17)</f>
        <v>425.17</v>
      </c>
      <c r="C569" s="1">
        <f ca="1">IFERROR(__xludf.DUMMYFUNCTION("""COMPUTED_VALUE"""),427.28)</f>
        <v>427.28</v>
      </c>
      <c r="D569" s="1">
        <f ca="1">IFERROR(__xludf.DUMMYFUNCTION("""COMPUTED_VALUE"""),423.3)</f>
        <v>423.3</v>
      </c>
      <c r="E569" s="1">
        <f ca="1">IFERROR(__xludf.DUMMYFUNCTION("""COMPUTED_VALUE"""),424.59)</f>
        <v>424.59</v>
      </c>
      <c r="F569" s="1">
        <f ca="1">IFERROR(__xludf.DUMMYFUNCTION("""COMPUTED_VALUE"""),14272387)</f>
        <v>14272387</v>
      </c>
    </row>
    <row r="570" spans="1:6" ht="12.6">
      <c r="A570" s="2">
        <f ca="1">IFERROR(__xludf.DUMMYFUNCTION("""COMPUTED_VALUE"""),45391.6666666666)</f>
        <v>45391.666666666599</v>
      </c>
      <c r="B570" s="1">
        <f ca="1">IFERROR(__xludf.DUMMYFUNCTION("""COMPUTED_VALUE"""),426.44)</f>
        <v>426.44</v>
      </c>
      <c r="C570" s="1">
        <f ca="1">IFERROR(__xludf.DUMMYFUNCTION("""COMPUTED_VALUE"""),427.74)</f>
        <v>427.74</v>
      </c>
      <c r="D570" s="1">
        <f ca="1">IFERROR(__xludf.DUMMYFUNCTION("""COMPUTED_VALUE"""),421.62)</f>
        <v>421.62</v>
      </c>
      <c r="E570" s="1">
        <f ca="1">IFERROR(__xludf.DUMMYFUNCTION("""COMPUTED_VALUE"""),426.28)</f>
        <v>426.28</v>
      </c>
      <c r="F570" s="1">
        <f ca="1">IFERROR(__xludf.DUMMYFUNCTION("""COMPUTED_VALUE"""),12512289)</f>
        <v>12512289</v>
      </c>
    </row>
    <row r="571" spans="1:6" ht="12.6">
      <c r="A571" s="2">
        <f ca="1">IFERROR(__xludf.DUMMYFUNCTION("""COMPUTED_VALUE"""),45392.6666666666)</f>
        <v>45392.666666666599</v>
      </c>
      <c r="B571" s="1">
        <f ca="1">IFERROR(__xludf.DUMMYFUNCTION("""COMPUTED_VALUE"""),422.19)</f>
        <v>422.19</v>
      </c>
      <c r="C571" s="1">
        <f ca="1">IFERROR(__xludf.DUMMYFUNCTION("""COMPUTED_VALUE"""),424.03)</f>
        <v>424.03</v>
      </c>
      <c r="D571" s="1">
        <f ca="1">IFERROR(__xludf.DUMMYFUNCTION("""COMPUTED_VALUE"""),419.7)</f>
        <v>419.7</v>
      </c>
      <c r="E571" s="1">
        <f ca="1">IFERROR(__xludf.DUMMYFUNCTION("""COMPUTED_VALUE"""),423.26)</f>
        <v>423.26</v>
      </c>
      <c r="F571" s="1">
        <f ca="1">IFERROR(__xludf.DUMMYFUNCTION("""COMPUTED_VALUE"""),16216581)</f>
        <v>16216581</v>
      </c>
    </row>
    <row r="572" spans="1:6" ht="12.6">
      <c r="A572" s="2">
        <f ca="1">IFERROR(__xludf.DUMMYFUNCTION("""COMPUTED_VALUE"""),45393.6666666666)</f>
        <v>45393.666666666599</v>
      </c>
      <c r="B572" s="1">
        <f ca="1">IFERROR(__xludf.DUMMYFUNCTION("""COMPUTED_VALUE"""),425.82)</f>
        <v>425.82</v>
      </c>
      <c r="C572" s="1">
        <f ca="1">IFERROR(__xludf.DUMMYFUNCTION("""COMPUTED_VALUE"""),429.37)</f>
        <v>429.37</v>
      </c>
      <c r="D572" s="1">
        <f ca="1">IFERROR(__xludf.DUMMYFUNCTION("""COMPUTED_VALUE"""),422.36)</f>
        <v>422.36</v>
      </c>
      <c r="E572" s="1">
        <f ca="1">IFERROR(__xludf.DUMMYFUNCTION("""COMPUTED_VALUE"""),427.93)</f>
        <v>427.93</v>
      </c>
      <c r="F572" s="1">
        <f ca="1">IFERROR(__xludf.DUMMYFUNCTION("""COMPUTED_VALUE"""),17966423)</f>
        <v>17966423</v>
      </c>
    </row>
    <row r="573" spans="1:6" ht="12.6">
      <c r="A573" s="2">
        <f ca="1">IFERROR(__xludf.DUMMYFUNCTION("""COMPUTED_VALUE"""),45394.6666666666)</f>
        <v>45394.666666666599</v>
      </c>
      <c r="B573" s="1">
        <f ca="1">IFERROR(__xludf.DUMMYFUNCTION("""COMPUTED_VALUE"""),424.05)</f>
        <v>424.05</v>
      </c>
      <c r="C573" s="1">
        <f ca="1">IFERROR(__xludf.DUMMYFUNCTION("""COMPUTED_VALUE"""),425.18)</f>
        <v>425.18</v>
      </c>
      <c r="D573" s="1">
        <f ca="1">IFERROR(__xludf.DUMMYFUNCTION("""COMPUTED_VALUE"""),419.77)</f>
        <v>419.77</v>
      </c>
      <c r="E573" s="1">
        <f ca="1">IFERROR(__xludf.DUMMYFUNCTION("""COMPUTED_VALUE"""),421.9)</f>
        <v>421.9</v>
      </c>
      <c r="F573" s="1">
        <f ca="1">IFERROR(__xludf.DUMMYFUNCTION("""COMPUTED_VALUE"""),19253750)</f>
        <v>19253750</v>
      </c>
    </row>
    <row r="574" spans="1:6" ht="12.6">
      <c r="A574" s="2">
        <f ca="1">IFERROR(__xludf.DUMMYFUNCTION("""COMPUTED_VALUE"""),45397.6666666666)</f>
        <v>45397.666666666599</v>
      </c>
      <c r="B574" s="1">
        <f ca="1">IFERROR(__xludf.DUMMYFUNCTION("""COMPUTED_VALUE"""),426.6)</f>
        <v>426.6</v>
      </c>
      <c r="C574" s="1">
        <f ca="1">IFERROR(__xludf.DUMMYFUNCTION("""COMPUTED_VALUE"""),426.82)</f>
        <v>426.82</v>
      </c>
      <c r="D574" s="1">
        <f ca="1">IFERROR(__xludf.DUMMYFUNCTION("""COMPUTED_VALUE"""),413.43)</f>
        <v>413.43</v>
      </c>
      <c r="E574" s="1">
        <f ca="1">IFERROR(__xludf.DUMMYFUNCTION("""COMPUTED_VALUE"""),413.64)</f>
        <v>413.64</v>
      </c>
      <c r="F574" s="1">
        <f ca="1">IFERROR(__xludf.DUMMYFUNCTION("""COMPUTED_VALUE"""),20273538)</f>
        <v>20273538</v>
      </c>
    </row>
    <row r="575" spans="1:6" ht="12.6">
      <c r="A575" s="2">
        <f ca="1">IFERROR(__xludf.DUMMYFUNCTION("""COMPUTED_VALUE"""),45398.6666666666)</f>
        <v>45398.666666666599</v>
      </c>
      <c r="B575" s="1">
        <f ca="1">IFERROR(__xludf.DUMMYFUNCTION("""COMPUTED_VALUE"""),414.57)</f>
        <v>414.57</v>
      </c>
      <c r="C575" s="1">
        <f ca="1">IFERROR(__xludf.DUMMYFUNCTION("""COMPUTED_VALUE"""),418.4)</f>
        <v>418.4</v>
      </c>
      <c r="D575" s="1">
        <f ca="1">IFERROR(__xludf.DUMMYFUNCTION("""COMPUTED_VALUE"""),413.73)</f>
        <v>413.73</v>
      </c>
      <c r="E575" s="1">
        <f ca="1">IFERROR(__xludf.DUMMYFUNCTION("""COMPUTED_VALUE"""),414.58)</f>
        <v>414.58</v>
      </c>
      <c r="F575" s="1">
        <f ca="1">IFERROR(__xludf.DUMMYFUNCTION("""COMPUTED_VALUE"""),16765616)</f>
        <v>16765616</v>
      </c>
    </row>
    <row r="576" spans="1:6" ht="12.6">
      <c r="A576" s="2">
        <f ca="1">IFERROR(__xludf.DUMMYFUNCTION("""COMPUTED_VALUE"""),45399.6666666666)</f>
        <v>45399.666666666599</v>
      </c>
      <c r="B576" s="1">
        <f ca="1">IFERROR(__xludf.DUMMYFUNCTION("""COMPUTED_VALUE"""),417.25)</f>
        <v>417.25</v>
      </c>
      <c r="C576" s="1">
        <f ca="1">IFERROR(__xludf.DUMMYFUNCTION("""COMPUTED_VALUE"""),418.88)</f>
        <v>418.88</v>
      </c>
      <c r="D576" s="1">
        <f ca="1">IFERROR(__xludf.DUMMYFUNCTION("""COMPUTED_VALUE"""),410.33)</f>
        <v>410.33</v>
      </c>
      <c r="E576" s="1">
        <f ca="1">IFERROR(__xludf.DUMMYFUNCTION("""COMPUTED_VALUE"""),411.84)</f>
        <v>411.84</v>
      </c>
      <c r="F576" s="1">
        <f ca="1">IFERROR(__xludf.DUMMYFUNCTION("""COMPUTED_VALUE"""),15855485)</f>
        <v>15855485</v>
      </c>
    </row>
    <row r="577" spans="1:6" ht="12.6">
      <c r="A577" s="2">
        <f ca="1">IFERROR(__xludf.DUMMYFUNCTION("""COMPUTED_VALUE"""),45400.6666666666)</f>
        <v>45400.666666666599</v>
      </c>
      <c r="B577" s="1">
        <f ca="1">IFERROR(__xludf.DUMMYFUNCTION("""COMPUTED_VALUE"""),410.63)</f>
        <v>410.63</v>
      </c>
      <c r="C577" s="1">
        <f ca="1">IFERROR(__xludf.DUMMYFUNCTION("""COMPUTED_VALUE"""),411.89)</f>
        <v>411.89</v>
      </c>
      <c r="D577" s="1">
        <f ca="1">IFERROR(__xludf.DUMMYFUNCTION("""COMPUTED_VALUE"""),403.95)</f>
        <v>403.95</v>
      </c>
      <c r="E577" s="1">
        <f ca="1">IFERROR(__xludf.DUMMYFUNCTION("""COMPUTED_VALUE"""),404.27)</f>
        <v>404.27</v>
      </c>
      <c r="F577" s="1">
        <f ca="1">IFERROR(__xludf.DUMMYFUNCTION("""COMPUTED_VALUE"""),21029917)</f>
        <v>21029917</v>
      </c>
    </row>
    <row r="578" spans="1:6" ht="12.6">
      <c r="A578" s="2">
        <f ca="1">IFERROR(__xludf.DUMMYFUNCTION("""COMPUTED_VALUE"""),45401.6666666666)</f>
        <v>45401.666666666599</v>
      </c>
      <c r="B578" s="1">
        <f ca="1">IFERROR(__xludf.DUMMYFUNCTION("""COMPUTED_VALUE"""),404.03)</f>
        <v>404.03</v>
      </c>
      <c r="C578" s="1">
        <f ca="1">IFERROR(__xludf.DUMMYFUNCTION("""COMPUTED_VALUE"""),405.48)</f>
        <v>405.48</v>
      </c>
      <c r="D578" s="1">
        <f ca="1">IFERROR(__xludf.DUMMYFUNCTION("""COMPUTED_VALUE"""),397.77)</f>
        <v>397.77</v>
      </c>
      <c r="E578" s="1">
        <f ca="1">IFERROR(__xludf.DUMMYFUNCTION("""COMPUTED_VALUE"""),399.12)</f>
        <v>399.12</v>
      </c>
      <c r="F578" s="1">
        <f ca="1">IFERROR(__xludf.DUMMYFUNCTION("""COMPUTED_VALUE"""),30565789)</f>
        <v>30565789</v>
      </c>
    </row>
    <row r="579" spans="1:6" ht="12.6">
      <c r="A579" s="2">
        <f ca="1">IFERROR(__xludf.DUMMYFUNCTION("""COMPUTED_VALUE"""),45404.6666666666)</f>
        <v>45404.666666666599</v>
      </c>
      <c r="B579" s="1">
        <f ca="1">IFERROR(__xludf.DUMMYFUNCTION("""COMPUTED_VALUE"""),400.08)</f>
        <v>400.08</v>
      </c>
      <c r="C579" s="1">
        <f ca="1">IFERROR(__xludf.DUMMYFUNCTION("""COMPUTED_VALUE"""),402.85)</f>
        <v>402.85</v>
      </c>
      <c r="D579" s="1">
        <f ca="1">IFERROR(__xludf.DUMMYFUNCTION("""COMPUTED_VALUE"""),395.75)</f>
        <v>395.75</v>
      </c>
      <c r="E579" s="1">
        <f ca="1">IFERROR(__xludf.DUMMYFUNCTION("""COMPUTED_VALUE"""),400.96)</f>
        <v>400.96</v>
      </c>
      <c r="F579" s="1">
        <f ca="1">IFERROR(__xludf.DUMMYFUNCTION("""COMPUTED_VALUE"""),20286875)</f>
        <v>20286875</v>
      </c>
    </row>
    <row r="580" spans="1:6" ht="12.6">
      <c r="A580" s="2">
        <f ca="1">IFERROR(__xludf.DUMMYFUNCTION("""COMPUTED_VALUE"""),45405.6666666666)</f>
        <v>45405.666666666599</v>
      </c>
      <c r="B580" s="1">
        <f ca="1">IFERROR(__xludf.DUMMYFUNCTION("""COMPUTED_VALUE"""),404.24)</f>
        <v>404.24</v>
      </c>
      <c r="C580" s="1">
        <f ca="1">IFERROR(__xludf.DUMMYFUNCTION("""COMPUTED_VALUE"""),408.2)</f>
        <v>408.2</v>
      </c>
      <c r="D580" s="1">
        <f ca="1">IFERROR(__xludf.DUMMYFUNCTION("""COMPUTED_VALUE"""),403.06)</f>
        <v>403.06</v>
      </c>
      <c r="E580" s="1">
        <f ca="1">IFERROR(__xludf.DUMMYFUNCTION("""COMPUTED_VALUE"""),407.57)</f>
        <v>407.57</v>
      </c>
      <c r="F580" s="1">
        <f ca="1">IFERROR(__xludf.DUMMYFUNCTION("""COMPUTED_VALUE"""),15734501)</f>
        <v>15734501</v>
      </c>
    </row>
    <row r="581" spans="1:6" ht="12.6">
      <c r="A581" s="2">
        <f ca="1">IFERROR(__xludf.DUMMYFUNCTION("""COMPUTED_VALUE"""),45406.6666666666)</f>
        <v>45406.666666666599</v>
      </c>
      <c r="B581" s="1">
        <f ca="1">IFERROR(__xludf.DUMMYFUNCTION("""COMPUTED_VALUE"""),409.56)</f>
        <v>409.56</v>
      </c>
      <c r="C581" s="1">
        <f ca="1">IFERROR(__xludf.DUMMYFUNCTION("""COMPUTED_VALUE"""),412.47)</f>
        <v>412.47</v>
      </c>
      <c r="D581" s="1">
        <f ca="1">IFERROR(__xludf.DUMMYFUNCTION("""COMPUTED_VALUE"""),406.78)</f>
        <v>406.78</v>
      </c>
      <c r="E581" s="1">
        <f ca="1">IFERROR(__xludf.DUMMYFUNCTION("""COMPUTED_VALUE"""),409.06)</f>
        <v>409.06</v>
      </c>
      <c r="F581" s="1">
        <f ca="1">IFERROR(__xludf.DUMMYFUNCTION("""COMPUTED_VALUE"""),15065330)</f>
        <v>15065330</v>
      </c>
    </row>
    <row r="582" spans="1:6" ht="12.6">
      <c r="A582" s="2">
        <f ca="1">IFERROR(__xludf.DUMMYFUNCTION("""COMPUTED_VALUE"""),45407.6666666666)</f>
        <v>45407.666666666599</v>
      </c>
      <c r="B582" s="1">
        <f ca="1">IFERROR(__xludf.DUMMYFUNCTION("""COMPUTED_VALUE"""),394.03)</f>
        <v>394.03</v>
      </c>
      <c r="C582" s="1">
        <f ca="1">IFERROR(__xludf.DUMMYFUNCTION("""COMPUTED_VALUE"""),399.89)</f>
        <v>399.89</v>
      </c>
      <c r="D582" s="1">
        <f ca="1">IFERROR(__xludf.DUMMYFUNCTION("""COMPUTED_VALUE"""),388.03)</f>
        <v>388.03</v>
      </c>
      <c r="E582" s="1">
        <f ca="1">IFERROR(__xludf.DUMMYFUNCTION("""COMPUTED_VALUE"""),399.04)</f>
        <v>399.04</v>
      </c>
      <c r="F582" s="1">
        <f ca="1">IFERROR(__xludf.DUMMYFUNCTION("""COMPUTED_VALUE"""),40586450)</f>
        <v>40586450</v>
      </c>
    </row>
    <row r="583" spans="1:6" ht="12.6">
      <c r="A583" s="2">
        <f ca="1">IFERROR(__xludf.DUMMYFUNCTION("""COMPUTED_VALUE"""),45408.6666666666)</f>
        <v>45408.666666666599</v>
      </c>
      <c r="B583" s="1">
        <f ca="1">IFERROR(__xludf.DUMMYFUNCTION("""COMPUTED_VALUE"""),412.17)</f>
        <v>412.17</v>
      </c>
      <c r="C583" s="1">
        <f ca="1">IFERROR(__xludf.DUMMYFUNCTION("""COMPUTED_VALUE"""),413)</f>
        <v>413</v>
      </c>
      <c r="D583" s="1">
        <f ca="1">IFERROR(__xludf.DUMMYFUNCTION("""COMPUTED_VALUE"""),405.76)</f>
        <v>405.76</v>
      </c>
      <c r="E583" s="1">
        <f ca="1">IFERROR(__xludf.DUMMYFUNCTION("""COMPUTED_VALUE"""),406.32)</f>
        <v>406.32</v>
      </c>
      <c r="F583" s="1">
        <f ca="1">IFERROR(__xludf.DUMMYFUNCTION("""COMPUTED_VALUE"""),29694654)</f>
        <v>29694654</v>
      </c>
    </row>
    <row r="584" spans="1:6" ht="12.6">
      <c r="A584" s="2">
        <f ca="1">IFERROR(__xludf.DUMMYFUNCTION("""COMPUTED_VALUE"""),45411.6666666666)</f>
        <v>45411.666666666599</v>
      </c>
      <c r="B584" s="1">
        <f ca="1">IFERROR(__xludf.DUMMYFUNCTION("""COMPUTED_VALUE"""),405.25)</f>
        <v>405.25</v>
      </c>
      <c r="C584" s="1">
        <f ca="1">IFERROR(__xludf.DUMMYFUNCTION("""COMPUTED_VALUE"""),406.32)</f>
        <v>406.32</v>
      </c>
      <c r="D584" s="1">
        <f ca="1">IFERROR(__xludf.DUMMYFUNCTION("""COMPUTED_VALUE"""),399.19)</f>
        <v>399.19</v>
      </c>
      <c r="E584" s="1">
        <f ca="1">IFERROR(__xludf.DUMMYFUNCTION("""COMPUTED_VALUE"""),402.25)</f>
        <v>402.25</v>
      </c>
      <c r="F584" s="1">
        <f ca="1">IFERROR(__xludf.DUMMYFUNCTION("""COMPUTED_VALUE"""),19582091)</f>
        <v>19582091</v>
      </c>
    </row>
    <row r="585" spans="1:6" ht="12.6">
      <c r="A585" s="2">
        <f ca="1">IFERROR(__xludf.DUMMYFUNCTION("""COMPUTED_VALUE"""),45412.6666666666)</f>
        <v>45412.666666666599</v>
      </c>
      <c r="B585" s="1">
        <f ca="1">IFERROR(__xludf.DUMMYFUNCTION("""COMPUTED_VALUE"""),401.49)</f>
        <v>401.49</v>
      </c>
      <c r="C585" s="1">
        <f ca="1">IFERROR(__xludf.DUMMYFUNCTION("""COMPUTED_VALUE"""),402.16)</f>
        <v>402.16</v>
      </c>
      <c r="D585" s="1">
        <f ca="1">IFERROR(__xludf.DUMMYFUNCTION("""COMPUTED_VALUE"""),389.17)</f>
        <v>389.17</v>
      </c>
      <c r="E585" s="1">
        <f ca="1">IFERROR(__xludf.DUMMYFUNCTION("""COMPUTED_VALUE"""),389.33)</f>
        <v>389.33</v>
      </c>
      <c r="F585" s="1">
        <f ca="1">IFERROR(__xludf.DUMMYFUNCTION("""COMPUTED_VALUE"""),28781374)</f>
        <v>28781374</v>
      </c>
    </row>
    <row r="586" spans="1:6" ht="12.6">
      <c r="A586" s="2">
        <f ca="1">IFERROR(__xludf.DUMMYFUNCTION("""COMPUTED_VALUE"""),45413.6666666666)</f>
        <v>45413.666666666599</v>
      </c>
      <c r="B586" s="1">
        <f ca="1">IFERROR(__xludf.DUMMYFUNCTION("""COMPUTED_VALUE"""),392.61)</f>
        <v>392.61</v>
      </c>
      <c r="C586" s="1">
        <f ca="1">IFERROR(__xludf.DUMMYFUNCTION("""COMPUTED_VALUE"""),401.72)</f>
        <v>401.72</v>
      </c>
      <c r="D586" s="1">
        <f ca="1">IFERROR(__xludf.DUMMYFUNCTION("""COMPUTED_VALUE"""),390.31)</f>
        <v>390.31</v>
      </c>
      <c r="E586" s="1">
        <f ca="1">IFERROR(__xludf.DUMMYFUNCTION("""COMPUTED_VALUE"""),394.94)</f>
        <v>394.94</v>
      </c>
      <c r="F586" s="1">
        <f ca="1">IFERROR(__xludf.DUMMYFUNCTION("""COMPUTED_VALUE"""),23562481)</f>
        <v>23562481</v>
      </c>
    </row>
    <row r="587" spans="1:6" ht="12.6">
      <c r="A587" s="2">
        <f ca="1">IFERROR(__xludf.DUMMYFUNCTION("""COMPUTED_VALUE"""),45414.6666666666)</f>
        <v>45414.666666666599</v>
      </c>
      <c r="B587" s="1">
        <f ca="1">IFERROR(__xludf.DUMMYFUNCTION("""COMPUTED_VALUE"""),397.66)</f>
        <v>397.66</v>
      </c>
      <c r="C587" s="1">
        <f ca="1">IFERROR(__xludf.DUMMYFUNCTION("""COMPUTED_VALUE"""),399.93)</f>
        <v>399.93</v>
      </c>
      <c r="D587" s="1">
        <f ca="1">IFERROR(__xludf.DUMMYFUNCTION("""COMPUTED_VALUE"""),394.65)</f>
        <v>394.65</v>
      </c>
      <c r="E587" s="1">
        <f ca="1">IFERROR(__xludf.DUMMYFUNCTION("""COMPUTED_VALUE"""),397.84)</f>
        <v>397.84</v>
      </c>
      <c r="F587" s="1">
        <f ca="1">IFERROR(__xludf.DUMMYFUNCTION("""COMPUTED_VALUE"""),17709364)</f>
        <v>17709364</v>
      </c>
    </row>
    <row r="588" spans="1:6" ht="12.6">
      <c r="A588" s="2">
        <f ca="1">IFERROR(__xludf.DUMMYFUNCTION("""COMPUTED_VALUE"""),45415.6666666666)</f>
        <v>45415.666666666599</v>
      </c>
      <c r="B588" s="1">
        <f ca="1">IFERROR(__xludf.DUMMYFUNCTION("""COMPUTED_VALUE"""),402.28)</f>
        <v>402.28</v>
      </c>
      <c r="C588" s="1">
        <f ca="1">IFERROR(__xludf.DUMMYFUNCTION("""COMPUTED_VALUE"""),407.15)</f>
        <v>407.15</v>
      </c>
      <c r="D588" s="1">
        <f ca="1">IFERROR(__xludf.DUMMYFUNCTION("""COMPUTED_VALUE"""),401.86)</f>
        <v>401.86</v>
      </c>
      <c r="E588" s="1">
        <f ca="1">IFERROR(__xludf.DUMMYFUNCTION("""COMPUTED_VALUE"""),406.66)</f>
        <v>406.66</v>
      </c>
      <c r="F588" s="1">
        <f ca="1">IFERROR(__xludf.DUMMYFUNCTION("""COMPUTED_VALUE"""),17446724)</f>
        <v>17446724</v>
      </c>
    </row>
    <row r="589" spans="1:6" ht="12.6">
      <c r="A589" s="2">
        <f ca="1">IFERROR(__xludf.DUMMYFUNCTION("""COMPUTED_VALUE"""),45418.6666666666)</f>
        <v>45418.666666666599</v>
      </c>
      <c r="B589" s="1">
        <f ca="1">IFERROR(__xludf.DUMMYFUNCTION("""COMPUTED_VALUE"""),408.76)</f>
        <v>408.76</v>
      </c>
      <c r="C589" s="1">
        <f ca="1">IFERROR(__xludf.DUMMYFUNCTION("""COMPUTED_VALUE"""),413.93)</f>
        <v>413.93</v>
      </c>
      <c r="D589" s="1">
        <f ca="1">IFERROR(__xludf.DUMMYFUNCTION("""COMPUTED_VALUE"""),406.37)</f>
        <v>406.37</v>
      </c>
      <c r="E589" s="1">
        <f ca="1">IFERROR(__xludf.DUMMYFUNCTION("""COMPUTED_VALUE"""),413.54)</f>
        <v>413.54</v>
      </c>
      <c r="F589" s="1">
        <f ca="1">IFERROR(__xludf.DUMMYFUNCTION("""COMPUTED_VALUE"""),16996639)</f>
        <v>16996639</v>
      </c>
    </row>
    <row r="590" spans="1:6" ht="12.6">
      <c r="A590" s="2">
        <f ca="1">IFERROR(__xludf.DUMMYFUNCTION("""COMPUTED_VALUE"""),45419.6666666666)</f>
        <v>45419.666666666599</v>
      </c>
      <c r="B590" s="1">
        <f ca="1">IFERROR(__xludf.DUMMYFUNCTION("""COMPUTED_VALUE"""),414.66)</f>
        <v>414.66</v>
      </c>
      <c r="C590" s="1">
        <f ca="1">IFERROR(__xludf.DUMMYFUNCTION("""COMPUTED_VALUE"""),414.67)</f>
        <v>414.67</v>
      </c>
      <c r="D590" s="1">
        <f ca="1">IFERROR(__xludf.DUMMYFUNCTION("""COMPUTED_VALUE"""),409.09)</f>
        <v>409.09</v>
      </c>
      <c r="E590" s="1">
        <f ca="1">IFERROR(__xludf.DUMMYFUNCTION("""COMPUTED_VALUE"""),409.34)</f>
        <v>409.34</v>
      </c>
      <c r="F590" s="1">
        <f ca="1">IFERROR(__xludf.DUMMYFUNCTION("""COMPUTED_VALUE"""),20018228)</f>
        <v>20018228</v>
      </c>
    </row>
    <row r="591" spans="1:6" ht="12.6">
      <c r="A591" s="2">
        <f ca="1">IFERROR(__xludf.DUMMYFUNCTION("""COMPUTED_VALUE"""),45420.6666666666)</f>
        <v>45420.666666666599</v>
      </c>
      <c r="B591" s="1">
        <f ca="1">IFERROR(__xludf.DUMMYFUNCTION("""COMPUTED_VALUE"""),408.17)</f>
        <v>408.17</v>
      </c>
      <c r="C591" s="1">
        <f ca="1">IFERROR(__xludf.DUMMYFUNCTION("""COMPUTED_VALUE"""),412.23)</f>
        <v>412.23</v>
      </c>
      <c r="D591" s="1">
        <f ca="1">IFERROR(__xludf.DUMMYFUNCTION("""COMPUTED_VALUE"""),406.71)</f>
        <v>406.71</v>
      </c>
      <c r="E591" s="1">
        <f ca="1">IFERROR(__xludf.DUMMYFUNCTION("""COMPUTED_VALUE"""),410.54)</f>
        <v>410.54</v>
      </c>
      <c r="F591" s="1">
        <f ca="1">IFERROR(__xludf.DUMMYFUNCTION("""COMPUTED_VALUE"""),11792308)</f>
        <v>11792308</v>
      </c>
    </row>
    <row r="592" spans="1:6" ht="12.6">
      <c r="A592" s="2">
        <f ca="1">IFERROR(__xludf.DUMMYFUNCTION("""COMPUTED_VALUE"""),45421.6666666666)</f>
        <v>45421.666666666599</v>
      </c>
      <c r="B592" s="1">
        <f ca="1">IFERROR(__xludf.DUMMYFUNCTION("""COMPUTED_VALUE"""),410.57)</f>
        <v>410.57</v>
      </c>
      <c r="C592" s="1">
        <f ca="1">IFERROR(__xludf.DUMMYFUNCTION("""COMPUTED_VALUE"""),412.72)</f>
        <v>412.72</v>
      </c>
      <c r="D592" s="1">
        <f ca="1">IFERROR(__xludf.DUMMYFUNCTION("""COMPUTED_VALUE"""),409.1)</f>
        <v>409.1</v>
      </c>
      <c r="E592" s="1">
        <f ca="1">IFERROR(__xludf.DUMMYFUNCTION("""COMPUTED_VALUE"""),412.32)</f>
        <v>412.32</v>
      </c>
      <c r="F592" s="1">
        <f ca="1">IFERROR(__xludf.DUMMYFUNCTION("""COMPUTED_VALUE"""),14689727)</f>
        <v>14689727</v>
      </c>
    </row>
    <row r="593" spans="1:6" ht="12.6">
      <c r="A593" s="2">
        <f ca="1">IFERROR(__xludf.DUMMYFUNCTION("""COMPUTED_VALUE"""),45422.6666666666)</f>
        <v>45422.666666666599</v>
      </c>
      <c r="B593" s="1">
        <f ca="1">IFERROR(__xludf.DUMMYFUNCTION("""COMPUTED_VALUE"""),412.94)</f>
        <v>412.94</v>
      </c>
      <c r="C593" s="1">
        <f ca="1">IFERROR(__xludf.DUMMYFUNCTION("""COMPUTED_VALUE"""),415.38)</f>
        <v>415.38</v>
      </c>
      <c r="D593" s="1">
        <f ca="1">IFERROR(__xludf.DUMMYFUNCTION("""COMPUTED_VALUE"""),411.8)</f>
        <v>411.8</v>
      </c>
      <c r="E593" s="1">
        <f ca="1">IFERROR(__xludf.DUMMYFUNCTION("""COMPUTED_VALUE"""),414.74)</f>
        <v>414.74</v>
      </c>
      <c r="F593" s="1">
        <f ca="1">IFERROR(__xludf.DUMMYFUNCTION("""COMPUTED_VALUE"""),13402281)</f>
        <v>13402281</v>
      </c>
    </row>
    <row r="594" spans="1:6" ht="12.6">
      <c r="A594" s="2">
        <f ca="1">IFERROR(__xludf.DUMMYFUNCTION("""COMPUTED_VALUE"""),45425.6666666666)</f>
        <v>45425.666666666599</v>
      </c>
      <c r="B594" s="1">
        <f ca="1">IFERROR(__xludf.DUMMYFUNCTION("""COMPUTED_VALUE"""),418.01)</f>
        <v>418.01</v>
      </c>
      <c r="C594" s="1">
        <f ca="1">IFERROR(__xludf.DUMMYFUNCTION("""COMPUTED_VALUE"""),418.35)</f>
        <v>418.35</v>
      </c>
      <c r="D594" s="1">
        <f ca="1">IFERROR(__xludf.DUMMYFUNCTION("""COMPUTED_VALUE"""),410.82)</f>
        <v>410.82</v>
      </c>
      <c r="E594" s="1">
        <f ca="1">IFERROR(__xludf.DUMMYFUNCTION("""COMPUTED_VALUE"""),413.72)</f>
        <v>413.72</v>
      </c>
      <c r="F594" s="1">
        <f ca="1">IFERROR(__xludf.DUMMYFUNCTION("""COMPUTED_VALUE"""),15440226)</f>
        <v>15440226</v>
      </c>
    </row>
    <row r="595" spans="1:6" ht="12.6">
      <c r="A595" s="2">
        <f ca="1">IFERROR(__xludf.DUMMYFUNCTION("""COMPUTED_VALUE"""),45426.6666666666)</f>
        <v>45426.666666666599</v>
      </c>
      <c r="B595" s="1">
        <f ca="1">IFERROR(__xludf.DUMMYFUNCTION("""COMPUTED_VALUE"""),412.02)</f>
        <v>412.02</v>
      </c>
      <c r="C595" s="1">
        <f ca="1">IFERROR(__xludf.DUMMYFUNCTION("""COMPUTED_VALUE"""),417.49)</f>
        <v>417.49</v>
      </c>
      <c r="D595" s="1">
        <f ca="1">IFERROR(__xludf.DUMMYFUNCTION("""COMPUTED_VALUE"""),411.55)</f>
        <v>411.55</v>
      </c>
      <c r="E595" s="1">
        <f ca="1">IFERROR(__xludf.DUMMYFUNCTION("""COMPUTED_VALUE"""),416.56)</f>
        <v>416.56</v>
      </c>
      <c r="F595" s="1">
        <f ca="1">IFERROR(__xludf.DUMMYFUNCTION("""COMPUTED_VALUE"""),15109306)</f>
        <v>15109306</v>
      </c>
    </row>
    <row r="596" spans="1:6" ht="12.6">
      <c r="A596" s="2">
        <f ca="1">IFERROR(__xludf.DUMMYFUNCTION("""COMPUTED_VALUE"""),45427.6666666666)</f>
        <v>45427.666666666599</v>
      </c>
      <c r="B596" s="1">
        <f ca="1">IFERROR(__xludf.DUMMYFUNCTION("""COMPUTED_VALUE"""),417.9)</f>
        <v>417.9</v>
      </c>
      <c r="C596" s="1">
        <f ca="1">IFERROR(__xludf.DUMMYFUNCTION("""COMPUTED_VALUE"""),423.81)</f>
        <v>423.81</v>
      </c>
      <c r="D596" s="1">
        <f ca="1">IFERROR(__xludf.DUMMYFUNCTION("""COMPUTED_VALUE"""),417.27)</f>
        <v>417.27</v>
      </c>
      <c r="E596" s="1">
        <f ca="1">IFERROR(__xludf.DUMMYFUNCTION("""COMPUTED_VALUE"""),423.08)</f>
        <v>423.08</v>
      </c>
      <c r="F596" s="1">
        <f ca="1">IFERROR(__xludf.DUMMYFUNCTION("""COMPUTED_VALUE"""),22239533)</f>
        <v>22239533</v>
      </c>
    </row>
    <row r="597" spans="1:6" ht="12.6">
      <c r="A597" s="2">
        <f ca="1">IFERROR(__xludf.DUMMYFUNCTION("""COMPUTED_VALUE"""),45428.6666666666)</f>
        <v>45428.666666666599</v>
      </c>
      <c r="B597" s="1">
        <f ca="1">IFERROR(__xludf.DUMMYFUNCTION("""COMPUTED_VALUE"""),421.8)</f>
        <v>421.8</v>
      </c>
      <c r="C597" s="1">
        <f ca="1">IFERROR(__xludf.DUMMYFUNCTION("""COMPUTED_VALUE"""),425.42)</f>
        <v>425.42</v>
      </c>
      <c r="D597" s="1">
        <f ca="1">IFERROR(__xludf.DUMMYFUNCTION("""COMPUTED_VALUE"""),420.35)</f>
        <v>420.35</v>
      </c>
      <c r="E597" s="1">
        <f ca="1">IFERROR(__xludf.DUMMYFUNCTION("""COMPUTED_VALUE"""),420.99)</f>
        <v>420.99</v>
      </c>
      <c r="F597" s="1">
        <f ca="1">IFERROR(__xludf.DUMMYFUNCTION("""COMPUTED_VALUE"""),17530050)</f>
        <v>17530050</v>
      </c>
    </row>
    <row r="598" spans="1:6" ht="12.6">
      <c r="A598" s="2">
        <f ca="1">IFERROR(__xludf.DUMMYFUNCTION("""COMPUTED_VALUE"""),45429.6666666666)</f>
        <v>45429.666666666599</v>
      </c>
      <c r="B598" s="1">
        <f ca="1">IFERROR(__xludf.DUMMYFUNCTION("""COMPUTED_VALUE"""),422.54)</f>
        <v>422.54</v>
      </c>
      <c r="C598" s="1">
        <f ca="1">IFERROR(__xludf.DUMMYFUNCTION("""COMPUTED_VALUE"""),422.92)</f>
        <v>422.92</v>
      </c>
      <c r="D598" s="1">
        <f ca="1">IFERROR(__xludf.DUMMYFUNCTION("""COMPUTED_VALUE"""),418.03)</f>
        <v>418.03</v>
      </c>
      <c r="E598" s="1">
        <f ca="1">IFERROR(__xludf.DUMMYFUNCTION("""COMPUTED_VALUE"""),420.21)</f>
        <v>420.21</v>
      </c>
      <c r="F598" s="1">
        <f ca="1">IFERROR(__xludf.DUMMYFUNCTION("""COMPUTED_VALUE"""),15352239)</f>
        <v>15352239</v>
      </c>
    </row>
    <row r="599" spans="1:6" ht="12.6">
      <c r="A599" s="2">
        <f ca="1">IFERROR(__xludf.DUMMYFUNCTION("""COMPUTED_VALUE"""),45432.6666666666)</f>
        <v>45432.666666666599</v>
      </c>
      <c r="B599" s="1">
        <f ca="1">IFERROR(__xludf.DUMMYFUNCTION("""COMPUTED_VALUE"""),420.21)</f>
        <v>420.21</v>
      </c>
      <c r="C599" s="1">
        <f ca="1">IFERROR(__xludf.DUMMYFUNCTION("""COMPUTED_VALUE"""),426.77)</f>
        <v>426.77</v>
      </c>
      <c r="D599" s="1">
        <f ca="1">IFERROR(__xludf.DUMMYFUNCTION("""COMPUTED_VALUE"""),419.99)</f>
        <v>419.99</v>
      </c>
      <c r="E599" s="1">
        <f ca="1">IFERROR(__xludf.DUMMYFUNCTION("""COMPUTED_VALUE"""),425.34)</f>
        <v>425.34</v>
      </c>
      <c r="F599" s="1">
        <f ca="1">IFERROR(__xludf.DUMMYFUNCTION("""COMPUTED_VALUE"""),16272137)</f>
        <v>16272137</v>
      </c>
    </row>
    <row r="600" spans="1:6" ht="12.6">
      <c r="A600" s="2">
        <f ca="1">IFERROR(__xludf.DUMMYFUNCTION("""COMPUTED_VALUE"""),45433.6666666666)</f>
        <v>45433.666666666599</v>
      </c>
      <c r="B600" s="1">
        <f ca="1">IFERROR(__xludf.DUMMYFUNCTION("""COMPUTED_VALUE"""),426.83)</f>
        <v>426.83</v>
      </c>
      <c r="C600" s="1">
        <f ca="1">IFERROR(__xludf.DUMMYFUNCTION("""COMPUTED_VALUE"""),432.97)</f>
        <v>432.97</v>
      </c>
      <c r="D600" s="1">
        <f ca="1">IFERROR(__xludf.DUMMYFUNCTION("""COMPUTED_VALUE"""),424.85)</f>
        <v>424.85</v>
      </c>
      <c r="E600" s="1">
        <f ca="1">IFERROR(__xludf.DUMMYFUNCTION("""COMPUTED_VALUE"""),429.04)</f>
        <v>429.04</v>
      </c>
      <c r="F600" s="1">
        <f ca="1">IFERROR(__xludf.DUMMYFUNCTION("""COMPUTED_VALUE"""),21453255)</f>
        <v>21453255</v>
      </c>
    </row>
    <row r="601" spans="1:6" ht="12.6">
      <c r="A601" s="2">
        <f ca="1">IFERROR(__xludf.DUMMYFUNCTION("""COMPUTED_VALUE"""),45434.6666666666)</f>
        <v>45434.666666666599</v>
      </c>
      <c r="B601" s="1">
        <f ca="1">IFERROR(__xludf.DUMMYFUNCTION("""COMPUTED_VALUE"""),430.09)</f>
        <v>430.09</v>
      </c>
      <c r="C601" s="1">
        <f ca="1">IFERROR(__xludf.DUMMYFUNCTION("""COMPUTED_VALUE"""),432.41)</f>
        <v>432.41</v>
      </c>
      <c r="D601" s="1">
        <f ca="1">IFERROR(__xludf.DUMMYFUNCTION("""COMPUTED_VALUE"""),427.13)</f>
        <v>427.13</v>
      </c>
      <c r="E601" s="1">
        <f ca="1">IFERROR(__xludf.DUMMYFUNCTION("""COMPUTED_VALUE"""),430.52)</f>
        <v>430.52</v>
      </c>
      <c r="F601" s="1">
        <f ca="1">IFERROR(__xludf.DUMMYFUNCTION("""COMPUTED_VALUE"""),18073698)</f>
        <v>18073698</v>
      </c>
    </row>
    <row r="602" spans="1:6" ht="12.6">
      <c r="A602" s="2">
        <f ca="1">IFERROR(__xludf.DUMMYFUNCTION("""COMPUTED_VALUE"""),45435.6666666666)</f>
        <v>45435.666666666599</v>
      </c>
      <c r="B602" s="1">
        <f ca="1">IFERROR(__xludf.DUMMYFUNCTION("""COMPUTED_VALUE"""),432.97)</f>
        <v>432.97</v>
      </c>
      <c r="C602" s="1">
        <f ca="1">IFERROR(__xludf.DUMMYFUNCTION("""COMPUTED_VALUE"""),433.6)</f>
        <v>433.6</v>
      </c>
      <c r="D602" s="1">
        <f ca="1">IFERROR(__xludf.DUMMYFUNCTION("""COMPUTED_VALUE"""),425.42)</f>
        <v>425.42</v>
      </c>
      <c r="E602" s="1">
        <f ca="1">IFERROR(__xludf.DUMMYFUNCTION("""COMPUTED_VALUE"""),427)</f>
        <v>427</v>
      </c>
      <c r="F602" s="1">
        <f ca="1">IFERROR(__xludf.DUMMYFUNCTION("""COMPUTED_VALUE"""),17211689)</f>
        <v>17211689</v>
      </c>
    </row>
    <row r="603" spans="1:6" ht="12.6">
      <c r="A603" s="2">
        <f ca="1">IFERROR(__xludf.DUMMYFUNCTION("""COMPUTED_VALUE"""),45436.6666666666)</f>
        <v>45436.666666666599</v>
      </c>
      <c r="B603" s="1">
        <f ca="1">IFERROR(__xludf.DUMMYFUNCTION("""COMPUTED_VALUE"""),427.19)</f>
        <v>427.19</v>
      </c>
      <c r="C603" s="1">
        <f ca="1">IFERROR(__xludf.DUMMYFUNCTION("""COMPUTED_VALUE"""),431.06)</f>
        <v>431.06</v>
      </c>
      <c r="D603" s="1">
        <f ca="1">IFERROR(__xludf.DUMMYFUNCTION("""COMPUTED_VALUE"""),424.41)</f>
        <v>424.41</v>
      </c>
      <c r="E603" s="1">
        <f ca="1">IFERROR(__xludf.DUMMYFUNCTION("""COMPUTED_VALUE"""),430.16)</f>
        <v>430.16</v>
      </c>
      <c r="F603" s="1">
        <f ca="1">IFERROR(__xludf.DUMMYFUNCTION("""COMPUTED_VALUE"""),11855285)</f>
        <v>11855285</v>
      </c>
    </row>
    <row r="604" spans="1:6" ht="12.6">
      <c r="A604" s="2">
        <f ca="1">IFERROR(__xludf.DUMMYFUNCTION("""COMPUTED_VALUE"""),45440.6666666666)</f>
        <v>45440.666666666599</v>
      </c>
      <c r="B604" s="1">
        <f ca="1">IFERROR(__xludf.DUMMYFUNCTION("""COMPUTED_VALUE"""),429.63)</f>
        <v>429.63</v>
      </c>
      <c r="C604" s="1">
        <f ca="1">IFERROR(__xludf.DUMMYFUNCTION("""COMPUTED_VALUE"""),430.82)</f>
        <v>430.82</v>
      </c>
      <c r="D604" s="1">
        <f ca="1">IFERROR(__xludf.DUMMYFUNCTION("""COMPUTED_VALUE"""),426.6)</f>
        <v>426.6</v>
      </c>
      <c r="E604" s="1">
        <f ca="1">IFERROR(__xludf.DUMMYFUNCTION("""COMPUTED_VALUE"""),430.32)</f>
        <v>430.32</v>
      </c>
      <c r="F604" s="1">
        <f ca="1">IFERROR(__xludf.DUMMYFUNCTION("""COMPUTED_VALUE"""),15718024)</f>
        <v>15718024</v>
      </c>
    </row>
    <row r="605" spans="1:6" ht="12.6">
      <c r="A605" s="2">
        <f ca="1">IFERROR(__xludf.DUMMYFUNCTION("""COMPUTED_VALUE"""),45441.6666666666)</f>
        <v>45441.666666666599</v>
      </c>
      <c r="B605" s="1">
        <f ca="1">IFERROR(__xludf.DUMMYFUNCTION("""COMPUTED_VALUE"""),425.69)</f>
        <v>425.69</v>
      </c>
      <c r="C605" s="1">
        <f ca="1">IFERROR(__xludf.DUMMYFUNCTION("""COMPUTED_VALUE"""),430.94)</f>
        <v>430.94</v>
      </c>
      <c r="D605" s="1">
        <f ca="1">IFERROR(__xludf.DUMMYFUNCTION("""COMPUTED_VALUE"""),425.69)</f>
        <v>425.69</v>
      </c>
      <c r="E605" s="1">
        <f ca="1">IFERROR(__xludf.DUMMYFUNCTION("""COMPUTED_VALUE"""),429.17)</f>
        <v>429.17</v>
      </c>
      <c r="F605" s="1">
        <f ca="1">IFERROR(__xludf.DUMMYFUNCTION("""COMPUTED_VALUE"""),15517130)</f>
        <v>15517130</v>
      </c>
    </row>
    <row r="606" spans="1:6" ht="12.6">
      <c r="A606" s="2">
        <f ca="1">IFERROR(__xludf.DUMMYFUNCTION("""COMPUTED_VALUE"""),45442.6666666666)</f>
        <v>45442.666666666599</v>
      </c>
      <c r="B606" s="1">
        <f ca="1">IFERROR(__xludf.DUMMYFUNCTION("""COMPUTED_VALUE"""),424.3)</f>
        <v>424.3</v>
      </c>
      <c r="C606" s="1">
        <f ca="1">IFERROR(__xludf.DUMMYFUNCTION("""COMPUTED_VALUE"""),424.3)</f>
        <v>424.3</v>
      </c>
      <c r="D606" s="1">
        <f ca="1">IFERROR(__xludf.DUMMYFUNCTION("""COMPUTED_VALUE"""),414.24)</f>
        <v>414.24</v>
      </c>
      <c r="E606" s="1">
        <f ca="1">IFERROR(__xludf.DUMMYFUNCTION("""COMPUTED_VALUE"""),414.67)</f>
        <v>414.67</v>
      </c>
      <c r="F606" s="1">
        <f ca="1">IFERROR(__xludf.DUMMYFUNCTION("""COMPUTED_VALUE"""),28424847)</f>
        <v>28424847</v>
      </c>
    </row>
    <row r="607" spans="1:6" ht="12.6">
      <c r="A607" s="2">
        <f ca="1">IFERROR(__xludf.DUMMYFUNCTION("""COMPUTED_VALUE"""),45443.6666666666)</f>
        <v>45443.666666666599</v>
      </c>
      <c r="B607" s="1">
        <f ca="1">IFERROR(__xludf.DUMMYFUNCTION("""COMPUTED_VALUE"""),416.75)</f>
        <v>416.75</v>
      </c>
      <c r="C607" s="1">
        <f ca="1">IFERROR(__xludf.DUMMYFUNCTION("""COMPUTED_VALUE"""),416.75)</f>
        <v>416.75</v>
      </c>
      <c r="D607" s="1">
        <f ca="1">IFERROR(__xludf.DUMMYFUNCTION("""COMPUTED_VALUE"""),404.51)</f>
        <v>404.51</v>
      </c>
      <c r="E607" s="1">
        <f ca="1">IFERROR(__xludf.DUMMYFUNCTION("""COMPUTED_VALUE"""),415.13)</f>
        <v>415.13</v>
      </c>
      <c r="F607" s="1">
        <f ca="1">IFERROR(__xludf.DUMMYFUNCTION("""COMPUTED_VALUE"""),47995250)</f>
        <v>47995250</v>
      </c>
    </row>
    <row r="608" spans="1:6" ht="12.6">
      <c r="A608" s="2">
        <f ca="1">IFERROR(__xludf.DUMMYFUNCTION("""COMPUTED_VALUE"""),45446.6666666666)</f>
        <v>45446.666666666599</v>
      </c>
      <c r="B608" s="1">
        <f ca="1">IFERROR(__xludf.DUMMYFUNCTION("""COMPUTED_VALUE"""),415.53)</f>
        <v>415.53</v>
      </c>
      <c r="C608" s="1">
        <f ca="1">IFERROR(__xludf.DUMMYFUNCTION("""COMPUTED_VALUE"""),416.43)</f>
        <v>416.43</v>
      </c>
      <c r="D608" s="1">
        <f ca="1">IFERROR(__xludf.DUMMYFUNCTION("""COMPUTED_VALUE"""),408.92)</f>
        <v>408.92</v>
      </c>
      <c r="E608" s="1">
        <f ca="1">IFERROR(__xludf.DUMMYFUNCTION("""COMPUTED_VALUE"""),413.52)</f>
        <v>413.52</v>
      </c>
      <c r="F608" s="1">
        <f ca="1">IFERROR(__xludf.DUMMYFUNCTION("""COMPUTED_VALUE"""),17484675)</f>
        <v>17484675</v>
      </c>
    </row>
    <row r="609" spans="1:6" ht="12.6">
      <c r="A609" s="2">
        <f ca="1">IFERROR(__xludf.DUMMYFUNCTION("""COMPUTED_VALUE"""),45447.6666666666)</f>
        <v>45447.666666666599</v>
      </c>
      <c r="B609" s="1">
        <f ca="1">IFERROR(__xludf.DUMMYFUNCTION("""COMPUTED_VALUE"""),412.43)</f>
        <v>412.43</v>
      </c>
      <c r="C609" s="1">
        <f ca="1">IFERROR(__xludf.DUMMYFUNCTION("""COMPUTED_VALUE"""),416.44)</f>
        <v>416.44</v>
      </c>
      <c r="D609" s="1">
        <f ca="1">IFERROR(__xludf.DUMMYFUNCTION("""COMPUTED_VALUE"""),409.68)</f>
        <v>409.68</v>
      </c>
      <c r="E609" s="1">
        <f ca="1">IFERROR(__xludf.DUMMYFUNCTION("""COMPUTED_VALUE"""),416.07)</f>
        <v>416.07</v>
      </c>
      <c r="F609" s="1">
        <f ca="1">IFERROR(__xludf.DUMMYFUNCTION("""COMPUTED_VALUE"""),14348917)</f>
        <v>14348917</v>
      </c>
    </row>
    <row r="610" spans="1:6" ht="12.6">
      <c r="A610" s="2">
        <f ca="1">IFERROR(__xludf.DUMMYFUNCTION("""COMPUTED_VALUE"""),45448.6666666666)</f>
        <v>45448.666666666599</v>
      </c>
      <c r="B610" s="1">
        <f ca="1">IFERROR(__xludf.DUMMYFUNCTION("""COMPUTED_VALUE"""),417.81)</f>
        <v>417.81</v>
      </c>
      <c r="C610" s="1">
        <f ca="1">IFERROR(__xludf.DUMMYFUNCTION("""COMPUTED_VALUE"""),424.08)</f>
        <v>424.08</v>
      </c>
      <c r="D610" s="1">
        <f ca="1">IFERROR(__xludf.DUMMYFUNCTION("""COMPUTED_VALUE"""),416.3)</f>
        <v>416.3</v>
      </c>
      <c r="E610" s="1">
        <f ca="1">IFERROR(__xludf.DUMMYFUNCTION("""COMPUTED_VALUE"""),424.01)</f>
        <v>424.01</v>
      </c>
      <c r="F610" s="1">
        <f ca="1">IFERROR(__xludf.DUMMYFUNCTION("""COMPUTED_VALUE"""),16988038)</f>
        <v>16988038</v>
      </c>
    </row>
    <row r="611" spans="1:6" ht="12.6">
      <c r="A611" s="2">
        <f ca="1">IFERROR(__xludf.DUMMYFUNCTION("""COMPUTED_VALUE"""),45449.6666666666)</f>
        <v>45449.666666666599</v>
      </c>
      <c r="B611" s="1">
        <f ca="1">IFERROR(__xludf.DUMMYFUNCTION("""COMPUTED_VALUE"""),424.01)</f>
        <v>424.01</v>
      </c>
      <c r="C611" s="1">
        <f ca="1">IFERROR(__xludf.DUMMYFUNCTION("""COMPUTED_VALUE"""),425.31)</f>
        <v>425.31</v>
      </c>
      <c r="D611" s="1">
        <f ca="1">IFERROR(__xludf.DUMMYFUNCTION("""COMPUTED_VALUE"""),420.58)</f>
        <v>420.58</v>
      </c>
      <c r="E611" s="1">
        <f ca="1">IFERROR(__xludf.DUMMYFUNCTION("""COMPUTED_VALUE"""),424.52)</f>
        <v>424.52</v>
      </c>
      <c r="F611" s="1">
        <f ca="1">IFERROR(__xludf.DUMMYFUNCTION("""COMPUTED_VALUE"""),14861251)</f>
        <v>14861251</v>
      </c>
    </row>
    <row r="612" spans="1:6" ht="12.6">
      <c r="A612" s="2">
        <f ca="1">IFERROR(__xludf.DUMMYFUNCTION("""COMPUTED_VALUE"""),45450.6666666666)</f>
        <v>45450.666666666599</v>
      </c>
      <c r="B612" s="1">
        <f ca="1">IFERROR(__xludf.DUMMYFUNCTION("""COMPUTED_VALUE"""),426.2)</f>
        <v>426.2</v>
      </c>
      <c r="C612" s="1">
        <f ca="1">IFERROR(__xludf.DUMMYFUNCTION("""COMPUTED_VALUE"""),426.28)</f>
        <v>426.28</v>
      </c>
      <c r="D612" s="1">
        <f ca="1">IFERROR(__xludf.DUMMYFUNCTION("""COMPUTED_VALUE"""),423)</f>
        <v>423</v>
      </c>
      <c r="E612" s="1">
        <f ca="1">IFERROR(__xludf.DUMMYFUNCTION("""COMPUTED_VALUE"""),423.85)</f>
        <v>423.85</v>
      </c>
      <c r="F612" s="1">
        <f ca="1">IFERROR(__xludf.DUMMYFUNCTION("""COMPUTED_VALUE"""),13621650)</f>
        <v>13621650</v>
      </c>
    </row>
    <row r="613" spans="1:6" ht="12.6">
      <c r="A613" s="2">
        <f ca="1">IFERROR(__xludf.DUMMYFUNCTION("""COMPUTED_VALUE"""),45453.6666666666)</f>
        <v>45453.666666666599</v>
      </c>
      <c r="B613" s="1">
        <f ca="1">IFERROR(__xludf.DUMMYFUNCTION("""COMPUTED_VALUE"""),424.7)</f>
        <v>424.7</v>
      </c>
      <c r="C613" s="1">
        <f ca="1">IFERROR(__xludf.DUMMYFUNCTION("""COMPUTED_VALUE"""),428.08)</f>
        <v>428.08</v>
      </c>
      <c r="D613" s="1">
        <f ca="1">IFERROR(__xludf.DUMMYFUNCTION("""COMPUTED_VALUE"""),423.89)</f>
        <v>423.89</v>
      </c>
      <c r="E613" s="1">
        <f ca="1">IFERROR(__xludf.DUMMYFUNCTION("""COMPUTED_VALUE"""),427.87)</f>
        <v>427.87</v>
      </c>
      <c r="F613" s="1">
        <f ca="1">IFERROR(__xludf.DUMMYFUNCTION("""COMPUTED_VALUE"""),14003034)</f>
        <v>14003034</v>
      </c>
    </row>
    <row r="614" spans="1:6" ht="12.6">
      <c r="A614" s="2">
        <f ca="1">IFERROR(__xludf.DUMMYFUNCTION("""COMPUTED_VALUE"""),45454.6666666666)</f>
        <v>45454.666666666599</v>
      </c>
      <c r="B614" s="1">
        <f ca="1">IFERROR(__xludf.DUMMYFUNCTION("""COMPUTED_VALUE"""),425.48)</f>
        <v>425.48</v>
      </c>
      <c r="C614" s="1">
        <f ca="1">IFERROR(__xludf.DUMMYFUNCTION("""COMPUTED_VALUE"""),432.82)</f>
        <v>432.82</v>
      </c>
      <c r="D614" s="1">
        <f ca="1">IFERROR(__xludf.DUMMYFUNCTION("""COMPUTED_VALUE"""),425.25)</f>
        <v>425.25</v>
      </c>
      <c r="E614" s="1">
        <f ca="1">IFERROR(__xludf.DUMMYFUNCTION("""COMPUTED_VALUE"""),432.68)</f>
        <v>432.68</v>
      </c>
      <c r="F614" s="1">
        <f ca="1">IFERROR(__xludf.DUMMYFUNCTION("""COMPUTED_VALUE"""),14551101)</f>
        <v>14551101</v>
      </c>
    </row>
    <row r="615" spans="1:6" ht="12.6">
      <c r="A615" s="2">
        <f ca="1">IFERROR(__xludf.DUMMYFUNCTION("""COMPUTED_VALUE"""),45455.6666666666)</f>
        <v>45455.666666666599</v>
      </c>
      <c r="B615" s="1">
        <f ca="1">IFERROR(__xludf.DUMMYFUNCTION("""COMPUTED_VALUE"""),435.32)</f>
        <v>435.32</v>
      </c>
      <c r="C615" s="1">
        <f ca="1">IFERROR(__xludf.DUMMYFUNCTION("""COMPUTED_VALUE"""),443.4)</f>
        <v>443.4</v>
      </c>
      <c r="D615" s="1">
        <f ca="1">IFERROR(__xludf.DUMMYFUNCTION("""COMPUTED_VALUE"""),433.25)</f>
        <v>433.25</v>
      </c>
      <c r="E615" s="1">
        <f ca="1">IFERROR(__xludf.DUMMYFUNCTION("""COMPUTED_VALUE"""),441.06)</f>
        <v>441.06</v>
      </c>
      <c r="F615" s="1">
        <f ca="1">IFERROR(__xludf.DUMMYFUNCTION("""COMPUTED_VALUE"""),22366233)</f>
        <v>22366233</v>
      </c>
    </row>
    <row r="616" spans="1:6" ht="12.6">
      <c r="A616" s="2">
        <f ca="1">IFERROR(__xludf.DUMMYFUNCTION("""COMPUTED_VALUE"""),45456.6666666666)</f>
        <v>45456.666666666599</v>
      </c>
      <c r="B616" s="1">
        <f ca="1">IFERROR(__xludf.DUMMYFUNCTION("""COMPUTED_VALUE"""),440.85)</f>
        <v>440.85</v>
      </c>
      <c r="C616" s="1">
        <f ca="1">IFERROR(__xludf.DUMMYFUNCTION("""COMPUTED_VALUE"""),443.39)</f>
        <v>443.39</v>
      </c>
      <c r="D616" s="1">
        <f ca="1">IFERROR(__xludf.DUMMYFUNCTION("""COMPUTED_VALUE"""),439.37)</f>
        <v>439.37</v>
      </c>
      <c r="E616" s="1">
        <f ca="1">IFERROR(__xludf.DUMMYFUNCTION("""COMPUTED_VALUE"""),441.58)</f>
        <v>441.58</v>
      </c>
      <c r="F616" s="1">
        <f ca="1">IFERROR(__xludf.DUMMYFUNCTION("""COMPUTED_VALUE"""),15960565)</f>
        <v>15960565</v>
      </c>
    </row>
    <row r="617" spans="1:6" ht="12.6">
      <c r="A617" s="2">
        <f ca="1">IFERROR(__xludf.DUMMYFUNCTION("""COMPUTED_VALUE"""),45457.6666666666)</f>
        <v>45457.666666666599</v>
      </c>
      <c r="B617" s="1">
        <f ca="1">IFERROR(__xludf.DUMMYFUNCTION("""COMPUTED_VALUE"""),438.28)</f>
        <v>438.28</v>
      </c>
      <c r="C617" s="1">
        <f ca="1">IFERROR(__xludf.DUMMYFUNCTION("""COMPUTED_VALUE"""),443.14)</f>
        <v>443.14</v>
      </c>
      <c r="D617" s="1">
        <f ca="1">IFERROR(__xludf.DUMMYFUNCTION("""COMPUTED_VALUE"""),436.72)</f>
        <v>436.72</v>
      </c>
      <c r="E617" s="1">
        <f ca="1">IFERROR(__xludf.DUMMYFUNCTION("""COMPUTED_VALUE"""),442.57)</f>
        <v>442.57</v>
      </c>
      <c r="F617" s="1">
        <f ca="1">IFERROR(__xludf.DUMMYFUNCTION("""COMPUTED_VALUE"""),13581985)</f>
        <v>13581985</v>
      </c>
    </row>
    <row r="618" spans="1:6" ht="12.6">
      <c r="A618" s="2">
        <f ca="1">IFERROR(__xludf.DUMMYFUNCTION("""COMPUTED_VALUE"""),45460.6666666666)</f>
        <v>45460.666666666599</v>
      </c>
      <c r="B618" s="1">
        <f ca="1">IFERROR(__xludf.DUMMYFUNCTION("""COMPUTED_VALUE"""),442.59)</f>
        <v>442.59</v>
      </c>
      <c r="C618" s="1">
        <f ca="1">IFERROR(__xludf.DUMMYFUNCTION("""COMPUTED_VALUE"""),450.94)</f>
        <v>450.94</v>
      </c>
      <c r="D618" s="1">
        <f ca="1">IFERROR(__xludf.DUMMYFUNCTION("""COMPUTED_VALUE"""),440.72)</f>
        <v>440.72</v>
      </c>
      <c r="E618" s="1">
        <f ca="1">IFERROR(__xludf.DUMMYFUNCTION("""COMPUTED_VALUE"""),448.37)</f>
        <v>448.37</v>
      </c>
      <c r="F618" s="1">
        <f ca="1">IFERROR(__xludf.DUMMYFUNCTION("""COMPUTED_VALUE"""),20790030)</f>
        <v>20790030</v>
      </c>
    </row>
    <row r="619" spans="1:6" ht="12.6">
      <c r="A619" s="2">
        <f ca="1">IFERROR(__xludf.DUMMYFUNCTION("""COMPUTED_VALUE"""),45461.6666666666)</f>
        <v>45461.666666666599</v>
      </c>
      <c r="B619" s="1">
        <f ca="1">IFERROR(__xludf.DUMMYFUNCTION("""COMPUTED_VALUE"""),449.71)</f>
        <v>449.71</v>
      </c>
      <c r="C619" s="1">
        <f ca="1">IFERROR(__xludf.DUMMYFUNCTION("""COMPUTED_VALUE"""),450.14)</f>
        <v>450.14</v>
      </c>
      <c r="D619" s="1">
        <f ca="1">IFERROR(__xludf.DUMMYFUNCTION("""COMPUTED_VALUE"""),444.89)</f>
        <v>444.89</v>
      </c>
      <c r="E619" s="1">
        <f ca="1">IFERROR(__xludf.DUMMYFUNCTION("""COMPUTED_VALUE"""),446.34)</f>
        <v>446.34</v>
      </c>
      <c r="F619" s="1">
        <f ca="1">IFERROR(__xludf.DUMMYFUNCTION("""COMPUTED_VALUE"""),17112504)</f>
        <v>17112504</v>
      </c>
    </row>
    <row r="620" spans="1:6" ht="12.6">
      <c r="A620" s="2">
        <f ca="1">IFERROR(__xludf.DUMMYFUNCTION("""COMPUTED_VALUE"""),45463.6666666666)</f>
        <v>45463.666666666599</v>
      </c>
      <c r="B620" s="1">
        <f ca="1">IFERROR(__xludf.DUMMYFUNCTION("""COMPUTED_VALUE"""),446.3)</f>
        <v>446.3</v>
      </c>
      <c r="C620" s="1">
        <f ca="1">IFERROR(__xludf.DUMMYFUNCTION("""COMPUTED_VALUE"""),446.53)</f>
        <v>446.53</v>
      </c>
      <c r="D620" s="1">
        <f ca="1">IFERROR(__xludf.DUMMYFUNCTION("""COMPUTED_VALUE"""),441.27)</f>
        <v>441.27</v>
      </c>
      <c r="E620" s="1">
        <f ca="1">IFERROR(__xludf.DUMMYFUNCTION("""COMPUTED_VALUE"""),445.7)</f>
        <v>445.7</v>
      </c>
      <c r="F620" s="1">
        <f ca="1">IFERROR(__xludf.DUMMYFUNCTION("""COMPUTED_VALUE"""),19877378)</f>
        <v>19877378</v>
      </c>
    </row>
    <row r="621" spans="1:6" ht="12.6">
      <c r="A621" s="2">
        <f ca="1">IFERROR(__xludf.DUMMYFUNCTION("""COMPUTED_VALUE"""),45464.6666666666)</f>
        <v>45464.666666666599</v>
      </c>
      <c r="B621" s="1">
        <f ca="1">IFERROR(__xludf.DUMMYFUNCTION("""COMPUTED_VALUE"""),447.38)</f>
        <v>447.38</v>
      </c>
      <c r="C621" s="1">
        <f ca="1">IFERROR(__xludf.DUMMYFUNCTION("""COMPUTED_VALUE"""),450.58)</f>
        <v>450.58</v>
      </c>
      <c r="D621" s="1">
        <f ca="1">IFERROR(__xludf.DUMMYFUNCTION("""COMPUTED_VALUE"""),446.51)</f>
        <v>446.51</v>
      </c>
      <c r="E621" s="1">
        <f ca="1">IFERROR(__xludf.DUMMYFUNCTION("""COMPUTED_VALUE"""),449.78)</f>
        <v>449.78</v>
      </c>
      <c r="F621" s="1">
        <f ca="1">IFERROR(__xludf.DUMMYFUNCTION("""COMPUTED_VALUE"""),34486172)</f>
        <v>34486172</v>
      </c>
    </row>
    <row r="622" spans="1:6" ht="12.6">
      <c r="A622" s="2">
        <f ca="1">IFERROR(__xludf.DUMMYFUNCTION("""COMPUTED_VALUE"""),45467.6666666666)</f>
        <v>45467.666666666599</v>
      </c>
      <c r="B622" s="1">
        <f ca="1">IFERROR(__xludf.DUMMYFUNCTION("""COMPUTED_VALUE"""),449.8)</f>
        <v>449.8</v>
      </c>
      <c r="C622" s="1">
        <f ca="1">IFERROR(__xludf.DUMMYFUNCTION("""COMPUTED_VALUE"""),452.75)</f>
        <v>452.75</v>
      </c>
      <c r="D622" s="1">
        <f ca="1">IFERROR(__xludf.DUMMYFUNCTION("""COMPUTED_VALUE"""),446.41)</f>
        <v>446.41</v>
      </c>
      <c r="E622" s="1">
        <f ca="1">IFERROR(__xludf.DUMMYFUNCTION("""COMPUTED_VALUE"""),447.67)</f>
        <v>447.67</v>
      </c>
      <c r="F622" s="1">
        <f ca="1">IFERROR(__xludf.DUMMYFUNCTION("""COMPUTED_VALUE"""),15913719)</f>
        <v>15913719</v>
      </c>
    </row>
    <row r="623" spans="1:6" ht="12.6">
      <c r="A623" s="2">
        <f ca="1">IFERROR(__xludf.DUMMYFUNCTION("""COMPUTED_VALUE"""),45468.6666666666)</f>
        <v>45468.666666666599</v>
      </c>
      <c r="B623" s="1">
        <f ca="1">IFERROR(__xludf.DUMMYFUNCTION("""COMPUTED_VALUE"""),448.25)</f>
        <v>448.25</v>
      </c>
      <c r="C623" s="1">
        <f ca="1">IFERROR(__xludf.DUMMYFUNCTION("""COMPUTED_VALUE"""),451.42)</f>
        <v>451.42</v>
      </c>
      <c r="D623" s="1">
        <f ca="1">IFERROR(__xludf.DUMMYFUNCTION("""COMPUTED_VALUE"""),446.75)</f>
        <v>446.75</v>
      </c>
      <c r="E623" s="1">
        <f ca="1">IFERROR(__xludf.DUMMYFUNCTION("""COMPUTED_VALUE"""),450.95)</f>
        <v>450.95</v>
      </c>
      <c r="F623" s="1">
        <f ca="1">IFERROR(__xludf.DUMMYFUNCTION("""COMPUTED_VALUE"""),16747529)</f>
        <v>16747529</v>
      </c>
    </row>
    <row r="624" spans="1:6" ht="12.6">
      <c r="A624" s="2">
        <f ca="1">IFERROR(__xludf.DUMMYFUNCTION("""COMPUTED_VALUE"""),45469.6666666666)</f>
        <v>45469.666666666599</v>
      </c>
      <c r="B624" s="1">
        <f ca="1">IFERROR(__xludf.DUMMYFUNCTION("""COMPUTED_VALUE"""),449)</f>
        <v>449</v>
      </c>
      <c r="C624" s="1">
        <f ca="1">IFERROR(__xludf.DUMMYFUNCTION("""COMPUTED_VALUE"""),453.6)</f>
        <v>453.6</v>
      </c>
      <c r="D624" s="1">
        <f ca="1">IFERROR(__xludf.DUMMYFUNCTION("""COMPUTED_VALUE"""),448.19)</f>
        <v>448.19</v>
      </c>
      <c r="E624" s="1">
        <f ca="1">IFERROR(__xludf.DUMMYFUNCTION("""COMPUTED_VALUE"""),452.16)</f>
        <v>452.16</v>
      </c>
      <c r="F624" s="1">
        <f ca="1">IFERROR(__xludf.DUMMYFUNCTION("""COMPUTED_VALUE"""),16507030)</f>
        <v>16507030</v>
      </c>
    </row>
    <row r="625" spans="1:6" ht="12.6">
      <c r="A625" s="2">
        <f ca="1">IFERROR(__xludf.DUMMYFUNCTION("""COMPUTED_VALUE"""),45470.6666666666)</f>
        <v>45470.666666666599</v>
      </c>
      <c r="B625" s="1">
        <f ca="1">IFERROR(__xludf.DUMMYFUNCTION("""COMPUTED_VALUE"""),452.18)</f>
        <v>452.18</v>
      </c>
      <c r="C625" s="1">
        <f ca="1">IFERROR(__xludf.DUMMYFUNCTION("""COMPUTED_VALUE"""),456.17)</f>
        <v>456.17</v>
      </c>
      <c r="D625" s="1">
        <f ca="1">IFERROR(__xludf.DUMMYFUNCTION("""COMPUTED_VALUE"""),451.77)</f>
        <v>451.77</v>
      </c>
      <c r="E625" s="1">
        <f ca="1">IFERROR(__xludf.DUMMYFUNCTION("""COMPUTED_VALUE"""),452.85)</f>
        <v>452.85</v>
      </c>
      <c r="F625" s="1">
        <f ca="1">IFERROR(__xludf.DUMMYFUNCTION("""COMPUTED_VALUE"""),14806324)</f>
        <v>14806324</v>
      </c>
    </row>
    <row r="626" spans="1:6" ht="12.6">
      <c r="A626" s="2">
        <f ca="1">IFERROR(__xludf.DUMMYFUNCTION("""COMPUTED_VALUE"""),45471.6666666666)</f>
        <v>45471.666666666599</v>
      </c>
      <c r="B626" s="1">
        <f ca="1">IFERROR(__xludf.DUMMYFUNCTION("""COMPUTED_VALUE"""),453.07)</f>
        <v>453.07</v>
      </c>
      <c r="C626" s="1">
        <f ca="1">IFERROR(__xludf.DUMMYFUNCTION("""COMPUTED_VALUE"""),455.38)</f>
        <v>455.38</v>
      </c>
      <c r="D626" s="1">
        <f ca="1">IFERROR(__xludf.DUMMYFUNCTION("""COMPUTED_VALUE"""),446.41)</f>
        <v>446.41</v>
      </c>
      <c r="E626" s="1">
        <f ca="1">IFERROR(__xludf.DUMMYFUNCTION("""COMPUTED_VALUE"""),446.95)</f>
        <v>446.95</v>
      </c>
      <c r="F626" s="1">
        <f ca="1">IFERROR(__xludf.DUMMYFUNCTION("""COMPUTED_VALUE"""),28362271)</f>
        <v>28362271</v>
      </c>
    </row>
    <row r="627" spans="1:6" ht="12.6">
      <c r="A627" s="2">
        <f ca="1">IFERROR(__xludf.DUMMYFUNCTION("""COMPUTED_VALUE"""),45474.6666666666)</f>
        <v>45474.666666666599</v>
      </c>
      <c r="B627" s="1">
        <f ca="1">IFERROR(__xludf.DUMMYFUNCTION("""COMPUTED_VALUE"""),448.66)</f>
        <v>448.66</v>
      </c>
      <c r="C627" s="1">
        <f ca="1">IFERROR(__xludf.DUMMYFUNCTION("""COMPUTED_VALUE"""),457.37)</f>
        <v>457.37</v>
      </c>
      <c r="D627" s="1">
        <f ca="1">IFERROR(__xludf.DUMMYFUNCTION("""COMPUTED_VALUE"""),445.66)</f>
        <v>445.66</v>
      </c>
      <c r="E627" s="1">
        <f ca="1">IFERROR(__xludf.DUMMYFUNCTION("""COMPUTED_VALUE"""),456.73)</f>
        <v>456.73</v>
      </c>
      <c r="F627" s="1">
        <f ca="1">IFERROR(__xludf.DUMMYFUNCTION("""COMPUTED_VALUE"""),17662818)</f>
        <v>17662818</v>
      </c>
    </row>
    <row r="628" spans="1:6" ht="12.6">
      <c r="A628" s="2">
        <f ca="1">IFERROR(__xludf.DUMMYFUNCTION("""COMPUTED_VALUE"""),45475.6666666666)</f>
        <v>45475.666666666599</v>
      </c>
      <c r="B628" s="1">
        <f ca="1">IFERROR(__xludf.DUMMYFUNCTION("""COMPUTED_VALUE"""),453.2)</f>
        <v>453.2</v>
      </c>
      <c r="C628" s="1">
        <f ca="1">IFERROR(__xludf.DUMMYFUNCTION("""COMPUTED_VALUE"""),459.59)</f>
        <v>459.59</v>
      </c>
      <c r="D628" s="1">
        <f ca="1">IFERROR(__xludf.DUMMYFUNCTION("""COMPUTED_VALUE"""),453.11)</f>
        <v>453.11</v>
      </c>
      <c r="E628" s="1">
        <f ca="1">IFERROR(__xludf.DUMMYFUNCTION("""COMPUTED_VALUE"""),459.28)</f>
        <v>459.28</v>
      </c>
      <c r="F628" s="1">
        <f ca="1">IFERROR(__xludf.DUMMYFUNCTION("""COMPUTED_VALUE"""),13979779)</f>
        <v>13979779</v>
      </c>
    </row>
    <row r="629" spans="1:6" ht="12.6">
      <c r="A629" s="2">
        <f ca="1">IFERROR(__xludf.DUMMYFUNCTION("""COMPUTED_VALUE"""),45476.5451388888)</f>
        <v>45476.545138888803</v>
      </c>
      <c r="B629" s="1">
        <f ca="1">IFERROR(__xludf.DUMMYFUNCTION("""COMPUTED_VALUE"""),458.19)</f>
        <v>458.19</v>
      </c>
      <c r="C629" s="1">
        <f ca="1">IFERROR(__xludf.DUMMYFUNCTION("""COMPUTED_VALUE"""),461.02)</f>
        <v>461.02</v>
      </c>
      <c r="D629" s="1">
        <f ca="1">IFERROR(__xludf.DUMMYFUNCTION("""COMPUTED_VALUE"""),457.88)</f>
        <v>457.88</v>
      </c>
      <c r="E629" s="1">
        <f ca="1">IFERROR(__xludf.DUMMYFUNCTION("""COMPUTED_VALUE"""),460.77)</f>
        <v>460.77</v>
      </c>
      <c r="F629" s="1">
        <f ca="1">IFERROR(__xludf.DUMMYFUNCTION("""COMPUTED_VALUE"""),9932830)</f>
        <v>9932830</v>
      </c>
    </row>
    <row r="630" spans="1:6" ht="12.6">
      <c r="A630" s="2">
        <f ca="1">IFERROR(__xludf.DUMMYFUNCTION("""COMPUTED_VALUE"""),45478.6666666666)</f>
        <v>45478.666666666599</v>
      </c>
      <c r="B630" s="1">
        <f ca="1">IFERROR(__xludf.DUMMYFUNCTION("""COMPUTED_VALUE"""),459.61)</f>
        <v>459.61</v>
      </c>
      <c r="C630" s="1">
        <f ca="1">IFERROR(__xludf.DUMMYFUNCTION("""COMPUTED_VALUE"""),468.35)</f>
        <v>468.35</v>
      </c>
      <c r="D630" s="1">
        <f ca="1">IFERROR(__xludf.DUMMYFUNCTION("""COMPUTED_VALUE"""),458.97)</f>
        <v>458.97</v>
      </c>
      <c r="E630" s="1">
        <f ca="1">IFERROR(__xludf.DUMMYFUNCTION("""COMPUTED_VALUE"""),467.56)</f>
        <v>467.56</v>
      </c>
      <c r="F630" s="1">
        <f ca="1">IFERROR(__xludf.DUMMYFUNCTION("""COMPUTED_VALUE"""),16000290)</f>
        <v>16000290</v>
      </c>
    </row>
    <row r="631" spans="1:6" ht="12.6">
      <c r="A631" s="2">
        <f ca="1">IFERROR(__xludf.DUMMYFUNCTION("""COMPUTED_VALUE"""),45481.6666666666)</f>
        <v>45481.666666666599</v>
      </c>
      <c r="B631" s="1">
        <f ca="1">IFERROR(__xludf.DUMMYFUNCTION("""COMPUTED_VALUE"""),466.55)</f>
        <v>466.55</v>
      </c>
      <c r="C631" s="1">
        <f ca="1">IFERROR(__xludf.DUMMYFUNCTION("""COMPUTED_VALUE"""),467.7)</f>
        <v>467.7</v>
      </c>
      <c r="D631" s="1">
        <f ca="1">IFERROR(__xludf.DUMMYFUNCTION("""COMPUTED_VALUE"""),464.46)</f>
        <v>464.46</v>
      </c>
      <c r="E631" s="1">
        <f ca="1">IFERROR(__xludf.DUMMYFUNCTION("""COMPUTED_VALUE"""),466.24)</f>
        <v>466.24</v>
      </c>
      <c r="F631" s="1">
        <f ca="1">IFERROR(__xludf.DUMMYFUNCTION("""COMPUTED_VALUE"""),12962321)</f>
        <v>12962321</v>
      </c>
    </row>
    <row r="632" spans="1:6" ht="12.6">
      <c r="A632" s="2">
        <f ca="1">IFERROR(__xludf.DUMMYFUNCTION("""COMPUTED_VALUE"""),45482.6666666666)</f>
        <v>45482.666666666599</v>
      </c>
      <c r="B632" s="1">
        <f ca="1">IFERROR(__xludf.DUMMYFUNCTION("""COMPUTED_VALUE"""),467)</f>
        <v>467</v>
      </c>
      <c r="C632" s="1">
        <f ca="1">IFERROR(__xludf.DUMMYFUNCTION("""COMPUTED_VALUE"""),467.33)</f>
        <v>467.33</v>
      </c>
      <c r="D632" s="1">
        <f ca="1">IFERROR(__xludf.DUMMYFUNCTION("""COMPUTED_VALUE"""),458)</f>
        <v>458</v>
      </c>
      <c r="E632" s="1">
        <f ca="1">IFERROR(__xludf.DUMMYFUNCTION("""COMPUTED_VALUE"""),459.54)</f>
        <v>459.54</v>
      </c>
      <c r="F632" s="1">
        <f ca="1">IFERROR(__xludf.DUMMYFUNCTION("""COMPUTED_VALUE"""),17228507)</f>
        <v>17228507</v>
      </c>
    </row>
    <row r="633" spans="1:6" ht="12.6">
      <c r="A633" s="2">
        <f ca="1">IFERROR(__xludf.DUMMYFUNCTION("""COMPUTED_VALUE"""),45483.6666666666)</f>
        <v>45483.666666666599</v>
      </c>
      <c r="B633" s="1">
        <f ca="1">IFERROR(__xludf.DUMMYFUNCTION("""COMPUTED_VALUE"""),461.22)</f>
        <v>461.22</v>
      </c>
      <c r="C633" s="1">
        <f ca="1">IFERROR(__xludf.DUMMYFUNCTION("""COMPUTED_VALUE"""),466.46)</f>
        <v>466.46</v>
      </c>
      <c r="D633" s="1">
        <f ca="1">IFERROR(__xludf.DUMMYFUNCTION("""COMPUTED_VALUE"""),458.86)</f>
        <v>458.86</v>
      </c>
      <c r="E633" s="1">
        <f ca="1">IFERROR(__xludf.DUMMYFUNCTION("""COMPUTED_VALUE"""),466.25)</f>
        <v>466.25</v>
      </c>
      <c r="F633" s="1">
        <f ca="1">IFERROR(__xludf.DUMMYFUNCTION("""COMPUTED_VALUE"""),18196100)</f>
        <v>18196100</v>
      </c>
    </row>
    <row r="634" spans="1:6" ht="12.6">
      <c r="A634" s="2">
        <f ca="1">IFERROR(__xludf.DUMMYFUNCTION("""COMPUTED_VALUE"""),45484.6666666666)</f>
        <v>45484.666666666599</v>
      </c>
      <c r="B634" s="1">
        <f ca="1">IFERROR(__xludf.DUMMYFUNCTION("""COMPUTED_VALUE"""),462.98)</f>
        <v>462.98</v>
      </c>
      <c r="C634" s="1">
        <f ca="1">IFERROR(__xludf.DUMMYFUNCTION("""COMPUTED_VALUE"""),464.78)</f>
        <v>464.78</v>
      </c>
      <c r="D634" s="1">
        <f ca="1">IFERROR(__xludf.DUMMYFUNCTION("""COMPUTED_VALUE"""),451.55)</f>
        <v>451.55</v>
      </c>
      <c r="E634" s="1">
        <f ca="1">IFERROR(__xludf.DUMMYFUNCTION("""COMPUTED_VALUE"""),454.7)</f>
        <v>454.7</v>
      </c>
      <c r="F634" s="1">
        <f ca="1">IFERROR(__xludf.DUMMYFUNCTION("""COMPUTED_VALUE"""),23111175)</f>
        <v>23111175</v>
      </c>
    </row>
    <row r="635" spans="1:6" ht="12.6">
      <c r="A635" s="2">
        <f ca="1">IFERROR(__xludf.DUMMYFUNCTION("""COMPUTED_VALUE"""),45485.6666666666)</f>
        <v>45485.666666666599</v>
      </c>
      <c r="B635" s="1">
        <f ca="1">IFERROR(__xludf.DUMMYFUNCTION("""COMPUTED_VALUE"""),454.33)</f>
        <v>454.33</v>
      </c>
      <c r="C635" s="1">
        <f ca="1">IFERROR(__xludf.DUMMYFUNCTION("""COMPUTED_VALUE"""),456.36)</f>
        <v>456.36</v>
      </c>
      <c r="D635" s="1">
        <f ca="1">IFERROR(__xludf.DUMMYFUNCTION("""COMPUTED_VALUE"""),450.65)</f>
        <v>450.65</v>
      </c>
      <c r="E635" s="1">
        <f ca="1">IFERROR(__xludf.DUMMYFUNCTION("""COMPUTED_VALUE"""),453.55)</f>
        <v>453.55</v>
      </c>
      <c r="F635" s="1">
        <f ca="1">IFERROR(__xludf.DUMMYFUNCTION("""COMPUTED_VALUE"""),16324274)</f>
        <v>16324274</v>
      </c>
    </row>
    <row r="636" spans="1:6" ht="12.6">
      <c r="A636" s="2">
        <f ca="1">IFERROR(__xludf.DUMMYFUNCTION("""COMPUTED_VALUE"""),45488.6666666666)</f>
        <v>45488.666666666599</v>
      </c>
      <c r="B636" s="1">
        <f ca="1">IFERROR(__xludf.DUMMYFUNCTION("""COMPUTED_VALUE"""),453.3)</f>
        <v>453.3</v>
      </c>
      <c r="C636" s="1">
        <f ca="1">IFERROR(__xludf.DUMMYFUNCTION("""COMPUTED_VALUE"""),457.26)</f>
        <v>457.26</v>
      </c>
      <c r="D636" s="1">
        <f ca="1">IFERROR(__xludf.DUMMYFUNCTION("""COMPUTED_VALUE"""),451.43)</f>
        <v>451.43</v>
      </c>
      <c r="E636" s="1">
        <f ca="1">IFERROR(__xludf.DUMMYFUNCTION("""COMPUTED_VALUE"""),453.96)</f>
        <v>453.96</v>
      </c>
      <c r="F636" s="1">
        <f ca="1">IFERROR(__xludf.DUMMYFUNCTION("""COMPUTED_VALUE"""),14429447)</f>
        <v>14429447</v>
      </c>
    </row>
    <row r="637" spans="1:6" ht="12.6">
      <c r="A637" s="2">
        <f ca="1">IFERROR(__xludf.DUMMYFUNCTION("""COMPUTED_VALUE"""),45489.6666666666)</f>
        <v>45489.666666666599</v>
      </c>
      <c r="B637" s="1">
        <f ca="1">IFERROR(__xludf.DUMMYFUNCTION("""COMPUTED_VALUE"""),454.22)</f>
        <v>454.22</v>
      </c>
      <c r="C637" s="1">
        <f ca="1">IFERROR(__xludf.DUMMYFUNCTION("""COMPUTED_VALUE"""),454.3)</f>
        <v>454.3</v>
      </c>
      <c r="D637" s="1">
        <f ca="1">IFERROR(__xludf.DUMMYFUNCTION("""COMPUTED_VALUE"""),446.66)</f>
        <v>446.66</v>
      </c>
      <c r="E637" s="1">
        <f ca="1">IFERROR(__xludf.DUMMYFUNCTION("""COMPUTED_VALUE"""),449.52)</f>
        <v>449.52</v>
      </c>
      <c r="F637" s="1">
        <f ca="1">IFERROR(__xludf.DUMMYFUNCTION("""COMPUTED_VALUE"""),17175679)</f>
        <v>17175679</v>
      </c>
    </row>
    <row r="638" spans="1:6" ht="12.6">
      <c r="A638" s="2">
        <f ca="1">IFERROR(__xludf.DUMMYFUNCTION("""COMPUTED_VALUE"""),45490.6666666666)</f>
        <v>45490.666666666599</v>
      </c>
      <c r="B638" s="1">
        <f ca="1">IFERROR(__xludf.DUMMYFUNCTION("""COMPUTED_VALUE"""),442.59)</f>
        <v>442.59</v>
      </c>
      <c r="C638" s="1">
        <f ca="1">IFERROR(__xludf.DUMMYFUNCTION("""COMPUTED_VALUE"""),444.85)</f>
        <v>444.85</v>
      </c>
      <c r="D638" s="1">
        <f ca="1">IFERROR(__xludf.DUMMYFUNCTION("""COMPUTED_VALUE"""),439.18)</f>
        <v>439.18</v>
      </c>
      <c r="E638" s="1">
        <f ca="1">IFERROR(__xludf.DUMMYFUNCTION("""COMPUTED_VALUE"""),443.52)</f>
        <v>443.52</v>
      </c>
      <c r="F638" s="1">
        <f ca="1">IFERROR(__xludf.DUMMYFUNCTION("""COMPUTED_VALUE"""),21754021)</f>
        <v>21754021</v>
      </c>
    </row>
    <row r="639" spans="1:6" ht="12.6">
      <c r="A639" s="2">
        <f ca="1">IFERROR(__xludf.DUMMYFUNCTION("""COMPUTED_VALUE"""),45491.6666666666)</f>
        <v>45491.666666666599</v>
      </c>
      <c r="B639" s="1">
        <f ca="1">IFERROR(__xludf.DUMMYFUNCTION("""COMPUTED_VALUE"""),444.34)</f>
        <v>444.34</v>
      </c>
      <c r="C639" s="1">
        <f ca="1">IFERROR(__xludf.DUMMYFUNCTION("""COMPUTED_VALUE"""),444.65)</f>
        <v>444.65</v>
      </c>
      <c r="D639" s="1">
        <f ca="1">IFERROR(__xludf.DUMMYFUNCTION("""COMPUTED_VALUE"""),434.4)</f>
        <v>434.4</v>
      </c>
      <c r="E639" s="1">
        <f ca="1">IFERROR(__xludf.DUMMYFUNCTION("""COMPUTED_VALUE"""),440.37)</f>
        <v>440.37</v>
      </c>
      <c r="F639" s="1">
        <f ca="1">IFERROR(__xludf.DUMMYFUNCTION("""COMPUTED_VALUE"""),20794822)</f>
        <v>20794822</v>
      </c>
    </row>
    <row r="640" spans="1:6" ht="12.6">
      <c r="A640" s="2">
        <f ca="1">IFERROR(__xludf.DUMMYFUNCTION("""COMPUTED_VALUE"""),45492.6666666666)</f>
        <v>45492.666666666599</v>
      </c>
      <c r="B640" s="1">
        <f ca="1">IFERROR(__xludf.DUMMYFUNCTION("""COMPUTED_VALUE"""),433.1)</f>
        <v>433.1</v>
      </c>
      <c r="C640" s="1">
        <f ca="1">IFERROR(__xludf.DUMMYFUNCTION("""COMPUTED_VALUE"""),441.14)</f>
        <v>441.14</v>
      </c>
      <c r="D640" s="1">
        <f ca="1">IFERROR(__xludf.DUMMYFUNCTION("""COMPUTED_VALUE"""),432)</f>
        <v>432</v>
      </c>
      <c r="E640" s="1">
        <f ca="1">IFERROR(__xludf.DUMMYFUNCTION("""COMPUTED_VALUE"""),437.11)</f>
        <v>437.11</v>
      </c>
      <c r="F640" s="1">
        <f ca="1">IFERROR(__xludf.DUMMYFUNCTION("""COMPUTED_VALUE"""),20940417)</f>
        <v>20940417</v>
      </c>
    </row>
    <row r="641" spans="1:6" ht="12.6">
      <c r="A641" s="2">
        <f ca="1">IFERROR(__xludf.DUMMYFUNCTION("""COMPUTED_VALUE"""),45495.6666666666)</f>
        <v>45495.666666666599</v>
      </c>
      <c r="B641" s="1">
        <f ca="1">IFERROR(__xludf.DUMMYFUNCTION("""COMPUTED_VALUE"""),441.79)</f>
        <v>441.79</v>
      </c>
      <c r="C641" s="1">
        <f ca="1">IFERROR(__xludf.DUMMYFUNCTION("""COMPUTED_VALUE"""),444.6)</f>
        <v>444.6</v>
      </c>
      <c r="D641" s="1">
        <f ca="1">IFERROR(__xludf.DUMMYFUNCTION("""COMPUTED_VALUE"""),438.91)</f>
        <v>438.91</v>
      </c>
      <c r="E641" s="1">
        <f ca="1">IFERROR(__xludf.DUMMYFUNCTION("""COMPUTED_VALUE"""),442.94)</f>
        <v>442.94</v>
      </c>
      <c r="F641" s="1">
        <f ca="1">IFERROR(__xludf.DUMMYFUNCTION("""COMPUTED_VALUE"""),15808755)</f>
        <v>15808755</v>
      </c>
    </row>
    <row r="642" spans="1:6" ht="12.6">
      <c r="A642" s="2">
        <f ca="1">IFERROR(__xludf.DUMMYFUNCTION("""COMPUTED_VALUE"""),45496.6666666666)</f>
        <v>45496.666666666599</v>
      </c>
      <c r="B642" s="1">
        <f ca="1">IFERROR(__xludf.DUMMYFUNCTION("""COMPUTED_VALUE"""),443.9)</f>
        <v>443.9</v>
      </c>
      <c r="C642" s="1">
        <f ca="1">IFERROR(__xludf.DUMMYFUNCTION("""COMPUTED_VALUE"""),448.39)</f>
        <v>448.39</v>
      </c>
      <c r="D642" s="1">
        <f ca="1">IFERROR(__xludf.DUMMYFUNCTION("""COMPUTED_VALUE"""),443.1)</f>
        <v>443.1</v>
      </c>
      <c r="E642" s="1">
        <f ca="1">IFERROR(__xludf.DUMMYFUNCTION("""COMPUTED_VALUE"""),444.85)</f>
        <v>444.85</v>
      </c>
      <c r="F642" s="1">
        <f ca="1">IFERROR(__xludf.DUMMYFUNCTION("""COMPUTED_VALUE"""),13107050)</f>
        <v>13107050</v>
      </c>
    </row>
    <row r="643" spans="1:6" ht="12.6">
      <c r="A643" s="2">
        <f ca="1">IFERROR(__xludf.DUMMYFUNCTION("""COMPUTED_VALUE"""),45497.6666666666)</f>
        <v>45497.666666666599</v>
      </c>
      <c r="B643" s="1">
        <f ca="1">IFERROR(__xludf.DUMMYFUNCTION("""COMPUTED_VALUE"""),440.45)</f>
        <v>440.45</v>
      </c>
      <c r="C643" s="1">
        <f ca="1">IFERROR(__xludf.DUMMYFUNCTION("""COMPUTED_VALUE"""),441.48)</f>
        <v>441.48</v>
      </c>
      <c r="D643" s="1">
        <f ca="1">IFERROR(__xludf.DUMMYFUNCTION("""COMPUTED_VALUE"""),427.59)</f>
        <v>427.59</v>
      </c>
      <c r="E643" s="1">
        <f ca="1">IFERROR(__xludf.DUMMYFUNCTION("""COMPUTED_VALUE"""),428.9)</f>
        <v>428.9</v>
      </c>
      <c r="F643" s="1">
        <f ca="1">IFERROR(__xludf.DUMMYFUNCTION("""COMPUTED_VALUE"""),26805800)</f>
        <v>26805800</v>
      </c>
    </row>
    <row r="644" spans="1:6" ht="12.6">
      <c r="A644" s="2">
        <f ca="1">IFERROR(__xludf.DUMMYFUNCTION("""COMPUTED_VALUE"""),45498.6666666666)</f>
        <v>45498.666666666599</v>
      </c>
      <c r="B644" s="1">
        <f ca="1">IFERROR(__xludf.DUMMYFUNCTION("""COMPUTED_VALUE"""),428.8)</f>
        <v>428.8</v>
      </c>
      <c r="C644" s="1">
        <f ca="1">IFERROR(__xludf.DUMMYFUNCTION("""COMPUTED_VALUE"""),429.8)</f>
        <v>429.8</v>
      </c>
      <c r="D644" s="1">
        <f ca="1">IFERROR(__xludf.DUMMYFUNCTION("""COMPUTED_VALUE"""),417.51)</f>
        <v>417.51</v>
      </c>
      <c r="E644" s="1">
        <f ca="1">IFERROR(__xludf.DUMMYFUNCTION("""COMPUTED_VALUE"""),418.4)</f>
        <v>418.4</v>
      </c>
      <c r="F644" s="1">
        <f ca="1">IFERROR(__xludf.DUMMYFUNCTION("""COMPUTED_VALUE"""),29943795)</f>
        <v>29943795</v>
      </c>
    </row>
    <row r="645" spans="1:6" ht="12.6">
      <c r="A645" s="2">
        <f ca="1">IFERROR(__xludf.DUMMYFUNCTION("""COMPUTED_VALUE"""),45499.6666666666)</f>
        <v>45499.666666666599</v>
      </c>
      <c r="B645" s="1">
        <f ca="1">IFERROR(__xludf.DUMMYFUNCTION("""COMPUTED_VALUE"""),418.2)</f>
        <v>418.2</v>
      </c>
      <c r="C645" s="1">
        <f ca="1">IFERROR(__xludf.DUMMYFUNCTION("""COMPUTED_VALUE"""),428.92)</f>
        <v>428.92</v>
      </c>
      <c r="D645" s="1">
        <f ca="1">IFERROR(__xludf.DUMMYFUNCTION("""COMPUTED_VALUE"""),417.27)</f>
        <v>417.27</v>
      </c>
      <c r="E645" s="1">
        <f ca="1">IFERROR(__xludf.DUMMYFUNCTION("""COMPUTED_VALUE"""),425.27)</f>
        <v>425.27</v>
      </c>
      <c r="F645" s="1">
        <f ca="1">IFERROR(__xludf.DUMMYFUNCTION("""COMPUTED_VALUE"""),23583839)</f>
        <v>23583839</v>
      </c>
    </row>
    <row r="646" spans="1:6" ht="12.6">
      <c r="A646" s="2">
        <f ca="1">IFERROR(__xludf.DUMMYFUNCTION("""COMPUTED_VALUE"""),45502.6666666666)</f>
        <v>45502.666666666599</v>
      </c>
      <c r="B646" s="1">
        <f ca="1">IFERROR(__xludf.DUMMYFUNCTION("""COMPUTED_VALUE"""),431.58)</f>
        <v>431.58</v>
      </c>
      <c r="C646" s="1">
        <f ca="1">IFERROR(__xludf.DUMMYFUNCTION("""COMPUTED_VALUE"""),432.15)</f>
        <v>432.15</v>
      </c>
      <c r="D646" s="1">
        <f ca="1">IFERROR(__xludf.DUMMYFUNCTION("""COMPUTED_VALUE"""),424.7)</f>
        <v>424.7</v>
      </c>
      <c r="E646" s="1">
        <f ca="1">IFERROR(__xludf.DUMMYFUNCTION("""COMPUTED_VALUE"""),426.73)</f>
        <v>426.73</v>
      </c>
      <c r="F646" s="1">
        <f ca="1">IFERROR(__xludf.DUMMYFUNCTION("""COMPUTED_VALUE"""),15125836)</f>
        <v>15125836</v>
      </c>
    </row>
    <row r="647" spans="1:6" ht="12.6">
      <c r="A647" s="2">
        <f ca="1">IFERROR(__xludf.DUMMYFUNCTION("""COMPUTED_VALUE"""),45503.6666666666)</f>
        <v>45503.666666666599</v>
      </c>
      <c r="B647" s="1">
        <f ca="1">IFERROR(__xludf.DUMMYFUNCTION("""COMPUTED_VALUE"""),427.72)</f>
        <v>427.72</v>
      </c>
      <c r="C647" s="1">
        <f ca="1">IFERROR(__xludf.DUMMYFUNCTION("""COMPUTED_VALUE"""),429.05)</f>
        <v>429.05</v>
      </c>
      <c r="D647" s="1">
        <f ca="1">IFERROR(__xludf.DUMMYFUNCTION("""COMPUTED_VALUE"""),417.36)</f>
        <v>417.36</v>
      </c>
      <c r="E647" s="1">
        <f ca="1">IFERROR(__xludf.DUMMYFUNCTION("""COMPUTED_VALUE"""),422.92)</f>
        <v>422.92</v>
      </c>
      <c r="F647" s="1">
        <f ca="1">IFERROR(__xludf.DUMMYFUNCTION("""COMPUTED_VALUE"""),32687578)</f>
        <v>32687578</v>
      </c>
    </row>
    <row r="648" spans="1:6" ht="12.6">
      <c r="A648" s="2">
        <f ca="1">IFERROR(__xludf.DUMMYFUNCTION("""COMPUTED_VALUE"""),45504.6666666666)</f>
        <v>45504.666666666599</v>
      </c>
      <c r="B648" s="1">
        <f ca="1">IFERROR(__xludf.DUMMYFUNCTION("""COMPUTED_VALUE"""),420.5)</f>
        <v>420.5</v>
      </c>
      <c r="C648" s="1">
        <f ca="1">IFERROR(__xludf.DUMMYFUNCTION("""COMPUTED_VALUE"""),421.78)</f>
        <v>421.78</v>
      </c>
      <c r="D648" s="1">
        <f ca="1">IFERROR(__xludf.DUMMYFUNCTION("""COMPUTED_VALUE"""),412.21)</f>
        <v>412.21</v>
      </c>
      <c r="E648" s="1">
        <f ca="1">IFERROR(__xludf.DUMMYFUNCTION("""COMPUTED_VALUE"""),418.35)</f>
        <v>418.35</v>
      </c>
      <c r="F648" s="1">
        <f ca="1">IFERROR(__xludf.DUMMYFUNCTION("""COMPUTED_VALUE"""),42891366)</f>
        <v>42891366</v>
      </c>
    </row>
    <row r="649" spans="1:6" ht="12.6">
      <c r="A649" s="2">
        <f ca="1">IFERROR(__xludf.DUMMYFUNCTION("""COMPUTED_VALUE"""),45505.6666666666)</f>
        <v>45505.666666666599</v>
      </c>
      <c r="B649" s="1">
        <f ca="1">IFERROR(__xludf.DUMMYFUNCTION("""COMPUTED_VALUE"""),420.79)</f>
        <v>420.79</v>
      </c>
      <c r="C649" s="1">
        <f ca="1">IFERROR(__xludf.DUMMYFUNCTION("""COMPUTED_VALUE"""),427.46)</f>
        <v>427.46</v>
      </c>
      <c r="D649" s="1">
        <f ca="1">IFERROR(__xludf.DUMMYFUNCTION("""COMPUTED_VALUE"""),413.09)</f>
        <v>413.09</v>
      </c>
      <c r="E649" s="1">
        <f ca="1">IFERROR(__xludf.DUMMYFUNCTION("""COMPUTED_VALUE"""),417.11)</f>
        <v>417.11</v>
      </c>
      <c r="F649" s="1">
        <f ca="1">IFERROR(__xludf.DUMMYFUNCTION("""COMPUTED_VALUE"""),30296400)</f>
        <v>30296400</v>
      </c>
    </row>
    <row r="650" spans="1:6" ht="12.6">
      <c r="A650" s="2">
        <f ca="1">IFERROR(__xludf.DUMMYFUNCTION("""COMPUTED_VALUE"""),45506.6666666666)</f>
        <v>45506.666666666599</v>
      </c>
      <c r="B650" s="1">
        <f ca="1">IFERROR(__xludf.DUMMYFUNCTION("""COMPUTED_VALUE"""),412.49)</f>
        <v>412.49</v>
      </c>
      <c r="C650" s="1">
        <f ca="1">IFERROR(__xludf.DUMMYFUNCTION("""COMPUTED_VALUE"""),415)</f>
        <v>415</v>
      </c>
      <c r="D650" s="1">
        <f ca="1">IFERROR(__xludf.DUMMYFUNCTION("""COMPUTED_VALUE"""),404.34)</f>
        <v>404.34</v>
      </c>
      <c r="E650" s="1">
        <f ca="1">IFERROR(__xludf.DUMMYFUNCTION("""COMPUTED_VALUE"""),408.49)</f>
        <v>408.49</v>
      </c>
      <c r="F650" s="1">
        <f ca="1">IFERROR(__xludf.DUMMYFUNCTION("""COMPUTED_VALUE"""),29437900)</f>
        <v>29437900</v>
      </c>
    </row>
    <row r="651" spans="1:6" ht="12.6">
      <c r="A651" s="2">
        <f ca="1">IFERROR(__xludf.DUMMYFUNCTION("""COMPUTED_VALUE"""),45509.6666666666)</f>
        <v>45509.666666666599</v>
      </c>
      <c r="B651" s="1">
        <f ca="1">IFERROR(__xludf.DUMMYFUNCTION("""COMPUTED_VALUE"""),389.17)</f>
        <v>389.17</v>
      </c>
      <c r="C651" s="1">
        <f ca="1">IFERROR(__xludf.DUMMYFUNCTION("""COMPUTED_VALUE"""),401.04)</f>
        <v>401.04</v>
      </c>
      <c r="D651" s="1">
        <f ca="1">IFERROR(__xludf.DUMMYFUNCTION("""COMPUTED_VALUE"""),385.58)</f>
        <v>385.58</v>
      </c>
      <c r="E651" s="1">
        <f ca="1">IFERROR(__xludf.DUMMYFUNCTION("""COMPUTED_VALUE"""),395.15)</f>
        <v>395.15</v>
      </c>
      <c r="F651" s="1">
        <f ca="1">IFERROR(__xludf.DUMMYFUNCTION("""COMPUTED_VALUE"""),40709238)</f>
        <v>40709238</v>
      </c>
    </row>
    <row r="652" spans="1:6" ht="12.6">
      <c r="A652" s="2">
        <f ca="1">IFERROR(__xludf.DUMMYFUNCTION("""COMPUTED_VALUE"""),45510.6666666666)</f>
        <v>45510.666666666599</v>
      </c>
      <c r="B652" s="1">
        <f ca="1">IFERROR(__xludf.DUMMYFUNCTION("""COMPUTED_VALUE"""),400)</f>
        <v>400</v>
      </c>
      <c r="C652" s="1">
        <f ca="1">IFERROR(__xludf.DUMMYFUNCTION("""COMPUTED_VALUE"""),405.67)</f>
        <v>405.67</v>
      </c>
      <c r="D652" s="1">
        <f ca="1">IFERROR(__xludf.DUMMYFUNCTION("""COMPUTED_VALUE"""),398.5)</f>
        <v>398.5</v>
      </c>
      <c r="E652" s="1">
        <f ca="1">IFERROR(__xludf.DUMMYFUNCTION("""COMPUTED_VALUE"""),399.61)</f>
        <v>399.61</v>
      </c>
      <c r="F652" s="1">
        <f ca="1">IFERROR(__xludf.DUMMYFUNCTION("""COMPUTED_VALUE"""),24946525)</f>
        <v>24946525</v>
      </c>
    </row>
    <row r="653" spans="1:6" ht="12.6">
      <c r="A653" s="2">
        <f ca="1">IFERROR(__xludf.DUMMYFUNCTION("""COMPUTED_VALUE"""),45511.6666666666)</f>
        <v>45511.666666666599</v>
      </c>
      <c r="B653" s="1">
        <f ca="1">IFERROR(__xludf.DUMMYFUNCTION("""COMPUTED_VALUE"""),408.64)</f>
        <v>408.64</v>
      </c>
      <c r="C653" s="1">
        <f ca="1">IFERROR(__xludf.DUMMYFUNCTION("""COMPUTED_VALUE"""),410.08)</f>
        <v>410.08</v>
      </c>
      <c r="D653" s="1">
        <f ca="1">IFERROR(__xludf.DUMMYFUNCTION("""COMPUTED_VALUE"""),397.47)</f>
        <v>397.47</v>
      </c>
      <c r="E653" s="1">
        <f ca="1">IFERROR(__xludf.DUMMYFUNCTION("""COMPUTED_VALUE"""),398.43)</f>
        <v>398.43</v>
      </c>
      <c r="F653" s="1">
        <f ca="1">IFERROR(__xludf.DUMMYFUNCTION("""COMPUTED_VALUE"""),20650906)</f>
        <v>20650906</v>
      </c>
    </row>
    <row r="654" spans="1:6" ht="12.6">
      <c r="A654" s="2">
        <f ca="1">IFERROR(__xludf.DUMMYFUNCTION("""COMPUTED_VALUE"""),45512.6666666666)</f>
        <v>45512.666666666599</v>
      </c>
      <c r="B654" s="1">
        <f ca="1">IFERROR(__xludf.DUMMYFUNCTION("""COMPUTED_VALUE"""),402.44)</f>
        <v>402.44</v>
      </c>
      <c r="C654" s="1">
        <f ca="1">IFERROR(__xludf.DUMMYFUNCTION("""COMPUTED_VALUE"""),405.86)</f>
        <v>405.86</v>
      </c>
      <c r="D654" s="1">
        <f ca="1">IFERROR(__xludf.DUMMYFUNCTION("""COMPUTED_VALUE"""),399.94)</f>
        <v>399.94</v>
      </c>
      <c r="E654" s="1">
        <f ca="1">IFERROR(__xludf.DUMMYFUNCTION("""COMPUTED_VALUE"""),402.69)</f>
        <v>402.69</v>
      </c>
      <c r="F654" s="1">
        <f ca="1">IFERROR(__xludf.DUMMYFUNCTION("""COMPUTED_VALUE"""),20203030)</f>
        <v>20203030</v>
      </c>
    </row>
    <row r="655" spans="1:6" ht="12.6">
      <c r="A655" s="2">
        <f ca="1">IFERROR(__xludf.DUMMYFUNCTION("""COMPUTED_VALUE"""),45513.6666666666)</f>
        <v>45513.666666666599</v>
      </c>
      <c r="B655" s="1">
        <f ca="1">IFERROR(__xludf.DUMMYFUNCTION("""COMPUTED_VALUE"""),404.03)</f>
        <v>404.03</v>
      </c>
      <c r="C655" s="1">
        <f ca="1">IFERROR(__xludf.DUMMYFUNCTION("""COMPUTED_VALUE"""),408.05)</f>
        <v>408.05</v>
      </c>
      <c r="D655" s="1">
        <f ca="1">IFERROR(__xludf.DUMMYFUNCTION("""COMPUTED_VALUE"""),402.26)</f>
        <v>402.26</v>
      </c>
      <c r="E655" s="1">
        <f ca="1">IFERROR(__xludf.DUMMYFUNCTION("""COMPUTED_VALUE"""),406.02)</f>
        <v>406.02</v>
      </c>
      <c r="F655" s="1">
        <f ca="1">IFERROR(__xludf.DUMMYFUNCTION("""COMPUTED_VALUE"""),19276666)</f>
        <v>19276666</v>
      </c>
    </row>
    <row r="656" spans="1:6" ht="12.6">
      <c r="A656" s="2">
        <f ca="1">IFERROR(__xludf.DUMMYFUNCTION("""COMPUTED_VALUE"""),45516.6666666666)</f>
        <v>45516.666666666599</v>
      </c>
      <c r="B656" s="1">
        <f ca="1">IFERROR(__xludf.DUMMYFUNCTION("""COMPUTED_VALUE"""),407.06)</f>
        <v>407.06</v>
      </c>
      <c r="C656" s="1">
        <f ca="1">IFERROR(__xludf.DUMMYFUNCTION("""COMPUTED_VALUE"""),408.76)</f>
        <v>408.76</v>
      </c>
      <c r="D656" s="1">
        <f ca="1">IFERROR(__xludf.DUMMYFUNCTION("""COMPUTED_VALUE"""),404.24)</f>
        <v>404.24</v>
      </c>
      <c r="E656" s="1">
        <f ca="1">IFERROR(__xludf.DUMMYFUNCTION("""COMPUTED_VALUE"""),406.81)</f>
        <v>406.81</v>
      </c>
      <c r="F656" s="1">
        <f ca="1">IFERROR(__xludf.DUMMYFUNCTION("""COMPUTED_VALUE"""),16762883)</f>
        <v>16762883</v>
      </c>
    </row>
    <row r="657" spans="1:6" ht="12.6">
      <c r="A657" s="2">
        <f ca="1">IFERROR(__xludf.DUMMYFUNCTION("""COMPUTED_VALUE"""),45517.6666666666)</f>
        <v>45517.666666666599</v>
      </c>
      <c r="B657" s="1">
        <f ca="1">IFERROR(__xludf.DUMMYFUNCTION("""COMPUTED_VALUE"""),409.59)</f>
        <v>409.59</v>
      </c>
      <c r="C657" s="1">
        <f ca="1">IFERROR(__xludf.DUMMYFUNCTION("""COMPUTED_VALUE"""),414.95)</f>
        <v>414.95</v>
      </c>
      <c r="D657" s="1">
        <f ca="1">IFERROR(__xludf.DUMMYFUNCTION("""COMPUTED_VALUE"""),409.57)</f>
        <v>409.57</v>
      </c>
      <c r="E657" s="1">
        <f ca="1">IFERROR(__xludf.DUMMYFUNCTION("""COMPUTED_VALUE"""),414.01)</f>
        <v>414.01</v>
      </c>
      <c r="F657" s="1">
        <f ca="1">IFERROR(__xludf.DUMMYFUNCTION("""COMPUTED_VALUE"""),19414271)</f>
        <v>19414271</v>
      </c>
    </row>
    <row r="658" spans="1:6" ht="12.6">
      <c r="A658" s="2">
        <f ca="1">IFERROR(__xludf.DUMMYFUNCTION("""COMPUTED_VALUE"""),45518.6666666666)</f>
        <v>45518.666666666599</v>
      </c>
      <c r="B658" s="1">
        <f ca="1">IFERROR(__xludf.DUMMYFUNCTION("""COMPUTED_VALUE"""),414.8)</f>
        <v>414.8</v>
      </c>
      <c r="C658" s="1">
        <f ca="1">IFERROR(__xludf.DUMMYFUNCTION("""COMPUTED_VALUE"""),417.72)</f>
        <v>417.72</v>
      </c>
      <c r="D658" s="1">
        <f ca="1">IFERROR(__xludf.DUMMYFUNCTION("""COMPUTED_VALUE"""),412.45)</f>
        <v>412.45</v>
      </c>
      <c r="E658" s="1">
        <f ca="1">IFERROR(__xludf.DUMMYFUNCTION("""COMPUTED_VALUE"""),416.86)</f>
        <v>416.86</v>
      </c>
      <c r="F658" s="1">
        <f ca="1">IFERROR(__xludf.DUMMYFUNCTION("""COMPUTED_VALUE"""),18266980)</f>
        <v>18266980</v>
      </c>
    </row>
    <row r="659" spans="1:6" ht="12.6">
      <c r="A659" s="2">
        <f ca="1">IFERROR(__xludf.DUMMYFUNCTION("""COMPUTED_VALUE"""),45519.6666666666)</f>
        <v>45519.666666666599</v>
      </c>
      <c r="B659" s="1">
        <f ca="1">IFERROR(__xludf.DUMMYFUNCTION("""COMPUTED_VALUE"""),419.8)</f>
        <v>419.8</v>
      </c>
      <c r="C659" s="1">
        <f ca="1">IFERROR(__xludf.DUMMYFUNCTION("""COMPUTED_VALUE"""),421.11)</f>
        <v>421.11</v>
      </c>
      <c r="D659" s="1">
        <f ca="1">IFERROR(__xludf.DUMMYFUNCTION("""COMPUTED_VALUE"""),417.66)</f>
        <v>417.66</v>
      </c>
      <c r="E659" s="1">
        <f ca="1">IFERROR(__xludf.DUMMYFUNCTION("""COMPUTED_VALUE"""),421.03)</f>
        <v>421.03</v>
      </c>
      <c r="F659" s="1">
        <f ca="1">IFERROR(__xludf.DUMMYFUNCTION("""COMPUTED_VALUE"""),20752144)</f>
        <v>20752144</v>
      </c>
    </row>
    <row r="660" spans="1:6" ht="12.6">
      <c r="A660" s="2">
        <f ca="1">IFERROR(__xludf.DUMMYFUNCTION("""COMPUTED_VALUE"""),45520.6666666666)</f>
        <v>45520.666666666599</v>
      </c>
      <c r="B660" s="1">
        <f ca="1">IFERROR(__xludf.DUMMYFUNCTION("""COMPUTED_VALUE"""),420.6)</f>
        <v>420.6</v>
      </c>
      <c r="C660" s="1">
        <f ca="1">IFERROR(__xludf.DUMMYFUNCTION("""COMPUTED_VALUE"""),421.34)</f>
        <v>421.34</v>
      </c>
      <c r="D660" s="1">
        <f ca="1">IFERROR(__xludf.DUMMYFUNCTION("""COMPUTED_VALUE"""),417.3)</f>
        <v>417.3</v>
      </c>
      <c r="E660" s="1">
        <f ca="1">IFERROR(__xludf.DUMMYFUNCTION("""COMPUTED_VALUE"""),418.47)</f>
        <v>418.47</v>
      </c>
      <c r="F660" s="1">
        <f ca="1">IFERROR(__xludf.DUMMYFUNCTION("""COMPUTED_VALUE"""),22775593)</f>
        <v>22775593</v>
      </c>
    </row>
    <row r="661" spans="1:6" ht="12.6">
      <c r="A661" s="2">
        <f ca="1">IFERROR(__xludf.DUMMYFUNCTION("""COMPUTED_VALUE"""),45523.6666666666)</f>
        <v>45523.666666666599</v>
      </c>
      <c r="B661" s="1">
        <f ca="1">IFERROR(__xludf.DUMMYFUNCTION("""COMPUTED_VALUE"""),418.96)</f>
        <v>418.96</v>
      </c>
      <c r="C661" s="1">
        <f ca="1">IFERROR(__xludf.DUMMYFUNCTION("""COMPUTED_VALUE"""),421.75)</f>
        <v>421.75</v>
      </c>
      <c r="D661" s="1">
        <f ca="1">IFERROR(__xludf.DUMMYFUNCTION("""COMPUTED_VALUE"""),416.46)</f>
        <v>416.46</v>
      </c>
      <c r="E661" s="1">
        <f ca="1">IFERROR(__xludf.DUMMYFUNCTION("""COMPUTED_VALUE"""),421.53)</f>
        <v>421.53</v>
      </c>
      <c r="F661" s="1">
        <f ca="1">IFERROR(__xludf.DUMMYFUNCTION("""COMPUTED_VALUE"""),15233957)</f>
        <v>15233957</v>
      </c>
    </row>
    <row r="662" spans="1:6" ht="12.6">
      <c r="A662" s="2">
        <f ca="1">IFERROR(__xludf.DUMMYFUNCTION("""COMPUTED_VALUE"""),45524.6666666666)</f>
        <v>45524.666666666599</v>
      </c>
      <c r="B662" s="1">
        <f ca="1">IFERROR(__xludf.DUMMYFUNCTION("""COMPUTED_VALUE"""),421.7)</f>
        <v>421.7</v>
      </c>
      <c r="C662" s="1">
        <f ca="1">IFERROR(__xludf.DUMMYFUNCTION("""COMPUTED_VALUE"""),425.86)</f>
        <v>425.86</v>
      </c>
      <c r="D662" s="1">
        <f ca="1">IFERROR(__xludf.DUMMYFUNCTION("""COMPUTED_VALUE"""),421.64)</f>
        <v>421.64</v>
      </c>
      <c r="E662" s="1">
        <f ca="1">IFERROR(__xludf.DUMMYFUNCTION("""COMPUTED_VALUE"""),424.8)</f>
        <v>424.8</v>
      </c>
      <c r="F662" s="1">
        <f ca="1">IFERROR(__xludf.DUMMYFUNCTION("""COMPUTED_VALUE"""),16387581)</f>
        <v>16387581</v>
      </c>
    </row>
    <row r="663" spans="1:6" ht="12.6">
      <c r="A663" s="2">
        <f ca="1">IFERROR(__xludf.DUMMYFUNCTION("""COMPUTED_VALUE"""),45525.6666666666)</f>
        <v>45525.666666666599</v>
      </c>
      <c r="B663" s="1">
        <f ca="1">IFERROR(__xludf.DUMMYFUNCTION("""COMPUTED_VALUE"""),424.08)</f>
        <v>424.08</v>
      </c>
      <c r="C663" s="1">
        <f ca="1">IFERROR(__xludf.DUMMYFUNCTION("""COMPUTED_VALUE"""),426.4)</f>
        <v>426.4</v>
      </c>
      <c r="D663" s="1">
        <f ca="1">IFERROR(__xludf.DUMMYFUNCTION("""COMPUTED_VALUE"""),421.72)</f>
        <v>421.72</v>
      </c>
      <c r="E663" s="1">
        <f ca="1">IFERROR(__xludf.DUMMYFUNCTION("""COMPUTED_VALUE"""),424.14)</f>
        <v>424.14</v>
      </c>
      <c r="F663" s="1">
        <f ca="1">IFERROR(__xludf.DUMMYFUNCTION("""COMPUTED_VALUE"""),16067298)</f>
        <v>16067298</v>
      </c>
    </row>
    <row r="664" spans="1:6" ht="12.6">
      <c r="A664" s="2">
        <f ca="1">IFERROR(__xludf.DUMMYFUNCTION("""COMPUTED_VALUE"""),45526.6666666666)</f>
        <v>45526.666666666599</v>
      </c>
      <c r="B664" s="1">
        <f ca="1">IFERROR(__xludf.DUMMYFUNCTION("""COMPUTED_VALUE"""),424.36)</f>
        <v>424.36</v>
      </c>
      <c r="C664" s="1">
        <f ca="1">IFERROR(__xludf.DUMMYFUNCTION("""COMPUTED_VALUE"""),426.79)</f>
        <v>426.79</v>
      </c>
      <c r="D664" s="1">
        <f ca="1">IFERROR(__xludf.DUMMYFUNCTION("""COMPUTED_VALUE"""),414.61)</f>
        <v>414.61</v>
      </c>
      <c r="E664" s="1">
        <f ca="1">IFERROR(__xludf.DUMMYFUNCTION("""COMPUTED_VALUE"""),415.55)</f>
        <v>415.55</v>
      </c>
      <c r="F664" s="1">
        <f ca="1">IFERROR(__xludf.DUMMYFUNCTION("""COMPUTED_VALUE"""),19361901)</f>
        <v>19361901</v>
      </c>
    </row>
    <row r="665" spans="1:6" ht="12.6">
      <c r="A665" s="2">
        <f ca="1">IFERROR(__xludf.DUMMYFUNCTION("""COMPUTED_VALUE"""),45527.6666666666)</f>
        <v>45527.666666666599</v>
      </c>
      <c r="B665" s="1">
        <f ca="1">IFERROR(__xludf.DUMMYFUNCTION("""COMPUTED_VALUE"""),416.98)</f>
        <v>416.98</v>
      </c>
      <c r="C665" s="1">
        <f ca="1">IFERROR(__xludf.DUMMYFUNCTION("""COMPUTED_VALUE"""),419.26)</f>
        <v>419.26</v>
      </c>
      <c r="D665" s="1">
        <f ca="1">IFERROR(__xludf.DUMMYFUNCTION("""COMPUTED_VALUE"""),412.09)</f>
        <v>412.09</v>
      </c>
      <c r="E665" s="1">
        <f ca="1">IFERROR(__xludf.DUMMYFUNCTION("""COMPUTED_VALUE"""),416.79)</f>
        <v>416.79</v>
      </c>
      <c r="F665" s="1">
        <f ca="1">IFERROR(__xludf.DUMMYFUNCTION("""COMPUTED_VALUE"""),18493784)</f>
        <v>18493784</v>
      </c>
    </row>
    <row r="666" spans="1:6" ht="12.6">
      <c r="A666" s="2">
        <f ca="1">IFERROR(__xludf.DUMMYFUNCTION("""COMPUTED_VALUE"""),45530.6666666666)</f>
        <v>45530.666666666599</v>
      </c>
      <c r="B666" s="1">
        <f ca="1">IFERROR(__xludf.DUMMYFUNCTION("""COMPUTED_VALUE"""),416.37)</f>
        <v>416.37</v>
      </c>
      <c r="C666" s="1">
        <f ca="1">IFERROR(__xludf.DUMMYFUNCTION("""COMPUTED_VALUE"""),417.28)</f>
        <v>417.28</v>
      </c>
      <c r="D666" s="1">
        <f ca="1">IFERROR(__xludf.DUMMYFUNCTION("""COMPUTED_VALUE"""),411.34)</f>
        <v>411.34</v>
      </c>
      <c r="E666" s="1">
        <f ca="1">IFERROR(__xludf.DUMMYFUNCTION("""COMPUTED_VALUE"""),413.49)</f>
        <v>413.49</v>
      </c>
      <c r="F666" s="1">
        <f ca="1">IFERROR(__xludf.DUMMYFUNCTION("""COMPUTED_VALUE"""),13152830)</f>
        <v>13152830</v>
      </c>
    </row>
    <row r="667" spans="1:6" ht="12.6">
      <c r="A667" s="2">
        <f ca="1">IFERROR(__xludf.DUMMYFUNCTION("""COMPUTED_VALUE"""),45531.6666666666)</f>
        <v>45531.666666666599</v>
      </c>
      <c r="B667" s="1">
        <f ca="1">IFERROR(__xludf.DUMMYFUNCTION("""COMPUTED_VALUE"""),412.86)</f>
        <v>412.86</v>
      </c>
      <c r="C667" s="1">
        <f ca="1">IFERROR(__xludf.DUMMYFUNCTION("""COMPUTED_VALUE"""),414.36)</f>
        <v>414.36</v>
      </c>
      <c r="D667" s="1">
        <f ca="1">IFERROR(__xludf.DUMMYFUNCTION("""COMPUTED_VALUE"""),410.25)</f>
        <v>410.25</v>
      </c>
      <c r="E667" s="1">
        <f ca="1">IFERROR(__xludf.DUMMYFUNCTION("""COMPUTED_VALUE"""),413.84)</f>
        <v>413.84</v>
      </c>
      <c r="F667" s="1">
        <f ca="1">IFERROR(__xludf.DUMMYFUNCTION("""COMPUTED_VALUE"""),13492911)</f>
        <v>13492911</v>
      </c>
    </row>
    <row r="668" spans="1:6" ht="12.6">
      <c r="A668" s="2">
        <f ca="1">IFERROR(__xludf.DUMMYFUNCTION("""COMPUTED_VALUE"""),45532.6666666666)</f>
        <v>45532.666666666599</v>
      </c>
      <c r="B668" s="1">
        <f ca="1">IFERROR(__xludf.DUMMYFUNCTION("""COMPUTED_VALUE"""),414.88)</f>
        <v>414.88</v>
      </c>
      <c r="C668" s="1">
        <f ca="1">IFERROR(__xludf.DUMMYFUNCTION("""COMPUTED_VALUE"""),415)</f>
        <v>415</v>
      </c>
      <c r="D668" s="1">
        <f ca="1">IFERROR(__xludf.DUMMYFUNCTION("""COMPUTED_VALUE"""),407.31)</f>
        <v>407.31</v>
      </c>
      <c r="E668" s="1">
        <f ca="1">IFERROR(__xludf.DUMMYFUNCTION("""COMPUTED_VALUE"""),410.6)</f>
        <v>410.6</v>
      </c>
      <c r="F668" s="1">
        <f ca="1">IFERROR(__xludf.DUMMYFUNCTION("""COMPUTED_VALUE"""),14882660)</f>
        <v>14882660</v>
      </c>
    </row>
    <row r="669" spans="1:6" ht="12.6">
      <c r="A669" s="2">
        <f ca="1">IFERROR(__xludf.DUMMYFUNCTION("""COMPUTED_VALUE"""),45533.6666666666)</f>
        <v>45533.666666666599</v>
      </c>
      <c r="B669" s="1">
        <f ca="1">IFERROR(__xludf.DUMMYFUNCTION("""COMPUTED_VALUE"""),414.94)</f>
        <v>414.94</v>
      </c>
      <c r="C669" s="1">
        <f ca="1">IFERROR(__xludf.DUMMYFUNCTION("""COMPUTED_VALUE"""),422.05)</f>
        <v>422.05</v>
      </c>
      <c r="D669" s="1">
        <f ca="1">IFERROR(__xludf.DUMMYFUNCTION("""COMPUTED_VALUE"""),410.6)</f>
        <v>410.6</v>
      </c>
      <c r="E669" s="1">
        <f ca="1">IFERROR(__xludf.DUMMYFUNCTION("""COMPUTED_VALUE"""),413.12)</f>
        <v>413.12</v>
      </c>
      <c r="F669" s="1">
        <f ca="1">IFERROR(__xludf.DUMMYFUNCTION("""COMPUTED_VALUE"""),17045241)</f>
        <v>17045241</v>
      </c>
    </row>
    <row r="670" spans="1:6" ht="12.6">
      <c r="A670" s="2">
        <f ca="1">IFERROR(__xludf.DUMMYFUNCTION("""COMPUTED_VALUE"""),45534.6666666666)</f>
        <v>45534.666666666599</v>
      </c>
      <c r="B670" s="1">
        <f ca="1">IFERROR(__xludf.DUMMYFUNCTION("""COMPUTED_VALUE"""),415.6)</f>
        <v>415.6</v>
      </c>
      <c r="C670" s="1">
        <f ca="1">IFERROR(__xludf.DUMMYFUNCTION("""COMPUTED_VALUE"""),417.49)</f>
        <v>417.49</v>
      </c>
      <c r="D670" s="1">
        <f ca="1">IFERROR(__xludf.DUMMYFUNCTION("""COMPUTED_VALUE"""),412.13)</f>
        <v>412.13</v>
      </c>
      <c r="E670" s="1">
        <f ca="1">IFERROR(__xludf.DUMMYFUNCTION("""COMPUTED_VALUE"""),417.14)</f>
        <v>417.14</v>
      </c>
      <c r="F670" s="1">
        <f ca="1">IFERROR(__xludf.DUMMYFUNCTION("""COMPUTED_VALUE"""),24308324)</f>
        <v>24308324</v>
      </c>
    </row>
    <row r="671" spans="1:6" ht="12.6">
      <c r="A671" s="2">
        <f ca="1">IFERROR(__xludf.DUMMYFUNCTION("""COMPUTED_VALUE"""),45538.6666666666)</f>
        <v>45538.666666666599</v>
      </c>
      <c r="B671" s="1">
        <f ca="1">IFERROR(__xludf.DUMMYFUNCTION("""COMPUTED_VALUE"""),417.91)</f>
        <v>417.91</v>
      </c>
      <c r="C671" s="1">
        <f ca="1">IFERROR(__xludf.DUMMYFUNCTION("""COMPUTED_VALUE"""),419.88)</f>
        <v>419.88</v>
      </c>
      <c r="D671" s="1">
        <f ca="1">IFERROR(__xludf.DUMMYFUNCTION("""COMPUTED_VALUE"""),407.03)</f>
        <v>407.03</v>
      </c>
      <c r="E671" s="1">
        <f ca="1">IFERROR(__xludf.DUMMYFUNCTION("""COMPUTED_VALUE"""),409.44)</f>
        <v>409.44</v>
      </c>
      <c r="F671" s="1">
        <f ca="1">IFERROR(__xludf.DUMMYFUNCTION("""COMPUTED_VALUE"""),20313603)</f>
        <v>20313603</v>
      </c>
    </row>
    <row r="672" spans="1:6" ht="12.6">
      <c r="A672" s="2">
        <f ca="1">IFERROR(__xludf.DUMMYFUNCTION("""COMPUTED_VALUE"""),45539.6666666666)</f>
        <v>45539.666666666599</v>
      </c>
      <c r="B672" s="1">
        <f ca="1">IFERROR(__xludf.DUMMYFUNCTION("""COMPUTED_VALUE"""),405.91)</f>
        <v>405.91</v>
      </c>
      <c r="C672" s="1">
        <f ca="1">IFERROR(__xludf.DUMMYFUNCTION("""COMPUTED_VALUE"""),411.24)</f>
        <v>411.24</v>
      </c>
      <c r="D672" s="1">
        <f ca="1">IFERROR(__xludf.DUMMYFUNCTION("""COMPUTED_VALUE"""),404.37)</f>
        <v>404.37</v>
      </c>
      <c r="E672" s="1">
        <f ca="1">IFERROR(__xludf.DUMMYFUNCTION("""COMPUTED_VALUE"""),408.9)</f>
        <v>408.9</v>
      </c>
      <c r="F672" s="1">
        <f ca="1">IFERROR(__xludf.DUMMYFUNCTION("""COMPUTED_VALUE"""),15135806)</f>
        <v>15135806</v>
      </c>
    </row>
    <row r="673" spans="1:6" ht="12.6">
      <c r="A673" s="2">
        <f ca="1">IFERROR(__xludf.DUMMYFUNCTION("""COMPUTED_VALUE"""),45540.6666666666)</f>
        <v>45540.666666666599</v>
      </c>
      <c r="B673" s="1">
        <f ca="1">IFERROR(__xludf.DUMMYFUNCTION("""COMPUTED_VALUE"""),407.62)</f>
        <v>407.62</v>
      </c>
      <c r="C673" s="1">
        <f ca="1">IFERROR(__xludf.DUMMYFUNCTION("""COMPUTED_VALUE"""),413.1)</f>
        <v>413.1</v>
      </c>
      <c r="D673" s="1">
        <f ca="1">IFERROR(__xludf.DUMMYFUNCTION("""COMPUTED_VALUE"""),406.13)</f>
        <v>406.13</v>
      </c>
      <c r="E673" s="1">
        <f ca="1">IFERROR(__xludf.DUMMYFUNCTION("""COMPUTED_VALUE"""),408.39)</f>
        <v>408.39</v>
      </c>
      <c r="F673" s="1">
        <f ca="1">IFERROR(__xludf.DUMMYFUNCTION("""COMPUTED_VALUE"""),14195516)</f>
        <v>14195516</v>
      </c>
    </row>
    <row r="674" spans="1:6" ht="12.6">
      <c r="A674" s="2">
        <f ca="1">IFERROR(__xludf.DUMMYFUNCTION("""COMPUTED_VALUE"""),45541.6666666666)</f>
        <v>45541.666666666599</v>
      </c>
      <c r="B674" s="1">
        <f ca="1">IFERROR(__xludf.DUMMYFUNCTION("""COMPUTED_VALUE"""),409.06)</f>
        <v>409.06</v>
      </c>
      <c r="C674" s="1">
        <f ca="1">IFERROR(__xludf.DUMMYFUNCTION("""COMPUTED_VALUE"""),410.65)</f>
        <v>410.65</v>
      </c>
      <c r="D674" s="1">
        <f ca="1">IFERROR(__xludf.DUMMYFUNCTION("""COMPUTED_VALUE"""),400.8)</f>
        <v>400.8</v>
      </c>
      <c r="E674" s="1">
        <f ca="1">IFERROR(__xludf.DUMMYFUNCTION("""COMPUTED_VALUE"""),401.7)</f>
        <v>401.7</v>
      </c>
      <c r="F674" s="1">
        <f ca="1">IFERROR(__xludf.DUMMYFUNCTION("""COMPUTED_VALUE"""),19609526)</f>
        <v>19609526</v>
      </c>
    </row>
    <row r="675" spans="1:6" ht="12.6">
      <c r="A675" s="2">
        <f ca="1">IFERROR(__xludf.DUMMYFUNCTION("""COMPUTED_VALUE"""),45544.6666666666)</f>
        <v>45544.666666666599</v>
      </c>
      <c r="B675" s="1">
        <f ca="1">IFERROR(__xludf.DUMMYFUNCTION("""COMPUTED_VALUE"""),407.24)</f>
        <v>407.24</v>
      </c>
      <c r="C675" s="1">
        <f ca="1">IFERROR(__xludf.DUMMYFUNCTION("""COMPUTED_VALUE"""),408.65)</f>
        <v>408.65</v>
      </c>
      <c r="D675" s="1">
        <f ca="1">IFERROR(__xludf.DUMMYFUNCTION("""COMPUTED_VALUE"""),402.15)</f>
        <v>402.15</v>
      </c>
      <c r="E675" s="1">
        <f ca="1">IFERROR(__xludf.DUMMYFUNCTION("""COMPUTED_VALUE"""),405.72)</f>
        <v>405.72</v>
      </c>
      <c r="F675" s="1">
        <f ca="1">IFERROR(__xludf.DUMMYFUNCTION("""COMPUTED_VALUE"""),15295134)</f>
        <v>15295134</v>
      </c>
    </row>
    <row r="676" spans="1:6" ht="12.6">
      <c r="A676" s="2">
        <f ca="1">IFERROR(__xludf.DUMMYFUNCTION("""COMPUTED_VALUE"""),45545.6666666666)</f>
        <v>45545.666666666599</v>
      </c>
      <c r="B676" s="1">
        <f ca="1">IFERROR(__xludf.DUMMYFUNCTION("""COMPUTED_VALUE"""),408.2)</f>
        <v>408.2</v>
      </c>
      <c r="C676" s="1">
        <f ca="1">IFERROR(__xludf.DUMMYFUNCTION("""COMPUTED_VALUE"""),416.33)</f>
        <v>416.33</v>
      </c>
      <c r="D676" s="1">
        <f ca="1">IFERROR(__xludf.DUMMYFUNCTION("""COMPUTED_VALUE"""),407.7)</f>
        <v>407.7</v>
      </c>
      <c r="E676" s="1">
        <f ca="1">IFERROR(__xludf.DUMMYFUNCTION("""COMPUTED_VALUE"""),414.2)</f>
        <v>414.2</v>
      </c>
      <c r="F676" s="1">
        <f ca="1">IFERROR(__xludf.DUMMYFUNCTION("""COMPUTED_VALUE"""),19594287)</f>
        <v>19594287</v>
      </c>
    </row>
    <row r="677" spans="1:6" ht="12.6">
      <c r="A677" s="2">
        <f ca="1">IFERROR(__xludf.DUMMYFUNCTION("""COMPUTED_VALUE"""),45546.6666666666)</f>
        <v>45546.666666666599</v>
      </c>
      <c r="B677" s="1">
        <f ca="1">IFERROR(__xludf.DUMMYFUNCTION("""COMPUTED_VALUE"""),415.5)</f>
        <v>415.5</v>
      </c>
      <c r="C677" s="1">
        <f ca="1">IFERROR(__xludf.DUMMYFUNCTION("""COMPUTED_VALUE"""),423.99)</f>
        <v>423.99</v>
      </c>
      <c r="D677" s="1">
        <f ca="1">IFERROR(__xludf.DUMMYFUNCTION("""COMPUTED_VALUE"""),409.58)</f>
        <v>409.58</v>
      </c>
      <c r="E677" s="1">
        <f ca="1">IFERROR(__xludf.DUMMYFUNCTION("""COMPUTED_VALUE"""),423.04)</f>
        <v>423.04</v>
      </c>
      <c r="F677" s="1">
        <f ca="1">IFERROR(__xludf.DUMMYFUNCTION("""COMPUTED_VALUE"""),19266923)</f>
        <v>19266923</v>
      </c>
    </row>
    <row r="678" spans="1:6" ht="12.6">
      <c r="A678" s="2">
        <f ca="1">IFERROR(__xludf.DUMMYFUNCTION("""COMPUTED_VALUE"""),45547.6666666666)</f>
        <v>45547.666666666599</v>
      </c>
      <c r="B678" s="1">
        <f ca="1">IFERROR(__xludf.DUMMYFUNCTION("""COMPUTED_VALUE"""),423.31)</f>
        <v>423.31</v>
      </c>
      <c r="C678" s="1">
        <f ca="1">IFERROR(__xludf.DUMMYFUNCTION("""COMPUTED_VALUE"""),427.37)</f>
        <v>427.37</v>
      </c>
      <c r="D678" s="1">
        <f ca="1">IFERROR(__xludf.DUMMYFUNCTION("""COMPUTED_VALUE"""),419.75)</f>
        <v>419.75</v>
      </c>
      <c r="E678" s="1">
        <f ca="1">IFERROR(__xludf.DUMMYFUNCTION("""COMPUTED_VALUE"""),427)</f>
        <v>427</v>
      </c>
      <c r="F678" s="1">
        <f ca="1">IFERROR(__xludf.DUMMYFUNCTION("""COMPUTED_VALUE"""),17418759)</f>
        <v>17418759</v>
      </c>
    </row>
    <row r="679" spans="1:6" ht="12.6">
      <c r="A679" s="2">
        <f ca="1">IFERROR(__xludf.DUMMYFUNCTION("""COMPUTED_VALUE"""),45548.6666666666)</f>
        <v>45548.666666666599</v>
      </c>
      <c r="B679" s="1">
        <f ca="1">IFERROR(__xludf.DUMMYFUNCTION("""COMPUTED_VALUE"""),425.83)</f>
        <v>425.83</v>
      </c>
      <c r="C679" s="1">
        <f ca="1">IFERROR(__xludf.DUMMYFUNCTION("""COMPUTED_VALUE"""),431.83)</f>
        <v>431.83</v>
      </c>
      <c r="D679" s="1">
        <f ca="1">IFERROR(__xludf.DUMMYFUNCTION("""COMPUTED_VALUE"""),425.46)</f>
        <v>425.46</v>
      </c>
      <c r="E679" s="1">
        <f ca="1">IFERROR(__xludf.DUMMYFUNCTION("""COMPUTED_VALUE"""),430.59)</f>
        <v>430.59</v>
      </c>
      <c r="F679" s="1">
        <f ca="1">IFERROR(__xludf.DUMMYFUNCTION("""COMPUTED_VALUE"""),15874555)</f>
        <v>15874555</v>
      </c>
    </row>
    <row r="680" spans="1:6" ht="12.6">
      <c r="A680" s="2">
        <f ca="1">IFERROR(__xludf.DUMMYFUNCTION("""COMPUTED_VALUE"""),45551.6666666666)</f>
        <v>45551.666666666599</v>
      </c>
      <c r="B680" s="1">
        <f ca="1">IFERROR(__xludf.DUMMYFUNCTION("""COMPUTED_VALUE"""),430.6)</f>
        <v>430.6</v>
      </c>
      <c r="C680" s="1">
        <f ca="1">IFERROR(__xludf.DUMMYFUNCTION("""COMPUTED_VALUE"""),433.53)</f>
        <v>433.53</v>
      </c>
      <c r="D680" s="1">
        <f ca="1">IFERROR(__xludf.DUMMYFUNCTION("""COMPUTED_VALUE"""),428.22)</f>
        <v>428.22</v>
      </c>
      <c r="E680" s="1">
        <f ca="1">IFERROR(__xludf.DUMMYFUNCTION("""COMPUTED_VALUE"""),431.34)</f>
        <v>431.34</v>
      </c>
      <c r="F680" s="1">
        <f ca="1">IFERROR(__xludf.DUMMYFUNCTION("""COMPUTED_VALUE"""),13834697)</f>
        <v>13834697</v>
      </c>
    </row>
    <row r="681" spans="1:6" ht="12.6">
      <c r="A681" s="2">
        <f ca="1">IFERROR(__xludf.DUMMYFUNCTION("""COMPUTED_VALUE"""),45552.6666666666)</f>
        <v>45552.666666666599</v>
      </c>
      <c r="B681" s="1">
        <f ca="1">IFERROR(__xludf.DUMMYFUNCTION("""COMPUTED_VALUE"""),440.23)</f>
        <v>440.23</v>
      </c>
      <c r="C681" s="1">
        <f ca="1">IFERROR(__xludf.DUMMYFUNCTION("""COMPUTED_VALUE"""),441.85)</f>
        <v>441.85</v>
      </c>
      <c r="D681" s="1">
        <f ca="1">IFERROR(__xludf.DUMMYFUNCTION("""COMPUTED_VALUE"""),432.27)</f>
        <v>432.27</v>
      </c>
      <c r="E681" s="1">
        <f ca="1">IFERROR(__xludf.DUMMYFUNCTION("""COMPUTED_VALUE"""),435.15)</f>
        <v>435.15</v>
      </c>
      <c r="F681" s="1">
        <f ca="1">IFERROR(__xludf.DUMMYFUNCTION("""COMPUTED_VALUE"""),18874231)</f>
        <v>18874231</v>
      </c>
    </row>
    <row r="682" spans="1:6" ht="12.6">
      <c r="A682" s="2">
        <f ca="1">IFERROR(__xludf.DUMMYFUNCTION("""COMPUTED_VALUE"""),45553.6666666666)</f>
        <v>45553.666666666599</v>
      </c>
      <c r="B682" s="1">
        <f ca="1">IFERROR(__xludf.DUMMYFUNCTION("""COMPUTED_VALUE"""),435)</f>
        <v>435</v>
      </c>
      <c r="C682" s="1">
        <f ca="1">IFERROR(__xludf.DUMMYFUNCTION("""COMPUTED_VALUE"""),436.03)</f>
        <v>436.03</v>
      </c>
      <c r="D682" s="1">
        <f ca="1">IFERROR(__xludf.DUMMYFUNCTION("""COMPUTED_VALUE"""),430.41)</f>
        <v>430.41</v>
      </c>
      <c r="E682" s="1">
        <f ca="1">IFERROR(__xludf.DUMMYFUNCTION("""COMPUTED_VALUE"""),430.81)</f>
        <v>430.81</v>
      </c>
      <c r="F682" s="1">
        <f ca="1">IFERROR(__xludf.DUMMYFUNCTION("""COMPUTED_VALUE"""),18898042)</f>
        <v>18898042</v>
      </c>
    </row>
    <row r="683" spans="1:6" ht="12.6">
      <c r="A683" s="2">
        <f ca="1">IFERROR(__xludf.DUMMYFUNCTION("""COMPUTED_VALUE"""),45554.6666666666)</f>
        <v>45554.666666666599</v>
      </c>
      <c r="B683" s="1">
        <f ca="1">IFERROR(__xludf.DUMMYFUNCTION("""COMPUTED_VALUE"""),441.23)</f>
        <v>441.23</v>
      </c>
      <c r="C683" s="1">
        <f ca="1">IFERROR(__xludf.DUMMYFUNCTION("""COMPUTED_VALUE"""),441.5)</f>
        <v>441.5</v>
      </c>
      <c r="D683" s="1">
        <f ca="1">IFERROR(__xludf.DUMMYFUNCTION("""COMPUTED_VALUE"""),436.9)</f>
        <v>436.9</v>
      </c>
      <c r="E683" s="1">
        <f ca="1">IFERROR(__xludf.DUMMYFUNCTION("""COMPUTED_VALUE"""),438.69)</f>
        <v>438.69</v>
      </c>
      <c r="F683" s="1">
        <f ca="1">IFERROR(__xludf.DUMMYFUNCTION("""COMPUTED_VALUE"""),21706559)</f>
        <v>21706559</v>
      </c>
    </row>
    <row r="684" spans="1:6" ht="12.6">
      <c r="A684" s="2">
        <f ca="1">IFERROR(__xludf.DUMMYFUNCTION("""COMPUTED_VALUE"""),45555.6666666666)</f>
        <v>45555.666666666599</v>
      </c>
      <c r="B684" s="1">
        <f ca="1">IFERROR(__xludf.DUMMYFUNCTION("""COMPUTED_VALUE"""),437.22)</f>
        <v>437.22</v>
      </c>
      <c r="C684" s="1">
        <f ca="1">IFERROR(__xludf.DUMMYFUNCTION("""COMPUTED_VALUE"""),439.24)</f>
        <v>439.24</v>
      </c>
      <c r="D684" s="1">
        <f ca="1">IFERROR(__xludf.DUMMYFUNCTION("""COMPUTED_VALUE"""),434.22)</f>
        <v>434.22</v>
      </c>
      <c r="E684" s="1">
        <f ca="1">IFERROR(__xludf.DUMMYFUNCTION("""COMPUTED_VALUE"""),435.27)</f>
        <v>435.27</v>
      </c>
      <c r="F684" s="1">
        <f ca="1">IFERROR(__xludf.DUMMYFUNCTION("""COMPUTED_VALUE"""),55167106)</f>
        <v>55167106</v>
      </c>
    </row>
    <row r="685" spans="1:6" ht="12.6">
      <c r="A685" s="2">
        <f ca="1">IFERROR(__xludf.DUMMYFUNCTION("""COMPUTED_VALUE"""),45558.6666666666)</f>
        <v>45558.666666666599</v>
      </c>
      <c r="B685" s="1">
        <f ca="1">IFERROR(__xludf.DUMMYFUNCTION("""COMPUTED_VALUE"""),434.28)</f>
        <v>434.28</v>
      </c>
      <c r="C685" s="1">
        <f ca="1">IFERROR(__xludf.DUMMYFUNCTION("""COMPUTED_VALUE"""),436.46)</f>
        <v>436.46</v>
      </c>
      <c r="D685" s="1">
        <f ca="1">IFERROR(__xludf.DUMMYFUNCTION("""COMPUTED_VALUE"""),430.39)</f>
        <v>430.39</v>
      </c>
      <c r="E685" s="1">
        <f ca="1">IFERROR(__xludf.DUMMYFUNCTION("""COMPUTED_VALUE"""),433.51)</f>
        <v>433.51</v>
      </c>
      <c r="F685" s="1">
        <f ca="1">IFERROR(__xludf.DUMMYFUNCTION("""COMPUTED_VALUE"""),15128891)</f>
        <v>15128891</v>
      </c>
    </row>
    <row r="686" spans="1:6" ht="12.6">
      <c r="A686" s="2">
        <f ca="1">IFERROR(__xludf.DUMMYFUNCTION("""COMPUTED_VALUE"""),45559.6666666666)</f>
        <v>45559.666666666599</v>
      </c>
      <c r="B686" s="1">
        <f ca="1">IFERROR(__xludf.DUMMYFUNCTION("""COMPUTED_VALUE"""),433)</f>
        <v>433</v>
      </c>
      <c r="C686" s="1">
        <f ca="1">IFERROR(__xludf.DUMMYFUNCTION("""COMPUTED_VALUE"""),433.35)</f>
        <v>433.35</v>
      </c>
      <c r="D686" s="1">
        <f ca="1">IFERROR(__xludf.DUMMYFUNCTION("""COMPUTED_VALUE"""),426.1)</f>
        <v>426.1</v>
      </c>
      <c r="E686" s="1">
        <f ca="1">IFERROR(__xludf.DUMMYFUNCTION("""COMPUTED_VALUE"""),429.17)</f>
        <v>429.17</v>
      </c>
      <c r="F686" s="1">
        <f ca="1">IFERROR(__xludf.DUMMYFUNCTION("""COMPUTED_VALUE"""),17015754)</f>
        <v>17015754</v>
      </c>
    </row>
    <row r="687" spans="1:6" ht="12.6">
      <c r="A687" s="2">
        <f ca="1">IFERROR(__xludf.DUMMYFUNCTION("""COMPUTED_VALUE"""),45560.6666666666)</f>
        <v>45560.666666666599</v>
      </c>
      <c r="B687" s="1">
        <f ca="1">IFERROR(__xludf.DUMMYFUNCTION("""COMPUTED_VALUE"""),429.83)</f>
        <v>429.83</v>
      </c>
      <c r="C687" s="1">
        <f ca="1">IFERROR(__xludf.DUMMYFUNCTION("""COMPUTED_VALUE"""),433.12)</f>
        <v>433.12</v>
      </c>
      <c r="D687" s="1">
        <f ca="1">IFERROR(__xludf.DUMMYFUNCTION("""COMPUTED_VALUE"""),428.57)</f>
        <v>428.57</v>
      </c>
      <c r="E687" s="1">
        <f ca="1">IFERROR(__xludf.DUMMYFUNCTION("""COMPUTED_VALUE"""),432.11)</f>
        <v>432.11</v>
      </c>
      <c r="F687" s="1">
        <f ca="1">IFERROR(__xludf.DUMMYFUNCTION("""COMPUTED_VALUE"""),13396364)</f>
        <v>13396364</v>
      </c>
    </row>
    <row r="688" spans="1:6" ht="12.6">
      <c r="A688" s="2">
        <f ca="1">IFERROR(__xludf.DUMMYFUNCTION("""COMPUTED_VALUE"""),45561.6666666666)</f>
        <v>45561.666666666599</v>
      </c>
      <c r="B688" s="1">
        <f ca="1">IFERROR(__xludf.DUMMYFUNCTION("""COMPUTED_VALUE"""),435.09)</f>
        <v>435.09</v>
      </c>
      <c r="C688" s="1">
        <f ca="1">IFERROR(__xludf.DUMMYFUNCTION("""COMPUTED_VALUE"""),435.3)</f>
        <v>435.3</v>
      </c>
      <c r="D688" s="1">
        <f ca="1">IFERROR(__xludf.DUMMYFUNCTION("""COMPUTED_VALUE"""),429.13)</f>
        <v>429.13</v>
      </c>
      <c r="E688" s="1">
        <f ca="1">IFERROR(__xludf.DUMMYFUNCTION("""COMPUTED_VALUE"""),431.31)</f>
        <v>431.31</v>
      </c>
      <c r="F688" s="1">
        <f ca="1">IFERROR(__xludf.DUMMYFUNCTION("""COMPUTED_VALUE"""),14492044)</f>
        <v>14492044</v>
      </c>
    </row>
    <row r="689" spans="1:6" ht="12.6">
      <c r="A689" s="2">
        <f ca="1">IFERROR(__xludf.DUMMYFUNCTION("""COMPUTED_VALUE"""),45562.6666666666)</f>
        <v>45562.666666666599</v>
      </c>
      <c r="B689" s="1">
        <f ca="1">IFERROR(__xludf.DUMMYFUNCTION("""COMPUTED_VALUE"""),431.52)</f>
        <v>431.52</v>
      </c>
      <c r="C689" s="1">
        <f ca="1">IFERROR(__xludf.DUMMYFUNCTION("""COMPUTED_VALUE"""),431.85)</f>
        <v>431.85</v>
      </c>
      <c r="D689" s="1">
        <f ca="1">IFERROR(__xludf.DUMMYFUNCTION("""COMPUTED_VALUE"""),427.47)</f>
        <v>427.47</v>
      </c>
      <c r="E689" s="1">
        <f ca="1">IFERROR(__xludf.DUMMYFUNCTION("""COMPUTED_VALUE"""),428.02)</f>
        <v>428.02</v>
      </c>
      <c r="F689" s="1">
        <f ca="1">IFERROR(__xludf.DUMMYFUNCTION("""COMPUTED_VALUE"""),14896131)</f>
        <v>14896131</v>
      </c>
    </row>
    <row r="690" spans="1:6" ht="12.6">
      <c r="A690" s="2">
        <f ca="1">IFERROR(__xludf.DUMMYFUNCTION("""COMPUTED_VALUE"""),45565.6666666666)</f>
        <v>45565.666666666599</v>
      </c>
      <c r="B690" s="1">
        <f ca="1">IFERROR(__xludf.DUMMYFUNCTION("""COMPUTED_VALUE"""),428.21)</f>
        <v>428.21</v>
      </c>
      <c r="C690" s="1">
        <f ca="1">IFERROR(__xludf.DUMMYFUNCTION("""COMPUTED_VALUE"""),430.42)</f>
        <v>430.42</v>
      </c>
      <c r="D690" s="1">
        <f ca="1">IFERROR(__xludf.DUMMYFUNCTION("""COMPUTED_VALUE"""),425.37)</f>
        <v>425.37</v>
      </c>
      <c r="E690" s="1">
        <f ca="1">IFERROR(__xludf.DUMMYFUNCTION("""COMPUTED_VALUE"""),430.3)</f>
        <v>430.3</v>
      </c>
      <c r="F690" s="1">
        <f ca="1">IFERROR(__xludf.DUMMYFUNCTION("""COMPUTED_VALUE"""),16854606)</f>
        <v>16854606</v>
      </c>
    </row>
    <row r="691" spans="1:6" ht="12.6">
      <c r="A691" s="2">
        <f ca="1">IFERROR(__xludf.DUMMYFUNCTION("""COMPUTED_VALUE"""),45566.6666666666)</f>
        <v>45566.666666666599</v>
      </c>
      <c r="B691" s="1">
        <f ca="1">IFERROR(__xludf.DUMMYFUNCTION("""COMPUTED_VALUE"""),428.45)</f>
        <v>428.45</v>
      </c>
      <c r="C691" s="1">
        <f ca="1">IFERROR(__xludf.DUMMYFUNCTION("""COMPUTED_VALUE"""),428.48)</f>
        <v>428.48</v>
      </c>
      <c r="D691" s="1">
        <f ca="1">IFERROR(__xludf.DUMMYFUNCTION("""COMPUTED_VALUE"""),418.81)</f>
        <v>418.81</v>
      </c>
      <c r="E691" s="1">
        <f ca="1">IFERROR(__xludf.DUMMYFUNCTION("""COMPUTED_VALUE"""),420.69)</f>
        <v>420.69</v>
      </c>
      <c r="F691" s="1">
        <f ca="1">IFERROR(__xludf.DUMMYFUNCTION("""COMPUTED_VALUE"""),19092945)</f>
        <v>19092945</v>
      </c>
    </row>
    <row r="692" spans="1:6" ht="12.6">
      <c r="A692" s="2">
        <f ca="1">IFERROR(__xludf.DUMMYFUNCTION("""COMPUTED_VALUE"""),45567.6666666666)</f>
        <v>45567.666666666599</v>
      </c>
      <c r="B692" s="1">
        <f ca="1">IFERROR(__xludf.DUMMYFUNCTION("""COMPUTED_VALUE"""),422.58)</f>
        <v>422.58</v>
      </c>
      <c r="C692" s="1">
        <f ca="1">IFERROR(__xludf.DUMMYFUNCTION("""COMPUTED_VALUE"""),422.82)</f>
        <v>422.82</v>
      </c>
      <c r="D692" s="1">
        <f ca="1">IFERROR(__xludf.DUMMYFUNCTION("""COMPUTED_VALUE"""),416.71)</f>
        <v>416.71</v>
      </c>
      <c r="E692" s="1">
        <f ca="1">IFERROR(__xludf.DUMMYFUNCTION("""COMPUTED_VALUE"""),417.13)</f>
        <v>417.13</v>
      </c>
      <c r="F692" s="1">
        <f ca="1">IFERROR(__xludf.DUMMYFUNCTION("""COMPUTED_VALUE"""),16582257)</f>
        <v>16582257</v>
      </c>
    </row>
    <row r="693" spans="1:6" ht="12.6">
      <c r="A693" s="2">
        <f ca="1">IFERROR(__xludf.DUMMYFUNCTION("""COMPUTED_VALUE"""),45568.6666666666)</f>
        <v>45568.666666666599</v>
      </c>
      <c r="B693" s="1">
        <f ca="1">IFERROR(__xludf.DUMMYFUNCTION("""COMPUTED_VALUE"""),417.63)</f>
        <v>417.63</v>
      </c>
      <c r="C693" s="1">
        <f ca="1">IFERROR(__xludf.DUMMYFUNCTION("""COMPUTED_VALUE"""),419.55)</f>
        <v>419.55</v>
      </c>
      <c r="D693" s="1">
        <f ca="1">IFERROR(__xludf.DUMMYFUNCTION("""COMPUTED_VALUE"""),414.29)</f>
        <v>414.29</v>
      </c>
      <c r="E693" s="1">
        <f ca="1">IFERROR(__xludf.DUMMYFUNCTION("""COMPUTED_VALUE"""),416.54)</f>
        <v>416.54</v>
      </c>
      <c r="F693" s="1">
        <f ca="1">IFERROR(__xludf.DUMMYFUNCTION("""COMPUTED_VALUE"""),13686421)</f>
        <v>13686421</v>
      </c>
    </row>
    <row r="694" spans="1:6" ht="12.6">
      <c r="A694" s="2">
        <f ca="1">IFERROR(__xludf.DUMMYFUNCTION("""COMPUTED_VALUE"""),45569.6666666666)</f>
        <v>45569.666666666599</v>
      </c>
      <c r="B694" s="1">
        <f ca="1">IFERROR(__xludf.DUMMYFUNCTION("""COMPUTED_VALUE"""),418.24)</f>
        <v>418.24</v>
      </c>
      <c r="C694" s="1">
        <f ca="1">IFERROR(__xludf.DUMMYFUNCTION("""COMPUTED_VALUE"""),419.75)</f>
        <v>419.75</v>
      </c>
      <c r="D694" s="1">
        <f ca="1">IFERROR(__xludf.DUMMYFUNCTION("""COMPUTED_VALUE"""),414.97)</f>
        <v>414.97</v>
      </c>
      <c r="E694" s="1">
        <f ca="1">IFERROR(__xludf.DUMMYFUNCTION("""COMPUTED_VALUE"""),416.06)</f>
        <v>416.06</v>
      </c>
      <c r="F694" s="1">
        <f ca="1">IFERROR(__xludf.DUMMYFUNCTION("""COMPUTED_VALUE"""),19190913)</f>
        <v>19190913</v>
      </c>
    </row>
    <row r="695" spans="1:6" ht="12.6">
      <c r="A695" s="2">
        <f ca="1">IFERROR(__xludf.DUMMYFUNCTION("""COMPUTED_VALUE"""),45572.6666666666)</f>
        <v>45572.666666666599</v>
      </c>
      <c r="B695" s="1">
        <f ca="1">IFERROR(__xludf.DUMMYFUNCTION("""COMPUTED_VALUE"""),416)</f>
        <v>416</v>
      </c>
      <c r="C695" s="1">
        <f ca="1">IFERROR(__xludf.DUMMYFUNCTION("""COMPUTED_VALUE"""),417.11)</f>
        <v>417.11</v>
      </c>
      <c r="D695" s="1">
        <f ca="1">IFERROR(__xludf.DUMMYFUNCTION("""COMPUTED_VALUE"""),409)</f>
        <v>409</v>
      </c>
      <c r="E695" s="1">
        <f ca="1">IFERROR(__xludf.DUMMYFUNCTION("""COMPUTED_VALUE"""),409.54)</f>
        <v>409.54</v>
      </c>
      <c r="F695" s="1">
        <f ca="1">IFERROR(__xludf.DUMMYFUNCTION("""COMPUTED_VALUE"""),20919761)</f>
        <v>20919761</v>
      </c>
    </row>
    <row r="696" spans="1:6" ht="12.6">
      <c r="A696" s="2">
        <f ca="1">IFERROR(__xludf.DUMMYFUNCTION("""COMPUTED_VALUE"""),45573.6666666666)</f>
        <v>45573.666666666599</v>
      </c>
      <c r="B696" s="1">
        <f ca="1">IFERROR(__xludf.DUMMYFUNCTION("""COMPUTED_VALUE"""),410.9)</f>
        <v>410.9</v>
      </c>
      <c r="C696" s="1">
        <f ca="1">IFERROR(__xludf.DUMMYFUNCTION("""COMPUTED_VALUE"""),415.66)</f>
        <v>415.66</v>
      </c>
      <c r="D696" s="1">
        <f ca="1">IFERROR(__xludf.DUMMYFUNCTION("""COMPUTED_VALUE"""),408.17)</f>
        <v>408.17</v>
      </c>
      <c r="E696" s="1">
        <f ca="1">IFERROR(__xludf.DUMMYFUNCTION("""COMPUTED_VALUE"""),414.71)</f>
        <v>414.71</v>
      </c>
      <c r="F696" s="1">
        <f ca="1">IFERROR(__xludf.DUMMYFUNCTION("""COMPUTED_VALUE"""),19229261)</f>
        <v>19229261</v>
      </c>
    </row>
    <row r="697" spans="1:6" ht="12.6">
      <c r="A697" s="2">
        <f ca="1">IFERROR(__xludf.DUMMYFUNCTION("""COMPUTED_VALUE"""),45574.6666666666)</f>
        <v>45574.666666666599</v>
      </c>
      <c r="B697" s="1">
        <f ca="1">IFERROR(__xludf.DUMMYFUNCTION("""COMPUTED_VALUE"""),415.86)</f>
        <v>415.86</v>
      </c>
      <c r="C697" s="1">
        <f ca="1">IFERROR(__xludf.DUMMYFUNCTION("""COMPUTED_VALUE"""),420.38)</f>
        <v>420.38</v>
      </c>
      <c r="D697" s="1">
        <f ca="1">IFERROR(__xludf.DUMMYFUNCTION("""COMPUTED_VALUE"""),414.3)</f>
        <v>414.3</v>
      </c>
      <c r="E697" s="1">
        <f ca="1">IFERROR(__xludf.DUMMYFUNCTION("""COMPUTED_VALUE"""),417.46)</f>
        <v>417.46</v>
      </c>
      <c r="F697" s="1">
        <f ca="1">IFERROR(__xludf.DUMMYFUNCTION("""COMPUTED_VALUE"""),14974257)</f>
        <v>14974257</v>
      </c>
    </row>
    <row r="698" spans="1:6" ht="12.6">
      <c r="A698" s="2">
        <f ca="1">IFERROR(__xludf.DUMMYFUNCTION("""COMPUTED_VALUE"""),45575.6666666666)</f>
        <v>45575.666666666599</v>
      </c>
      <c r="B698" s="1">
        <f ca="1">IFERROR(__xludf.DUMMYFUNCTION("""COMPUTED_VALUE"""),415.23)</f>
        <v>415.23</v>
      </c>
      <c r="C698" s="1">
        <f ca="1">IFERROR(__xludf.DUMMYFUNCTION("""COMPUTED_VALUE"""),417.35)</f>
        <v>417.35</v>
      </c>
      <c r="D698" s="1">
        <f ca="1">IFERROR(__xludf.DUMMYFUNCTION("""COMPUTED_VALUE"""),413.15)</f>
        <v>413.15</v>
      </c>
      <c r="E698" s="1">
        <f ca="1">IFERROR(__xludf.DUMMYFUNCTION("""COMPUTED_VALUE"""),415.84)</f>
        <v>415.84</v>
      </c>
      <c r="F698" s="1">
        <f ca="1">IFERROR(__xludf.DUMMYFUNCTION("""COMPUTED_VALUE"""),13848376)</f>
        <v>13848376</v>
      </c>
    </row>
    <row r="699" spans="1:6" ht="12.6">
      <c r="A699" s="2">
        <f ca="1">IFERROR(__xludf.DUMMYFUNCTION("""COMPUTED_VALUE"""),45576.6666666666)</f>
        <v>45576.666666666599</v>
      </c>
      <c r="B699" s="1">
        <f ca="1">IFERROR(__xludf.DUMMYFUNCTION("""COMPUTED_VALUE"""),416.14)</f>
        <v>416.14</v>
      </c>
      <c r="C699" s="1">
        <f ca="1">IFERROR(__xludf.DUMMYFUNCTION("""COMPUTED_VALUE"""),417.13)</f>
        <v>417.13</v>
      </c>
      <c r="D699" s="1">
        <f ca="1">IFERROR(__xludf.DUMMYFUNCTION("""COMPUTED_VALUE"""),413.25)</f>
        <v>413.25</v>
      </c>
      <c r="E699" s="1">
        <f ca="1">IFERROR(__xludf.DUMMYFUNCTION("""COMPUTED_VALUE"""),416.32)</f>
        <v>416.32</v>
      </c>
      <c r="F699" s="1">
        <f ca="1">IFERROR(__xludf.DUMMYFUNCTION("""COMPUTED_VALUE"""),14144944)</f>
        <v>14144944</v>
      </c>
    </row>
    <row r="700" spans="1:6" ht="12.6">
      <c r="A700" s="2">
        <f ca="1">IFERROR(__xludf.DUMMYFUNCTION("""COMPUTED_VALUE"""),45579.6666666666)</f>
        <v>45579.666666666599</v>
      </c>
      <c r="B700" s="1">
        <f ca="1">IFERROR(__xludf.DUMMYFUNCTION("""COMPUTED_VALUE"""),417.77)</f>
        <v>417.77</v>
      </c>
      <c r="C700" s="1">
        <f ca="1">IFERROR(__xludf.DUMMYFUNCTION("""COMPUTED_VALUE"""),424.04)</f>
        <v>424.04</v>
      </c>
      <c r="D700" s="1">
        <f ca="1">IFERROR(__xludf.DUMMYFUNCTION("""COMPUTED_VALUE"""),417.52)</f>
        <v>417.52</v>
      </c>
      <c r="E700" s="1">
        <f ca="1">IFERROR(__xludf.DUMMYFUNCTION("""COMPUTED_VALUE"""),419.14)</f>
        <v>419.14</v>
      </c>
      <c r="F700" s="1">
        <f ca="1">IFERROR(__xludf.DUMMYFUNCTION("""COMPUTED_VALUE"""),16653086)</f>
        <v>16653086</v>
      </c>
    </row>
    <row r="701" spans="1:6" ht="12.6">
      <c r="A701" s="2">
        <f ca="1">IFERROR(__xludf.DUMMYFUNCTION("""COMPUTED_VALUE"""),45580.6666666666)</f>
        <v>45580.666666666599</v>
      </c>
      <c r="B701" s="1">
        <f ca="1">IFERROR(__xludf.DUMMYFUNCTION("""COMPUTED_VALUE"""),422.18)</f>
        <v>422.18</v>
      </c>
      <c r="C701" s="1">
        <f ca="1">IFERROR(__xludf.DUMMYFUNCTION("""COMPUTED_VALUE"""),422.48)</f>
        <v>422.48</v>
      </c>
      <c r="D701" s="1">
        <f ca="1">IFERROR(__xludf.DUMMYFUNCTION("""COMPUTED_VALUE"""),415.26)</f>
        <v>415.26</v>
      </c>
      <c r="E701" s="1">
        <f ca="1">IFERROR(__xludf.DUMMYFUNCTION("""COMPUTED_VALUE"""),418.74)</f>
        <v>418.74</v>
      </c>
      <c r="F701" s="1">
        <f ca="1">IFERROR(__xludf.DUMMYFUNCTION("""COMPUTED_VALUE"""),18900201)</f>
        <v>18900201</v>
      </c>
    </row>
    <row r="702" spans="1:6" ht="12.6">
      <c r="A702" s="2">
        <f ca="1">IFERROR(__xludf.DUMMYFUNCTION("""COMPUTED_VALUE"""),45581.6666666666)</f>
        <v>45581.666666666599</v>
      </c>
      <c r="B702" s="1">
        <f ca="1">IFERROR(__xludf.DUMMYFUNCTION("""COMPUTED_VALUE"""),415.17)</f>
        <v>415.17</v>
      </c>
      <c r="C702" s="1">
        <f ca="1">IFERROR(__xludf.DUMMYFUNCTION("""COMPUTED_VALUE"""),416.36)</f>
        <v>416.36</v>
      </c>
      <c r="D702" s="1">
        <f ca="1">IFERROR(__xludf.DUMMYFUNCTION("""COMPUTED_VALUE"""),410.48)</f>
        <v>410.48</v>
      </c>
      <c r="E702" s="1">
        <f ca="1">IFERROR(__xludf.DUMMYFUNCTION("""COMPUTED_VALUE"""),416.12)</f>
        <v>416.12</v>
      </c>
      <c r="F702" s="1">
        <f ca="1">IFERROR(__xludf.DUMMYFUNCTION("""COMPUTED_VALUE"""),15508932)</f>
        <v>15508932</v>
      </c>
    </row>
    <row r="703" spans="1:6" ht="12.6">
      <c r="A703" s="2">
        <f ca="1">IFERROR(__xludf.DUMMYFUNCTION("""COMPUTED_VALUE"""),45582.6666666666)</f>
        <v>45582.666666666599</v>
      </c>
      <c r="B703" s="1">
        <f ca="1">IFERROR(__xludf.DUMMYFUNCTION("""COMPUTED_VALUE"""),422.36)</f>
        <v>422.36</v>
      </c>
      <c r="C703" s="1">
        <f ca="1">IFERROR(__xludf.DUMMYFUNCTION("""COMPUTED_VALUE"""),422.5)</f>
        <v>422.5</v>
      </c>
      <c r="D703" s="1">
        <f ca="1">IFERROR(__xludf.DUMMYFUNCTION("""COMPUTED_VALUE"""),415.59)</f>
        <v>415.59</v>
      </c>
      <c r="E703" s="1">
        <f ca="1">IFERROR(__xludf.DUMMYFUNCTION("""COMPUTED_VALUE"""),416.72)</f>
        <v>416.72</v>
      </c>
      <c r="F703" s="1">
        <f ca="1">IFERROR(__xludf.DUMMYFUNCTION("""COMPUTED_VALUE"""),14820004)</f>
        <v>14820004</v>
      </c>
    </row>
    <row r="704" spans="1:6" ht="12.6">
      <c r="A704" s="2">
        <f ca="1">IFERROR(__xludf.DUMMYFUNCTION("""COMPUTED_VALUE"""),45583.6666666666)</f>
        <v>45583.666666666599</v>
      </c>
      <c r="B704" s="1">
        <f ca="1">IFERROR(__xludf.DUMMYFUNCTION("""COMPUTED_VALUE"""),417.14)</f>
        <v>417.14</v>
      </c>
      <c r="C704" s="1">
        <f ca="1">IFERROR(__xludf.DUMMYFUNCTION("""COMPUTED_VALUE"""),419.65)</f>
        <v>419.65</v>
      </c>
      <c r="D704" s="1">
        <f ca="1">IFERROR(__xludf.DUMMYFUNCTION("""COMPUTED_VALUE"""),416.26)</f>
        <v>416.26</v>
      </c>
      <c r="E704" s="1">
        <f ca="1">IFERROR(__xludf.DUMMYFUNCTION("""COMPUTED_VALUE"""),418.16)</f>
        <v>418.16</v>
      </c>
      <c r="F704" s="1">
        <f ca="1">IFERROR(__xludf.DUMMYFUNCTION("""COMPUTED_VALUE"""),17145317)</f>
        <v>17145317</v>
      </c>
    </row>
    <row r="705" spans="1:6" ht="12.6">
      <c r="A705" s="2">
        <f ca="1">IFERROR(__xludf.DUMMYFUNCTION("""COMPUTED_VALUE"""),45586.6666666666)</f>
        <v>45586.666666666599</v>
      </c>
      <c r="B705" s="1">
        <f ca="1">IFERROR(__xludf.DUMMYFUNCTION("""COMPUTED_VALUE"""),416.12)</f>
        <v>416.12</v>
      </c>
      <c r="C705" s="1">
        <f ca="1">IFERROR(__xludf.DUMMYFUNCTION("""COMPUTED_VALUE"""),418.96)</f>
        <v>418.96</v>
      </c>
      <c r="D705" s="1">
        <f ca="1">IFERROR(__xludf.DUMMYFUNCTION("""COMPUTED_VALUE"""),413.75)</f>
        <v>413.75</v>
      </c>
      <c r="E705" s="1">
        <f ca="1">IFERROR(__xludf.DUMMYFUNCTION("""COMPUTED_VALUE"""),418.78)</f>
        <v>418.78</v>
      </c>
      <c r="F705" s="1">
        <f ca="1">IFERROR(__xludf.DUMMYFUNCTION("""COMPUTED_VALUE"""),14206115)</f>
        <v>14206115</v>
      </c>
    </row>
    <row r="706" spans="1:6" ht="12.6">
      <c r="A706" s="2">
        <f ca="1">IFERROR(__xludf.DUMMYFUNCTION("""COMPUTED_VALUE"""),45587.6666666666)</f>
        <v>45587.666666666599</v>
      </c>
      <c r="B706" s="1">
        <f ca="1">IFERROR(__xludf.DUMMYFUNCTION("""COMPUTED_VALUE"""),418.49)</f>
        <v>418.49</v>
      </c>
      <c r="C706" s="1">
        <f ca="1">IFERROR(__xludf.DUMMYFUNCTION("""COMPUTED_VALUE"""),430.58)</f>
        <v>430.58</v>
      </c>
      <c r="D706" s="1">
        <f ca="1">IFERROR(__xludf.DUMMYFUNCTION("""COMPUTED_VALUE"""),418.04)</f>
        <v>418.04</v>
      </c>
      <c r="E706" s="1">
        <f ca="1">IFERROR(__xludf.DUMMYFUNCTION("""COMPUTED_VALUE"""),427.51)</f>
        <v>427.51</v>
      </c>
      <c r="F706" s="1">
        <f ca="1">IFERROR(__xludf.DUMMYFUNCTION("""COMPUTED_VALUE"""),25482197)</f>
        <v>25482197</v>
      </c>
    </row>
    <row r="707" spans="1:6" ht="12.6">
      <c r="A707" s="2">
        <f ca="1">IFERROR(__xludf.DUMMYFUNCTION("""COMPUTED_VALUE"""),45588.6666666666)</f>
        <v>45588.666666666599</v>
      </c>
      <c r="B707" s="1">
        <f ca="1">IFERROR(__xludf.DUMMYFUNCTION("""COMPUTED_VALUE"""),430.86)</f>
        <v>430.86</v>
      </c>
      <c r="C707" s="1">
        <f ca="1">IFERROR(__xludf.DUMMYFUNCTION("""COMPUTED_VALUE"""),431.08)</f>
        <v>431.08</v>
      </c>
      <c r="D707" s="1">
        <f ca="1">IFERROR(__xludf.DUMMYFUNCTION("""COMPUTED_VALUE"""),422.53)</f>
        <v>422.53</v>
      </c>
      <c r="E707" s="1">
        <f ca="1">IFERROR(__xludf.DUMMYFUNCTION("""COMPUTED_VALUE"""),424.6)</f>
        <v>424.6</v>
      </c>
      <c r="F707" s="1">
        <f ca="1">IFERROR(__xludf.DUMMYFUNCTION("""COMPUTED_VALUE"""),19654379)</f>
        <v>19654379</v>
      </c>
    </row>
    <row r="708" spans="1:6" ht="12.6">
      <c r="A708" s="2">
        <f ca="1">IFERROR(__xludf.DUMMYFUNCTION("""COMPUTED_VALUE"""),45589.6666666666)</f>
        <v>45589.666666666599</v>
      </c>
      <c r="B708" s="1">
        <f ca="1">IFERROR(__xludf.DUMMYFUNCTION("""COMPUTED_VALUE"""),425.33)</f>
        <v>425.33</v>
      </c>
      <c r="C708" s="1">
        <f ca="1">IFERROR(__xludf.DUMMYFUNCTION("""COMPUTED_VALUE"""),425.98)</f>
        <v>425.98</v>
      </c>
      <c r="D708" s="1">
        <f ca="1">IFERROR(__xludf.DUMMYFUNCTION("""COMPUTED_VALUE"""),422.4)</f>
        <v>422.4</v>
      </c>
      <c r="E708" s="1">
        <f ca="1">IFERROR(__xludf.DUMMYFUNCTION("""COMPUTED_VALUE"""),424.73)</f>
        <v>424.73</v>
      </c>
      <c r="F708" s="1">
        <f ca="1">IFERROR(__xludf.DUMMYFUNCTION("""COMPUTED_VALUE"""),13581631)</f>
        <v>13581631</v>
      </c>
    </row>
    <row r="709" spans="1:6" ht="12.6">
      <c r="A709" s="2">
        <f ca="1">IFERROR(__xludf.DUMMYFUNCTION("""COMPUTED_VALUE"""),45590.6666666666)</f>
        <v>45590.666666666599</v>
      </c>
      <c r="B709" s="1">
        <f ca="1">IFERROR(__xludf.DUMMYFUNCTION("""COMPUTED_VALUE"""),426.76)</f>
        <v>426.76</v>
      </c>
      <c r="C709" s="1">
        <f ca="1">IFERROR(__xludf.DUMMYFUNCTION("""COMPUTED_VALUE"""),432.52)</f>
        <v>432.52</v>
      </c>
      <c r="D709" s="1">
        <f ca="1">IFERROR(__xludf.DUMMYFUNCTION("""COMPUTED_VALUE"""),426.57)</f>
        <v>426.57</v>
      </c>
      <c r="E709" s="1">
        <f ca="1">IFERROR(__xludf.DUMMYFUNCTION("""COMPUTED_VALUE"""),428.15)</f>
        <v>428.15</v>
      </c>
      <c r="F709" s="1">
        <f ca="1">IFERROR(__xludf.DUMMYFUNCTION("""COMPUTED_VALUE"""),16899064)</f>
        <v>16899064</v>
      </c>
    </row>
    <row r="710" spans="1:6" ht="12.6">
      <c r="A710" s="2">
        <f ca="1">IFERROR(__xludf.DUMMYFUNCTION("""COMPUTED_VALUE"""),45593.6666666666)</f>
        <v>45593.666666666599</v>
      </c>
      <c r="B710" s="1">
        <f ca="1">IFERROR(__xludf.DUMMYFUNCTION("""COMPUTED_VALUE"""),431.66)</f>
        <v>431.66</v>
      </c>
      <c r="C710" s="1">
        <f ca="1">IFERROR(__xludf.DUMMYFUNCTION("""COMPUTED_VALUE"""),431.94)</f>
        <v>431.94</v>
      </c>
      <c r="D710" s="1">
        <f ca="1">IFERROR(__xludf.DUMMYFUNCTION("""COMPUTED_VALUE"""),426.3)</f>
        <v>426.3</v>
      </c>
      <c r="E710" s="1">
        <f ca="1">IFERROR(__xludf.DUMMYFUNCTION("""COMPUTED_VALUE"""),426.59)</f>
        <v>426.59</v>
      </c>
      <c r="F710" s="1">
        <f ca="1">IFERROR(__xludf.DUMMYFUNCTION("""COMPUTED_VALUE"""),14882444)</f>
        <v>14882444</v>
      </c>
    </row>
    <row r="711" spans="1:6" ht="12.6">
      <c r="A711" s="2">
        <f ca="1">IFERROR(__xludf.DUMMYFUNCTION("""COMPUTED_VALUE"""),45594.6666666666)</f>
        <v>45594.666666666599</v>
      </c>
      <c r="B711" s="1">
        <f ca="1">IFERROR(__xludf.DUMMYFUNCTION("""COMPUTED_VALUE"""),428)</f>
        <v>428</v>
      </c>
      <c r="C711" s="1">
        <f ca="1">IFERROR(__xludf.DUMMYFUNCTION("""COMPUTED_VALUE"""),433.17)</f>
        <v>433.17</v>
      </c>
      <c r="D711" s="1">
        <f ca="1">IFERROR(__xludf.DUMMYFUNCTION("""COMPUTED_VALUE"""),425.8)</f>
        <v>425.8</v>
      </c>
      <c r="E711" s="1">
        <f ca="1">IFERROR(__xludf.DUMMYFUNCTION("""COMPUTED_VALUE"""),431.95)</f>
        <v>431.95</v>
      </c>
      <c r="F711" s="1">
        <f ca="1">IFERROR(__xludf.DUMMYFUNCTION("""COMPUTED_VALUE"""),17644080)</f>
        <v>17644080</v>
      </c>
    </row>
    <row r="712" spans="1:6" ht="12.6">
      <c r="A712" s="2">
        <f ca="1">IFERROR(__xludf.DUMMYFUNCTION("""COMPUTED_VALUE"""),45595.6666666666)</f>
        <v>45595.666666666599</v>
      </c>
      <c r="B712" s="1">
        <f ca="1">IFERROR(__xludf.DUMMYFUNCTION("""COMPUTED_VALUE"""),437.44)</f>
        <v>437.44</v>
      </c>
      <c r="C712" s="1">
        <f ca="1">IFERROR(__xludf.DUMMYFUNCTION("""COMPUTED_VALUE"""),438.5)</f>
        <v>438.5</v>
      </c>
      <c r="D712" s="1">
        <f ca="1">IFERROR(__xludf.DUMMYFUNCTION("""COMPUTED_VALUE"""),432.1)</f>
        <v>432.1</v>
      </c>
      <c r="E712" s="1">
        <f ca="1">IFERROR(__xludf.DUMMYFUNCTION("""COMPUTED_VALUE"""),432.53)</f>
        <v>432.53</v>
      </c>
      <c r="F712" s="1">
        <f ca="1">IFERROR(__xludf.DUMMYFUNCTION("""COMPUTED_VALUE"""),29749149)</f>
        <v>29749149</v>
      </c>
    </row>
    <row r="713" spans="1:6" ht="12.6">
      <c r="A713" s="2">
        <f ca="1">IFERROR(__xludf.DUMMYFUNCTION("""COMPUTED_VALUE"""),45596.6666666666)</f>
        <v>45596.666666666599</v>
      </c>
      <c r="B713" s="1">
        <f ca="1">IFERROR(__xludf.DUMMYFUNCTION("""COMPUTED_VALUE"""),415.36)</f>
        <v>415.36</v>
      </c>
      <c r="C713" s="1">
        <f ca="1">IFERROR(__xludf.DUMMYFUNCTION("""COMPUTED_VALUE"""),416.16)</f>
        <v>416.16</v>
      </c>
      <c r="D713" s="1">
        <f ca="1">IFERROR(__xludf.DUMMYFUNCTION("""COMPUTED_VALUE"""),406.3)</f>
        <v>406.3</v>
      </c>
      <c r="E713" s="1">
        <f ca="1">IFERROR(__xludf.DUMMYFUNCTION("""COMPUTED_VALUE"""),406.35)</f>
        <v>406.35</v>
      </c>
      <c r="F713" s="1">
        <f ca="1">IFERROR(__xludf.DUMMYFUNCTION("""COMPUTED_VALUE"""),53970981)</f>
        <v>53970981</v>
      </c>
    </row>
    <row r="714" spans="1:6" ht="12.6">
      <c r="A714" s="2">
        <f ca="1">IFERROR(__xludf.DUMMYFUNCTION("""COMPUTED_VALUE"""),45597.6666666666)</f>
        <v>45597.666666666599</v>
      </c>
      <c r="B714" s="1">
        <f ca="1">IFERROR(__xludf.DUMMYFUNCTION("""COMPUTED_VALUE"""),409.01)</f>
        <v>409.01</v>
      </c>
      <c r="C714" s="1">
        <f ca="1">IFERROR(__xludf.DUMMYFUNCTION("""COMPUTED_VALUE"""),415.5)</f>
        <v>415.5</v>
      </c>
      <c r="D714" s="1">
        <f ca="1">IFERROR(__xludf.DUMMYFUNCTION("""COMPUTED_VALUE"""),407.5)</f>
        <v>407.5</v>
      </c>
      <c r="E714" s="1">
        <f ca="1">IFERROR(__xludf.DUMMYFUNCTION("""COMPUTED_VALUE"""),410.37)</f>
        <v>410.37</v>
      </c>
      <c r="F714" s="1">
        <f ca="1">IFERROR(__xludf.DUMMYFUNCTION("""COMPUTED_VALUE"""),24230442)</f>
        <v>24230442</v>
      </c>
    </row>
    <row r="715" spans="1:6" ht="12.6">
      <c r="A715" s="2">
        <f ca="1">IFERROR(__xludf.DUMMYFUNCTION("""COMPUTED_VALUE"""),45600.6666666666)</f>
        <v>45600.666666666599</v>
      </c>
      <c r="B715" s="1">
        <f ca="1">IFERROR(__xludf.DUMMYFUNCTION("""COMPUTED_VALUE"""),409.8)</f>
        <v>409.8</v>
      </c>
      <c r="C715" s="1">
        <f ca="1">IFERROR(__xludf.DUMMYFUNCTION("""COMPUTED_VALUE"""),410.42)</f>
        <v>410.42</v>
      </c>
      <c r="D715" s="1">
        <f ca="1">IFERROR(__xludf.DUMMYFUNCTION("""COMPUTED_VALUE"""),405.57)</f>
        <v>405.57</v>
      </c>
      <c r="E715" s="1">
        <f ca="1">IFERROR(__xludf.DUMMYFUNCTION("""COMPUTED_VALUE"""),408.46)</f>
        <v>408.46</v>
      </c>
      <c r="F715" s="1">
        <f ca="1">IFERROR(__xludf.DUMMYFUNCTION("""COMPUTED_VALUE"""),19672286)</f>
        <v>19672286</v>
      </c>
    </row>
    <row r="716" spans="1:6" ht="12.6">
      <c r="A716" s="2">
        <f ca="1">IFERROR(__xludf.DUMMYFUNCTION("""COMPUTED_VALUE"""),45601.6666666666)</f>
        <v>45601.666666666599</v>
      </c>
      <c r="B716" s="1">
        <f ca="1">IFERROR(__xludf.DUMMYFUNCTION("""COMPUTED_VALUE"""),408.37)</f>
        <v>408.37</v>
      </c>
      <c r="C716" s="1">
        <f ca="1">IFERROR(__xludf.DUMMYFUNCTION("""COMPUTED_VALUE"""),414.9)</f>
        <v>414.9</v>
      </c>
      <c r="D716" s="1">
        <f ca="1">IFERROR(__xludf.DUMMYFUNCTION("""COMPUTED_VALUE"""),408.08)</f>
        <v>408.08</v>
      </c>
      <c r="E716" s="1">
        <f ca="1">IFERROR(__xludf.DUMMYFUNCTION("""COMPUTED_VALUE"""),411.46)</f>
        <v>411.46</v>
      </c>
      <c r="F716" s="1">
        <f ca="1">IFERROR(__xludf.DUMMYFUNCTION("""COMPUTED_VALUE"""),17626011)</f>
        <v>17626011</v>
      </c>
    </row>
    <row r="717" spans="1:6" ht="12.6">
      <c r="A717" s="2">
        <f ca="1">IFERROR(__xludf.DUMMYFUNCTION("""COMPUTED_VALUE"""),45602.6666666666)</f>
        <v>45602.666666666599</v>
      </c>
      <c r="B717" s="1">
        <f ca="1">IFERROR(__xludf.DUMMYFUNCTION("""COMPUTED_VALUE"""),412.42)</f>
        <v>412.42</v>
      </c>
      <c r="C717" s="1">
        <f ca="1">IFERROR(__xludf.DUMMYFUNCTION("""COMPUTED_VALUE"""),420.45)</f>
        <v>420.45</v>
      </c>
      <c r="D717" s="1">
        <f ca="1">IFERROR(__xludf.DUMMYFUNCTION("""COMPUTED_VALUE"""),410.52)</f>
        <v>410.52</v>
      </c>
      <c r="E717" s="1">
        <f ca="1">IFERROR(__xludf.DUMMYFUNCTION("""COMPUTED_VALUE"""),420.18)</f>
        <v>420.18</v>
      </c>
      <c r="F717" s="1">
        <f ca="1">IFERROR(__xludf.DUMMYFUNCTION("""COMPUTED_VALUE"""),26681842)</f>
        <v>26681842</v>
      </c>
    </row>
    <row r="718" spans="1:6" ht="12.6">
      <c r="A718" s="2">
        <f ca="1">IFERROR(__xludf.DUMMYFUNCTION("""COMPUTED_VALUE"""),45603.6666666666)</f>
        <v>45603.666666666599</v>
      </c>
      <c r="B718" s="1">
        <f ca="1">IFERROR(__xludf.DUMMYFUNCTION("""COMPUTED_VALUE"""),421.28)</f>
        <v>421.28</v>
      </c>
      <c r="C718" s="1">
        <f ca="1">IFERROR(__xludf.DUMMYFUNCTION("""COMPUTED_VALUE"""),426.85)</f>
        <v>426.85</v>
      </c>
      <c r="D718" s="1">
        <f ca="1">IFERROR(__xludf.DUMMYFUNCTION("""COMPUTED_VALUE"""),419.88)</f>
        <v>419.88</v>
      </c>
      <c r="E718" s="1">
        <f ca="1">IFERROR(__xludf.DUMMYFUNCTION("""COMPUTED_VALUE"""),425.43)</f>
        <v>425.43</v>
      </c>
      <c r="F718" s="1">
        <f ca="1">IFERROR(__xludf.DUMMYFUNCTION("""COMPUTED_VALUE"""),19901782)</f>
        <v>19901782</v>
      </c>
    </row>
    <row r="719" spans="1:6" ht="12.6">
      <c r="A719" s="2">
        <f ca="1">IFERROR(__xludf.DUMMYFUNCTION("""COMPUTED_VALUE"""),45604.6666666666)</f>
        <v>45604.666666666599</v>
      </c>
      <c r="B719" s="1">
        <f ca="1">IFERROR(__xludf.DUMMYFUNCTION("""COMPUTED_VALUE"""),425.32)</f>
        <v>425.32</v>
      </c>
      <c r="C719" s="1">
        <f ca="1">IFERROR(__xludf.DUMMYFUNCTION("""COMPUTED_VALUE"""),426.5)</f>
        <v>426.5</v>
      </c>
      <c r="D719" s="1">
        <f ca="1">IFERROR(__xludf.DUMMYFUNCTION("""COMPUTED_VALUE"""),421.78)</f>
        <v>421.78</v>
      </c>
      <c r="E719" s="1">
        <f ca="1">IFERROR(__xludf.DUMMYFUNCTION("""COMPUTED_VALUE"""),422.54)</f>
        <v>422.54</v>
      </c>
      <c r="F719" s="1">
        <f ca="1">IFERROR(__xludf.DUMMYFUNCTION("""COMPUTED_VALUE"""),16891414)</f>
        <v>16891414</v>
      </c>
    </row>
    <row r="720" spans="1:6" ht="12.6">
      <c r="A720" s="2">
        <f ca="1">IFERROR(__xludf.DUMMYFUNCTION("""COMPUTED_VALUE"""),45607.6666666666)</f>
        <v>45607.666666666599</v>
      </c>
      <c r="B720" s="1">
        <f ca="1">IFERROR(__xludf.DUMMYFUNCTION("""COMPUTED_VALUE"""),422.52)</f>
        <v>422.52</v>
      </c>
      <c r="C720" s="1">
        <f ca="1">IFERROR(__xludf.DUMMYFUNCTION("""COMPUTED_VALUE"""),424.81)</f>
        <v>424.81</v>
      </c>
      <c r="D720" s="1">
        <f ca="1">IFERROR(__xludf.DUMMYFUNCTION("""COMPUTED_VALUE"""),416)</f>
        <v>416</v>
      </c>
      <c r="E720" s="1">
        <f ca="1">IFERROR(__xludf.DUMMYFUNCTION("""COMPUTED_VALUE"""),418.01)</f>
        <v>418.01</v>
      </c>
      <c r="F720" s="1">
        <f ca="1">IFERROR(__xludf.DUMMYFUNCTION("""COMPUTED_VALUE"""),24503321)</f>
        <v>24503321</v>
      </c>
    </row>
    <row r="721" spans="1:6" ht="12.6">
      <c r="A721" s="2">
        <f ca="1">IFERROR(__xludf.DUMMYFUNCTION("""COMPUTED_VALUE"""),45608.6666666666)</f>
        <v>45608.666666666599</v>
      </c>
      <c r="B721" s="1">
        <f ca="1">IFERROR(__xludf.DUMMYFUNCTION("""COMPUTED_VALUE"""),418.25)</f>
        <v>418.25</v>
      </c>
      <c r="C721" s="1">
        <f ca="1">IFERROR(__xludf.DUMMYFUNCTION("""COMPUTED_VALUE"""),424.44)</f>
        <v>424.44</v>
      </c>
      <c r="D721" s="1">
        <f ca="1">IFERROR(__xludf.DUMMYFUNCTION("""COMPUTED_VALUE"""),417.2)</f>
        <v>417.2</v>
      </c>
      <c r="E721" s="1">
        <f ca="1">IFERROR(__xludf.DUMMYFUNCTION("""COMPUTED_VALUE"""),423.03)</f>
        <v>423.03</v>
      </c>
      <c r="F721" s="1">
        <f ca="1">IFERROR(__xludf.DUMMYFUNCTION("""COMPUTED_VALUE"""),19401204)</f>
        <v>19401204</v>
      </c>
    </row>
    <row r="722" spans="1:6" ht="12.6">
      <c r="A722" s="2">
        <f ca="1">IFERROR(__xludf.DUMMYFUNCTION("""COMPUTED_VALUE"""),45609.6666666666)</f>
        <v>45609.666666666599</v>
      </c>
      <c r="B722" s="1">
        <f ca="1">IFERROR(__xludf.DUMMYFUNCTION("""COMPUTED_VALUE"""),421.64)</f>
        <v>421.64</v>
      </c>
      <c r="C722" s="1">
        <f ca="1">IFERROR(__xludf.DUMMYFUNCTION("""COMPUTED_VALUE"""),429.33)</f>
        <v>429.33</v>
      </c>
      <c r="D722" s="1">
        <f ca="1">IFERROR(__xludf.DUMMYFUNCTION("""COMPUTED_VALUE"""),418.21)</f>
        <v>418.21</v>
      </c>
      <c r="E722" s="1">
        <f ca="1">IFERROR(__xludf.DUMMYFUNCTION("""COMPUTED_VALUE"""),425.2)</f>
        <v>425.2</v>
      </c>
      <c r="F722" s="1">
        <f ca="1">IFERROR(__xludf.DUMMYFUNCTION("""COMPUTED_VALUE"""),21502185)</f>
        <v>21502185</v>
      </c>
    </row>
    <row r="723" spans="1:6" ht="12.6">
      <c r="A723" s="2">
        <f ca="1">IFERROR(__xludf.DUMMYFUNCTION("""COMPUTED_VALUE"""),45610.6666666666)</f>
        <v>45610.666666666599</v>
      </c>
      <c r="B723" s="1">
        <f ca="1">IFERROR(__xludf.DUMMYFUNCTION("""COMPUTED_VALUE"""),425)</f>
        <v>425</v>
      </c>
      <c r="C723" s="1">
        <f ca="1">IFERROR(__xludf.DUMMYFUNCTION("""COMPUTED_VALUE"""),428.17)</f>
        <v>428.17</v>
      </c>
      <c r="D723" s="1">
        <f ca="1">IFERROR(__xludf.DUMMYFUNCTION("""COMPUTED_VALUE"""),420)</f>
        <v>420</v>
      </c>
      <c r="E723" s="1">
        <f ca="1">IFERROR(__xludf.DUMMYFUNCTION("""COMPUTED_VALUE"""),426.89)</f>
        <v>426.89</v>
      </c>
      <c r="F723" s="1">
        <f ca="1">IFERROR(__xludf.DUMMYFUNCTION("""COMPUTED_VALUE"""),30246881)</f>
        <v>30246881</v>
      </c>
    </row>
    <row r="724" spans="1:6" ht="12.6">
      <c r="A724" s="2">
        <f ca="1">IFERROR(__xludf.DUMMYFUNCTION("""COMPUTED_VALUE"""),45611.6666666666)</f>
        <v>45611.666666666599</v>
      </c>
      <c r="B724" s="1">
        <f ca="1">IFERROR(__xludf.DUMMYFUNCTION("""COMPUTED_VALUE"""),419.82)</f>
        <v>419.82</v>
      </c>
      <c r="C724" s="1">
        <f ca="1">IFERROR(__xludf.DUMMYFUNCTION("""COMPUTED_VALUE"""),422.8)</f>
        <v>422.8</v>
      </c>
      <c r="D724" s="1">
        <f ca="1">IFERROR(__xludf.DUMMYFUNCTION("""COMPUTED_VALUE"""),413.64)</f>
        <v>413.64</v>
      </c>
      <c r="E724" s="1">
        <f ca="1">IFERROR(__xludf.DUMMYFUNCTION("""COMPUTED_VALUE"""),415)</f>
        <v>415</v>
      </c>
      <c r="F724" s="1">
        <f ca="1">IFERROR(__xludf.DUMMYFUNCTION("""COMPUTED_VALUE"""),28247644)</f>
        <v>28247644</v>
      </c>
    </row>
    <row r="725" spans="1:6" ht="12.6">
      <c r="A725" s="2">
        <f ca="1">IFERROR(__xludf.DUMMYFUNCTION("""COMPUTED_VALUE"""),45614.6666666666)</f>
        <v>45614.666666666599</v>
      </c>
      <c r="B725" s="1">
        <f ca="1">IFERROR(__xludf.DUMMYFUNCTION("""COMPUTED_VALUE"""),414.87)</f>
        <v>414.87</v>
      </c>
      <c r="C725" s="1">
        <f ca="1">IFERROR(__xludf.DUMMYFUNCTION("""COMPUTED_VALUE"""),418.4)</f>
        <v>418.4</v>
      </c>
      <c r="D725" s="1">
        <f ca="1">IFERROR(__xludf.DUMMYFUNCTION("""COMPUTED_VALUE"""),412.1)</f>
        <v>412.1</v>
      </c>
      <c r="E725" s="1">
        <f ca="1">IFERROR(__xludf.DUMMYFUNCTION("""COMPUTED_VALUE"""),415.76)</f>
        <v>415.76</v>
      </c>
      <c r="F725" s="1">
        <f ca="1">IFERROR(__xludf.DUMMYFUNCTION("""COMPUTED_VALUE"""),24742013)</f>
        <v>24742013</v>
      </c>
    </row>
    <row r="726" spans="1:6" ht="12.6">
      <c r="A726" s="2">
        <f ca="1">IFERROR(__xludf.DUMMYFUNCTION("""COMPUTED_VALUE"""),45615.6666666666)</f>
        <v>45615.666666666599</v>
      </c>
      <c r="B726" s="1">
        <f ca="1">IFERROR(__xludf.DUMMYFUNCTION("""COMPUTED_VALUE"""),413.11)</f>
        <v>413.11</v>
      </c>
      <c r="C726" s="1">
        <f ca="1">IFERROR(__xludf.DUMMYFUNCTION("""COMPUTED_VALUE"""),417.94)</f>
        <v>417.94</v>
      </c>
      <c r="D726" s="1">
        <f ca="1">IFERROR(__xludf.DUMMYFUNCTION("""COMPUTED_VALUE"""),411.55)</f>
        <v>411.55</v>
      </c>
      <c r="E726" s="1">
        <f ca="1">IFERROR(__xludf.DUMMYFUNCTION("""COMPUTED_VALUE"""),417.79)</f>
        <v>417.79</v>
      </c>
      <c r="F726" s="1">
        <f ca="1">IFERROR(__xludf.DUMMYFUNCTION("""COMPUTED_VALUE"""),18133529)</f>
        <v>18133529</v>
      </c>
    </row>
    <row r="727" spans="1:6" ht="12.6">
      <c r="A727" s="2">
        <f ca="1">IFERROR(__xludf.DUMMYFUNCTION("""COMPUTED_VALUE"""),45616.6666666666)</f>
        <v>45616.666666666599</v>
      </c>
      <c r="B727" s="1">
        <f ca="1">IFERROR(__xludf.DUMMYFUNCTION("""COMPUTED_VALUE"""),416.87)</f>
        <v>416.87</v>
      </c>
      <c r="C727" s="1">
        <f ca="1">IFERROR(__xludf.DUMMYFUNCTION("""COMPUTED_VALUE"""),417.29)</f>
        <v>417.29</v>
      </c>
      <c r="D727" s="1">
        <f ca="1">IFERROR(__xludf.DUMMYFUNCTION("""COMPUTED_VALUE"""),410.58)</f>
        <v>410.58</v>
      </c>
      <c r="E727" s="1">
        <f ca="1">IFERROR(__xludf.DUMMYFUNCTION("""COMPUTED_VALUE"""),415.49)</f>
        <v>415.49</v>
      </c>
      <c r="F727" s="1">
        <f ca="1">IFERROR(__xludf.DUMMYFUNCTION("""COMPUTED_VALUE"""),19191655)</f>
        <v>19191655</v>
      </c>
    </row>
    <row r="728" spans="1:6" ht="12.6">
      <c r="A728" s="2">
        <f ca="1">IFERROR(__xludf.DUMMYFUNCTION("""COMPUTED_VALUE"""),45617.6666666666)</f>
        <v>45617.666666666599</v>
      </c>
      <c r="B728" s="1">
        <f ca="1">IFERROR(__xludf.DUMMYFUNCTION("""COMPUTED_VALUE"""),419.5)</f>
        <v>419.5</v>
      </c>
      <c r="C728" s="1">
        <f ca="1">IFERROR(__xludf.DUMMYFUNCTION("""COMPUTED_VALUE"""),419.78)</f>
        <v>419.78</v>
      </c>
      <c r="D728" s="1">
        <f ca="1">IFERROR(__xludf.DUMMYFUNCTION("""COMPUTED_VALUE"""),410.29)</f>
        <v>410.29</v>
      </c>
      <c r="E728" s="1">
        <f ca="1">IFERROR(__xludf.DUMMYFUNCTION("""COMPUTED_VALUE"""),412.87)</f>
        <v>412.87</v>
      </c>
      <c r="F728" s="1">
        <f ca="1">IFERROR(__xludf.DUMMYFUNCTION("""COMPUTED_VALUE"""),20780162)</f>
        <v>20780162</v>
      </c>
    </row>
    <row r="729" spans="1:6" ht="12.6">
      <c r="A729" s="2">
        <f ca="1">IFERROR(__xludf.DUMMYFUNCTION("""COMPUTED_VALUE"""),45618.6666666666)</f>
        <v>45618.666666666599</v>
      </c>
      <c r="B729" s="1">
        <f ca="1">IFERROR(__xludf.DUMMYFUNCTION("""COMPUTED_VALUE"""),411.37)</f>
        <v>411.37</v>
      </c>
      <c r="C729" s="1">
        <f ca="1">IFERROR(__xludf.DUMMYFUNCTION("""COMPUTED_VALUE"""),417.4)</f>
        <v>417.4</v>
      </c>
      <c r="D729" s="1">
        <f ca="1">IFERROR(__xludf.DUMMYFUNCTION("""COMPUTED_VALUE"""),411.06)</f>
        <v>411.06</v>
      </c>
      <c r="E729" s="1">
        <f ca="1">IFERROR(__xludf.DUMMYFUNCTION("""COMPUTED_VALUE"""),417)</f>
        <v>417</v>
      </c>
      <c r="F729" s="1">
        <f ca="1">IFERROR(__xludf.DUMMYFUNCTION("""COMPUTED_VALUE"""),24814626)</f>
        <v>24814626</v>
      </c>
    </row>
    <row r="730" spans="1:6" ht="12.6">
      <c r="A730" s="2">
        <f ca="1">IFERROR(__xludf.DUMMYFUNCTION("""COMPUTED_VALUE"""),45621.6666666666)</f>
        <v>45621.666666666599</v>
      </c>
      <c r="B730" s="1">
        <f ca="1">IFERROR(__xludf.DUMMYFUNCTION("""COMPUTED_VALUE"""),418.38)</f>
        <v>418.38</v>
      </c>
      <c r="C730" s="1">
        <f ca="1">IFERROR(__xludf.DUMMYFUNCTION("""COMPUTED_VALUE"""),421.08)</f>
        <v>421.08</v>
      </c>
      <c r="D730" s="1">
        <f ca="1">IFERROR(__xludf.DUMMYFUNCTION("""COMPUTED_VALUE"""),414.85)</f>
        <v>414.85</v>
      </c>
      <c r="E730" s="1">
        <f ca="1">IFERROR(__xludf.DUMMYFUNCTION("""COMPUTED_VALUE"""),418.79)</f>
        <v>418.79</v>
      </c>
      <c r="F730" s="1">
        <f ca="1">IFERROR(__xludf.DUMMYFUNCTION("""COMPUTED_VALUE"""),27691090)</f>
        <v>27691090</v>
      </c>
    </row>
    <row r="731" spans="1:6" ht="12.6">
      <c r="A731" s="2">
        <f ca="1">IFERROR(__xludf.DUMMYFUNCTION("""COMPUTED_VALUE"""),45622.6666666666)</f>
        <v>45622.666666666599</v>
      </c>
      <c r="B731" s="1">
        <f ca="1">IFERROR(__xludf.DUMMYFUNCTION("""COMPUTED_VALUE"""),419.59)</f>
        <v>419.59</v>
      </c>
      <c r="C731" s="1">
        <f ca="1">IFERROR(__xludf.DUMMYFUNCTION("""COMPUTED_VALUE"""),429.04)</f>
        <v>429.04</v>
      </c>
      <c r="D731" s="1">
        <f ca="1">IFERROR(__xludf.DUMMYFUNCTION("""COMPUTED_VALUE"""),418.85)</f>
        <v>418.85</v>
      </c>
      <c r="E731" s="1">
        <f ca="1">IFERROR(__xludf.DUMMYFUNCTION("""COMPUTED_VALUE"""),427.99)</f>
        <v>427.99</v>
      </c>
      <c r="F731" s="1">
        <f ca="1">IFERROR(__xludf.DUMMYFUNCTION("""COMPUTED_VALUE"""),23458889)</f>
        <v>23458889</v>
      </c>
    </row>
    <row r="732" spans="1:6" ht="12.6">
      <c r="A732" s="2">
        <f ca="1">IFERROR(__xludf.DUMMYFUNCTION("""COMPUTED_VALUE"""),45623.6666666666)</f>
        <v>45623.666666666599</v>
      </c>
      <c r="B732" s="1">
        <f ca="1">IFERROR(__xludf.DUMMYFUNCTION("""COMPUTED_VALUE"""),425.11)</f>
        <v>425.11</v>
      </c>
      <c r="C732" s="1">
        <f ca="1">IFERROR(__xludf.DUMMYFUNCTION("""COMPUTED_VALUE"""),427.23)</f>
        <v>427.23</v>
      </c>
      <c r="D732" s="1">
        <f ca="1">IFERROR(__xludf.DUMMYFUNCTION("""COMPUTED_VALUE"""),422.02)</f>
        <v>422.02</v>
      </c>
      <c r="E732" s="1">
        <f ca="1">IFERROR(__xludf.DUMMYFUNCTION("""COMPUTED_VALUE"""),422.99)</f>
        <v>422.99</v>
      </c>
      <c r="F732" s="1">
        <f ca="1">IFERROR(__xludf.DUMMYFUNCTION("""COMPUTED_VALUE"""),18332444)</f>
        <v>18332444</v>
      </c>
    </row>
    <row r="733" spans="1:6" ht="12.6">
      <c r="A733" s="2">
        <f ca="1">IFERROR(__xludf.DUMMYFUNCTION("""COMPUTED_VALUE"""),45625.5451388888)</f>
        <v>45625.545138888803</v>
      </c>
      <c r="B733" s="1">
        <f ca="1">IFERROR(__xludf.DUMMYFUNCTION("""COMPUTED_VALUE"""),420.09)</f>
        <v>420.09</v>
      </c>
      <c r="C733" s="1">
        <f ca="1">IFERROR(__xludf.DUMMYFUNCTION("""COMPUTED_VALUE"""),424.88)</f>
        <v>424.88</v>
      </c>
      <c r="D733" s="1">
        <f ca="1">IFERROR(__xludf.DUMMYFUNCTION("""COMPUTED_VALUE"""),417.8)</f>
        <v>417.8</v>
      </c>
      <c r="E733" s="1">
        <f ca="1">IFERROR(__xludf.DUMMYFUNCTION("""COMPUTED_VALUE"""),423.46)</f>
        <v>423.46</v>
      </c>
      <c r="F733" s="1">
        <f ca="1">IFERROR(__xludf.DUMMYFUNCTION("""COMPUTED_VALUE"""),16271921)</f>
        <v>16271921</v>
      </c>
    </row>
    <row r="734" spans="1:6" ht="12.6">
      <c r="A734" s="2">
        <f ca="1">IFERROR(__xludf.DUMMYFUNCTION("""COMPUTED_VALUE"""),45628.6666666666)</f>
        <v>45628.666666666599</v>
      </c>
      <c r="B734" s="1">
        <f ca="1">IFERROR(__xludf.DUMMYFUNCTION("""COMPUTED_VALUE"""),421.57)</f>
        <v>421.57</v>
      </c>
      <c r="C734" s="1">
        <f ca="1">IFERROR(__xludf.DUMMYFUNCTION("""COMPUTED_VALUE"""),433)</f>
        <v>433</v>
      </c>
      <c r="D734" s="1">
        <f ca="1">IFERROR(__xludf.DUMMYFUNCTION("""COMPUTED_VALUE"""),421.31)</f>
        <v>421.31</v>
      </c>
      <c r="E734" s="1">
        <f ca="1">IFERROR(__xludf.DUMMYFUNCTION("""COMPUTED_VALUE"""),430.98)</f>
        <v>430.98</v>
      </c>
      <c r="F734" s="1">
        <f ca="1">IFERROR(__xludf.DUMMYFUNCTION("""COMPUTED_VALUE"""),20207223)</f>
        <v>20207223</v>
      </c>
    </row>
    <row r="735" spans="1:6" ht="12.6">
      <c r="A735" s="2">
        <f ca="1">IFERROR(__xludf.DUMMYFUNCTION("""COMPUTED_VALUE"""),45629.6666666666)</f>
        <v>45629.666666666599</v>
      </c>
      <c r="B735" s="1">
        <f ca="1">IFERROR(__xludf.DUMMYFUNCTION("""COMPUTED_VALUE"""),429.84)</f>
        <v>429.84</v>
      </c>
      <c r="C735" s="1">
        <f ca="1">IFERROR(__xludf.DUMMYFUNCTION("""COMPUTED_VALUE"""),432.47)</f>
        <v>432.47</v>
      </c>
      <c r="D735" s="1">
        <f ca="1">IFERROR(__xludf.DUMMYFUNCTION("""COMPUTED_VALUE"""),427.74)</f>
        <v>427.74</v>
      </c>
      <c r="E735" s="1">
        <f ca="1">IFERROR(__xludf.DUMMYFUNCTION("""COMPUTED_VALUE"""),431.2)</f>
        <v>431.2</v>
      </c>
      <c r="F735" s="1">
        <f ca="1">IFERROR(__xludf.DUMMYFUNCTION("""COMPUTED_VALUE"""),18301987)</f>
        <v>18301987</v>
      </c>
    </row>
    <row r="736" spans="1:6" ht="12.6">
      <c r="A736" s="2">
        <f ca="1">IFERROR(__xludf.DUMMYFUNCTION("""COMPUTED_VALUE"""),45630.6666666666)</f>
        <v>45630.666666666599</v>
      </c>
      <c r="B736" s="1">
        <f ca="1">IFERROR(__xludf.DUMMYFUNCTION("""COMPUTED_VALUE"""),433.03)</f>
        <v>433.03</v>
      </c>
      <c r="C736" s="1">
        <f ca="1">IFERROR(__xludf.DUMMYFUNCTION("""COMPUTED_VALUE"""),439.67)</f>
        <v>439.67</v>
      </c>
      <c r="D736" s="1">
        <f ca="1">IFERROR(__xludf.DUMMYFUNCTION("""COMPUTED_VALUE"""),432.63)</f>
        <v>432.63</v>
      </c>
      <c r="E736" s="1">
        <f ca="1">IFERROR(__xludf.DUMMYFUNCTION("""COMPUTED_VALUE"""),437.42)</f>
        <v>437.42</v>
      </c>
      <c r="F736" s="1">
        <f ca="1">IFERROR(__xludf.DUMMYFUNCTION("""COMPUTED_VALUE"""),26009429)</f>
        <v>26009429</v>
      </c>
    </row>
    <row r="737" spans="1:6" ht="12.6">
      <c r="A737" s="2">
        <f ca="1">IFERROR(__xludf.DUMMYFUNCTION("""COMPUTED_VALUE"""),45631.6666666666)</f>
        <v>45631.666666666599</v>
      </c>
      <c r="B737" s="1">
        <f ca="1">IFERROR(__xludf.DUMMYFUNCTION("""COMPUTED_VALUE"""),437.92)</f>
        <v>437.92</v>
      </c>
      <c r="C737" s="1">
        <f ca="1">IFERROR(__xludf.DUMMYFUNCTION("""COMPUTED_VALUE"""),444.66)</f>
        <v>444.66</v>
      </c>
      <c r="D737" s="1">
        <f ca="1">IFERROR(__xludf.DUMMYFUNCTION("""COMPUTED_VALUE"""),436.17)</f>
        <v>436.17</v>
      </c>
      <c r="E737" s="1">
        <f ca="1">IFERROR(__xludf.DUMMYFUNCTION("""COMPUTED_VALUE"""),442.62)</f>
        <v>442.62</v>
      </c>
      <c r="F737" s="1">
        <f ca="1">IFERROR(__xludf.DUMMYFUNCTION("""COMPUTED_VALUE"""),21697775)</f>
        <v>21697775</v>
      </c>
    </row>
    <row r="738" spans="1:6" ht="12.6">
      <c r="A738" s="2">
        <f ca="1">IFERROR(__xludf.DUMMYFUNCTION("""COMPUTED_VALUE"""),45632.6666666666)</f>
        <v>45632.666666666599</v>
      </c>
      <c r="B738" s="1">
        <f ca="1">IFERROR(__xludf.DUMMYFUNCTION("""COMPUTED_VALUE"""),442.3)</f>
        <v>442.3</v>
      </c>
      <c r="C738" s="1">
        <f ca="1">IFERROR(__xludf.DUMMYFUNCTION("""COMPUTED_VALUE"""),446.1)</f>
        <v>446.1</v>
      </c>
      <c r="D738" s="1">
        <f ca="1">IFERROR(__xludf.DUMMYFUNCTION("""COMPUTED_VALUE"""),441.77)</f>
        <v>441.77</v>
      </c>
      <c r="E738" s="1">
        <f ca="1">IFERROR(__xludf.DUMMYFUNCTION("""COMPUTED_VALUE"""),443.57)</f>
        <v>443.57</v>
      </c>
      <c r="F738" s="1">
        <f ca="1">IFERROR(__xludf.DUMMYFUNCTION("""COMPUTED_VALUE"""),18821002)</f>
        <v>18821002</v>
      </c>
    </row>
    <row r="739" spans="1:6" ht="12.6">
      <c r="A739" s="2">
        <f ca="1">IFERROR(__xludf.DUMMYFUNCTION("""COMPUTED_VALUE"""),45635.6666666666)</f>
        <v>45635.666666666599</v>
      </c>
      <c r="B739" s="1">
        <f ca="1">IFERROR(__xludf.DUMMYFUNCTION("""COMPUTED_VALUE"""),442.6)</f>
        <v>442.6</v>
      </c>
      <c r="C739" s="1">
        <f ca="1">IFERROR(__xludf.DUMMYFUNCTION("""COMPUTED_VALUE"""),448.33)</f>
        <v>448.33</v>
      </c>
      <c r="D739" s="1">
        <f ca="1">IFERROR(__xludf.DUMMYFUNCTION("""COMPUTED_VALUE"""),440.5)</f>
        <v>440.5</v>
      </c>
      <c r="E739" s="1">
        <f ca="1">IFERROR(__xludf.DUMMYFUNCTION("""COMPUTED_VALUE"""),446.02)</f>
        <v>446.02</v>
      </c>
      <c r="F739" s="1">
        <f ca="1">IFERROR(__xludf.DUMMYFUNCTION("""COMPUTED_VALUE"""),19144388)</f>
        <v>19144388</v>
      </c>
    </row>
    <row r="740" spans="1:6" ht="12.6">
      <c r="A740" s="2">
        <f ca="1">IFERROR(__xludf.DUMMYFUNCTION("""COMPUTED_VALUE"""),45636.6666666666)</f>
        <v>45636.666666666599</v>
      </c>
      <c r="B740" s="1">
        <f ca="1">IFERROR(__xludf.DUMMYFUNCTION("""COMPUTED_VALUE"""),444.39)</f>
        <v>444.39</v>
      </c>
      <c r="C740" s="1">
        <f ca="1">IFERROR(__xludf.DUMMYFUNCTION("""COMPUTED_VALUE"""),449.62)</f>
        <v>449.62</v>
      </c>
      <c r="D740" s="1">
        <f ca="1">IFERROR(__xludf.DUMMYFUNCTION("""COMPUTED_VALUE"""),441.6)</f>
        <v>441.6</v>
      </c>
      <c r="E740" s="1">
        <f ca="1">IFERROR(__xludf.DUMMYFUNCTION("""COMPUTED_VALUE"""),443.33)</f>
        <v>443.33</v>
      </c>
      <c r="F740" s="1">
        <f ca="1">IFERROR(__xludf.DUMMYFUNCTION("""COMPUTED_VALUE"""),18469459)</f>
        <v>18469459</v>
      </c>
    </row>
    <row r="741" spans="1:6" ht="12.6">
      <c r="A741" s="2">
        <f ca="1">IFERROR(__xludf.DUMMYFUNCTION("""COMPUTED_VALUE"""),45637.6666666666)</f>
        <v>45637.666666666599</v>
      </c>
      <c r="B741" s="1">
        <f ca="1">IFERROR(__xludf.DUMMYFUNCTION("""COMPUTED_VALUE"""),444.05)</f>
        <v>444.05</v>
      </c>
      <c r="C741" s="1">
        <f ca="1">IFERROR(__xludf.DUMMYFUNCTION("""COMPUTED_VALUE"""),450.35)</f>
        <v>450.35</v>
      </c>
      <c r="D741" s="1">
        <f ca="1">IFERROR(__xludf.DUMMYFUNCTION("""COMPUTED_VALUE"""),444.05)</f>
        <v>444.05</v>
      </c>
      <c r="E741" s="1">
        <f ca="1">IFERROR(__xludf.DUMMYFUNCTION("""COMPUTED_VALUE"""),448.99)</f>
        <v>448.99</v>
      </c>
      <c r="F741" s="1">
        <f ca="1">IFERROR(__xludf.DUMMYFUNCTION("""COMPUTED_VALUE"""),19200208)</f>
        <v>19200208</v>
      </c>
    </row>
    <row r="742" spans="1:6" ht="12.6">
      <c r="A742" s="2">
        <f ca="1">IFERROR(__xludf.DUMMYFUNCTION("""COMPUTED_VALUE"""),45638.6666666666)</f>
        <v>45638.666666666599</v>
      </c>
      <c r="B742" s="1">
        <f ca="1">IFERROR(__xludf.DUMMYFUNCTION("""COMPUTED_VALUE"""),449.11)</f>
        <v>449.11</v>
      </c>
      <c r="C742" s="1">
        <f ca="1">IFERROR(__xludf.DUMMYFUNCTION("""COMPUTED_VALUE"""),456.16)</f>
        <v>456.16</v>
      </c>
      <c r="D742" s="1">
        <f ca="1">IFERROR(__xludf.DUMMYFUNCTION("""COMPUTED_VALUE"""),449.11)</f>
        <v>449.11</v>
      </c>
      <c r="E742" s="1">
        <f ca="1">IFERROR(__xludf.DUMMYFUNCTION("""COMPUTED_VALUE"""),449.56)</f>
        <v>449.56</v>
      </c>
      <c r="F742" s="1">
        <f ca="1">IFERROR(__xludf.DUMMYFUNCTION("""COMPUTED_VALUE"""),20834779)</f>
        <v>20834779</v>
      </c>
    </row>
    <row r="743" spans="1:6" ht="12.6">
      <c r="A743" s="2">
        <f ca="1">IFERROR(__xludf.DUMMYFUNCTION("""COMPUTED_VALUE"""),45639.6666666666)</f>
        <v>45639.666666666599</v>
      </c>
      <c r="B743" s="1">
        <f ca="1">IFERROR(__xludf.DUMMYFUNCTION("""COMPUTED_VALUE"""),448.44)</f>
        <v>448.44</v>
      </c>
      <c r="C743" s="1">
        <f ca="1">IFERROR(__xludf.DUMMYFUNCTION("""COMPUTED_VALUE"""),451.43)</f>
        <v>451.43</v>
      </c>
      <c r="D743" s="1">
        <f ca="1">IFERROR(__xludf.DUMMYFUNCTION("""COMPUTED_VALUE"""),445.58)</f>
        <v>445.58</v>
      </c>
      <c r="E743" s="1">
        <f ca="1">IFERROR(__xludf.DUMMYFUNCTION("""COMPUTED_VALUE"""),447.27)</f>
        <v>447.27</v>
      </c>
      <c r="F743" s="1">
        <f ca="1">IFERROR(__xludf.DUMMYFUNCTION("""COMPUTED_VALUE"""),20177833)</f>
        <v>20177833</v>
      </c>
    </row>
    <row r="744" spans="1:6" ht="12.6">
      <c r="A744" s="2">
        <f ca="1">IFERROR(__xludf.DUMMYFUNCTION("""COMPUTED_VALUE"""),45642.6666666666)</f>
        <v>45642.666666666599</v>
      </c>
      <c r="B744" s="1">
        <f ca="1">IFERROR(__xludf.DUMMYFUNCTION("""COMPUTED_VALUE"""),447.27)</f>
        <v>447.27</v>
      </c>
      <c r="C744" s="1">
        <f ca="1">IFERROR(__xludf.DUMMYFUNCTION("""COMPUTED_VALUE"""),452.18)</f>
        <v>452.18</v>
      </c>
      <c r="D744" s="1">
        <f ca="1">IFERROR(__xludf.DUMMYFUNCTION("""COMPUTED_VALUE"""),445.28)</f>
        <v>445.28</v>
      </c>
      <c r="E744" s="1">
        <f ca="1">IFERROR(__xludf.DUMMYFUNCTION("""COMPUTED_VALUE"""),451.59)</f>
        <v>451.59</v>
      </c>
      <c r="F744" s="1">
        <f ca="1">IFERROR(__xludf.DUMMYFUNCTION("""COMPUTED_VALUE"""),23598834)</f>
        <v>23598834</v>
      </c>
    </row>
    <row r="745" spans="1:6" ht="12.6">
      <c r="A745" s="2">
        <f ca="1">IFERROR(__xludf.DUMMYFUNCTION("""COMPUTED_VALUE"""),45643.6666666666)</f>
        <v>45643.666666666599</v>
      </c>
      <c r="B745" s="1">
        <f ca="1">IFERROR(__xludf.DUMMYFUNCTION("""COMPUTED_VALUE"""),451.01)</f>
        <v>451.01</v>
      </c>
      <c r="C745" s="1">
        <f ca="1">IFERROR(__xludf.DUMMYFUNCTION("""COMPUTED_VALUE"""),455.29)</f>
        <v>455.29</v>
      </c>
      <c r="D745" s="1">
        <f ca="1">IFERROR(__xludf.DUMMYFUNCTION("""COMPUTED_VALUE"""),449.57)</f>
        <v>449.57</v>
      </c>
      <c r="E745" s="1">
        <f ca="1">IFERROR(__xludf.DUMMYFUNCTION("""COMPUTED_VALUE"""),454.46)</f>
        <v>454.46</v>
      </c>
      <c r="F745" s="1">
        <f ca="1">IFERROR(__xludf.DUMMYFUNCTION("""COMPUTED_VALUE"""),22733494)</f>
        <v>22733494</v>
      </c>
    </row>
    <row r="746" spans="1:6" ht="12.6">
      <c r="A746" s="2">
        <f ca="1">IFERROR(__xludf.DUMMYFUNCTION("""COMPUTED_VALUE"""),45644.6666666666)</f>
        <v>45644.666666666599</v>
      </c>
      <c r="B746" s="1">
        <f ca="1">IFERROR(__xludf.DUMMYFUNCTION("""COMPUTED_VALUE"""),451.32)</f>
        <v>451.32</v>
      </c>
      <c r="C746" s="1">
        <f ca="1">IFERROR(__xludf.DUMMYFUNCTION("""COMPUTED_VALUE"""),452.65)</f>
        <v>452.65</v>
      </c>
      <c r="D746" s="1">
        <f ca="1">IFERROR(__xludf.DUMMYFUNCTION("""COMPUTED_VALUE"""),437.02)</f>
        <v>437.02</v>
      </c>
      <c r="E746" s="1">
        <f ca="1">IFERROR(__xludf.DUMMYFUNCTION("""COMPUTED_VALUE"""),437.39)</f>
        <v>437.39</v>
      </c>
      <c r="F746" s="1">
        <f ca="1">IFERROR(__xludf.DUMMYFUNCTION("""COMPUTED_VALUE"""),24444545)</f>
        <v>24444545</v>
      </c>
    </row>
    <row r="747" spans="1:6" ht="12.6">
      <c r="A747" s="2">
        <f ca="1">IFERROR(__xludf.DUMMYFUNCTION("""COMPUTED_VALUE"""),45645.6666666666)</f>
        <v>45645.666666666599</v>
      </c>
      <c r="B747" s="1">
        <f ca="1">IFERROR(__xludf.DUMMYFUNCTION("""COMPUTED_VALUE"""),441.62)</f>
        <v>441.62</v>
      </c>
      <c r="C747" s="1">
        <f ca="1">IFERROR(__xludf.DUMMYFUNCTION("""COMPUTED_VALUE"""),443.18)</f>
        <v>443.18</v>
      </c>
      <c r="D747" s="1">
        <f ca="1">IFERROR(__xludf.DUMMYFUNCTION("""COMPUTED_VALUE"""),436.32)</f>
        <v>436.32</v>
      </c>
      <c r="E747" s="1">
        <f ca="1">IFERROR(__xludf.DUMMYFUNCTION("""COMPUTED_VALUE"""),437.03)</f>
        <v>437.03</v>
      </c>
      <c r="F747" s="1">
        <f ca="1">IFERROR(__xludf.DUMMYFUNCTION("""COMPUTED_VALUE"""),22963681)</f>
        <v>22963681</v>
      </c>
    </row>
    <row r="748" spans="1:6" ht="12.6">
      <c r="A748" s="2">
        <f ca="1">IFERROR(__xludf.DUMMYFUNCTION("""COMPUTED_VALUE"""),45646.6666666666)</f>
        <v>45646.666666666599</v>
      </c>
      <c r="B748" s="1">
        <f ca="1">IFERROR(__xludf.DUMMYFUNCTION("""COMPUTED_VALUE"""),433.11)</f>
        <v>433.11</v>
      </c>
      <c r="C748" s="1">
        <f ca="1">IFERROR(__xludf.DUMMYFUNCTION("""COMPUTED_VALUE"""),443.74)</f>
        <v>443.74</v>
      </c>
      <c r="D748" s="1">
        <f ca="1">IFERROR(__xludf.DUMMYFUNCTION("""COMPUTED_VALUE"""),428.63)</f>
        <v>428.63</v>
      </c>
      <c r="E748" s="1">
        <f ca="1">IFERROR(__xludf.DUMMYFUNCTION("""COMPUTED_VALUE"""),436.6)</f>
        <v>436.6</v>
      </c>
      <c r="F748" s="1">
        <f ca="1">IFERROR(__xludf.DUMMYFUNCTION("""COMPUTED_VALUE"""),64263694)</f>
        <v>64263694</v>
      </c>
    </row>
    <row r="749" spans="1:6" ht="12.6">
      <c r="A749" s="2">
        <f ca="1">IFERROR(__xludf.DUMMYFUNCTION("""COMPUTED_VALUE"""),45649.6666666666)</f>
        <v>45649.666666666599</v>
      </c>
      <c r="B749" s="1">
        <f ca="1">IFERROR(__xludf.DUMMYFUNCTION("""COMPUTED_VALUE"""),436.74)</f>
        <v>436.74</v>
      </c>
      <c r="C749" s="1">
        <f ca="1">IFERROR(__xludf.DUMMYFUNCTION("""COMPUTED_VALUE"""),437.65)</f>
        <v>437.65</v>
      </c>
      <c r="D749" s="1">
        <f ca="1">IFERROR(__xludf.DUMMYFUNCTION("""COMPUTED_VALUE"""),432.83)</f>
        <v>432.83</v>
      </c>
      <c r="E749" s="1">
        <f ca="1">IFERROR(__xludf.DUMMYFUNCTION("""COMPUTED_VALUE"""),435.25)</f>
        <v>435.25</v>
      </c>
      <c r="F749" s="1">
        <f ca="1">IFERROR(__xludf.DUMMYFUNCTION("""COMPUTED_VALUE"""),19152519)</f>
        <v>19152519</v>
      </c>
    </row>
    <row r="750" spans="1:6" ht="12.6">
      <c r="A750" s="2">
        <f ca="1">IFERROR(__xludf.DUMMYFUNCTION("""COMPUTED_VALUE"""),45650.5451388888)</f>
        <v>45650.545138888803</v>
      </c>
      <c r="B750" s="1">
        <f ca="1">IFERROR(__xludf.DUMMYFUNCTION("""COMPUTED_VALUE"""),434.65)</f>
        <v>434.65</v>
      </c>
      <c r="C750" s="1">
        <f ca="1">IFERROR(__xludf.DUMMYFUNCTION("""COMPUTED_VALUE"""),439.6)</f>
        <v>439.6</v>
      </c>
      <c r="D750" s="1">
        <f ca="1">IFERROR(__xludf.DUMMYFUNCTION("""COMPUTED_VALUE"""),434.19)</f>
        <v>434.19</v>
      </c>
      <c r="E750" s="1">
        <f ca="1">IFERROR(__xludf.DUMMYFUNCTION("""COMPUTED_VALUE"""),439.33)</f>
        <v>439.33</v>
      </c>
      <c r="F750" s="1">
        <f ca="1">IFERROR(__xludf.DUMMYFUNCTION("""COMPUTED_VALUE"""),7164543)</f>
        <v>7164543</v>
      </c>
    </row>
    <row r="751" spans="1:6" ht="12.6">
      <c r="A751" s="2">
        <f ca="1">IFERROR(__xludf.DUMMYFUNCTION("""COMPUTED_VALUE"""),45652.6666666666)</f>
        <v>45652.666666666599</v>
      </c>
      <c r="B751" s="1">
        <f ca="1">IFERROR(__xludf.DUMMYFUNCTION("""COMPUTED_VALUE"""),439.08)</f>
        <v>439.08</v>
      </c>
      <c r="C751" s="1">
        <f ca="1">IFERROR(__xludf.DUMMYFUNCTION("""COMPUTED_VALUE"""),440.94)</f>
        <v>440.94</v>
      </c>
      <c r="D751" s="1">
        <f ca="1">IFERROR(__xludf.DUMMYFUNCTION("""COMPUTED_VALUE"""),436.63)</f>
        <v>436.63</v>
      </c>
      <c r="E751" s="1">
        <f ca="1">IFERROR(__xludf.DUMMYFUNCTION("""COMPUTED_VALUE"""),438.11)</f>
        <v>438.11</v>
      </c>
      <c r="F751" s="1">
        <f ca="1">IFERROR(__xludf.DUMMYFUNCTION("""COMPUTED_VALUE"""),8199927)</f>
        <v>8199927</v>
      </c>
    </row>
    <row r="752" spans="1:6" ht="12.6">
      <c r="A752" s="2">
        <f ca="1">IFERROR(__xludf.DUMMYFUNCTION("""COMPUTED_VALUE"""),45653.6666666666)</f>
        <v>45653.666666666599</v>
      </c>
      <c r="B752" s="1">
        <f ca="1">IFERROR(__xludf.DUMMYFUNCTION("""COMPUTED_VALUE"""),434.6)</f>
        <v>434.6</v>
      </c>
      <c r="C752" s="1">
        <f ca="1">IFERROR(__xludf.DUMMYFUNCTION("""COMPUTED_VALUE"""),435.22)</f>
        <v>435.22</v>
      </c>
      <c r="D752" s="1">
        <f ca="1">IFERROR(__xludf.DUMMYFUNCTION("""COMPUTED_VALUE"""),426.35)</f>
        <v>426.35</v>
      </c>
      <c r="E752" s="1">
        <f ca="1">IFERROR(__xludf.DUMMYFUNCTION("""COMPUTED_VALUE"""),430.53)</f>
        <v>430.53</v>
      </c>
      <c r="F752" s="1">
        <f ca="1">IFERROR(__xludf.DUMMYFUNCTION("""COMPUTED_VALUE"""),18117713)</f>
        <v>18117713</v>
      </c>
    </row>
    <row r="753" spans="1:6" ht="12.6">
      <c r="A753" s="2">
        <f ca="1">IFERROR(__xludf.DUMMYFUNCTION("""COMPUTED_VALUE"""),45656.6666666666)</f>
        <v>45656.666666666599</v>
      </c>
      <c r="B753" s="1">
        <f ca="1">IFERROR(__xludf.DUMMYFUNCTION("""COMPUTED_VALUE"""),426.06)</f>
        <v>426.06</v>
      </c>
      <c r="C753" s="1">
        <f ca="1">IFERROR(__xludf.DUMMYFUNCTION("""COMPUTED_VALUE"""),427.55)</f>
        <v>427.55</v>
      </c>
      <c r="D753" s="1">
        <f ca="1">IFERROR(__xludf.DUMMYFUNCTION("""COMPUTED_VALUE"""),421.9)</f>
        <v>421.9</v>
      </c>
      <c r="E753" s="1">
        <f ca="1">IFERROR(__xludf.DUMMYFUNCTION("""COMPUTED_VALUE"""),424.83)</f>
        <v>424.83</v>
      </c>
      <c r="F753" s="1">
        <f ca="1">IFERROR(__xludf.DUMMYFUNCTION("""COMPUTED_VALUE"""),13158703)</f>
        <v>13158703</v>
      </c>
    </row>
    <row r="754" spans="1:6" ht="12.6">
      <c r="A754" s="2">
        <f ca="1">IFERROR(__xludf.DUMMYFUNCTION("""COMPUTED_VALUE"""),45657.6666666666)</f>
        <v>45657.666666666599</v>
      </c>
      <c r="B754" s="1">
        <f ca="1">IFERROR(__xludf.DUMMYFUNCTION("""COMPUTED_VALUE"""),426.1)</f>
        <v>426.1</v>
      </c>
      <c r="C754" s="1">
        <f ca="1">IFERROR(__xludf.DUMMYFUNCTION("""COMPUTED_VALUE"""),426.73)</f>
        <v>426.73</v>
      </c>
      <c r="D754" s="1">
        <f ca="1">IFERROR(__xludf.DUMMYFUNCTION("""COMPUTED_VALUE"""),420.66)</f>
        <v>420.66</v>
      </c>
      <c r="E754" s="1">
        <f ca="1">IFERROR(__xludf.DUMMYFUNCTION("""COMPUTED_VALUE"""),421.5)</f>
        <v>421.5</v>
      </c>
      <c r="F754" s="1">
        <f ca="1">IFERROR(__xludf.DUMMYFUNCTION("""COMPUTED_VALUE"""),13246509)</f>
        <v>13246509</v>
      </c>
    </row>
    <row r="755" spans="1:6" ht="12.6">
      <c r="A755" s="2">
        <f ca="1">IFERROR(__xludf.DUMMYFUNCTION("""COMPUTED_VALUE"""),45659.6666666666)</f>
        <v>45659.666666666599</v>
      </c>
      <c r="B755" s="1">
        <f ca="1">IFERROR(__xludf.DUMMYFUNCTION("""COMPUTED_VALUE"""),425.53)</f>
        <v>425.53</v>
      </c>
      <c r="C755" s="1">
        <f ca="1">IFERROR(__xludf.DUMMYFUNCTION("""COMPUTED_VALUE"""),426.07)</f>
        <v>426.07</v>
      </c>
      <c r="D755" s="1">
        <f ca="1">IFERROR(__xludf.DUMMYFUNCTION("""COMPUTED_VALUE"""),414.85)</f>
        <v>414.85</v>
      </c>
      <c r="E755" s="1">
        <f ca="1">IFERROR(__xludf.DUMMYFUNCTION("""COMPUTED_VALUE"""),418.58)</f>
        <v>418.58</v>
      </c>
      <c r="F755" s="1">
        <f ca="1">IFERROR(__xludf.DUMMYFUNCTION("""COMPUTED_VALUE"""),16896469)</f>
        <v>16896469</v>
      </c>
    </row>
    <row r="756" spans="1:6" ht="12.6">
      <c r="A756" s="2">
        <f ca="1">IFERROR(__xludf.DUMMYFUNCTION("""COMPUTED_VALUE"""),45660.6666666666)</f>
        <v>45660.666666666599</v>
      </c>
      <c r="B756" s="1">
        <f ca="1">IFERROR(__xludf.DUMMYFUNCTION("""COMPUTED_VALUE"""),421.08)</f>
        <v>421.08</v>
      </c>
      <c r="C756" s="1">
        <f ca="1">IFERROR(__xludf.DUMMYFUNCTION("""COMPUTED_VALUE"""),424.03)</f>
        <v>424.03</v>
      </c>
      <c r="D756" s="1">
        <f ca="1">IFERROR(__xludf.DUMMYFUNCTION("""COMPUTED_VALUE"""),419.54)</f>
        <v>419.54</v>
      </c>
      <c r="E756" s="1">
        <f ca="1">IFERROR(__xludf.DUMMYFUNCTION("""COMPUTED_VALUE"""),423.35)</f>
        <v>423.35</v>
      </c>
      <c r="F756" s="1">
        <f ca="1">IFERROR(__xludf.DUMMYFUNCTION("""COMPUTED_VALUE"""),16662943)</f>
        <v>16662943</v>
      </c>
    </row>
    <row r="757" spans="1:6" ht="12.6">
      <c r="A757" s="2">
        <f ca="1">IFERROR(__xludf.DUMMYFUNCTION("""COMPUTED_VALUE"""),45663.6666666666)</f>
        <v>45663.666666666599</v>
      </c>
      <c r="B757" s="1">
        <f ca="1">IFERROR(__xludf.DUMMYFUNCTION("""COMPUTED_VALUE"""),428)</f>
        <v>428</v>
      </c>
      <c r="C757" s="1">
        <f ca="1">IFERROR(__xludf.DUMMYFUNCTION("""COMPUTED_VALUE"""),434.32)</f>
        <v>434.32</v>
      </c>
      <c r="D757" s="1">
        <f ca="1">IFERROR(__xludf.DUMMYFUNCTION("""COMPUTED_VALUE"""),425.48)</f>
        <v>425.48</v>
      </c>
      <c r="E757" s="1">
        <f ca="1">IFERROR(__xludf.DUMMYFUNCTION("""COMPUTED_VALUE"""),427.85)</f>
        <v>427.85</v>
      </c>
      <c r="F757" s="1">
        <f ca="1">IFERROR(__xludf.DUMMYFUNCTION("""COMPUTED_VALUE"""),20573648)</f>
        <v>20573648</v>
      </c>
    </row>
    <row r="758" spans="1:6" ht="12.6">
      <c r="A758" s="2">
        <f ca="1">IFERROR(__xludf.DUMMYFUNCTION("""COMPUTED_VALUE"""),45664.6666666666)</f>
        <v>45664.666666666599</v>
      </c>
      <c r="B758" s="1">
        <f ca="1">IFERROR(__xludf.DUMMYFUNCTION("""COMPUTED_VALUE"""),429)</f>
        <v>429</v>
      </c>
      <c r="C758" s="1">
        <f ca="1">IFERROR(__xludf.DUMMYFUNCTION("""COMPUTED_VALUE"""),430.65)</f>
        <v>430.65</v>
      </c>
      <c r="D758" s="1">
        <f ca="1">IFERROR(__xludf.DUMMYFUNCTION("""COMPUTED_VALUE"""),420.8)</f>
        <v>420.8</v>
      </c>
      <c r="E758" s="1">
        <f ca="1">IFERROR(__xludf.DUMMYFUNCTION("""COMPUTED_VALUE"""),422.37)</f>
        <v>422.37</v>
      </c>
      <c r="F758" s="1">
        <f ca="1">IFERROR(__xludf.DUMMYFUNCTION("""COMPUTED_VALUE"""),18139065)</f>
        <v>18139065</v>
      </c>
    </row>
    <row r="759" spans="1:6" ht="12.6">
      <c r="A759" s="2">
        <f ca="1">IFERROR(__xludf.DUMMYFUNCTION("""COMPUTED_VALUE"""),45665.6666666666)</f>
        <v>45665.666666666599</v>
      </c>
      <c r="B759" s="1">
        <f ca="1">IFERROR(__xludf.DUMMYFUNCTION("""COMPUTED_VALUE"""),423.46)</f>
        <v>423.46</v>
      </c>
      <c r="C759" s="1">
        <f ca="1">IFERROR(__xludf.DUMMYFUNCTION("""COMPUTED_VALUE"""),426.97)</f>
        <v>426.97</v>
      </c>
      <c r="D759" s="1">
        <f ca="1">IFERROR(__xludf.DUMMYFUNCTION("""COMPUTED_VALUE"""),421.54)</f>
        <v>421.54</v>
      </c>
      <c r="E759" s="1">
        <f ca="1">IFERROR(__xludf.DUMMYFUNCTION("""COMPUTED_VALUE"""),424.56)</f>
        <v>424.56</v>
      </c>
      <c r="F759" s="1">
        <f ca="1">IFERROR(__xludf.DUMMYFUNCTION("""COMPUTED_VALUE"""),15054575)</f>
        <v>15054575</v>
      </c>
    </row>
    <row r="760" spans="1:6" ht="12.6">
      <c r="A760" s="2">
        <f ca="1">IFERROR(__xludf.DUMMYFUNCTION("""COMPUTED_VALUE"""),45667.6666666666)</f>
        <v>45667.666666666599</v>
      </c>
      <c r="B760" s="1">
        <f ca="1">IFERROR(__xludf.DUMMYFUNCTION("""COMPUTED_VALUE"""),424.63)</f>
        <v>424.63</v>
      </c>
      <c r="C760" s="1">
        <f ca="1">IFERROR(__xludf.DUMMYFUNCTION("""COMPUTED_VALUE"""),424.71)</f>
        <v>424.71</v>
      </c>
      <c r="D760" s="1">
        <f ca="1">IFERROR(__xludf.DUMMYFUNCTION("""COMPUTED_VALUE"""),415.02)</f>
        <v>415.02</v>
      </c>
      <c r="E760" s="1">
        <f ca="1">IFERROR(__xludf.DUMMYFUNCTION("""COMPUTED_VALUE"""),418.95)</f>
        <v>418.95</v>
      </c>
      <c r="F760" s="1">
        <f ca="1">IFERROR(__xludf.DUMMYFUNCTION("""COMPUTED_VALUE"""),20201132)</f>
        <v>20201132</v>
      </c>
    </row>
    <row r="761" spans="1:6" ht="12.6">
      <c r="A761" s="2">
        <f ca="1">IFERROR(__xludf.DUMMYFUNCTION("""COMPUTED_VALUE"""),45670.6666666666)</f>
        <v>45670.666666666599</v>
      </c>
      <c r="B761" s="1">
        <f ca="1">IFERROR(__xludf.DUMMYFUNCTION("""COMPUTED_VALUE"""),415.24)</f>
        <v>415.24</v>
      </c>
      <c r="C761" s="1">
        <f ca="1">IFERROR(__xludf.DUMMYFUNCTION("""COMPUTED_VALUE"""),418.5)</f>
        <v>418.5</v>
      </c>
      <c r="D761" s="1">
        <f ca="1">IFERROR(__xludf.DUMMYFUNCTION("""COMPUTED_VALUE"""),412.29)</f>
        <v>412.29</v>
      </c>
      <c r="E761" s="1">
        <f ca="1">IFERROR(__xludf.DUMMYFUNCTION("""COMPUTED_VALUE"""),417.19)</f>
        <v>417.19</v>
      </c>
      <c r="F761" s="1">
        <f ca="1">IFERROR(__xludf.DUMMYFUNCTION("""COMPUTED_VALUE"""),17604780)</f>
        <v>17604780</v>
      </c>
    </row>
    <row r="762" spans="1:6" ht="12.6">
      <c r="A762" s="2">
        <f ca="1">IFERROR(__xludf.DUMMYFUNCTION("""COMPUTED_VALUE"""),45671.6666666666)</f>
        <v>45671.666666666599</v>
      </c>
      <c r="B762" s="1">
        <f ca="1">IFERROR(__xludf.DUMMYFUNCTION("""COMPUTED_VALUE"""),417.81)</f>
        <v>417.81</v>
      </c>
      <c r="C762" s="1">
        <f ca="1">IFERROR(__xludf.DUMMYFUNCTION("""COMPUTED_VALUE"""),419.74)</f>
        <v>419.74</v>
      </c>
      <c r="D762" s="1">
        <f ca="1">IFERROR(__xludf.DUMMYFUNCTION("""COMPUTED_VALUE"""),410.72)</f>
        <v>410.72</v>
      </c>
      <c r="E762" s="1">
        <f ca="1">IFERROR(__xludf.DUMMYFUNCTION("""COMPUTED_VALUE"""),415.67)</f>
        <v>415.67</v>
      </c>
      <c r="F762" s="1">
        <f ca="1">IFERROR(__xludf.DUMMYFUNCTION("""COMPUTED_VALUE"""),16935856)</f>
        <v>16935856</v>
      </c>
    </row>
    <row r="763" spans="1:6" ht="12.6">
      <c r="A763" s="2">
        <f ca="1">IFERROR(__xludf.DUMMYFUNCTION("""COMPUTED_VALUE"""),45672.6666666666)</f>
        <v>45672.666666666599</v>
      </c>
      <c r="B763" s="1">
        <f ca="1">IFERROR(__xludf.DUMMYFUNCTION("""COMPUTED_VALUE"""),419.13)</f>
        <v>419.13</v>
      </c>
      <c r="C763" s="1">
        <f ca="1">IFERROR(__xludf.DUMMYFUNCTION("""COMPUTED_VALUE"""),428.15)</f>
        <v>428.15</v>
      </c>
      <c r="D763" s="1">
        <f ca="1">IFERROR(__xludf.DUMMYFUNCTION("""COMPUTED_VALUE"""),418.27)</f>
        <v>418.27</v>
      </c>
      <c r="E763" s="1">
        <f ca="1">IFERROR(__xludf.DUMMYFUNCTION("""COMPUTED_VALUE"""),426.31)</f>
        <v>426.31</v>
      </c>
      <c r="F763" s="1">
        <f ca="1">IFERROR(__xludf.DUMMYFUNCTION("""COMPUTED_VALUE"""),19637838)</f>
        <v>19637838</v>
      </c>
    </row>
    <row r="764" spans="1:6" ht="12.6">
      <c r="A764" s="2">
        <f ca="1">IFERROR(__xludf.DUMMYFUNCTION("""COMPUTED_VALUE"""),45673.6666666666)</f>
        <v>45673.666666666599</v>
      </c>
      <c r="B764" s="1">
        <f ca="1">IFERROR(__xludf.DUMMYFUNCTION("""COMPUTED_VALUE"""),428.7)</f>
        <v>428.7</v>
      </c>
      <c r="C764" s="1">
        <f ca="1">IFERROR(__xludf.DUMMYFUNCTION("""COMPUTED_VALUE"""),429.49)</f>
        <v>429.49</v>
      </c>
      <c r="D764" s="1">
        <f ca="1">IFERROR(__xludf.DUMMYFUNCTION("""COMPUTED_VALUE"""),424.39)</f>
        <v>424.39</v>
      </c>
      <c r="E764" s="1">
        <f ca="1">IFERROR(__xludf.DUMMYFUNCTION("""COMPUTED_VALUE"""),424.58)</f>
        <v>424.58</v>
      </c>
      <c r="F764" s="1">
        <f ca="1">IFERROR(__xludf.DUMMYFUNCTION("""COMPUTED_VALUE"""),15300023)</f>
        <v>15300023</v>
      </c>
    </row>
    <row r="765" spans="1:6" ht="12.6">
      <c r="A765" s="2">
        <f ca="1">IFERROR(__xludf.DUMMYFUNCTION("""COMPUTED_VALUE"""),45674.6666666666)</f>
        <v>45674.666666666599</v>
      </c>
      <c r="B765" s="1">
        <f ca="1">IFERROR(__xludf.DUMMYFUNCTION("""COMPUTED_VALUE"""),434.09)</f>
        <v>434.09</v>
      </c>
      <c r="C765" s="1">
        <f ca="1">IFERROR(__xludf.DUMMYFUNCTION("""COMPUTED_VALUE"""),434.48)</f>
        <v>434.48</v>
      </c>
      <c r="D765" s="1">
        <f ca="1">IFERROR(__xludf.DUMMYFUNCTION("""COMPUTED_VALUE"""),428.17)</f>
        <v>428.17</v>
      </c>
      <c r="E765" s="1">
        <f ca="1">IFERROR(__xludf.DUMMYFUNCTION("""COMPUTED_VALUE"""),429.03)</f>
        <v>429.03</v>
      </c>
      <c r="F765" s="1">
        <f ca="1">IFERROR(__xludf.DUMMYFUNCTION("""COMPUTED_VALUE"""),26197507)</f>
        <v>26197507</v>
      </c>
    </row>
    <row r="766" spans="1:6" ht="12.6">
      <c r="A766" s="2">
        <f ca="1">IFERROR(__xludf.DUMMYFUNCTION("""COMPUTED_VALUE"""),45678.6666666666)</f>
        <v>45678.666666666599</v>
      </c>
      <c r="B766" s="1">
        <f ca="1">IFERROR(__xludf.DUMMYFUNCTION("""COMPUTED_VALUE"""),430.2)</f>
        <v>430.2</v>
      </c>
      <c r="C766" s="1">
        <f ca="1">IFERROR(__xludf.DUMMYFUNCTION("""COMPUTED_VALUE"""),430.9)</f>
        <v>430.9</v>
      </c>
      <c r="D766" s="1">
        <f ca="1">IFERROR(__xludf.DUMMYFUNCTION("""COMPUTED_VALUE"""),425.6)</f>
        <v>425.6</v>
      </c>
      <c r="E766" s="1">
        <f ca="1">IFERROR(__xludf.DUMMYFUNCTION("""COMPUTED_VALUE"""),428.5)</f>
        <v>428.5</v>
      </c>
      <c r="F766" s="1">
        <f ca="1">IFERROR(__xludf.DUMMYFUNCTION("""COMPUTED_VALUE"""),26085703)</f>
        <v>26085703</v>
      </c>
    </row>
    <row r="767" spans="1:6" ht="12.6">
      <c r="A767" s="2">
        <f ca="1">IFERROR(__xludf.DUMMYFUNCTION("""COMPUTED_VALUE"""),45679.6666666666)</f>
        <v>45679.666666666599</v>
      </c>
      <c r="B767" s="1">
        <f ca="1">IFERROR(__xludf.DUMMYFUNCTION("""COMPUTED_VALUE"""),437.56)</f>
        <v>437.56</v>
      </c>
      <c r="C767" s="1">
        <f ca="1">IFERROR(__xludf.DUMMYFUNCTION("""COMPUTED_VALUE"""),447.27)</f>
        <v>447.27</v>
      </c>
      <c r="D767" s="1">
        <f ca="1">IFERROR(__xludf.DUMMYFUNCTION("""COMPUTED_VALUE"""),436)</f>
        <v>436</v>
      </c>
      <c r="E767" s="1">
        <f ca="1">IFERROR(__xludf.DUMMYFUNCTION("""COMPUTED_VALUE"""),446.2)</f>
        <v>446.2</v>
      </c>
      <c r="F767" s="1">
        <f ca="1">IFERROR(__xludf.DUMMYFUNCTION("""COMPUTED_VALUE"""),27803811)</f>
        <v>27803811</v>
      </c>
    </row>
    <row r="768" spans="1:6" ht="12.6">
      <c r="A768" s="2">
        <f ca="1">IFERROR(__xludf.DUMMYFUNCTION("""COMPUTED_VALUE"""),45680.6666666666)</f>
        <v>45680.666666666599</v>
      </c>
      <c r="B768" s="1">
        <f ca="1">IFERROR(__xludf.DUMMYFUNCTION("""COMPUTED_VALUE"""),442)</f>
        <v>442</v>
      </c>
      <c r="C768" s="1">
        <f ca="1">IFERROR(__xludf.DUMMYFUNCTION("""COMPUTED_VALUE"""),446.75)</f>
        <v>446.75</v>
      </c>
      <c r="D768" s="1">
        <f ca="1">IFERROR(__xludf.DUMMYFUNCTION("""COMPUTED_VALUE"""),441.5)</f>
        <v>441.5</v>
      </c>
      <c r="E768" s="1">
        <f ca="1">IFERROR(__xludf.DUMMYFUNCTION("""COMPUTED_VALUE"""),446.71)</f>
        <v>446.71</v>
      </c>
      <c r="F768" s="1">
        <f ca="1">IFERROR(__xludf.DUMMYFUNCTION("""COMPUTED_VALUE"""),18389270)</f>
        <v>18389270</v>
      </c>
    </row>
    <row r="769" spans="1:6" ht="12.6">
      <c r="A769" s="2">
        <f ca="1">IFERROR(__xludf.DUMMYFUNCTION("""COMPUTED_VALUE"""),45681.6666666666)</f>
        <v>45681.666666666599</v>
      </c>
      <c r="B769" s="1">
        <f ca="1">IFERROR(__xludf.DUMMYFUNCTION("""COMPUTED_VALUE"""),445.16)</f>
        <v>445.16</v>
      </c>
      <c r="C769" s="1">
        <f ca="1">IFERROR(__xludf.DUMMYFUNCTION("""COMPUTED_VALUE"""),446.65)</f>
        <v>446.65</v>
      </c>
      <c r="D769" s="1">
        <f ca="1">IFERROR(__xludf.DUMMYFUNCTION("""COMPUTED_VALUE"""),441.4)</f>
        <v>441.4</v>
      </c>
      <c r="E769" s="1">
        <f ca="1">IFERROR(__xludf.DUMMYFUNCTION("""COMPUTED_VALUE"""),444.06)</f>
        <v>444.06</v>
      </c>
      <c r="F769" s="1">
        <f ca="1">IFERROR(__xludf.DUMMYFUNCTION("""COMPUTED_VALUE"""),15549453)</f>
        <v>15549453</v>
      </c>
    </row>
    <row r="770" spans="1:6" ht="12.6">
      <c r="A770" s="2">
        <f ca="1">IFERROR(__xludf.DUMMYFUNCTION("""COMPUTED_VALUE"""),45684.6666666666)</f>
        <v>45684.666666666599</v>
      </c>
      <c r="B770" s="1">
        <f ca="1">IFERROR(__xludf.DUMMYFUNCTION("""COMPUTED_VALUE"""),424.01)</f>
        <v>424.01</v>
      </c>
      <c r="C770" s="1">
        <f ca="1">IFERROR(__xludf.DUMMYFUNCTION("""COMPUTED_VALUE"""),435.2)</f>
        <v>435.2</v>
      </c>
      <c r="D770" s="1">
        <f ca="1">IFERROR(__xludf.DUMMYFUNCTION("""COMPUTED_VALUE"""),423.5)</f>
        <v>423.5</v>
      </c>
      <c r="E770" s="1">
        <f ca="1">IFERROR(__xludf.DUMMYFUNCTION("""COMPUTED_VALUE"""),434.56)</f>
        <v>434.56</v>
      </c>
      <c r="F770" s="1">
        <f ca="1">IFERROR(__xludf.DUMMYFUNCTION("""COMPUTED_VALUE"""),35647805)</f>
        <v>35647805</v>
      </c>
    </row>
    <row r="771" spans="1:6" ht="12.6">
      <c r="A771" s="2">
        <f ca="1">IFERROR(__xludf.DUMMYFUNCTION("""COMPUTED_VALUE"""),45685.6666666666)</f>
        <v>45685.666666666599</v>
      </c>
      <c r="B771" s="1">
        <f ca="1">IFERROR(__xludf.DUMMYFUNCTION("""COMPUTED_VALUE"""),434.6)</f>
        <v>434.6</v>
      </c>
      <c r="C771" s="1">
        <f ca="1">IFERROR(__xludf.DUMMYFUNCTION("""COMPUTED_VALUE"""),448.38)</f>
        <v>448.38</v>
      </c>
      <c r="D771" s="1">
        <f ca="1">IFERROR(__xludf.DUMMYFUNCTION("""COMPUTED_VALUE"""),431.38)</f>
        <v>431.38</v>
      </c>
      <c r="E771" s="1">
        <f ca="1">IFERROR(__xludf.DUMMYFUNCTION("""COMPUTED_VALUE"""),447.2)</f>
        <v>447.2</v>
      </c>
      <c r="F771" s="1">
        <f ca="1">IFERROR(__xludf.DUMMYFUNCTION("""COMPUTED_VALUE"""),23491703)</f>
        <v>23491703</v>
      </c>
    </row>
    <row r="772" spans="1:6" ht="12.6">
      <c r="A772" s="2">
        <f ca="1">IFERROR(__xludf.DUMMYFUNCTION("""COMPUTED_VALUE"""),45686.6666666666)</f>
        <v>45686.666666666599</v>
      </c>
      <c r="B772" s="1">
        <f ca="1">IFERROR(__xludf.DUMMYFUNCTION("""COMPUTED_VALUE"""),446.69)</f>
        <v>446.69</v>
      </c>
      <c r="C772" s="1">
        <f ca="1">IFERROR(__xludf.DUMMYFUNCTION("""COMPUTED_VALUE"""),446.88)</f>
        <v>446.88</v>
      </c>
      <c r="D772" s="1">
        <f ca="1">IFERROR(__xludf.DUMMYFUNCTION("""COMPUTED_VALUE"""),440.4)</f>
        <v>440.4</v>
      </c>
      <c r="E772" s="1">
        <f ca="1">IFERROR(__xludf.DUMMYFUNCTION("""COMPUTED_VALUE"""),442.33)</f>
        <v>442.33</v>
      </c>
      <c r="F772" s="1">
        <f ca="1">IFERROR(__xludf.DUMMYFUNCTION("""COMPUTED_VALUE"""),23581370)</f>
        <v>23581370</v>
      </c>
    </row>
    <row r="773" spans="1:6" ht="12.6">
      <c r="A773" s="2">
        <f ca="1">IFERROR(__xludf.DUMMYFUNCTION("""COMPUTED_VALUE"""),45687.6666666666)</f>
        <v>45687.666666666599</v>
      </c>
      <c r="B773" s="1">
        <f ca="1">IFERROR(__xludf.DUMMYFUNCTION("""COMPUTED_VALUE"""),418.77)</f>
        <v>418.77</v>
      </c>
      <c r="C773" s="1">
        <f ca="1">IFERROR(__xludf.DUMMYFUNCTION("""COMPUTED_VALUE"""),422.86)</f>
        <v>422.86</v>
      </c>
      <c r="D773" s="1">
        <f ca="1">IFERROR(__xludf.DUMMYFUNCTION("""COMPUTED_VALUE"""),413.16)</f>
        <v>413.16</v>
      </c>
      <c r="E773" s="1">
        <f ca="1">IFERROR(__xludf.DUMMYFUNCTION("""COMPUTED_VALUE"""),414.99)</f>
        <v>414.99</v>
      </c>
      <c r="F773" s="1">
        <f ca="1">IFERROR(__xludf.DUMMYFUNCTION("""COMPUTED_VALUE"""),54586260)</f>
        <v>54586260</v>
      </c>
    </row>
    <row r="774" spans="1:6" ht="12.6">
      <c r="A774" s="2">
        <f ca="1">IFERROR(__xludf.DUMMYFUNCTION("""COMPUTED_VALUE"""),45688.6666666666)</f>
        <v>45688.666666666599</v>
      </c>
      <c r="B774" s="1">
        <f ca="1">IFERROR(__xludf.DUMMYFUNCTION("""COMPUTED_VALUE"""),418.98)</f>
        <v>418.98</v>
      </c>
      <c r="C774" s="1">
        <f ca="1">IFERROR(__xludf.DUMMYFUNCTION("""COMPUTED_VALUE"""),420.69)</f>
        <v>420.69</v>
      </c>
      <c r="D774" s="1">
        <f ca="1">IFERROR(__xludf.DUMMYFUNCTION("""COMPUTED_VALUE"""),414.91)</f>
        <v>414.91</v>
      </c>
      <c r="E774" s="1">
        <f ca="1">IFERROR(__xludf.DUMMYFUNCTION("""COMPUTED_VALUE"""),415.06)</f>
        <v>415.06</v>
      </c>
      <c r="F774" s="1">
        <f ca="1">IFERROR(__xludf.DUMMYFUNCTION("""COMPUTED_VALUE"""),34223388)</f>
        <v>34223388</v>
      </c>
    </row>
    <row r="775" spans="1:6" ht="12.6">
      <c r="A775" s="2">
        <f ca="1">IFERROR(__xludf.DUMMYFUNCTION("""COMPUTED_VALUE"""),45691.6666666666)</f>
        <v>45691.666666666599</v>
      </c>
      <c r="B775" s="1">
        <f ca="1">IFERROR(__xludf.DUMMYFUNCTION("""COMPUTED_VALUE"""),411.6)</f>
        <v>411.6</v>
      </c>
      <c r="C775" s="1">
        <f ca="1">IFERROR(__xludf.DUMMYFUNCTION("""COMPUTED_VALUE"""),415.41)</f>
        <v>415.41</v>
      </c>
      <c r="D775" s="1">
        <f ca="1">IFERROR(__xludf.DUMMYFUNCTION("""COMPUTED_VALUE"""),408.66)</f>
        <v>408.66</v>
      </c>
      <c r="E775" s="1">
        <f ca="1">IFERROR(__xludf.DUMMYFUNCTION("""COMPUTED_VALUE"""),410.92)</f>
        <v>410.92</v>
      </c>
      <c r="F775" s="1">
        <f ca="1">IFERROR(__xludf.DUMMYFUNCTION("""COMPUTED_VALUE"""),25679149)</f>
        <v>25679149</v>
      </c>
    </row>
    <row r="776" spans="1:6" ht="12.6">
      <c r="A776" s="2">
        <f ca="1">IFERROR(__xludf.DUMMYFUNCTION("""COMPUTED_VALUE"""),45692.6666666666)</f>
        <v>45692.666666666599</v>
      </c>
      <c r="B776" s="1">
        <f ca="1">IFERROR(__xludf.DUMMYFUNCTION("""COMPUTED_VALUE"""),412.69)</f>
        <v>412.69</v>
      </c>
      <c r="C776" s="1">
        <f ca="1">IFERROR(__xludf.DUMMYFUNCTION("""COMPUTED_VALUE"""),413.92)</f>
        <v>413.92</v>
      </c>
      <c r="D776" s="1">
        <f ca="1">IFERROR(__xludf.DUMMYFUNCTION("""COMPUTED_VALUE"""),409.74)</f>
        <v>409.74</v>
      </c>
      <c r="E776" s="1">
        <f ca="1">IFERROR(__xludf.DUMMYFUNCTION("""COMPUTED_VALUE"""),412.37)</f>
        <v>412.37</v>
      </c>
      <c r="F776" s="1">
        <f ca="1">IFERROR(__xludf.DUMMYFUNCTION("""COMPUTED_VALUE"""),20532096)</f>
        <v>20532096</v>
      </c>
    </row>
    <row r="777" spans="1:6" ht="12.6">
      <c r="A777" s="2">
        <f ca="1">IFERROR(__xludf.DUMMYFUNCTION("""COMPUTED_VALUE"""),45693.6666666666)</f>
        <v>45693.666666666599</v>
      </c>
      <c r="B777" s="1">
        <f ca="1">IFERROR(__xludf.DUMMYFUNCTION("""COMPUTED_VALUE"""),412.35)</f>
        <v>412.35</v>
      </c>
      <c r="C777" s="1">
        <f ca="1">IFERROR(__xludf.DUMMYFUNCTION("""COMPUTED_VALUE"""),413.83)</f>
        <v>413.83</v>
      </c>
      <c r="D777" s="1">
        <f ca="1">IFERROR(__xludf.DUMMYFUNCTION("""COMPUTED_VALUE"""),410.4)</f>
        <v>410.4</v>
      </c>
      <c r="E777" s="1">
        <f ca="1">IFERROR(__xludf.DUMMYFUNCTION("""COMPUTED_VALUE"""),413.29)</f>
        <v>413.29</v>
      </c>
      <c r="F777" s="1">
        <f ca="1">IFERROR(__xludf.DUMMYFUNCTION("""COMPUTED_VALUE"""),16336188)</f>
        <v>16336188</v>
      </c>
    </row>
    <row r="778" spans="1:6" ht="12.6">
      <c r="A778" s="2">
        <f ca="1">IFERROR(__xludf.DUMMYFUNCTION("""COMPUTED_VALUE"""),45694.6666666666)</f>
        <v>45694.666666666599</v>
      </c>
      <c r="B778" s="1">
        <f ca="1">IFERROR(__xludf.DUMMYFUNCTION("""COMPUTED_VALUE"""),414)</f>
        <v>414</v>
      </c>
      <c r="C778" s="1">
        <f ca="1">IFERROR(__xludf.DUMMYFUNCTION("""COMPUTED_VALUE"""),418.2)</f>
        <v>418.2</v>
      </c>
      <c r="D778" s="1">
        <f ca="1">IFERROR(__xludf.DUMMYFUNCTION("""COMPUTED_VALUE"""),414)</f>
        <v>414</v>
      </c>
      <c r="E778" s="1">
        <f ca="1">IFERROR(__xludf.DUMMYFUNCTION("""COMPUTED_VALUE"""),415.82)</f>
        <v>415.82</v>
      </c>
      <c r="F778" s="1">
        <f ca="1">IFERROR(__xludf.DUMMYFUNCTION("""COMPUTED_VALUE"""),16309755)</f>
        <v>16309755</v>
      </c>
    </row>
    <row r="779" spans="1:6" ht="12.6">
      <c r="A779" s="2">
        <f ca="1">IFERROR(__xludf.DUMMYFUNCTION("""COMPUTED_VALUE"""),45695.6666666666)</f>
        <v>45695.666666666599</v>
      </c>
      <c r="B779" s="1">
        <f ca="1">IFERROR(__xludf.DUMMYFUNCTION("""COMPUTED_VALUE"""),416.48)</f>
        <v>416.48</v>
      </c>
      <c r="C779" s="1">
        <f ca="1">IFERROR(__xludf.DUMMYFUNCTION("""COMPUTED_VALUE"""),418.65)</f>
        <v>418.65</v>
      </c>
      <c r="D779" s="1">
        <f ca="1">IFERROR(__xludf.DUMMYFUNCTION("""COMPUTED_VALUE"""),408.1)</f>
        <v>408.1</v>
      </c>
      <c r="E779" s="1">
        <f ca="1">IFERROR(__xludf.DUMMYFUNCTION("""COMPUTED_VALUE"""),409.75)</f>
        <v>409.75</v>
      </c>
      <c r="F779" s="1">
        <f ca="1">IFERROR(__xludf.DUMMYFUNCTION("""COMPUTED_VALUE"""),22886844)</f>
        <v>22886844</v>
      </c>
    </row>
    <row r="780" spans="1:6" ht="12.6">
      <c r="A780" s="2">
        <f ca="1">IFERROR(__xludf.DUMMYFUNCTION("""COMPUTED_VALUE"""),45698.6666666666)</f>
        <v>45698.666666666599</v>
      </c>
      <c r="B780" s="1">
        <f ca="1">IFERROR(__xludf.DUMMYFUNCTION("""COMPUTED_VALUE"""),413.71)</f>
        <v>413.71</v>
      </c>
      <c r="C780" s="1">
        <f ca="1">IFERROR(__xludf.DUMMYFUNCTION("""COMPUTED_VALUE"""),415.46)</f>
        <v>415.46</v>
      </c>
      <c r="D780" s="1">
        <f ca="1">IFERROR(__xludf.DUMMYFUNCTION("""COMPUTED_VALUE"""),410.92)</f>
        <v>410.92</v>
      </c>
      <c r="E780" s="1">
        <f ca="1">IFERROR(__xludf.DUMMYFUNCTION("""COMPUTED_VALUE"""),412.22)</f>
        <v>412.22</v>
      </c>
      <c r="F780" s="1">
        <f ca="1">IFERROR(__xludf.DUMMYFUNCTION("""COMPUTED_VALUE"""),20817919)</f>
        <v>20817919</v>
      </c>
    </row>
    <row r="781" spans="1:6" ht="12.6">
      <c r="A781" s="2">
        <f ca="1">IFERROR(__xludf.DUMMYFUNCTION("""COMPUTED_VALUE"""),45699.6666666666)</f>
        <v>45699.666666666599</v>
      </c>
      <c r="B781" s="1">
        <f ca="1">IFERROR(__xludf.DUMMYFUNCTION("""COMPUTED_VALUE"""),409.64)</f>
        <v>409.64</v>
      </c>
      <c r="C781" s="1">
        <f ca="1">IFERROR(__xludf.DUMMYFUNCTION("""COMPUTED_VALUE"""),412.49)</f>
        <v>412.49</v>
      </c>
      <c r="D781" s="1">
        <f ca="1">IFERROR(__xludf.DUMMYFUNCTION("""COMPUTED_VALUE"""),409.3)</f>
        <v>409.3</v>
      </c>
      <c r="E781" s="1">
        <f ca="1">IFERROR(__xludf.DUMMYFUNCTION("""COMPUTED_VALUE"""),411.44)</f>
        <v>411.44</v>
      </c>
      <c r="F781" s="1">
        <f ca="1">IFERROR(__xludf.DUMMYFUNCTION("""COMPUTED_VALUE"""),18140592)</f>
        <v>18140592</v>
      </c>
    </row>
    <row r="782" spans="1:6" ht="12.6">
      <c r="A782" s="2">
        <f ca="1">IFERROR(__xludf.DUMMYFUNCTION("""COMPUTED_VALUE"""),45700.6666666666)</f>
        <v>45700.666666666599</v>
      </c>
      <c r="B782" s="1">
        <f ca="1">IFERROR(__xludf.DUMMYFUNCTION("""COMPUTED_VALUE"""),407.21)</f>
        <v>407.21</v>
      </c>
      <c r="C782" s="1">
        <f ca="1">IFERROR(__xludf.DUMMYFUNCTION("""COMPUTED_VALUE"""),410.75)</f>
        <v>410.75</v>
      </c>
      <c r="D782" s="1">
        <f ca="1">IFERROR(__xludf.DUMMYFUNCTION("""COMPUTED_VALUE"""),404.37)</f>
        <v>404.37</v>
      </c>
      <c r="E782" s="1">
        <f ca="1">IFERROR(__xludf.DUMMYFUNCTION("""COMPUTED_VALUE"""),409.04)</f>
        <v>409.04</v>
      </c>
      <c r="F782" s="1">
        <f ca="1">IFERROR(__xludf.DUMMYFUNCTION("""COMPUTED_VALUE"""),19121734)</f>
        <v>19121734</v>
      </c>
    </row>
    <row r="783" spans="1:6" ht="12.6">
      <c r="A783" s="2">
        <f ca="1">IFERROR(__xludf.DUMMYFUNCTION("""COMPUTED_VALUE"""),45701.6666666666)</f>
        <v>45701.666666666599</v>
      </c>
      <c r="B783" s="1">
        <f ca="1">IFERROR(__xludf.DUMMYFUNCTION("""COMPUTED_VALUE"""),407)</f>
        <v>407</v>
      </c>
      <c r="C783" s="1">
        <f ca="1">IFERROR(__xludf.DUMMYFUNCTION("""COMPUTED_VALUE"""),411)</f>
        <v>411</v>
      </c>
      <c r="D783" s="1">
        <f ca="1">IFERROR(__xludf.DUMMYFUNCTION("""COMPUTED_VALUE"""),406.36)</f>
        <v>406.36</v>
      </c>
      <c r="E783" s="1">
        <f ca="1">IFERROR(__xludf.DUMMYFUNCTION("""COMPUTED_VALUE"""),410.54)</f>
        <v>410.54</v>
      </c>
      <c r="F783" s="1">
        <f ca="1">IFERROR(__xludf.DUMMYFUNCTION("""COMPUTED_VALUE"""),23891731)</f>
        <v>23891731</v>
      </c>
    </row>
    <row r="784" spans="1:6" ht="12.6">
      <c r="A784" s="2">
        <f ca="1">IFERROR(__xludf.DUMMYFUNCTION("""COMPUTED_VALUE"""),45702.6666666666)</f>
        <v>45702.666666666599</v>
      </c>
      <c r="B784" s="1">
        <f ca="1">IFERROR(__xludf.DUMMYFUNCTION("""COMPUTED_VALUE"""),407.79)</f>
        <v>407.79</v>
      </c>
      <c r="C784" s="1">
        <f ca="1">IFERROR(__xludf.DUMMYFUNCTION("""COMPUTED_VALUE"""),408.91)</f>
        <v>408.91</v>
      </c>
      <c r="D784" s="1">
        <f ca="1">IFERROR(__xludf.DUMMYFUNCTION("""COMPUTED_VALUE"""),405.88)</f>
        <v>405.88</v>
      </c>
      <c r="E784" s="1">
        <f ca="1">IFERROR(__xludf.DUMMYFUNCTION("""COMPUTED_VALUE"""),408.43)</f>
        <v>408.43</v>
      </c>
      <c r="F784" s="1">
        <f ca="1">IFERROR(__xludf.DUMMYFUNCTION("""COMPUTED_VALUE"""),22758464)</f>
        <v>22758464</v>
      </c>
    </row>
    <row r="785" spans="1:6" ht="12.6">
      <c r="A785" s="2">
        <f ca="1">IFERROR(__xludf.DUMMYFUNCTION("""COMPUTED_VALUE"""),45706.6666666666)</f>
        <v>45706.666666666599</v>
      </c>
      <c r="B785" s="1">
        <f ca="1">IFERROR(__xludf.DUMMYFUNCTION("""COMPUTED_VALUE"""),408)</f>
        <v>408</v>
      </c>
      <c r="C785" s="1">
        <f ca="1">IFERROR(__xludf.DUMMYFUNCTION("""COMPUTED_VALUE"""),410.6)</f>
        <v>410.6</v>
      </c>
      <c r="D785" s="1">
        <f ca="1">IFERROR(__xludf.DUMMYFUNCTION("""COMPUTED_VALUE"""),406.5)</f>
        <v>406.5</v>
      </c>
      <c r="E785" s="1">
        <f ca="1">IFERROR(__xludf.DUMMYFUNCTION("""COMPUTED_VALUE"""),409.64)</f>
        <v>409.64</v>
      </c>
      <c r="F785" s="1">
        <f ca="1">IFERROR(__xludf.DUMMYFUNCTION("""COMPUTED_VALUE"""),21423051)</f>
        <v>21423051</v>
      </c>
    </row>
    <row r="786" spans="1:6" ht="12.6">
      <c r="A786" s="2">
        <f ca="1">IFERROR(__xludf.DUMMYFUNCTION("""COMPUTED_VALUE"""),45707.6666666666)</f>
        <v>45707.666666666599</v>
      </c>
      <c r="B786" s="1">
        <f ca="1">IFERROR(__xludf.DUMMYFUNCTION("""COMPUTED_VALUE"""),407.88)</f>
        <v>407.88</v>
      </c>
      <c r="C786" s="1">
        <f ca="1">IFERROR(__xludf.DUMMYFUNCTION("""COMPUTED_VALUE"""),415.49)</f>
        <v>415.49</v>
      </c>
      <c r="D786" s="1">
        <f ca="1">IFERROR(__xludf.DUMMYFUNCTION("""COMPUTED_VALUE"""),407.65)</f>
        <v>407.65</v>
      </c>
      <c r="E786" s="1">
        <f ca="1">IFERROR(__xludf.DUMMYFUNCTION("""COMPUTED_VALUE"""),414.77)</f>
        <v>414.77</v>
      </c>
      <c r="F786" s="1">
        <f ca="1">IFERROR(__xludf.DUMMYFUNCTION("""COMPUTED_VALUE"""),24114197)</f>
        <v>24114197</v>
      </c>
    </row>
    <row r="787" spans="1:6" ht="12.6">
      <c r="A787" s="2">
        <f ca="1">IFERROR(__xludf.DUMMYFUNCTION("""COMPUTED_VALUE"""),45708.6666666666)</f>
        <v>45708.666666666599</v>
      </c>
      <c r="B787" s="1">
        <f ca="1">IFERROR(__xludf.DUMMYFUNCTION("""COMPUTED_VALUE"""),415.29)</f>
        <v>415.29</v>
      </c>
      <c r="C787" s="1">
        <f ca="1">IFERROR(__xludf.DUMMYFUNCTION("""COMPUTED_VALUE"""),419.31)</f>
        <v>419.31</v>
      </c>
      <c r="D787" s="1">
        <f ca="1">IFERROR(__xludf.DUMMYFUNCTION("""COMPUTED_VALUE"""),412.54)</f>
        <v>412.54</v>
      </c>
      <c r="E787" s="1">
        <f ca="1">IFERROR(__xludf.DUMMYFUNCTION("""COMPUTED_VALUE"""),416.13)</f>
        <v>416.13</v>
      </c>
      <c r="F787" s="1">
        <f ca="1">IFERROR(__xludf.DUMMYFUNCTION("""COMPUTED_VALUE"""),23508728)</f>
        <v>23508728</v>
      </c>
    </row>
    <row r="788" spans="1:6" ht="12.6">
      <c r="A788" s="2">
        <f ca="1">IFERROR(__xludf.DUMMYFUNCTION("""COMPUTED_VALUE"""),45709.6666666666)</f>
        <v>45709.666666666599</v>
      </c>
      <c r="B788" s="1">
        <f ca="1">IFERROR(__xludf.DUMMYFUNCTION("""COMPUTED_VALUE"""),417.34)</f>
        <v>417.34</v>
      </c>
      <c r="C788" s="1">
        <f ca="1">IFERROR(__xludf.DUMMYFUNCTION("""COMPUTED_VALUE"""),418.05)</f>
        <v>418.05</v>
      </c>
      <c r="D788" s="1">
        <f ca="1">IFERROR(__xludf.DUMMYFUNCTION("""COMPUTED_VALUE"""),407.89)</f>
        <v>407.89</v>
      </c>
      <c r="E788" s="1">
        <f ca="1">IFERROR(__xludf.DUMMYFUNCTION("""COMPUTED_VALUE"""),408.21)</f>
        <v>408.21</v>
      </c>
      <c r="F788" s="1">
        <f ca="1">IFERROR(__xludf.DUMMYFUNCTION("""COMPUTED_VALUE"""),27524799)</f>
        <v>27524799</v>
      </c>
    </row>
    <row r="789" spans="1:6" ht="12.6">
      <c r="A789" s="2">
        <f ca="1">IFERROR(__xludf.DUMMYFUNCTION("""COMPUTED_VALUE"""),45712.6666666666)</f>
        <v>45712.666666666599</v>
      </c>
      <c r="B789" s="1">
        <f ca="1">IFERROR(__xludf.DUMMYFUNCTION("""COMPUTED_VALUE"""),408.51)</f>
        <v>408.51</v>
      </c>
      <c r="C789" s="1">
        <f ca="1">IFERROR(__xludf.DUMMYFUNCTION("""COMPUTED_VALUE"""),409.37)</f>
        <v>409.37</v>
      </c>
      <c r="D789" s="1">
        <f ca="1">IFERROR(__xludf.DUMMYFUNCTION("""COMPUTED_VALUE"""),399.32)</f>
        <v>399.32</v>
      </c>
      <c r="E789" s="1">
        <f ca="1">IFERROR(__xludf.DUMMYFUNCTION("""COMPUTED_VALUE"""),404)</f>
        <v>404</v>
      </c>
      <c r="F789" s="1">
        <f ca="1">IFERROR(__xludf.DUMMYFUNCTION("""COMPUTED_VALUE"""),26443656)</f>
        <v>26443656</v>
      </c>
    </row>
    <row r="790" spans="1:6" ht="12.6">
      <c r="A790" s="2">
        <f ca="1">IFERROR(__xludf.DUMMYFUNCTION("""COMPUTED_VALUE"""),45713.6666666666)</f>
        <v>45713.666666666599</v>
      </c>
      <c r="B790" s="1">
        <f ca="1">IFERROR(__xludf.DUMMYFUNCTION("""COMPUTED_VALUE"""),401.1)</f>
        <v>401.1</v>
      </c>
      <c r="C790" s="1">
        <f ca="1">IFERROR(__xludf.DUMMYFUNCTION("""COMPUTED_VALUE"""),401.92)</f>
        <v>401.92</v>
      </c>
      <c r="D790" s="1">
        <f ca="1">IFERROR(__xludf.DUMMYFUNCTION("""COMPUTED_VALUE"""),396.7)</f>
        <v>396.7</v>
      </c>
      <c r="E790" s="1">
        <f ca="1">IFERROR(__xludf.DUMMYFUNCTION("""COMPUTED_VALUE"""),397.9)</f>
        <v>397.9</v>
      </c>
      <c r="F790" s="1">
        <f ca="1">IFERROR(__xludf.DUMMYFUNCTION("""COMPUTED_VALUE"""),29387402)</f>
        <v>29387402</v>
      </c>
    </row>
    <row r="791" spans="1:6" ht="12.6">
      <c r="A791" s="2">
        <f ca="1">IFERROR(__xludf.DUMMYFUNCTION("""COMPUTED_VALUE"""),45714.6666666666)</f>
        <v>45714.666666666599</v>
      </c>
      <c r="B791" s="1">
        <f ca="1">IFERROR(__xludf.DUMMYFUNCTION("""COMPUTED_VALUE"""),398.01)</f>
        <v>398.01</v>
      </c>
      <c r="C791" s="1">
        <f ca="1">IFERROR(__xludf.DUMMYFUNCTION("""COMPUTED_VALUE"""),403.6)</f>
        <v>403.6</v>
      </c>
      <c r="D791" s="1">
        <f ca="1">IFERROR(__xludf.DUMMYFUNCTION("""COMPUTED_VALUE"""),394.25)</f>
        <v>394.25</v>
      </c>
      <c r="E791" s="1">
        <f ca="1">IFERROR(__xludf.DUMMYFUNCTION("""COMPUTED_VALUE"""),399.73)</f>
        <v>399.73</v>
      </c>
      <c r="F791" s="1">
        <f ca="1">IFERROR(__xludf.DUMMYFUNCTION("""COMPUTED_VALUE"""),19618954)</f>
        <v>19618954</v>
      </c>
    </row>
    <row r="792" spans="1:6" ht="12.6">
      <c r="A792" s="2">
        <f ca="1">IFERROR(__xludf.DUMMYFUNCTION("""COMPUTED_VALUE"""),45715.6666666666)</f>
        <v>45715.666666666599</v>
      </c>
      <c r="B792" s="1">
        <f ca="1">IFERROR(__xludf.DUMMYFUNCTION("""COMPUTED_VALUE"""),401.27)</f>
        <v>401.27</v>
      </c>
      <c r="C792" s="1">
        <f ca="1">IFERROR(__xludf.DUMMYFUNCTION("""COMPUTED_VALUE"""),405.74)</f>
        <v>405.74</v>
      </c>
      <c r="D792" s="1">
        <f ca="1">IFERROR(__xludf.DUMMYFUNCTION("""COMPUTED_VALUE"""),392.17)</f>
        <v>392.17</v>
      </c>
      <c r="E792" s="1">
        <f ca="1">IFERROR(__xludf.DUMMYFUNCTION("""COMPUTED_VALUE"""),392.53)</f>
        <v>392.53</v>
      </c>
      <c r="F792" s="1">
        <f ca="1">IFERROR(__xludf.DUMMYFUNCTION("""COMPUTED_VALUE"""),21127406)</f>
        <v>21127406</v>
      </c>
    </row>
    <row r="793" spans="1:6" ht="12.6">
      <c r="A793" s="2">
        <f ca="1">IFERROR(__xludf.DUMMYFUNCTION("""COMPUTED_VALUE"""),45716.6666666666)</f>
        <v>45716.666666666599</v>
      </c>
      <c r="B793" s="1">
        <f ca="1">IFERROR(__xludf.DUMMYFUNCTION("""COMPUTED_VALUE"""),392.66)</f>
        <v>392.66</v>
      </c>
      <c r="C793" s="1">
        <f ca="1">IFERROR(__xludf.DUMMYFUNCTION("""COMPUTED_VALUE"""),397.63)</f>
        <v>397.63</v>
      </c>
      <c r="D793" s="1">
        <f ca="1">IFERROR(__xludf.DUMMYFUNCTION("""COMPUTED_VALUE"""),386.57)</f>
        <v>386.57</v>
      </c>
      <c r="E793" s="1">
        <f ca="1">IFERROR(__xludf.DUMMYFUNCTION("""COMPUTED_VALUE"""),396.99)</f>
        <v>396.99</v>
      </c>
      <c r="F793" s="1">
        <f ca="1">IFERROR(__xludf.DUMMYFUNCTION("""COMPUTED_VALUE"""),32845658)</f>
        <v>32845658</v>
      </c>
    </row>
    <row r="794" spans="1:6" ht="12.6">
      <c r="A794" s="2">
        <f ca="1">IFERROR(__xludf.DUMMYFUNCTION("""COMPUTED_VALUE"""),45719.6666666666)</f>
        <v>45719.666666666599</v>
      </c>
      <c r="B794" s="1">
        <f ca="1">IFERROR(__xludf.DUMMYFUNCTION("""COMPUTED_VALUE"""),398.82)</f>
        <v>398.82</v>
      </c>
      <c r="C794" s="1">
        <f ca="1">IFERROR(__xludf.DUMMYFUNCTION("""COMPUTED_VALUE"""),398.82)</f>
        <v>398.82</v>
      </c>
      <c r="D794" s="1">
        <f ca="1">IFERROR(__xludf.DUMMYFUNCTION("""COMPUTED_VALUE"""),386.16)</f>
        <v>386.16</v>
      </c>
      <c r="E794" s="1">
        <f ca="1">IFERROR(__xludf.DUMMYFUNCTION("""COMPUTED_VALUE"""),388.49)</f>
        <v>388.49</v>
      </c>
      <c r="F794" s="1">
        <f ca="1">IFERROR(__xludf.DUMMYFUNCTION("""COMPUTED_VALUE"""),23007726)</f>
        <v>23007726</v>
      </c>
    </row>
    <row r="795" spans="1:6" ht="12.6">
      <c r="A795" s="2">
        <f ca="1">IFERROR(__xludf.DUMMYFUNCTION("""COMPUTED_VALUE"""),45720.6666666666)</f>
        <v>45720.666666666599</v>
      </c>
      <c r="B795" s="1">
        <f ca="1">IFERROR(__xludf.DUMMYFUNCTION("""COMPUTED_VALUE"""),383.4)</f>
        <v>383.4</v>
      </c>
      <c r="C795" s="1">
        <f ca="1">IFERROR(__xludf.DUMMYFUNCTION("""COMPUTED_VALUE"""),392.58)</f>
        <v>392.58</v>
      </c>
      <c r="D795" s="1">
        <f ca="1">IFERROR(__xludf.DUMMYFUNCTION("""COMPUTED_VALUE"""),381)</f>
        <v>381</v>
      </c>
      <c r="E795" s="1">
        <f ca="1">IFERROR(__xludf.DUMMYFUNCTION("""COMPUTED_VALUE"""),388.61)</f>
        <v>388.61</v>
      </c>
      <c r="F795" s="1">
        <f ca="1">IFERROR(__xludf.DUMMYFUNCTION("""COMPUTED_VALUE"""),29342923)</f>
        <v>29342923</v>
      </c>
    </row>
    <row r="796" spans="1:6" ht="12.6">
      <c r="A796" s="2">
        <f ca="1">IFERROR(__xludf.DUMMYFUNCTION("""COMPUTED_VALUE"""),45721.6666666666)</f>
        <v>45721.666666666599</v>
      </c>
      <c r="B796" s="1">
        <f ca="1">IFERROR(__xludf.DUMMYFUNCTION("""COMPUTED_VALUE"""),389.34)</f>
        <v>389.34</v>
      </c>
      <c r="C796" s="1">
        <f ca="1">IFERROR(__xludf.DUMMYFUNCTION("""COMPUTED_VALUE"""),401.67)</f>
        <v>401.67</v>
      </c>
      <c r="D796" s="1">
        <f ca="1">IFERROR(__xludf.DUMMYFUNCTION("""COMPUTED_VALUE"""),388.81)</f>
        <v>388.81</v>
      </c>
      <c r="E796" s="1">
        <f ca="1">IFERROR(__xludf.DUMMYFUNCTION("""COMPUTED_VALUE"""),401.02)</f>
        <v>401.02</v>
      </c>
      <c r="F796" s="1">
        <f ca="1">IFERROR(__xludf.DUMMYFUNCTION("""COMPUTED_VALUE"""),23433132)</f>
        <v>23433132</v>
      </c>
    </row>
    <row r="797" spans="1:6" ht="12.6">
      <c r="A797" s="2">
        <f ca="1">IFERROR(__xludf.DUMMYFUNCTION("""COMPUTED_VALUE"""),45722.6666666666)</f>
        <v>45722.666666666599</v>
      </c>
      <c r="B797" s="1">
        <f ca="1">IFERROR(__xludf.DUMMYFUNCTION("""COMPUTED_VALUE"""),394.28)</f>
        <v>394.28</v>
      </c>
      <c r="C797" s="1">
        <f ca="1">IFERROR(__xludf.DUMMYFUNCTION("""COMPUTED_VALUE"""),402.15)</f>
        <v>402.15</v>
      </c>
      <c r="D797" s="1">
        <f ca="1">IFERROR(__xludf.DUMMYFUNCTION("""COMPUTED_VALUE"""),392.68)</f>
        <v>392.68</v>
      </c>
      <c r="E797" s="1">
        <f ca="1">IFERROR(__xludf.DUMMYFUNCTION("""COMPUTED_VALUE"""),396.89)</f>
        <v>396.89</v>
      </c>
      <c r="F797" s="1">
        <f ca="1">IFERROR(__xludf.DUMMYFUNCTION("""COMPUTED_VALUE"""),23304625)</f>
        <v>23304625</v>
      </c>
    </row>
    <row r="798" spans="1:6" ht="12.6">
      <c r="A798" s="2">
        <f ca="1">IFERROR(__xludf.DUMMYFUNCTION("""COMPUTED_VALUE"""),45723.6666666666)</f>
        <v>45723.666666666599</v>
      </c>
      <c r="B798" s="1">
        <f ca="1">IFERROR(__xludf.DUMMYFUNCTION("""COMPUTED_VALUE"""),392.32)</f>
        <v>392.32</v>
      </c>
      <c r="C798" s="1">
        <f ca="1">IFERROR(__xludf.DUMMYFUNCTION("""COMPUTED_VALUE"""),394.8)</f>
        <v>394.8</v>
      </c>
      <c r="D798" s="1">
        <f ca="1">IFERROR(__xludf.DUMMYFUNCTION("""COMPUTED_VALUE"""),385.54)</f>
        <v>385.54</v>
      </c>
      <c r="E798" s="1">
        <f ca="1">IFERROR(__xludf.DUMMYFUNCTION("""COMPUTED_VALUE"""),393.31)</f>
        <v>393.31</v>
      </c>
      <c r="F798" s="1">
        <f ca="1">IFERROR(__xludf.DUMMYFUNCTION("""COMPUTED_VALUE"""),22034087)</f>
        <v>22034087</v>
      </c>
    </row>
    <row r="799" spans="1:6" ht="12.6">
      <c r="A799" s="2">
        <f ca="1">IFERROR(__xludf.DUMMYFUNCTION("""COMPUTED_VALUE"""),45726.6666666666)</f>
        <v>45726.666666666599</v>
      </c>
      <c r="B799" s="1">
        <f ca="1">IFERROR(__xludf.DUMMYFUNCTION("""COMPUTED_VALUE"""),385.84)</f>
        <v>385.84</v>
      </c>
      <c r="C799" s="1">
        <f ca="1">IFERROR(__xludf.DUMMYFUNCTION("""COMPUTED_VALUE"""),386.4)</f>
        <v>386.4</v>
      </c>
      <c r="D799" s="1">
        <f ca="1">IFERROR(__xludf.DUMMYFUNCTION("""COMPUTED_VALUE"""),377.22)</f>
        <v>377.22</v>
      </c>
      <c r="E799" s="1">
        <f ca="1">IFERROR(__xludf.DUMMYFUNCTION("""COMPUTED_VALUE"""),380.16)</f>
        <v>380.16</v>
      </c>
      <c r="F799" s="1">
        <f ca="1">IFERROR(__xludf.DUMMYFUNCTION("""COMPUTED_VALUE"""),32840134)</f>
        <v>32840134</v>
      </c>
    </row>
    <row r="800" spans="1:6" ht="12.6">
      <c r="A800" s="2">
        <f ca="1">IFERROR(__xludf.DUMMYFUNCTION("""COMPUTED_VALUE"""),45727.6666666666)</f>
        <v>45727.666666666599</v>
      </c>
      <c r="B800" s="1">
        <f ca="1">IFERROR(__xludf.DUMMYFUNCTION("""COMPUTED_VALUE"""),379)</f>
        <v>379</v>
      </c>
      <c r="C800" s="1">
        <f ca="1">IFERROR(__xludf.DUMMYFUNCTION("""COMPUTED_VALUE"""),386)</f>
        <v>386</v>
      </c>
      <c r="D800" s="1">
        <f ca="1">IFERROR(__xludf.DUMMYFUNCTION("""COMPUTED_VALUE"""),376.91)</f>
        <v>376.91</v>
      </c>
      <c r="E800" s="1">
        <f ca="1">IFERROR(__xludf.DUMMYFUNCTION("""COMPUTED_VALUE"""),380.45)</f>
        <v>380.45</v>
      </c>
      <c r="F800" s="1">
        <f ca="1">IFERROR(__xludf.DUMMYFUNCTION("""COMPUTED_VALUE"""),30380177)</f>
        <v>30380177</v>
      </c>
    </row>
    <row r="801" spans="1:6" ht="12.6">
      <c r="A801" s="2">
        <f ca="1">IFERROR(__xludf.DUMMYFUNCTION("""COMPUTED_VALUE"""),45728.6666666666)</f>
        <v>45728.666666666599</v>
      </c>
      <c r="B801" s="1">
        <f ca="1">IFERROR(__xludf.DUMMYFUNCTION("""COMPUTED_VALUE"""),382.95)</f>
        <v>382.95</v>
      </c>
      <c r="C801" s="1">
        <f ca="1">IFERROR(__xludf.DUMMYFUNCTION("""COMPUTED_VALUE"""),385.22)</f>
        <v>385.22</v>
      </c>
      <c r="D801" s="1">
        <f ca="1">IFERROR(__xludf.DUMMYFUNCTION("""COMPUTED_VALUE"""),378.95)</f>
        <v>378.95</v>
      </c>
      <c r="E801" s="1">
        <f ca="1">IFERROR(__xludf.DUMMYFUNCTION("""COMPUTED_VALUE"""),383.27)</f>
        <v>383.27</v>
      </c>
      <c r="F801" s="1">
        <f ca="1">IFERROR(__xludf.DUMMYFUNCTION("""COMPUTED_VALUE"""),24253567)</f>
        <v>24253567</v>
      </c>
    </row>
    <row r="802" spans="1:6" ht="12.6">
      <c r="A802" s="2">
        <f ca="1">IFERROR(__xludf.DUMMYFUNCTION("""COMPUTED_VALUE"""),45729.6666666666)</f>
        <v>45729.666666666599</v>
      </c>
      <c r="B802" s="1">
        <f ca="1">IFERROR(__xludf.DUMMYFUNCTION("""COMPUTED_VALUE"""),383.16)</f>
        <v>383.16</v>
      </c>
      <c r="C802" s="1">
        <f ca="1">IFERROR(__xludf.DUMMYFUNCTION("""COMPUTED_VALUE"""),385.32)</f>
        <v>385.32</v>
      </c>
      <c r="D802" s="1">
        <f ca="1">IFERROR(__xludf.DUMMYFUNCTION("""COMPUTED_VALUE"""),377.45)</f>
        <v>377.45</v>
      </c>
      <c r="E802" s="1">
        <f ca="1">IFERROR(__xludf.DUMMYFUNCTION("""COMPUTED_VALUE"""),378.77)</f>
        <v>378.77</v>
      </c>
      <c r="F802" s="1">
        <f ca="1">IFERROR(__xludf.DUMMYFUNCTION("""COMPUTED_VALUE"""),20473017)</f>
        <v>20473017</v>
      </c>
    </row>
    <row r="803" spans="1:6" ht="12.6">
      <c r="A803" s="2">
        <f ca="1">IFERROR(__xludf.DUMMYFUNCTION("""COMPUTED_VALUE"""),45730.6666666666)</f>
        <v>45730.666666666599</v>
      </c>
      <c r="B803" s="1">
        <f ca="1">IFERROR(__xludf.DUMMYFUNCTION("""COMPUTED_VALUE"""),379.78)</f>
        <v>379.78</v>
      </c>
      <c r="C803" s="1">
        <f ca="1">IFERROR(__xludf.DUMMYFUNCTION("""COMPUTED_VALUE"""),390.23)</f>
        <v>390.23</v>
      </c>
      <c r="D803" s="1">
        <f ca="1">IFERROR(__xludf.DUMMYFUNCTION("""COMPUTED_VALUE"""),379.51)</f>
        <v>379.51</v>
      </c>
      <c r="E803" s="1">
        <f ca="1">IFERROR(__xludf.DUMMYFUNCTION("""COMPUTED_VALUE"""),388.56)</f>
        <v>388.56</v>
      </c>
      <c r="F803" s="1">
        <f ca="1">IFERROR(__xludf.DUMMYFUNCTION("""COMPUTED_VALUE"""),19952846)</f>
        <v>19952846</v>
      </c>
    </row>
    <row r="804" spans="1:6" ht="12.6">
      <c r="A804" s="2">
        <f ca="1">IFERROR(__xludf.DUMMYFUNCTION("""COMPUTED_VALUE"""),45733.6666666666)</f>
        <v>45733.666666666599</v>
      </c>
      <c r="B804" s="1">
        <f ca="1">IFERROR(__xludf.DUMMYFUNCTION("""COMPUTED_VALUE"""),386.7)</f>
        <v>386.7</v>
      </c>
      <c r="C804" s="1">
        <f ca="1">IFERROR(__xludf.DUMMYFUNCTION("""COMPUTED_VALUE"""),392.71)</f>
        <v>392.71</v>
      </c>
      <c r="D804" s="1">
        <f ca="1">IFERROR(__xludf.DUMMYFUNCTION("""COMPUTED_VALUE"""),385.57)</f>
        <v>385.57</v>
      </c>
      <c r="E804" s="1">
        <f ca="1">IFERROR(__xludf.DUMMYFUNCTION("""COMPUTED_VALUE"""),388.7)</f>
        <v>388.7</v>
      </c>
      <c r="F804" s="1">
        <f ca="1">IFERROR(__xludf.DUMMYFUNCTION("""COMPUTED_VALUE"""),22474272)</f>
        <v>22474272</v>
      </c>
    </row>
    <row r="805" spans="1:6" ht="12.6">
      <c r="A805" s="2">
        <f ca="1">IFERROR(__xludf.DUMMYFUNCTION("""COMPUTED_VALUE"""),45734.6666666666)</f>
        <v>45734.666666666599</v>
      </c>
      <c r="B805" s="1">
        <f ca="1">IFERROR(__xludf.DUMMYFUNCTION("""COMPUTED_VALUE"""),387.07)</f>
        <v>387.07</v>
      </c>
      <c r="C805" s="1">
        <f ca="1">IFERROR(__xludf.DUMMYFUNCTION("""COMPUTED_VALUE"""),387.37)</f>
        <v>387.37</v>
      </c>
      <c r="D805" s="1">
        <f ca="1">IFERROR(__xludf.DUMMYFUNCTION("""COMPUTED_VALUE"""),381.1)</f>
        <v>381.1</v>
      </c>
      <c r="E805" s="1">
        <f ca="1">IFERROR(__xludf.DUMMYFUNCTION("""COMPUTED_VALUE"""),383.52)</f>
        <v>383.52</v>
      </c>
      <c r="F805" s="1">
        <f ca="1">IFERROR(__xludf.DUMMYFUNCTION("""COMPUTED_VALUE"""),19486850)</f>
        <v>19486850</v>
      </c>
    </row>
    <row r="806" spans="1:6" ht="12.6">
      <c r="A806" s="2">
        <f ca="1">IFERROR(__xludf.DUMMYFUNCTION("""COMPUTED_VALUE"""),45735.6666666666)</f>
        <v>45735.666666666599</v>
      </c>
      <c r="B806" s="1">
        <f ca="1">IFERROR(__xludf.DUMMYFUNCTION("""COMPUTED_VALUE"""),385.53)</f>
        <v>385.53</v>
      </c>
      <c r="C806" s="1">
        <f ca="1">IFERROR(__xludf.DUMMYFUNCTION("""COMPUTED_VALUE"""),389.68)</f>
        <v>389.68</v>
      </c>
      <c r="D806" s="1">
        <f ca="1">IFERROR(__xludf.DUMMYFUNCTION("""COMPUTED_VALUE"""),384)</f>
        <v>384</v>
      </c>
      <c r="E806" s="1">
        <f ca="1">IFERROR(__xludf.DUMMYFUNCTION("""COMPUTED_VALUE"""),387.82)</f>
        <v>387.82</v>
      </c>
      <c r="F806" s="1">
        <f ca="1">IFERROR(__xludf.DUMMYFUNCTION("""COMPUTED_VALUE"""),19185532)</f>
        <v>19185532</v>
      </c>
    </row>
    <row r="807" spans="1:6" ht="12.6">
      <c r="A807" s="2">
        <f ca="1">IFERROR(__xludf.DUMMYFUNCTION("""COMPUTED_VALUE"""),45736.6666666666)</f>
        <v>45736.666666666599</v>
      </c>
      <c r="B807" s="1">
        <f ca="1">IFERROR(__xludf.DUMMYFUNCTION("""COMPUTED_VALUE"""),385.74)</f>
        <v>385.74</v>
      </c>
      <c r="C807" s="1">
        <f ca="1">IFERROR(__xludf.DUMMYFUNCTION("""COMPUTED_VALUE"""),391.79)</f>
        <v>391.79</v>
      </c>
      <c r="D807" s="1">
        <f ca="1">IFERROR(__xludf.DUMMYFUNCTION("""COMPUTED_VALUE"""),383.28)</f>
        <v>383.28</v>
      </c>
      <c r="E807" s="1">
        <f ca="1">IFERROR(__xludf.DUMMYFUNCTION("""COMPUTED_VALUE"""),386.84)</f>
        <v>386.84</v>
      </c>
      <c r="F807" s="1">
        <f ca="1">IFERROR(__xludf.DUMMYFUNCTION("""COMPUTED_VALUE"""),18470542)</f>
        <v>18470542</v>
      </c>
    </row>
    <row r="808" spans="1:6" ht="12.6">
      <c r="A808" s="2">
        <f ca="1">IFERROR(__xludf.DUMMYFUNCTION("""COMPUTED_VALUE"""),45737.6666666666)</f>
        <v>45737.666666666599</v>
      </c>
      <c r="B808" s="1">
        <f ca="1">IFERROR(__xludf.DUMMYFUNCTION("""COMPUTED_VALUE"""),383.22)</f>
        <v>383.22</v>
      </c>
      <c r="C808" s="1">
        <f ca="1">IFERROR(__xludf.DUMMYFUNCTION("""COMPUTED_VALUE"""),391.74)</f>
        <v>391.74</v>
      </c>
      <c r="D808" s="1">
        <f ca="1">IFERROR(__xludf.DUMMYFUNCTION("""COMPUTED_VALUE"""),382.8)</f>
        <v>382.8</v>
      </c>
      <c r="E808" s="1">
        <f ca="1">IFERROR(__xludf.DUMMYFUNCTION("""COMPUTED_VALUE"""),391.26)</f>
        <v>391.26</v>
      </c>
      <c r="F808" s="1">
        <f ca="1">IFERROR(__xludf.DUMMYFUNCTION("""COMPUTED_VALUE"""),39675928)</f>
        <v>39675928</v>
      </c>
    </row>
    <row r="809" spans="1:6" ht="12.6">
      <c r="A809" s="2">
        <f ca="1">IFERROR(__xludf.DUMMYFUNCTION("""COMPUTED_VALUE"""),45740.6666666666)</f>
        <v>45740.666666666599</v>
      </c>
      <c r="B809" s="1">
        <f ca="1">IFERROR(__xludf.DUMMYFUNCTION("""COMPUTED_VALUE"""),395.4)</f>
        <v>395.4</v>
      </c>
      <c r="C809" s="1">
        <f ca="1">IFERROR(__xludf.DUMMYFUNCTION("""COMPUTED_VALUE"""),395.4)</f>
        <v>395.4</v>
      </c>
      <c r="D809" s="1">
        <f ca="1">IFERROR(__xludf.DUMMYFUNCTION("""COMPUTED_VALUE"""),389.81)</f>
        <v>389.81</v>
      </c>
      <c r="E809" s="1">
        <f ca="1">IFERROR(__xludf.DUMMYFUNCTION("""COMPUTED_VALUE"""),393.08)</f>
        <v>393.08</v>
      </c>
      <c r="F809" s="1">
        <f ca="1">IFERROR(__xludf.DUMMYFUNCTION("""COMPUTED_VALUE"""),21004548)</f>
        <v>21004548</v>
      </c>
    </row>
    <row r="810" spans="1:6" ht="12.6">
      <c r="A810" s="2">
        <f ca="1">IFERROR(__xludf.DUMMYFUNCTION("""COMPUTED_VALUE"""),45741.6666666666)</f>
        <v>45741.666666666599</v>
      </c>
      <c r="B810" s="1">
        <f ca="1">IFERROR(__xludf.DUMMYFUNCTION("""COMPUTED_VALUE"""),393.92)</f>
        <v>393.92</v>
      </c>
      <c r="C810" s="1">
        <f ca="1">IFERROR(__xludf.DUMMYFUNCTION("""COMPUTED_VALUE"""),396.36)</f>
        <v>396.36</v>
      </c>
      <c r="D810" s="1">
        <f ca="1">IFERROR(__xludf.DUMMYFUNCTION("""COMPUTED_VALUE"""),392.64)</f>
        <v>392.64</v>
      </c>
      <c r="E810" s="1">
        <f ca="1">IFERROR(__xludf.DUMMYFUNCTION("""COMPUTED_VALUE"""),395.16)</f>
        <v>395.16</v>
      </c>
      <c r="F810" s="1">
        <f ca="1">IFERROR(__xludf.DUMMYFUNCTION("""COMPUTED_VALUE"""),15774968)</f>
        <v>15774968</v>
      </c>
    </row>
    <row r="811" spans="1:6" ht="12.6">
      <c r="A811" s="2">
        <f ca="1">IFERROR(__xludf.DUMMYFUNCTION("""COMPUTED_VALUE"""),45742.6666666666)</f>
        <v>45742.666666666599</v>
      </c>
      <c r="B811" s="1">
        <f ca="1">IFERROR(__xludf.DUMMYFUNCTION("""COMPUTED_VALUE"""),395)</f>
        <v>395</v>
      </c>
      <c r="C811" s="1">
        <f ca="1">IFERROR(__xludf.DUMMYFUNCTION("""COMPUTED_VALUE"""),395.31)</f>
        <v>395.31</v>
      </c>
      <c r="D811" s="1">
        <f ca="1">IFERROR(__xludf.DUMMYFUNCTION("""COMPUTED_VALUE"""),388.57)</f>
        <v>388.57</v>
      </c>
      <c r="E811" s="1">
        <f ca="1">IFERROR(__xludf.DUMMYFUNCTION("""COMPUTED_VALUE"""),389.97)</f>
        <v>389.97</v>
      </c>
      <c r="F811" s="1">
        <f ca="1">IFERROR(__xludf.DUMMYFUNCTION("""COMPUTED_VALUE"""),16132906)</f>
        <v>16132906</v>
      </c>
    </row>
    <row r="812" spans="1:6" ht="12.6">
      <c r="A812" s="2">
        <f ca="1">IFERROR(__xludf.DUMMYFUNCTION("""COMPUTED_VALUE"""),45743.6666666666)</f>
        <v>45743.666666666599</v>
      </c>
      <c r="B812" s="1">
        <f ca="1">IFERROR(__xludf.DUMMYFUNCTION("""COMPUTED_VALUE"""),390.13)</f>
        <v>390.13</v>
      </c>
      <c r="C812" s="1">
        <f ca="1">IFERROR(__xludf.DUMMYFUNCTION("""COMPUTED_VALUE"""),392.24)</f>
        <v>392.24</v>
      </c>
      <c r="D812" s="1">
        <f ca="1">IFERROR(__xludf.DUMMYFUNCTION("""COMPUTED_VALUE"""),387.4)</f>
        <v>387.4</v>
      </c>
      <c r="E812" s="1">
        <f ca="1">IFERROR(__xludf.DUMMYFUNCTION("""COMPUTED_VALUE"""),390.58)</f>
        <v>390.58</v>
      </c>
      <c r="F812" s="1">
        <f ca="1">IFERROR(__xludf.DUMMYFUNCTION("""COMPUTED_VALUE"""),13766761)</f>
        <v>13766761</v>
      </c>
    </row>
    <row r="813" spans="1:6" ht="12.6">
      <c r="A813" s="2">
        <f ca="1">IFERROR(__xludf.DUMMYFUNCTION("""COMPUTED_VALUE"""),45744.6666666666)</f>
        <v>45744.666666666599</v>
      </c>
      <c r="B813" s="1">
        <f ca="1">IFERROR(__xludf.DUMMYFUNCTION("""COMPUTED_VALUE"""),388.08)</f>
        <v>388.08</v>
      </c>
      <c r="C813" s="1">
        <f ca="1">IFERROR(__xludf.DUMMYFUNCTION("""COMPUTED_VALUE"""),389.13)</f>
        <v>389.13</v>
      </c>
      <c r="D813" s="1">
        <f ca="1">IFERROR(__xludf.DUMMYFUNCTION("""COMPUTED_VALUE"""),376.93)</f>
        <v>376.93</v>
      </c>
      <c r="E813" s="1">
        <f ca="1">IFERROR(__xludf.DUMMYFUNCTION("""COMPUTED_VALUE"""),378.8)</f>
        <v>378.8</v>
      </c>
      <c r="F813" s="1">
        <f ca="1">IFERROR(__xludf.DUMMYFUNCTION("""COMPUTED_VALUE"""),21632016)</f>
        <v>21632016</v>
      </c>
    </row>
    <row r="814" spans="1:6" ht="12.6">
      <c r="A814" s="2">
        <f ca="1">IFERROR(__xludf.DUMMYFUNCTION("""COMPUTED_VALUE"""),45747.6666666666)</f>
        <v>45747.666666666599</v>
      </c>
      <c r="B814" s="1">
        <f ca="1">IFERROR(__xludf.DUMMYFUNCTION("""COMPUTED_VALUE"""),372.54)</f>
        <v>372.54</v>
      </c>
      <c r="C814" s="1">
        <f ca="1">IFERROR(__xludf.DUMMYFUNCTION("""COMPUTED_VALUE"""),377.07)</f>
        <v>377.07</v>
      </c>
      <c r="D814" s="1">
        <f ca="1">IFERROR(__xludf.DUMMYFUNCTION("""COMPUTED_VALUE"""),367.24)</f>
        <v>367.24</v>
      </c>
      <c r="E814" s="1">
        <f ca="1">IFERROR(__xludf.DUMMYFUNCTION("""COMPUTED_VALUE"""),375.39)</f>
        <v>375.39</v>
      </c>
      <c r="F814" s="1">
        <f ca="1">IFERROR(__xludf.DUMMYFUNCTION("""COMPUTED_VALUE"""),35184676)</f>
        <v>35184676</v>
      </c>
    </row>
    <row r="815" spans="1:6" ht="12.6">
      <c r="A815" s="2">
        <f ca="1">IFERROR(__xludf.DUMMYFUNCTION("""COMPUTED_VALUE"""),45748.6666666666)</f>
        <v>45748.666666666599</v>
      </c>
      <c r="B815" s="1">
        <f ca="1">IFERROR(__xludf.DUMMYFUNCTION("""COMPUTED_VALUE"""),374.65)</f>
        <v>374.65</v>
      </c>
      <c r="C815" s="1">
        <f ca="1">IFERROR(__xludf.DUMMYFUNCTION("""COMPUTED_VALUE"""),382.85)</f>
        <v>382.85</v>
      </c>
      <c r="D815" s="1">
        <f ca="1">IFERROR(__xludf.DUMMYFUNCTION("""COMPUTED_VALUE"""),373.23)</f>
        <v>373.23</v>
      </c>
      <c r="E815" s="1">
        <f ca="1">IFERROR(__xludf.DUMMYFUNCTION("""COMPUTED_VALUE"""),382.19)</f>
        <v>382.19</v>
      </c>
      <c r="F815" s="1">
        <f ca="1">IFERROR(__xludf.DUMMYFUNCTION("""COMPUTED_VALUE"""),19689503)</f>
        <v>19689503</v>
      </c>
    </row>
    <row r="816" spans="1:6" ht="12.6">
      <c r="A816" s="2">
        <f ca="1">IFERROR(__xludf.DUMMYFUNCTION("""COMPUTED_VALUE"""),45749.6666666666)</f>
        <v>45749.666666666599</v>
      </c>
      <c r="B816" s="1">
        <f ca="1">IFERROR(__xludf.DUMMYFUNCTION("""COMPUTED_VALUE"""),377.97)</f>
        <v>377.97</v>
      </c>
      <c r="C816" s="1">
        <f ca="1">IFERROR(__xludf.DUMMYFUNCTION("""COMPUTED_VALUE"""),385.08)</f>
        <v>385.08</v>
      </c>
      <c r="D816" s="1">
        <f ca="1">IFERROR(__xludf.DUMMYFUNCTION("""COMPUTED_VALUE"""),376.62)</f>
        <v>376.62</v>
      </c>
      <c r="E816" s="1">
        <f ca="1">IFERROR(__xludf.DUMMYFUNCTION("""COMPUTED_VALUE"""),382.14)</f>
        <v>382.14</v>
      </c>
      <c r="F816" s="1">
        <f ca="1">IFERROR(__xludf.DUMMYFUNCTION("""COMPUTED_VALUE"""),16092555)</f>
        <v>16092555</v>
      </c>
    </row>
    <row r="817" spans="1:6" ht="12.6">
      <c r="A817" s="2">
        <f ca="1">IFERROR(__xludf.DUMMYFUNCTION("""COMPUTED_VALUE"""),45750.6666666666)</f>
        <v>45750.666666666599</v>
      </c>
      <c r="B817" s="1">
        <f ca="1">IFERROR(__xludf.DUMMYFUNCTION("""COMPUTED_VALUE"""),374.79)</f>
        <v>374.79</v>
      </c>
      <c r="C817" s="1">
        <f ca="1">IFERROR(__xludf.DUMMYFUNCTION("""COMPUTED_VALUE"""),377.48)</f>
        <v>377.48</v>
      </c>
      <c r="D817" s="1">
        <f ca="1">IFERROR(__xludf.DUMMYFUNCTION("""COMPUTED_VALUE"""),369.35)</f>
        <v>369.35</v>
      </c>
      <c r="E817" s="1">
        <f ca="1">IFERROR(__xludf.DUMMYFUNCTION("""COMPUTED_VALUE"""),373.11)</f>
        <v>373.11</v>
      </c>
      <c r="F817" s="1">
        <f ca="1">IFERROR(__xludf.DUMMYFUNCTION("""COMPUTED_VALUE"""),30197997)</f>
        <v>30197997</v>
      </c>
    </row>
    <row r="818" spans="1:6" ht="12.6">
      <c r="A818" s="2">
        <f ca="1">IFERROR(__xludf.DUMMYFUNCTION("""COMPUTED_VALUE"""),45751.6666666666)</f>
        <v>45751.666666666599</v>
      </c>
      <c r="B818" s="1">
        <f ca="1">IFERROR(__xludf.DUMMYFUNCTION("""COMPUTED_VALUE"""),364.13)</f>
        <v>364.13</v>
      </c>
      <c r="C818" s="1">
        <f ca="1">IFERROR(__xludf.DUMMYFUNCTION("""COMPUTED_VALUE"""),374.59)</f>
        <v>374.59</v>
      </c>
      <c r="D818" s="1">
        <f ca="1">IFERROR(__xludf.DUMMYFUNCTION("""COMPUTED_VALUE"""),359.48)</f>
        <v>359.48</v>
      </c>
      <c r="E818" s="1">
        <f ca="1">IFERROR(__xludf.DUMMYFUNCTION("""COMPUTED_VALUE"""),359.84)</f>
        <v>359.84</v>
      </c>
      <c r="F818" s="1">
        <f ca="1">IFERROR(__xludf.DUMMYFUNCTION("""COMPUTED_VALUE"""),49209854)</f>
        <v>49209854</v>
      </c>
    </row>
    <row r="819" spans="1:6" ht="12.6">
      <c r="A819" s="2">
        <f ca="1">IFERROR(__xludf.DUMMYFUNCTION("""COMPUTED_VALUE"""),45754.6666666666)</f>
        <v>45754.666666666599</v>
      </c>
      <c r="B819" s="1">
        <f ca="1">IFERROR(__xludf.DUMMYFUNCTION("""COMPUTED_VALUE"""),350.88)</f>
        <v>350.88</v>
      </c>
      <c r="C819" s="1">
        <f ca="1">IFERROR(__xludf.DUMMYFUNCTION("""COMPUTED_VALUE"""),371)</f>
        <v>371</v>
      </c>
      <c r="D819" s="1">
        <f ca="1">IFERROR(__xludf.DUMMYFUNCTION("""COMPUTED_VALUE"""),344.79)</f>
        <v>344.79</v>
      </c>
      <c r="E819" s="1">
        <f ca="1">IFERROR(__xludf.DUMMYFUNCTION("""COMPUTED_VALUE"""),357.86)</f>
        <v>357.86</v>
      </c>
      <c r="F819" s="1">
        <f ca="1">IFERROR(__xludf.DUMMYFUNCTION("""COMPUTED_VALUE"""),50424998)</f>
        <v>50424998</v>
      </c>
    </row>
    <row r="820" spans="1:6" ht="12.6">
      <c r="A820" s="2">
        <f ca="1">IFERROR(__xludf.DUMMYFUNCTION("""COMPUTED_VALUE"""),45755.6666666666)</f>
        <v>45755.666666666599</v>
      </c>
      <c r="B820" s="1">
        <f ca="1">IFERROR(__xludf.DUMMYFUNCTION("""COMPUTED_VALUE"""),368.26)</f>
        <v>368.26</v>
      </c>
      <c r="C820" s="1">
        <f ca="1">IFERROR(__xludf.DUMMYFUNCTION("""COMPUTED_VALUE"""),373.65)</f>
        <v>373.65</v>
      </c>
      <c r="D820" s="1">
        <f ca="1">IFERROR(__xludf.DUMMYFUNCTION("""COMPUTED_VALUE"""),350.25)</f>
        <v>350.25</v>
      </c>
      <c r="E820" s="1">
        <f ca="1">IFERROR(__xludf.DUMMYFUNCTION("""COMPUTED_VALUE"""),354.56)</f>
        <v>354.56</v>
      </c>
      <c r="F820" s="1">
        <f ca="1">IFERROR(__xludf.DUMMYFUNCTION("""COMPUTED_VALUE"""),35868918)</f>
        <v>35868918</v>
      </c>
    </row>
    <row r="821" spans="1:6" ht="12.6">
      <c r="A821" s="2">
        <f ca="1">IFERROR(__xludf.DUMMYFUNCTION("""COMPUTED_VALUE"""),45756.6666666666)</f>
        <v>45756.666666666599</v>
      </c>
      <c r="B821" s="1">
        <f ca="1">IFERROR(__xludf.DUMMYFUNCTION("""COMPUTED_VALUE"""),353.54)</f>
        <v>353.54</v>
      </c>
      <c r="C821" s="1">
        <f ca="1">IFERROR(__xludf.DUMMYFUNCTION("""COMPUTED_VALUE"""),393.23)</f>
        <v>393.23</v>
      </c>
      <c r="D821" s="1">
        <f ca="1">IFERROR(__xludf.DUMMYFUNCTION("""COMPUTED_VALUE"""),353.1)</f>
        <v>353.1</v>
      </c>
      <c r="E821" s="1">
        <f ca="1">IFERROR(__xludf.DUMMYFUNCTION("""COMPUTED_VALUE"""),390.49)</f>
        <v>390.49</v>
      </c>
      <c r="F821" s="1">
        <f ca="1">IFERROR(__xludf.DUMMYFUNCTION("""COMPUTED_VALUE"""),50199696)</f>
        <v>50199696</v>
      </c>
    </row>
    <row r="822" spans="1:6" ht="12.6">
      <c r="A822" s="2">
        <f ca="1">IFERROR(__xludf.DUMMYFUNCTION("""COMPUTED_VALUE"""),45757.6666666666)</f>
        <v>45757.666666666599</v>
      </c>
      <c r="B822" s="1">
        <f ca="1">IFERROR(__xludf.DUMMYFUNCTION("""COMPUTED_VALUE"""),382.06)</f>
        <v>382.06</v>
      </c>
      <c r="C822" s="1">
        <f ca="1">IFERROR(__xludf.DUMMYFUNCTION("""COMPUTED_VALUE"""),383.9)</f>
        <v>383.9</v>
      </c>
      <c r="D822" s="1">
        <f ca="1">IFERROR(__xludf.DUMMYFUNCTION("""COMPUTED_VALUE"""),367.8)</f>
        <v>367.8</v>
      </c>
      <c r="E822" s="1">
        <f ca="1">IFERROR(__xludf.DUMMYFUNCTION("""COMPUTED_VALUE"""),381.35)</f>
        <v>381.35</v>
      </c>
      <c r="F822" s="1">
        <f ca="1">IFERROR(__xludf.DUMMYFUNCTION("""COMPUTED_VALUE"""),38024368)</f>
        <v>38024368</v>
      </c>
    </row>
    <row r="823" spans="1:6" ht="12.6">
      <c r="A823" s="2">
        <f ca="1">IFERROR(__xludf.DUMMYFUNCTION("""COMPUTED_VALUE"""),45758.6666666666)</f>
        <v>45758.666666666599</v>
      </c>
      <c r="B823" s="1">
        <f ca="1">IFERROR(__xludf.DUMMYFUNCTION("""COMPUTED_VALUE"""),380.64)</f>
        <v>380.64</v>
      </c>
      <c r="C823" s="1">
        <f ca="1">IFERROR(__xludf.DUMMYFUNCTION("""COMPUTED_VALUE"""),390.05)</f>
        <v>390.05</v>
      </c>
      <c r="D823" s="1">
        <f ca="1">IFERROR(__xludf.DUMMYFUNCTION("""COMPUTED_VALUE"""),378.89)</f>
        <v>378.89</v>
      </c>
      <c r="E823" s="1">
        <f ca="1">IFERROR(__xludf.DUMMYFUNCTION("""COMPUTED_VALUE"""),388.45)</f>
        <v>388.45</v>
      </c>
      <c r="F823" s="1">
        <f ca="1">IFERROR(__xludf.DUMMYFUNCTION("""COMPUTED_VALUE"""),23839220)</f>
        <v>23839220</v>
      </c>
    </row>
    <row r="824" spans="1:6" ht="12.6">
      <c r="A824" s="2">
        <f ca="1">IFERROR(__xludf.DUMMYFUNCTION("""COMPUTED_VALUE"""),45761.6666666666)</f>
        <v>45761.666666666599</v>
      </c>
      <c r="B824" s="1">
        <f ca="1">IFERROR(__xludf.DUMMYFUNCTION("""COMPUTED_VALUE"""),393.22)</f>
        <v>393.22</v>
      </c>
      <c r="C824" s="1">
        <f ca="1">IFERROR(__xludf.DUMMYFUNCTION("""COMPUTED_VALUE"""),394.65)</f>
        <v>394.65</v>
      </c>
      <c r="D824" s="1">
        <f ca="1">IFERROR(__xludf.DUMMYFUNCTION("""COMPUTED_VALUE"""),384.21)</f>
        <v>384.21</v>
      </c>
      <c r="E824" s="1">
        <f ca="1">IFERROR(__xludf.DUMMYFUNCTION("""COMPUTED_VALUE"""),387.81)</f>
        <v>387.81</v>
      </c>
      <c r="F824" s="1">
        <f ca="1">IFERROR(__xludf.DUMMYFUNCTION("""COMPUTED_VALUE"""),19251172)</f>
        <v>19251172</v>
      </c>
    </row>
    <row r="825" spans="1:6" ht="12.6">
      <c r="A825" s="2">
        <f ca="1">IFERROR(__xludf.DUMMYFUNCTION("""COMPUTED_VALUE"""),45762.6666666666)</f>
        <v>45762.666666666599</v>
      </c>
      <c r="B825" s="1">
        <f ca="1">IFERROR(__xludf.DUMMYFUNCTION("""COMPUTED_VALUE"""),388.51)</f>
        <v>388.51</v>
      </c>
      <c r="C825" s="1">
        <f ca="1">IFERROR(__xludf.DUMMYFUNCTION("""COMPUTED_VALUE"""),391.89)</f>
        <v>391.89</v>
      </c>
      <c r="D825" s="1">
        <f ca="1">IFERROR(__xludf.DUMMYFUNCTION("""COMPUTED_VALUE"""),384.16)</f>
        <v>384.16</v>
      </c>
      <c r="E825" s="1">
        <f ca="1">IFERROR(__xludf.DUMMYFUNCTION("""COMPUTED_VALUE"""),385.73)</f>
        <v>385.73</v>
      </c>
      <c r="F825" s="1">
        <f ca="1">IFERROR(__xludf.DUMMYFUNCTION("""COMPUTED_VALUE"""),17199890)</f>
        <v>17199890</v>
      </c>
    </row>
    <row r="826" spans="1:6" ht="12.6">
      <c r="A826" s="2">
        <f ca="1">IFERROR(__xludf.DUMMYFUNCTION("""COMPUTED_VALUE"""),45763.6666666666)</f>
        <v>45763.666666666599</v>
      </c>
      <c r="B826" s="1">
        <f ca="1">IFERROR(__xludf.DUMMYFUNCTION("""COMPUTED_VALUE"""),380.67)</f>
        <v>380.67</v>
      </c>
      <c r="C826" s="1">
        <f ca="1">IFERROR(__xludf.DUMMYFUNCTION("""COMPUTED_VALUE"""),381.61)</f>
        <v>381.61</v>
      </c>
      <c r="D826" s="1">
        <f ca="1">IFERROR(__xludf.DUMMYFUNCTION("""COMPUTED_VALUE"""),368)</f>
        <v>368</v>
      </c>
      <c r="E826" s="1">
        <f ca="1">IFERROR(__xludf.DUMMYFUNCTION("""COMPUTED_VALUE"""),371.61)</f>
        <v>371.61</v>
      </c>
      <c r="F826" s="1">
        <f ca="1">IFERROR(__xludf.DUMMYFUNCTION("""COMPUTED_VALUE"""),21967826)</f>
        <v>21967826</v>
      </c>
    </row>
    <row r="827" spans="1:6" ht="12.6">
      <c r="A827" s="2">
        <f ca="1">IFERROR(__xludf.DUMMYFUNCTION("""COMPUTED_VALUE"""),45764.6666666666)</f>
        <v>45764.666666666599</v>
      </c>
      <c r="B827" s="1">
        <f ca="1">IFERROR(__xludf.DUMMYFUNCTION("""COMPUTED_VALUE"""),373.75)</f>
        <v>373.75</v>
      </c>
      <c r="C827" s="1">
        <f ca="1">IFERROR(__xludf.DUMMYFUNCTION("""COMPUTED_VALUE"""),374.32)</f>
        <v>374.32</v>
      </c>
      <c r="D827" s="1">
        <f ca="1">IFERROR(__xludf.DUMMYFUNCTION("""COMPUTED_VALUE"""),366.89)</f>
        <v>366.89</v>
      </c>
      <c r="E827" s="1">
        <f ca="1">IFERROR(__xludf.DUMMYFUNCTION("""COMPUTED_VALUE"""),367.78)</f>
        <v>367.78</v>
      </c>
      <c r="F827" s="1">
        <f ca="1">IFERROR(__xludf.DUMMYFUNCTION("""COMPUTED_VALUE"""),21120192)</f>
        <v>21120192</v>
      </c>
    </row>
    <row r="828" spans="1:6" ht="12.6">
      <c r="A828" s="2">
        <f ca="1">IFERROR(__xludf.DUMMYFUNCTION("""COMPUTED_VALUE"""),45768.6666666666)</f>
        <v>45768.666666666599</v>
      </c>
      <c r="B828" s="1">
        <f ca="1">IFERROR(__xludf.DUMMYFUNCTION("""COMPUTED_VALUE"""),362.82)</f>
        <v>362.82</v>
      </c>
      <c r="C828" s="1">
        <f ca="1">IFERROR(__xludf.DUMMYFUNCTION("""COMPUTED_VALUE"""),364.48)</f>
        <v>364.48</v>
      </c>
      <c r="D828" s="1">
        <f ca="1">IFERROR(__xludf.DUMMYFUNCTION("""COMPUTED_VALUE"""),355.67)</f>
        <v>355.67</v>
      </c>
      <c r="E828" s="1">
        <f ca="1">IFERROR(__xludf.DUMMYFUNCTION("""COMPUTED_VALUE"""),359.12)</f>
        <v>359.12</v>
      </c>
      <c r="F828" s="1">
        <f ca="1">IFERROR(__xludf.DUMMYFUNCTION("""COMPUTED_VALUE"""),20807279)</f>
        <v>20807279</v>
      </c>
    </row>
    <row r="829" spans="1:6" ht="12.6">
      <c r="A829" s="2">
        <f ca="1">IFERROR(__xludf.DUMMYFUNCTION("""COMPUTED_VALUE"""),45769.6666666666)</f>
        <v>45769.666666666599</v>
      </c>
      <c r="B829" s="1">
        <f ca="1">IFERROR(__xludf.DUMMYFUNCTION("""COMPUTED_VALUE"""),363.38)</f>
        <v>363.38</v>
      </c>
      <c r="C829" s="1">
        <f ca="1">IFERROR(__xludf.DUMMYFUNCTION("""COMPUTED_VALUE"""),367.77)</f>
        <v>367.77</v>
      </c>
      <c r="D829" s="1">
        <f ca="1">IFERROR(__xludf.DUMMYFUNCTION("""COMPUTED_VALUE"""),359.86)</f>
        <v>359.86</v>
      </c>
      <c r="E829" s="1">
        <f ca="1">IFERROR(__xludf.DUMMYFUNCTION("""COMPUTED_VALUE"""),366.82)</f>
        <v>366.82</v>
      </c>
      <c r="F829" s="1">
        <f ca="1">IFERROR(__xludf.DUMMYFUNCTION("""COMPUTED_VALUE"""),19484993)</f>
        <v>19484993</v>
      </c>
    </row>
    <row r="830" spans="1:6" ht="12.6">
      <c r="A830" s="2">
        <f ca="1">IFERROR(__xludf.DUMMYFUNCTION("""COMPUTED_VALUE"""),45770.6666666666)</f>
        <v>45770.666666666599</v>
      </c>
      <c r="B830" s="1">
        <f ca="1">IFERROR(__xludf.DUMMYFUNCTION("""COMPUTED_VALUE"""),376.06)</f>
        <v>376.06</v>
      </c>
      <c r="C830" s="1">
        <f ca="1">IFERROR(__xludf.DUMMYFUNCTION("""COMPUTED_VALUE"""),380.39)</f>
        <v>380.39</v>
      </c>
      <c r="D830" s="1">
        <f ca="1">IFERROR(__xludf.DUMMYFUNCTION("""COMPUTED_VALUE"""),373.02)</f>
        <v>373.02</v>
      </c>
      <c r="E830" s="1">
        <f ca="1">IFERROR(__xludf.DUMMYFUNCTION("""COMPUTED_VALUE"""),374.39)</f>
        <v>374.39</v>
      </c>
      <c r="F830" s="1">
        <f ca="1">IFERROR(__xludf.DUMMYFUNCTION("""COMPUTED_VALUE"""),20545526)</f>
        <v>20545526</v>
      </c>
    </row>
    <row r="831" spans="1:6" ht="12.6">
      <c r="A831" s="2">
        <f ca="1">IFERROR(__xludf.DUMMYFUNCTION("""COMPUTED_VALUE"""),45771.6666666666)</f>
        <v>45771.666666666599</v>
      </c>
      <c r="B831" s="1">
        <f ca="1">IFERROR(__xludf.DUMMYFUNCTION("""COMPUTED_VALUE"""),375.7)</f>
        <v>375.7</v>
      </c>
      <c r="C831" s="1">
        <f ca="1">IFERROR(__xludf.DUMMYFUNCTION("""COMPUTED_VALUE"""),388.45)</f>
        <v>388.45</v>
      </c>
      <c r="D831" s="1">
        <f ca="1">IFERROR(__xludf.DUMMYFUNCTION("""COMPUTED_VALUE"""),375.19)</f>
        <v>375.19</v>
      </c>
      <c r="E831" s="1">
        <f ca="1">IFERROR(__xludf.DUMMYFUNCTION("""COMPUTED_VALUE"""),387.3)</f>
        <v>387.3</v>
      </c>
      <c r="F831" s="1">
        <f ca="1">IFERROR(__xludf.DUMMYFUNCTION("""COMPUTED_VALUE"""),22232289)</f>
        <v>22232289</v>
      </c>
    </row>
    <row r="832" spans="1:6" ht="12.6">
      <c r="A832" s="2">
        <f ca="1">IFERROR(__xludf.DUMMYFUNCTION("""COMPUTED_VALUE"""),45772.6666666666)</f>
        <v>45772.666666666599</v>
      </c>
      <c r="B832" s="1">
        <f ca="1">IFERROR(__xludf.DUMMYFUNCTION("""COMPUTED_VALUE"""),387)</f>
        <v>387</v>
      </c>
      <c r="C832" s="1">
        <f ca="1">IFERROR(__xludf.DUMMYFUNCTION("""COMPUTED_VALUE"""),392.16)</f>
        <v>392.16</v>
      </c>
      <c r="D832" s="1">
        <f ca="1">IFERROR(__xludf.DUMMYFUNCTION("""COMPUTED_VALUE"""),384.6)</f>
        <v>384.6</v>
      </c>
      <c r="E832" s="1">
        <f ca="1">IFERROR(__xludf.DUMMYFUNCTION("""COMPUTED_VALUE"""),391.85)</f>
        <v>391.85</v>
      </c>
      <c r="F832" s="1">
        <f ca="1">IFERROR(__xludf.DUMMYFUNCTION("""COMPUTED_VALUE"""),18973165)</f>
        <v>18973165</v>
      </c>
    </row>
    <row r="833" spans="1:6" ht="12.6">
      <c r="A833" s="2">
        <f ca="1">IFERROR(__xludf.DUMMYFUNCTION("""COMPUTED_VALUE"""),45775.6666666666)</f>
        <v>45775.666666666599</v>
      </c>
      <c r="B833" s="1">
        <f ca="1">IFERROR(__xludf.DUMMYFUNCTION("""COMPUTED_VALUE"""),391.96)</f>
        <v>391.96</v>
      </c>
      <c r="C833" s="1">
        <f ca="1">IFERROR(__xludf.DUMMYFUNCTION("""COMPUTED_VALUE"""),392.74)</f>
        <v>392.74</v>
      </c>
      <c r="D833" s="1">
        <f ca="1">IFERROR(__xludf.DUMMYFUNCTION("""COMPUTED_VALUE"""),386.64)</f>
        <v>386.64</v>
      </c>
      <c r="E833" s="1">
        <f ca="1">IFERROR(__xludf.DUMMYFUNCTION("""COMPUTED_VALUE"""),391.16)</f>
        <v>391.16</v>
      </c>
      <c r="F833" s="1">
        <f ca="1">IFERROR(__xludf.DUMMYFUNCTION("""COMPUTED_VALUE"""),16579430)</f>
        <v>16579430</v>
      </c>
    </row>
    <row r="834" spans="1:6" ht="12.6">
      <c r="A834" s="2">
        <f ca="1">IFERROR(__xludf.DUMMYFUNCTION("""COMPUTED_VALUE"""),45776.6666666666)</f>
        <v>45776.666666666599</v>
      </c>
      <c r="B834" s="1">
        <f ca="1">IFERROR(__xludf.DUMMYFUNCTION("""COMPUTED_VALUE"""),391.3)</f>
        <v>391.3</v>
      </c>
      <c r="C834" s="1">
        <f ca="1">IFERROR(__xludf.DUMMYFUNCTION("""COMPUTED_VALUE"""),395.1)</f>
        <v>395.1</v>
      </c>
      <c r="D834" s="1">
        <f ca="1">IFERROR(__xludf.DUMMYFUNCTION("""COMPUTED_VALUE"""),390.38)</f>
        <v>390.38</v>
      </c>
      <c r="E834" s="1">
        <f ca="1">IFERROR(__xludf.DUMMYFUNCTION("""COMPUTED_VALUE"""),394.04)</f>
        <v>394.04</v>
      </c>
      <c r="F834" s="1">
        <f ca="1">IFERROR(__xludf.DUMMYFUNCTION("""COMPUTED_VALUE"""),14973976)</f>
        <v>14973976</v>
      </c>
    </row>
    <row r="835" spans="1:6" ht="12.6">
      <c r="A835" s="2">
        <f ca="1">IFERROR(__xludf.DUMMYFUNCTION("""COMPUTED_VALUE"""),45777.6666666666)</f>
        <v>45777.666666666599</v>
      </c>
      <c r="B835" s="1">
        <f ca="1">IFERROR(__xludf.DUMMYFUNCTION("""COMPUTED_VALUE"""),390.3)</f>
        <v>390.3</v>
      </c>
      <c r="C835" s="1">
        <f ca="1">IFERROR(__xludf.DUMMYFUNCTION("""COMPUTED_VALUE"""),396.66)</f>
        <v>396.66</v>
      </c>
      <c r="D835" s="1">
        <f ca="1">IFERROR(__xludf.DUMMYFUNCTION("""COMPUTED_VALUE"""),384.44)</f>
        <v>384.44</v>
      </c>
      <c r="E835" s="1">
        <f ca="1">IFERROR(__xludf.DUMMYFUNCTION("""COMPUTED_VALUE"""),395.26)</f>
        <v>395.26</v>
      </c>
      <c r="F835" s="1">
        <f ca="1">IFERROR(__xludf.DUMMYFUNCTION("""COMPUTED_VALUE"""),36461075)</f>
        <v>36461075</v>
      </c>
    </row>
    <row r="836" spans="1:6" ht="12.6">
      <c r="A836" s="2">
        <f ca="1">IFERROR(__xludf.DUMMYFUNCTION("""COMPUTED_VALUE"""),45778.6666666666)</f>
        <v>45778.666666666599</v>
      </c>
      <c r="B836" s="1">
        <f ca="1">IFERROR(__xludf.DUMMYFUNCTION("""COMPUTED_VALUE"""),431.11)</f>
        <v>431.11</v>
      </c>
      <c r="C836" s="1">
        <f ca="1">IFERROR(__xludf.DUMMYFUNCTION("""COMPUTED_VALUE"""),436.99)</f>
        <v>436.99</v>
      </c>
      <c r="D836" s="1">
        <f ca="1">IFERROR(__xludf.DUMMYFUNCTION("""COMPUTED_VALUE"""),424.9)</f>
        <v>424.9</v>
      </c>
      <c r="E836" s="1">
        <f ca="1">IFERROR(__xludf.DUMMYFUNCTION("""COMPUTED_VALUE"""),425.4)</f>
        <v>425.4</v>
      </c>
      <c r="F836" s="1">
        <f ca="1">IFERROR(__xludf.DUMMYFUNCTION("""COMPUTED_VALUE"""),58938100)</f>
        <v>58938100</v>
      </c>
    </row>
    <row r="837" spans="1:6" ht="12.6">
      <c r="A837" s="2">
        <f ca="1">IFERROR(__xludf.DUMMYFUNCTION("""COMPUTED_VALUE"""),45779.6666666666)</f>
        <v>45779.666666666599</v>
      </c>
      <c r="B837" s="1">
        <f ca="1">IFERROR(__xludf.DUMMYFUNCTION("""COMPUTED_VALUE"""),431.74)</f>
        <v>431.74</v>
      </c>
      <c r="C837" s="1">
        <f ca="1">IFERROR(__xludf.DUMMYFUNCTION("""COMPUTED_VALUE"""),439.44)</f>
        <v>439.44</v>
      </c>
      <c r="D837" s="1">
        <f ca="1">IFERROR(__xludf.DUMMYFUNCTION("""COMPUTED_VALUE"""),429.99)</f>
        <v>429.99</v>
      </c>
      <c r="E837" s="1">
        <f ca="1">IFERROR(__xludf.DUMMYFUNCTION("""COMPUTED_VALUE"""),435.28)</f>
        <v>435.28</v>
      </c>
      <c r="F837" s="1">
        <f ca="1">IFERROR(__xludf.DUMMYFUNCTION("""COMPUTED_VALUE"""),30757434)</f>
        <v>30757434</v>
      </c>
    </row>
    <row r="838" spans="1:6" ht="12.6">
      <c r="A838" s="2">
        <f ca="1">IFERROR(__xludf.DUMMYFUNCTION("""COMPUTED_VALUE"""),45782.6666666666)</f>
        <v>45782.666666666599</v>
      </c>
      <c r="B838" s="1">
        <f ca="1">IFERROR(__xludf.DUMMYFUNCTION("""COMPUTED_VALUE"""),432.87)</f>
        <v>432.87</v>
      </c>
      <c r="C838" s="1">
        <f ca="1">IFERROR(__xludf.DUMMYFUNCTION("""COMPUTED_VALUE"""),439.5)</f>
        <v>439.5</v>
      </c>
      <c r="D838" s="1">
        <f ca="1">IFERROR(__xludf.DUMMYFUNCTION("""COMPUTED_VALUE"""),432.11)</f>
        <v>432.11</v>
      </c>
      <c r="E838" s="1">
        <f ca="1">IFERROR(__xludf.DUMMYFUNCTION("""COMPUTED_VALUE"""),436.17)</f>
        <v>436.17</v>
      </c>
      <c r="F838" s="1">
        <f ca="1">IFERROR(__xludf.DUMMYFUNCTION("""COMPUTED_VALUE"""),20136053)</f>
        <v>20136053</v>
      </c>
    </row>
    <row r="839" spans="1:6" ht="12.6">
      <c r="A839" s="2">
        <f ca="1">IFERROR(__xludf.DUMMYFUNCTION("""COMPUTED_VALUE"""),45783.6666666666)</f>
        <v>45783.666666666599</v>
      </c>
      <c r="B839" s="1">
        <f ca="1">IFERROR(__xludf.DUMMYFUNCTION("""COMPUTED_VALUE"""),432.2)</f>
        <v>432.2</v>
      </c>
      <c r="C839" s="1">
        <f ca="1">IFERROR(__xludf.DUMMYFUNCTION("""COMPUTED_VALUE"""),437.73)</f>
        <v>437.73</v>
      </c>
      <c r="D839" s="1">
        <f ca="1">IFERROR(__xludf.DUMMYFUNCTION("""COMPUTED_VALUE"""),431.17)</f>
        <v>431.17</v>
      </c>
      <c r="E839" s="1">
        <f ca="1">IFERROR(__xludf.DUMMYFUNCTION("""COMPUTED_VALUE"""),433.31)</f>
        <v>433.31</v>
      </c>
      <c r="F839" s="1">
        <f ca="1">IFERROR(__xludf.DUMMYFUNCTION("""COMPUTED_VALUE"""),15104204)</f>
        <v>15104204</v>
      </c>
    </row>
    <row r="840" spans="1:6" ht="12.6">
      <c r="A840" s="2">
        <f ca="1">IFERROR(__xludf.DUMMYFUNCTION("""COMPUTED_VALUE"""),45784.6666666666)</f>
        <v>45784.666666666599</v>
      </c>
      <c r="B840" s="1">
        <f ca="1">IFERROR(__xludf.DUMMYFUNCTION("""COMPUTED_VALUE"""),433.84)</f>
        <v>433.84</v>
      </c>
      <c r="C840" s="1">
        <f ca="1">IFERROR(__xludf.DUMMYFUNCTION("""COMPUTED_VALUE"""),438.12)</f>
        <v>438.12</v>
      </c>
      <c r="D840" s="1">
        <f ca="1">IFERROR(__xludf.DUMMYFUNCTION("""COMPUTED_VALUE"""),431.11)</f>
        <v>431.11</v>
      </c>
      <c r="E840" s="1">
        <f ca="1">IFERROR(__xludf.DUMMYFUNCTION("""COMPUTED_VALUE"""),433.35)</f>
        <v>433.35</v>
      </c>
      <c r="F840" s="1">
        <f ca="1">IFERROR(__xludf.DUMMYFUNCTION("""COMPUTED_VALUE"""),23307241)</f>
        <v>23307241</v>
      </c>
    </row>
    <row r="841" spans="1:6" ht="12.6">
      <c r="A841" s="2">
        <f ca="1">IFERROR(__xludf.DUMMYFUNCTION("""COMPUTED_VALUE"""),45785.6666666666)</f>
        <v>45785.666666666599</v>
      </c>
      <c r="B841" s="1">
        <f ca="1">IFERROR(__xludf.DUMMYFUNCTION("""COMPUTED_VALUE"""),437.93)</f>
        <v>437.93</v>
      </c>
      <c r="C841" s="1">
        <f ca="1">IFERROR(__xludf.DUMMYFUNCTION("""COMPUTED_VALUE"""),443.67)</f>
        <v>443.67</v>
      </c>
      <c r="D841" s="1">
        <f ca="1">IFERROR(__xludf.DUMMYFUNCTION("""COMPUTED_VALUE"""),435.66)</f>
        <v>435.66</v>
      </c>
      <c r="E841" s="1">
        <f ca="1">IFERROR(__xludf.DUMMYFUNCTION("""COMPUTED_VALUE"""),438.17)</f>
        <v>438.17</v>
      </c>
      <c r="F841" s="1">
        <f ca="1">IFERROR(__xludf.DUMMYFUNCTION("""COMPUTED_VALUE"""),23491330)</f>
        <v>23491330</v>
      </c>
    </row>
    <row r="842" spans="1:6" ht="12.6">
      <c r="A842" s="2">
        <f ca="1">IFERROR(__xludf.DUMMYFUNCTION("""COMPUTED_VALUE"""),45786.6666666666)</f>
        <v>45786.666666666599</v>
      </c>
      <c r="B842" s="1">
        <f ca="1">IFERROR(__xludf.DUMMYFUNCTION("""COMPUTED_VALUE"""),440)</f>
        <v>440</v>
      </c>
      <c r="C842" s="1">
        <f ca="1">IFERROR(__xludf.DUMMYFUNCTION("""COMPUTED_VALUE"""),440.74)</f>
        <v>440.74</v>
      </c>
      <c r="D842" s="1">
        <f ca="1">IFERROR(__xludf.DUMMYFUNCTION("""COMPUTED_VALUE"""),435.88)</f>
        <v>435.88</v>
      </c>
      <c r="E842" s="1">
        <f ca="1">IFERROR(__xludf.DUMMYFUNCTION("""COMPUTED_VALUE"""),438.73)</f>
        <v>438.73</v>
      </c>
      <c r="F842" s="1">
        <f ca="1">IFERROR(__xludf.DUMMYFUNCTION("""COMPUTED_VALUE"""),15324233)</f>
        <v>15324233</v>
      </c>
    </row>
    <row r="843" spans="1:6" ht="12.6">
      <c r="A843" s="2">
        <f ca="1">IFERROR(__xludf.DUMMYFUNCTION("""COMPUTED_VALUE"""),45789.6666666666)</f>
        <v>45789.666666666599</v>
      </c>
      <c r="B843" s="1">
        <f ca="1">IFERROR(__xludf.DUMMYFUNCTION("""COMPUTED_VALUE"""),445.94)</f>
        <v>445.94</v>
      </c>
      <c r="C843" s="1">
        <f ca="1">IFERROR(__xludf.DUMMYFUNCTION("""COMPUTED_VALUE"""),449.37)</f>
        <v>449.37</v>
      </c>
      <c r="D843" s="1">
        <f ca="1">IFERROR(__xludf.DUMMYFUNCTION("""COMPUTED_VALUE"""),439.78)</f>
        <v>439.78</v>
      </c>
      <c r="E843" s="1">
        <f ca="1">IFERROR(__xludf.DUMMYFUNCTION("""COMPUTED_VALUE"""),449.26)</f>
        <v>449.26</v>
      </c>
      <c r="F843" s="1">
        <f ca="1">IFERROR(__xludf.DUMMYFUNCTION("""COMPUTED_VALUE"""),22821935)</f>
        <v>22821935</v>
      </c>
    </row>
    <row r="844" spans="1:6" ht="12.6">
      <c r="A844" s="2">
        <f ca="1">IFERROR(__xludf.DUMMYFUNCTION("""COMPUTED_VALUE"""),45790.6666666666)</f>
        <v>45790.666666666599</v>
      </c>
      <c r="B844" s="1">
        <f ca="1">IFERROR(__xludf.DUMMYFUNCTION("""COMPUTED_VALUE"""),447.78)</f>
        <v>447.78</v>
      </c>
      <c r="C844" s="1">
        <f ca="1">IFERROR(__xludf.DUMMYFUNCTION("""COMPUTED_VALUE"""),450.67)</f>
        <v>450.67</v>
      </c>
      <c r="D844" s="1">
        <f ca="1">IFERROR(__xludf.DUMMYFUNCTION("""COMPUTED_VALUE"""),445.36)</f>
        <v>445.36</v>
      </c>
      <c r="E844" s="1">
        <f ca="1">IFERROR(__xludf.DUMMYFUNCTION("""COMPUTED_VALUE"""),449.14)</f>
        <v>449.14</v>
      </c>
      <c r="F844" s="1">
        <f ca="1">IFERROR(__xludf.DUMMYFUNCTION("""COMPUTED_VALUE"""),23618819)</f>
        <v>23618819</v>
      </c>
    </row>
    <row r="845" spans="1:6" ht="12.6">
      <c r="A845" s="2">
        <f ca="1">IFERROR(__xludf.DUMMYFUNCTION("""COMPUTED_VALUE"""),45791.6666666666)</f>
        <v>45791.666666666599</v>
      </c>
      <c r="B845" s="1">
        <f ca="1">IFERROR(__xludf.DUMMYFUNCTION("""COMPUTED_VALUE"""),448.14)</f>
        <v>448.14</v>
      </c>
      <c r="C845" s="1">
        <f ca="1">IFERROR(__xludf.DUMMYFUNCTION("""COMPUTED_VALUE"""),453.9)</f>
        <v>453.9</v>
      </c>
      <c r="D845" s="1">
        <f ca="1">IFERROR(__xludf.DUMMYFUNCTION("""COMPUTED_VALUE"""),448.14)</f>
        <v>448.14</v>
      </c>
      <c r="E845" s="1">
        <f ca="1">IFERROR(__xludf.DUMMYFUNCTION("""COMPUTED_VALUE"""),452.94)</f>
        <v>452.94</v>
      </c>
      <c r="F845" s="1">
        <f ca="1">IFERROR(__xludf.DUMMYFUNCTION("""COMPUTED_VALUE"""),19902796)</f>
        <v>19902796</v>
      </c>
    </row>
    <row r="846" spans="1:6" ht="12.6">
      <c r="A846" s="2">
        <f ca="1">IFERROR(__xludf.DUMMYFUNCTION("""COMPUTED_VALUE"""),45792.6666666666)</f>
        <v>45792.666666666599</v>
      </c>
      <c r="B846" s="1">
        <f ca="1">IFERROR(__xludf.DUMMYFUNCTION("""COMPUTED_VALUE"""),450.77)</f>
        <v>450.77</v>
      </c>
      <c r="C846" s="1">
        <f ca="1">IFERROR(__xludf.DUMMYFUNCTION("""COMPUTED_VALUE"""),456.19)</f>
        <v>456.19</v>
      </c>
      <c r="D846" s="1">
        <f ca="1">IFERROR(__xludf.DUMMYFUNCTION("""COMPUTED_VALUE"""),450.43)</f>
        <v>450.43</v>
      </c>
      <c r="E846" s="1">
        <f ca="1">IFERROR(__xludf.DUMMYFUNCTION("""COMPUTED_VALUE"""),453.13)</f>
        <v>453.13</v>
      </c>
      <c r="F846" s="1">
        <f ca="1">IFERROR(__xludf.DUMMYFUNCTION("""COMPUTED_VALUE"""),21992323)</f>
        <v>21992323</v>
      </c>
    </row>
    <row r="847" spans="1:6" ht="12.6">
      <c r="A847" s="2">
        <f ca="1">IFERROR(__xludf.DUMMYFUNCTION("""COMPUTED_VALUE"""),45793.6666666666)</f>
        <v>45793.666666666599</v>
      </c>
      <c r="B847" s="1">
        <f ca="1">IFERROR(__xludf.DUMMYFUNCTION("""COMPUTED_VALUE"""),452.05)</f>
        <v>452.05</v>
      </c>
      <c r="C847" s="1">
        <f ca="1">IFERROR(__xludf.DUMMYFUNCTION("""COMPUTED_VALUE"""),454.36)</f>
        <v>454.36</v>
      </c>
      <c r="D847" s="1">
        <f ca="1">IFERROR(__xludf.DUMMYFUNCTION("""COMPUTED_VALUE"""),448.73)</f>
        <v>448.73</v>
      </c>
      <c r="E847" s="1">
        <f ca="1">IFERROR(__xludf.DUMMYFUNCTION("""COMPUTED_VALUE"""),454.27)</f>
        <v>454.27</v>
      </c>
      <c r="F847" s="1">
        <f ca="1">IFERROR(__xludf.DUMMYFUNCTION("""COMPUTED_VALUE"""),23849781)</f>
        <v>23849781</v>
      </c>
    </row>
    <row r="848" spans="1:6" ht="12.6">
      <c r="A848" s="2">
        <f ca="1">IFERROR(__xludf.DUMMYFUNCTION("""COMPUTED_VALUE"""),45796.6666666666)</f>
        <v>45796.666666666599</v>
      </c>
      <c r="B848" s="1">
        <f ca="1">IFERROR(__xludf.DUMMYFUNCTION("""COMPUTED_VALUE"""),450.88)</f>
        <v>450.88</v>
      </c>
      <c r="C848" s="1">
        <f ca="1">IFERROR(__xludf.DUMMYFUNCTION("""COMPUTED_VALUE"""),459.59)</f>
        <v>459.59</v>
      </c>
      <c r="D848" s="1">
        <f ca="1">IFERROR(__xludf.DUMMYFUNCTION("""COMPUTED_VALUE"""),450.8)</f>
        <v>450.8</v>
      </c>
      <c r="E848" s="1">
        <f ca="1">IFERROR(__xludf.DUMMYFUNCTION("""COMPUTED_VALUE"""),458.87)</f>
        <v>458.87</v>
      </c>
      <c r="F848" s="1">
        <f ca="1">IFERROR(__xludf.DUMMYFUNCTION("""COMPUTED_VALUE"""),21336509)</f>
        <v>21336509</v>
      </c>
    </row>
    <row r="849" spans="1:6" ht="12.6">
      <c r="A849" s="2">
        <f ca="1">IFERROR(__xludf.DUMMYFUNCTION("""COMPUTED_VALUE"""),45797.6666666666)</f>
        <v>45797.666666666599</v>
      </c>
      <c r="B849" s="1">
        <f ca="1">IFERROR(__xludf.DUMMYFUNCTION("""COMPUTED_VALUE"""),455.59)</f>
        <v>455.59</v>
      </c>
      <c r="C849" s="1">
        <f ca="1">IFERROR(__xludf.DUMMYFUNCTION("""COMPUTED_VALUE"""),458.34)</f>
        <v>458.34</v>
      </c>
      <c r="D849" s="1">
        <f ca="1">IFERROR(__xludf.DUMMYFUNCTION("""COMPUTED_VALUE"""),454.32)</f>
        <v>454.32</v>
      </c>
      <c r="E849" s="1">
        <f ca="1">IFERROR(__xludf.DUMMYFUNCTION("""COMPUTED_VALUE"""),458.17)</f>
        <v>458.17</v>
      </c>
      <c r="F849" s="1">
        <f ca="1">IFERROR(__xludf.DUMMYFUNCTION("""COMPUTED_VALUE"""),15441808)</f>
        <v>15441808</v>
      </c>
    </row>
    <row r="850" spans="1:6" ht="12.6">
      <c r="A850" s="2">
        <f ca="1">IFERROR(__xludf.DUMMYFUNCTION("""COMPUTED_VALUE"""),45798.6666666666)</f>
        <v>45798.666666666599</v>
      </c>
      <c r="B850" s="1">
        <f ca="1">IFERROR(__xludf.DUMMYFUNCTION("""COMPUTED_VALUE"""),454.57)</f>
        <v>454.57</v>
      </c>
      <c r="C850" s="1">
        <f ca="1">IFERROR(__xludf.DUMMYFUNCTION("""COMPUTED_VALUE"""),457.78)</f>
        <v>457.78</v>
      </c>
      <c r="D850" s="1">
        <f ca="1">IFERROR(__xludf.DUMMYFUNCTION("""COMPUTED_VALUE"""),451.81)</f>
        <v>451.81</v>
      </c>
      <c r="E850" s="1">
        <f ca="1">IFERROR(__xludf.DUMMYFUNCTION("""COMPUTED_VALUE"""),452.57)</f>
        <v>452.57</v>
      </c>
      <c r="F850" s="1">
        <f ca="1">IFERROR(__xludf.DUMMYFUNCTION("""COMPUTED_VALUE"""),19216906)</f>
        <v>19216906</v>
      </c>
    </row>
    <row r="851" spans="1:6" ht="12.6">
      <c r="A851" s="2">
        <f ca="1">IFERROR(__xludf.DUMMYFUNCTION("""COMPUTED_VALUE"""),45799.6666666666)</f>
        <v>45799.666666666599</v>
      </c>
      <c r="B851" s="1">
        <f ca="1">IFERROR(__xludf.DUMMYFUNCTION("""COMPUTED_VALUE"""),454.95)</f>
        <v>454.95</v>
      </c>
      <c r="C851" s="1">
        <f ca="1">IFERROR(__xludf.DUMMYFUNCTION("""COMPUTED_VALUE"""),460.25)</f>
        <v>460.25</v>
      </c>
      <c r="D851" s="1">
        <f ca="1">IFERROR(__xludf.DUMMYFUNCTION("""COMPUTED_VALUE"""),453.9)</f>
        <v>453.9</v>
      </c>
      <c r="E851" s="1">
        <f ca="1">IFERROR(__xludf.DUMMYFUNCTION("""COMPUTED_VALUE"""),454.86)</f>
        <v>454.86</v>
      </c>
      <c r="F851" s="1">
        <f ca="1">IFERROR(__xludf.DUMMYFUNCTION("""COMPUTED_VALUE"""),18025612)</f>
        <v>18025612</v>
      </c>
    </row>
    <row r="852" spans="1:6" ht="12.6">
      <c r="A852" s="2">
        <f ca="1">IFERROR(__xludf.DUMMYFUNCTION("""COMPUTED_VALUE"""),45800.6666666666)</f>
        <v>45800.666666666599</v>
      </c>
      <c r="B852" s="1">
        <f ca="1">IFERROR(__xludf.DUMMYFUNCTION("""COMPUTED_VALUE"""),449.98)</f>
        <v>449.98</v>
      </c>
      <c r="C852" s="1">
        <f ca="1">IFERROR(__xludf.DUMMYFUNCTION("""COMPUTED_VALUE"""),453.69)</f>
        <v>453.69</v>
      </c>
      <c r="D852" s="1">
        <f ca="1">IFERROR(__xludf.DUMMYFUNCTION("""COMPUTED_VALUE"""),448.91)</f>
        <v>448.91</v>
      </c>
      <c r="E852" s="1">
        <f ca="1">IFERROR(__xludf.DUMMYFUNCTION("""COMPUTED_VALUE"""),450.18)</f>
        <v>450.18</v>
      </c>
      <c r="F852" s="1">
        <f ca="1">IFERROR(__xludf.DUMMYFUNCTION("""COMPUTED_VALUE"""),16883509)</f>
        <v>16883509</v>
      </c>
    </row>
    <row r="853" spans="1:6" ht="12.6">
      <c r="A853" s="2">
        <f ca="1">IFERROR(__xludf.DUMMYFUNCTION("""COMPUTED_VALUE"""),45804.6666666666)</f>
        <v>45804.666666666599</v>
      </c>
      <c r="B853" s="1">
        <f ca="1">IFERROR(__xludf.DUMMYFUNCTION("""COMPUTED_VALUE"""),456.48)</f>
        <v>456.48</v>
      </c>
      <c r="C853" s="1">
        <f ca="1">IFERROR(__xludf.DUMMYFUNCTION("""COMPUTED_VALUE"""),460.95)</f>
        <v>460.95</v>
      </c>
      <c r="D853" s="1">
        <f ca="1">IFERROR(__xludf.DUMMYFUNCTION("""COMPUTED_VALUE"""),456.12)</f>
        <v>456.12</v>
      </c>
      <c r="E853" s="1">
        <f ca="1">IFERROR(__xludf.DUMMYFUNCTION("""COMPUTED_VALUE"""),460.69)</f>
        <v>460.69</v>
      </c>
      <c r="F853" s="1">
        <f ca="1">IFERROR(__xludf.DUMMYFUNCTION("""COMPUTED_VALUE"""),20974293)</f>
        <v>20974293</v>
      </c>
    </row>
    <row r="854" spans="1:6" ht="12.6">
      <c r="A854" s="2">
        <f ca="1">IFERROR(__xludf.DUMMYFUNCTION("""COMPUTED_VALUE"""),45805.6666666666)</f>
        <v>45805.666666666599</v>
      </c>
      <c r="B854" s="1">
        <f ca="1">IFERROR(__xludf.DUMMYFUNCTION("""COMPUTED_VALUE"""),461.22)</f>
        <v>461.22</v>
      </c>
      <c r="C854" s="1">
        <f ca="1">IFERROR(__xludf.DUMMYFUNCTION("""COMPUTED_VALUE"""),462.52)</f>
        <v>462.52</v>
      </c>
      <c r="D854" s="1">
        <f ca="1">IFERROR(__xludf.DUMMYFUNCTION("""COMPUTED_VALUE"""),456.93)</f>
        <v>456.93</v>
      </c>
      <c r="E854" s="1">
        <f ca="1">IFERROR(__xludf.DUMMYFUNCTION("""COMPUTED_VALUE"""),457.36)</f>
        <v>457.36</v>
      </c>
      <c r="F854" s="1">
        <f ca="1">IFERROR(__xludf.DUMMYFUNCTION("""COMPUTED_VALUE"""),17086261)</f>
        <v>17086261</v>
      </c>
    </row>
    <row r="855" spans="1:6" ht="12.6">
      <c r="A855" s="2">
        <f ca="1">IFERROR(__xludf.DUMMYFUNCTION("""COMPUTED_VALUE"""),45806.6666666666)</f>
        <v>45806.666666666599</v>
      </c>
      <c r="B855" s="1">
        <f ca="1">IFERROR(__xludf.DUMMYFUNCTION("""COMPUTED_VALUE"""),461.55)</f>
        <v>461.55</v>
      </c>
      <c r="C855" s="1">
        <f ca="1">IFERROR(__xludf.DUMMYFUNCTION("""COMPUTED_VALUE"""),461.72)</f>
        <v>461.72</v>
      </c>
      <c r="D855" s="1">
        <f ca="1">IFERROR(__xludf.DUMMYFUNCTION("""COMPUTED_VALUE"""),455.31)</f>
        <v>455.31</v>
      </c>
      <c r="E855" s="1">
        <f ca="1">IFERROR(__xludf.DUMMYFUNCTION("""COMPUTED_VALUE"""),458.68)</f>
        <v>458.68</v>
      </c>
      <c r="F855" s="1">
        <f ca="1">IFERROR(__xludf.DUMMYFUNCTION("""COMPUTED_VALUE"""),13982211)</f>
        <v>13982211</v>
      </c>
    </row>
    <row r="856" spans="1:6" ht="12.6">
      <c r="A856" s="2">
        <f ca="1">IFERROR(__xludf.DUMMYFUNCTION("""COMPUTED_VALUE"""),45807.6666666666)</f>
        <v>45807.666666666599</v>
      </c>
      <c r="B856" s="1">
        <f ca="1">IFERROR(__xludf.DUMMYFUNCTION("""COMPUTED_VALUE"""),459.72)</f>
        <v>459.72</v>
      </c>
      <c r="C856" s="1">
        <f ca="1">IFERROR(__xludf.DUMMYFUNCTION("""COMPUTED_VALUE"""),461.68)</f>
        <v>461.68</v>
      </c>
      <c r="D856" s="1">
        <f ca="1">IFERROR(__xludf.DUMMYFUNCTION("""COMPUTED_VALUE"""),455.54)</f>
        <v>455.54</v>
      </c>
      <c r="E856" s="1">
        <f ca="1">IFERROR(__xludf.DUMMYFUNCTION("""COMPUTED_VALUE"""),460.36)</f>
        <v>460.36</v>
      </c>
      <c r="F856" s="1">
        <f ca="1">IFERROR(__xludf.DUMMYFUNCTION("""COMPUTED_VALUE"""),34770475)</f>
        <v>34770475</v>
      </c>
    </row>
    <row r="857" spans="1:6" ht="12.6">
      <c r="A857" s="2">
        <f ca="1">IFERROR(__xludf.DUMMYFUNCTION("""COMPUTED_VALUE"""),45810.6666666666)</f>
        <v>45810.666666666599</v>
      </c>
      <c r="B857" s="1">
        <f ca="1">IFERROR(__xludf.DUMMYFUNCTION("""COMPUTED_VALUE"""),457.14)</f>
        <v>457.14</v>
      </c>
      <c r="C857" s="1">
        <f ca="1">IFERROR(__xludf.DUMMYFUNCTION("""COMPUTED_VALUE"""),462.11)</f>
        <v>462.11</v>
      </c>
      <c r="D857" s="1">
        <f ca="1">IFERROR(__xludf.DUMMYFUNCTION("""COMPUTED_VALUE"""),456.89)</f>
        <v>456.89</v>
      </c>
      <c r="E857" s="1">
        <f ca="1">IFERROR(__xludf.DUMMYFUNCTION("""COMPUTED_VALUE"""),461.97)</f>
        <v>461.97</v>
      </c>
      <c r="F857" s="1">
        <f ca="1">IFERROR(__xludf.DUMMYFUNCTION("""COMPUTED_VALUE"""),16626495)</f>
        <v>16626495</v>
      </c>
    </row>
    <row r="858" spans="1:6" ht="12.6">
      <c r="A858" s="2">
        <f ca="1">IFERROR(__xludf.DUMMYFUNCTION("""COMPUTED_VALUE"""),45811.6666666666)</f>
        <v>45811.666666666599</v>
      </c>
      <c r="B858" s="1">
        <f ca="1">IFERROR(__xludf.DUMMYFUNCTION("""COMPUTED_VALUE"""),461.47)</f>
        <v>461.47</v>
      </c>
      <c r="C858" s="1">
        <f ca="1">IFERROR(__xludf.DUMMYFUNCTION("""COMPUTED_VALUE"""),464.14)</f>
        <v>464.14</v>
      </c>
      <c r="D858" s="1">
        <f ca="1">IFERROR(__xludf.DUMMYFUNCTION("""COMPUTED_VALUE"""),460.86)</f>
        <v>460.86</v>
      </c>
      <c r="E858" s="1">
        <f ca="1">IFERROR(__xludf.DUMMYFUNCTION("""COMPUTED_VALUE"""),462.97)</f>
        <v>462.97</v>
      </c>
      <c r="F858" s="1">
        <f ca="1">IFERROR(__xludf.DUMMYFUNCTION("""COMPUTED_VALUE"""),15743760)</f>
        <v>15743760</v>
      </c>
    </row>
    <row r="859" spans="1:6" ht="12.6">
      <c r="A859" s="2">
        <f ca="1">IFERROR(__xludf.DUMMYFUNCTION("""COMPUTED_VALUE"""),45812.6666666666)</f>
        <v>45812.666666666599</v>
      </c>
      <c r="B859" s="1">
        <f ca="1">IFERROR(__xludf.DUMMYFUNCTION("""COMPUTED_VALUE"""),464)</f>
        <v>464</v>
      </c>
      <c r="C859" s="1">
        <f ca="1">IFERROR(__xludf.DUMMYFUNCTION("""COMPUTED_VALUE"""),465.69)</f>
        <v>465.69</v>
      </c>
      <c r="D859" s="1">
        <f ca="1">IFERROR(__xludf.DUMMYFUNCTION("""COMPUTED_VALUE"""),463.02)</f>
        <v>463.02</v>
      </c>
      <c r="E859" s="1">
        <f ca="1">IFERROR(__xludf.DUMMYFUNCTION("""COMPUTED_VALUE"""),463.87)</f>
        <v>463.87</v>
      </c>
      <c r="F859" s="1">
        <f ca="1">IFERROR(__xludf.DUMMYFUNCTION("""COMPUTED_VALUE"""),14162688)</f>
        <v>14162688</v>
      </c>
    </row>
    <row r="860" spans="1:6" ht="12.6">
      <c r="A860" s="2">
        <f ca="1">IFERROR(__xludf.DUMMYFUNCTION("""COMPUTED_VALUE"""),45813.6666666666)</f>
        <v>45813.666666666599</v>
      </c>
      <c r="B860" s="1">
        <f ca="1">IFERROR(__xludf.DUMMYFUNCTION("""COMPUTED_VALUE"""),464.96)</f>
        <v>464.96</v>
      </c>
      <c r="C860" s="1">
        <f ca="1">IFERROR(__xludf.DUMMYFUNCTION("""COMPUTED_VALUE"""),469.65)</f>
        <v>469.65</v>
      </c>
      <c r="D860" s="1">
        <f ca="1">IFERROR(__xludf.DUMMYFUNCTION("""COMPUTED_VALUE"""),464.03)</f>
        <v>464.03</v>
      </c>
      <c r="E860" s="1">
        <f ca="1">IFERROR(__xludf.DUMMYFUNCTION("""COMPUTED_VALUE"""),467.68)</f>
        <v>467.68</v>
      </c>
      <c r="F860" s="1">
        <f ca="1">IFERROR(__xludf.DUMMYFUNCTION("""COMPUTED_VALUE"""),20154460)</f>
        <v>20154460</v>
      </c>
    </row>
    <row r="861" spans="1:6" ht="12.6">
      <c r="A861" s="2">
        <f ca="1">IFERROR(__xludf.DUMMYFUNCTION("""COMPUTED_VALUE"""),45814.6666666666)</f>
        <v>45814.666666666599</v>
      </c>
      <c r="B861" s="1">
        <f ca="1">IFERROR(__xludf.DUMMYFUNCTION("""COMPUTED_VALUE"""),470.09)</f>
        <v>470.09</v>
      </c>
      <c r="C861" s="1">
        <f ca="1">IFERROR(__xludf.DUMMYFUNCTION("""COMPUTED_VALUE"""),473.34)</f>
        <v>473.34</v>
      </c>
      <c r="D861" s="1">
        <f ca="1">IFERROR(__xludf.DUMMYFUNCTION("""COMPUTED_VALUE"""),468.78)</f>
        <v>468.78</v>
      </c>
      <c r="E861" s="1">
        <f ca="1">IFERROR(__xludf.DUMMYFUNCTION("""COMPUTED_VALUE"""),470.38)</f>
        <v>470.38</v>
      </c>
      <c r="F861" s="1">
        <f ca="1">IFERROR(__xludf.DUMMYFUNCTION("""COMPUTED_VALUE"""),15285624)</f>
        <v>15285624</v>
      </c>
    </row>
    <row r="862" spans="1:6" ht="12.6">
      <c r="A862" s="2">
        <f ca="1">IFERROR(__xludf.DUMMYFUNCTION("""COMPUTED_VALUE"""),45817.6666666666)</f>
        <v>45817.666666666599</v>
      </c>
      <c r="B862" s="1">
        <f ca="1">IFERROR(__xludf.DUMMYFUNCTION("""COMPUTED_VALUE"""),469.7)</f>
        <v>469.7</v>
      </c>
      <c r="C862" s="1">
        <f ca="1">IFERROR(__xludf.DUMMYFUNCTION("""COMPUTED_VALUE"""),473.43)</f>
        <v>473.43</v>
      </c>
      <c r="D862" s="1">
        <f ca="1">IFERROR(__xludf.DUMMYFUNCTION("""COMPUTED_VALUE"""),468.62)</f>
        <v>468.62</v>
      </c>
      <c r="E862" s="1">
        <f ca="1">IFERROR(__xludf.DUMMYFUNCTION("""COMPUTED_VALUE"""),472.75)</f>
        <v>472.75</v>
      </c>
      <c r="F862" s="1">
        <f ca="1">IFERROR(__xludf.DUMMYFUNCTION("""COMPUTED_VALUE"""),16469932)</f>
        <v>16469932</v>
      </c>
    </row>
    <row r="863" spans="1:6" ht="12.6">
      <c r="A863" s="2">
        <f ca="1">IFERROR(__xludf.DUMMYFUNCTION("""COMPUTED_VALUE"""),45818.6666666666)</f>
        <v>45818.666666666599</v>
      </c>
      <c r="B863" s="1">
        <f ca="1">IFERROR(__xludf.DUMMYFUNCTION("""COMPUTED_VALUE"""),471.19)</f>
        <v>471.19</v>
      </c>
      <c r="C863" s="1">
        <f ca="1">IFERROR(__xludf.DUMMYFUNCTION("""COMPUTED_VALUE"""),472.8)</f>
        <v>472.8</v>
      </c>
      <c r="D863" s="1">
        <f ca="1">IFERROR(__xludf.DUMMYFUNCTION("""COMPUTED_VALUE"""),466.96)</f>
        <v>466.96</v>
      </c>
      <c r="E863" s="1">
        <f ca="1">IFERROR(__xludf.DUMMYFUNCTION("""COMPUTED_VALUE"""),470.92)</f>
        <v>470.92</v>
      </c>
      <c r="F863" s="1">
        <f ca="1">IFERROR(__xludf.DUMMYFUNCTION("""COMPUTED_VALUE"""),15375944)</f>
        <v>15375944</v>
      </c>
    </row>
    <row r="864" spans="1:6" ht="12.6">
      <c r="A864" s="2">
        <f ca="1">IFERROR(__xludf.DUMMYFUNCTION("""COMPUTED_VALUE"""),45819.6666666666)</f>
        <v>45819.666666666599</v>
      </c>
      <c r="B864" s="1">
        <f ca="1">IFERROR(__xludf.DUMMYFUNCTION("""COMPUTED_VALUE"""),470.02)</f>
        <v>470.02</v>
      </c>
      <c r="C864" s="1">
        <f ca="1">IFERROR(__xludf.DUMMYFUNCTION("""COMPUTED_VALUE"""),475.47)</f>
        <v>475.47</v>
      </c>
      <c r="D864" s="1">
        <f ca="1">IFERROR(__xludf.DUMMYFUNCTION("""COMPUTED_VALUE"""),469.66)</f>
        <v>469.66</v>
      </c>
      <c r="E864" s="1">
        <f ca="1">IFERROR(__xludf.DUMMYFUNCTION("""COMPUTED_VALUE"""),472.62)</f>
        <v>472.62</v>
      </c>
      <c r="F864" s="1">
        <f ca="1">IFERROR(__xludf.DUMMYFUNCTION("""COMPUTED_VALUE"""),16399176)</f>
        <v>16399176</v>
      </c>
    </row>
    <row r="865" spans="1:6" ht="12.6">
      <c r="A865" s="2">
        <f ca="1">IFERROR(__xludf.DUMMYFUNCTION("""COMPUTED_VALUE"""),45820.6666666666)</f>
        <v>45820.666666666599</v>
      </c>
      <c r="B865" s="1">
        <f ca="1">IFERROR(__xludf.DUMMYFUNCTION("""COMPUTED_VALUE"""),475.02)</f>
        <v>475.02</v>
      </c>
      <c r="C865" s="1">
        <f ca="1">IFERROR(__xludf.DUMMYFUNCTION("""COMPUTED_VALUE"""),480.42)</f>
        <v>480.42</v>
      </c>
      <c r="D865" s="1">
        <f ca="1">IFERROR(__xludf.DUMMYFUNCTION("""COMPUTED_VALUE"""),473.52)</f>
        <v>473.52</v>
      </c>
      <c r="E865" s="1">
        <f ca="1">IFERROR(__xludf.DUMMYFUNCTION("""COMPUTED_VALUE"""),478.87)</f>
        <v>478.87</v>
      </c>
      <c r="F865" s="1">
        <f ca="1">IFERROR(__xludf.DUMMYFUNCTION("""COMPUTED_VALUE"""),18950582)</f>
        <v>18950582</v>
      </c>
    </row>
    <row r="866" spans="1:6" ht="12.6">
      <c r="A866" s="2">
        <f ca="1">IFERROR(__xludf.DUMMYFUNCTION("""COMPUTED_VALUE"""),45821.6666666666)</f>
        <v>45821.666666666599</v>
      </c>
      <c r="B866" s="1">
        <f ca="1">IFERROR(__xludf.DUMMYFUNCTION("""COMPUTED_VALUE"""),476.41)</f>
        <v>476.41</v>
      </c>
      <c r="C866" s="1">
        <f ca="1">IFERROR(__xludf.DUMMYFUNCTION("""COMPUTED_VALUE"""),479.18)</f>
        <v>479.18</v>
      </c>
      <c r="D866" s="1">
        <f ca="1">IFERROR(__xludf.DUMMYFUNCTION("""COMPUTED_VALUE"""),472.76)</f>
        <v>472.76</v>
      </c>
      <c r="E866" s="1">
        <f ca="1">IFERROR(__xludf.DUMMYFUNCTION("""COMPUTED_VALUE"""),474.96)</f>
        <v>474.96</v>
      </c>
      <c r="F866" s="1">
        <f ca="1">IFERROR(__xludf.DUMMYFUNCTION("""COMPUTED_VALUE"""),16814456)</f>
        <v>16814456</v>
      </c>
    </row>
    <row r="867" spans="1:6" ht="12.6">
      <c r="A867" s="2">
        <f ca="1">IFERROR(__xludf.DUMMYFUNCTION("""COMPUTED_VALUE"""),45824.6666666666)</f>
        <v>45824.666666666599</v>
      </c>
      <c r="B867" s="1">
        <f ca="1">IFERROR(__xludf.DUMMYFUNCTION("""COMPUTED_VALUE"""),475.21)</f>
        <v>475.21</v>
      </c>
      <c r="C867" s="1">
        <f ca="1">IFERROR(__xludf.DUMMYFUNCTION("""COMPUTED_VALUE"""),480.69)</f>
        <v>480.69</v>
      </c>
      <c r="D867" s="1">
        <f ca="1">IFERROR(__xludf.DUMMYFUNCTION("""COMPUTED_VALUE"""),475)</f>
        <v>475</v>
      </c>
      <c r="E867" s="1">
        <f ca="1">IFERROR(__xludf.DUMMYFUNCTION("""COMPUTED_VALUE"""),479.14)</f>
        <v>479.14</v>
      </c>
      <c r="F867" s="1">
        <f ca="1">IFERROR(__xludf.DUMMYFUNCTION("""COMPUTED_VALUE"""),15626104)</f>
        <v>15626104</v>
      </c>
    </row>
    <row r="868" spans="1:6" ht="12.6">
      <c r="A868" s="2">
        <f ca="1">IFERROR(__xludf.DUMMYFUNCTION("""COMPUTED_VALUE"""),45825.6666666666)</f>
        <v>45825.666666666599</v>
      </c>
      <c r="B868" s="1">
        <f ca="1">IFERROR(__xludf.DUMMYFUNCTION("""COMPUTED_VALUE"""),475.4)</f>
        <v>475.4</v>
      </c>
      <c r="C868" s="1">
        <f ca="1">IFERROR(__xludf.DUMMYFUNCTION("""COMPUTED_VALUE"""),478.74)</f>
        <v>478.74</v>
      </c>
      <c r="D868" s="1">
        <f ca="1">IFERROR(__xludf.DUMMYFUNCTION("""COMPUTED_VALUE"""),474.08)</f>
        <v>474.08</v>
      </c>
      <c r="E868" s="1">
        <f ca="1">IFERROR(__xludf.DUMMYFUNCTION("""COMPUTED_VALUE"""),478.04)</f>
        <v>478.04</v>
      </c>
      <c r="F868" s="1">
        <f ca="1">IFERROR(__xludf.DUMMYFUNCTION("""COMPUTED_VALUE"""),15414128)</f>
        <v>15414128</v>
      </c>
    </row>
    <row r="869" spans="1:6" ht="12.6">
      <c r="A869" s="2">
        <f ca="1">IFERROR(__xludf.DUMMYFUNCTION("""COMPUTED_VALUE"""),45826.6666666666)</f>
        <v>45826.666666666599</v>
      </c>
      <c r="B869" s="1">
        <f ca="1">IFERROR(__xludf.DUMMYFUNCTION("""COMPUTED_VALUE"""),478)</f>
        <v>478</v>
      </c>
      <c r="C869" s="1">
        <f ca="1">IFERROR(__xludf.DUMMYFUNCTION("""COMPUTED_VALUE"""),481)</f>
        <v>481</v>
      </c>
      <c r="D869" s="1">
        <f ca="1">IFERROR(__xludf.DUMMYFUNCTION("""COMPUTED_VALUE"""),474.46)</f>
        <v>474.46</v>
      </c>
      <c r="E869" s="1">
        <f ca="1">IFERROR(__xludf.DUMMYFUNCTION("""COMPUTED_VALUE"""),480.24)</f>
        <v>480.24</v>
      </c>
      <c r="F869" s="1">
        <f ca="1">IFERROR(__xludf.DUMMYFUNCTION("""COMPUTED_VALUE"""),17526452)</f>
        <v>17526452</v>
      </c>
    </row>
    <row r="870" spans="1:6" ht="12.6">
      <c r="A870" s="2">
        <f ca="1">IFERROR(__xludf.DUMMYFUNCTION("""COMPUTED_VALUE"""),45828.6666666666)</f>
        <v>45828.666666666599</v>
      </c>
      <c r="B870" s="1">
        <f ca="1">IFERROR(__xludf.DUMMYFUNCTION("""COMPUTED_VALUE"""),482.23)</f>
        <v>482.23</v>
      </c>
      <c r="C870" s="1">
        <f ca="1">IFERROR(__xludf.DUMMYFUNCTION("""COMPUTED_VALUE"""),483.46)</f>
        <v>483.46</v>
      </c>
      <c r="D870" s="1">
        <f ca="1">IFERROR(__xludf.DUMMYFUNCTION("""COMPUTED_VALUE"""),476.87)</f>
        <v>476.87</v>
      </c>
      <c r="E870" s="1">
        <f ca="1">IFERROR(__xludf.DUMMYFUNCTION("""COMPUTED_VALUE"""),477.4)</f>
        <v>477.4</v>
      </c>
      <c r="F870" s="1">
        <f ca="1">IFERROR(__xludf.DUMMYFUNCTION("""COMPUTED_VALUE"""),37576206)</f>
        <v>37576206</v>
      </c>
    </row>
    <row r="871" spans="1:6" ht="12.6">
      <c r="A871" s="2">
        <f ca="1">IFERROR(__xludf.DUMMYFUNCTION("""COMPUTED_VALUE"""),45831.6666666666)</f>
        <v>45831.666666666599</v>
      </c>
      <c r="B871" s="1">
        <f ca="1">IFERROR(__xludf.DUMMYFUNCTION("""COMPUTED_VALUE"""),478.21)</f>
        <v>478.21</v>
      </c>
      <c r="C871" s="1">
        <f ca="1">IFERROR(__xludf.DUMMYFUNCTION("""COMPUTED_VALUE"""),487.75)</f>
        <v>487.75</v>
      </c>
      <c r="D871" s="1">
        <f ca="1">IFERROR(__xludf.DUMMYFUNCTION("""COMPUTED_VALUE"""),472.51)</f>
        <v>472.51</v>
      </c>
      <c r="E871" s="1">
        <f ca="1">IFERROR(__xludf.DUMMYFUNCTION("""COMPUTED_VALUE"""),486)</f>
        <v>486</v>
      </c>
      <c r="F871" s="1">
        <f ca="1">IFERROR(__xludf.DUMMYFUNCTION("""COMPUTED_VALUE"""),24863952)</f>
        <v>24863952</v>
      </c>
    </row>
    <row r="872" spans="1:6" ht="12.6">
      <c r="A872" s="2">
        <f ca="1">IFERROR(__xludf.DUMMYFUNCTION("""COMPUTED_VALUE"""),45832.6666666666)</f>
        <v>45832.666666666599</v>
      </c>
      <c r="B872" s="1">
        <f ca="1">IFERROR(__xludf.DUMMYFUNCTION("""COMPUTED_VALUE"""),488.95)</f>
        <v>488.95</v>
      </c>
      <c r="C872" s="1">
        <f ca="1">IFERROR(__xludf.DUMMYFUNCTION("""COMPUTED_VALUE"""),491.85)</f>
        <v>491.85</v>
      </c>
      <c r="D872" s="1">
        <f ca="1">IFERROR(__xludf.DUMMYFUNCTION("""COMPUTED_VALUE"""),486.8)</f>
        <v>486.8</v>
      </c>
      <c r="E872" s="1">
        <f ca="1">IFERROR(__xludf.DUMMYFUNCTION("""COMPUTED_VALUE"""),490.11)</f>
        <v>490.11</v>
      </c>
      <c r="F872" s="1">
        <f ca="1">IFERROR(__xludf.DUMMYFUNCTION("""COMPUTED_VALUE"""),22305642)</f>
        <v>22305642</v>
      </c>
    </row>
    <row r="873" spans="1:6" ht="12.6">
      <c r="A873" s="2">
        <f ca="1">IFERROR(__xludf.DUMMYFUNCTION("""COMPUTED_VALUE"""),45833.6666666666)</f>
        <v>45833.666666666599</v>
      </c>
      <c r="B873" s="1">
        <f ca="1">IFERROR(__xludf.DUMMYFUNCTION("""COMPUTED_VALUE"""),492.04)</f>
        <v>492.04</v>
      </c>
      <c r="C873" s="1">
        <f ca="1">IFERROR(__xludf.DUMMYFUNCTION("""COMPUTED_VALUE"""),494.56)</f>
        <v>494.56</v>
      </c>
      <c r="D873" s="1">
        <f ca="1">IFERROR(__xludf.DUMMYFUNCTION("""COMPUTED_VALUE"""),489.39)</f>
        <v>489.39</v>
      </c>
      <c r="E873" s="1">
        <f ca="1">IFERROR(__xludf.DUMMYFUNCTION("""COMPUTED_VALUE"""),492.27)</f>
        <v>492.27</v>
      </c>
      <c r="F873" s="1">
        <f ca="1">IFERROR(__xludf.DUMMYFUNCTION("""COMPUTED_VALUE"""),17495099)</f>
        <v>17495099</v>
      </c>
    </row>
    <row r="874" spans="1:6" ht="12.6">
      <c r="A874" s="2">
        <f ca="1">IFERROR(__xludf.DUMMYFUNCTION("""COMPUTED_VALUE"""),45834.6666666666)</f>
        <v>45834.666666666599</v>
      </c>
      <c r="B874" s="1">
        <f ca="1">IFERROR(__xludf.DUMMYFUNCTION("""COMPUTED_VALUE"""),492.98)</f>
        <v>492.98</v>
      </c>
      <c r="C874" s="1">
        <f ca="1">IFERROR(__xludf.DUMMYFUNCTION("""COMPUTED_VALUE"""),498.04)</f>
        <v>498.04</v>
      </c>
      <c r="D874" s="1">
        <f ca="1">IFERROR(__xludf.DUMMYFUNCTION("""COMPUTED_VALUE"""),492.81)</f>
        <v>492.81</v>
      </c>
      <c r="E874" s="1">
        <f ca="1">IFERROR(__xludf.DUMMYFUNCTION("""COMPUTED_VALUE"""),497.45)</f>
        <v>497.45</v>
      </c>
      <c r="F874" s="1">
        <f ca="1">IFERROR(__xludf.DUMMYFUNCTION("""COMPUTED_VALUE"""),21578853)</f>
        <v>21578853</v>
      </c>
    </row>
    <row r="875" spans="1:6" ht="12.6">
      <c r="A875" s="2">
        <f ca="1">IFERROR(__xludf.DUMMYFUNCTION("""COMPUTED_VALUE"""),45835.6666666666)</f>
        <v>45835.666666666599</v>
      </c>
      <c r="B875" s="1">
        <f ca="1">IFERROR(__xludf.DUMMYFUNCTION("""COMPUTED_VALUE"""),497.55)</f>
        <v>497.55</v>
      </c>
      <c r="C875" s="1">
        <f ca="1">IFERROR(__xludf.DUMMYFUNCTION("""COMPUTED_VALUE"""),499.3)</f>
        <v>499.3</v>
      </c>
      <c r="D875" s="1">
        <f ca="1">IFERROR(__xludf.DUMMYFUNCTION("""COMPUTED_VALUE"""),493.03)</f>
        <v>493.03</v>
      </c>
      <c r="E875" s="1">
        <f ca="1">IFERROR(__xludf.DUMMYFUNCTION("""COMPUTED_VALUE"""),495.94)</f>
        <v>495.94</v>
      </c>
      <c r="F875" s="1">
        <f ca="1">IFERROR(__xludf.DUMMYFUNCTION("""COMPUTED_VALUE"""),34539236)</f>
        <v>34539236</v>
      </c>
    </row>
    <row r="876" spans="1:6" ht="12.6">
      <c r="A876" s="2">
        <f ca="1">IFERROR(__xludf.DUMMYFUNCTION("""COMPUTED_VALUE"""),45838.6666666666)</f>
        <v>45838.666666666599</v>
      </c>
      <c r="B876" s="1">
        <f ca="1">IFERROR(__xludf.DUMMYFUNCTION("""COMPUTED_VALUE"""),497.04)</f>
        <v>497.04</v>
      </c>
      <c r="C876" s="1">
        <f ca="1">IFERROR(__xludf.DUMMYFUNCTION("""COMPUTED_VALUE"""),500.76)</f>
        <v>500.76</v>
      </c>
      <c r="D876" s="1">
        <f ca="1">IFERROR(__xludf.DUMMYFUNCTION("""COMPUTED_VALUE"""),495.33)</f>
        <v>495.33</v>
      </c>
      <c r="E876" s="1">
        <f ca="1">IFERROR(__xludf.DUMMYFUNCTION("""COMPUTED_VALUE"""),497.41)</f>
        <v>497.41</v>
      </c>
      <c r="F876" s="1">
        <f ca="1">IFERROR(__xludf.DUMMYFUNCTION("""COMPUTED_VALUE"""),28368991)</f>
        <v>28368991</v>
      </c>
    </row>
    <row r="877" spans="1:6" ht="12.6">
      <c r="A877" s="2">
        <f ca="1">IFERROR(__xludf.DUMMYFUNCTION("""COMPUTED_VALUE"""),45839.6666666666)</f>
        <v>45839.666666666599</v>
      </c>
      <c r="B877" s="1">
        <f ca="1">IFERROR(__xludf.DUMMYFUNCTION("""COMPUTED_VALUE"""),496.47)</f>
        <v>496.47</v>
      </c>
      <c r="C877" s="1">
        <f ca="1">IFERROR(__xludf.DUMMYFUNCTION("""COMPUTED_VALUE"""),498.05)</f>
        <v>498.05</v>
      </c>
      <c r="D877" s="1">
        <f ca="1">IFERROR(__xludf.DUMMYFUNCTION("""COMPUTED_VALUE"""),490.98)</f>
        <v>490.98</v>
      </c>
      <c r="E877" s="1">
        <f ca="1">IFERROR(__xludf.DUMMYFUNCTION("""COMPUTED_VALUE"""),492.05)</f>
        <v>492.05</v>
      </c>
      <c r="F877" s="1">
        <f ca="1">IFERROR(__xludf.DUMMYFUNCTION("""COMPUTED_VALUE"""),19945375)</f>
        <v>19945375</v>
      </c>
    </row>
    <row r="878" spans="1:6" ht="12.6">
      <c r="A878" s="2">
        <f ca="1">IFERROR(__xludf.DUMMYFUNCTION("""COMPUTED_VALUE"""),45840.6666666666)</f>
        <v>45840.666666666599</v>
      </c>
      <c r="B878" s="1">
        <f ca="1">IFERROR(__xludf.DUMMYFUNCTION("""COMPUTED_VALUE"""),489.99)</f>
        <v>489.99</v>
      </c>
      <c r="C878" s="1">
        <f ca="1">IFERROR(__xludf.DUMMYFUNCTION("""COMPUTED_VALUE"""),493.5)</f>
        <v>493.5</v>
      </c>
      <c r="D878" s="1">
        <f ca="1">IFERROR(__xludf.DUMMYFUNCTION("""COMPUTED_VALUE"""),488.7)</f>
        <v>488.7</v>
      </c>
      <c r="E878" s="1">
        <f ca="1">IFERROR(__xludf.DUMMYFUNCTION("""COMPUTED_VALUE"""),491.09)</f>
        <v>491.09</v>
      </c>
      <c r="F878" s="1">
        <f ca="1">IFERROR(__xludf.DUMMYFUNCTION("""COMPUTED_VALUE"""),16319641)</f>
        <v>16319641</v>
      </c>
    </row>
    <row r="879" spans="1:6" ht="12.6">
      <c r="A879" s="2">
        <f ca="1">IFERROR(__xludf.DUMMYFUNCTION("""COMPUTED_VALUE"""),45841.5451388888)</f>
        <v>45841.545138888803</v>
      </c>
      <c r="B879" s="1">
        <f ca="1">IFERROR(__xludf.DUMMYFUNCTION("""COMPUTED_VALUE"""),493.81)</f>
        <v>493.81</v>
      </c>
      <c r="C879" s="1">
        <f ca="1">IFERROR(__xludf.DUMMYFUNCTION("""COMPUTED_VALUE"""),500.13)</f>
        <v>500.13</v>
      </c>
      <c r="D879" s="1">
        <f ca="1">IFERROR(__xludf.DUMMYFUNCTION("""COMPUTED_VALUE"""),493.44)</f>
        <v>493.44</v>
      </c>
      <c r="E879" s="1">
        <f ca="1">IFERROR(__xludf.DUMMYFUNCTION("""COMPUTED_VALUE"""),498.84)</f>
        <v>498.84</v>
      </c>
      <c r="F879" s="1">
        <f ca="1">IFERROR(__xludf.DUMMYFUNCTION("""COMPUTED_VALUE"""),13984829)</f>
        <v>13984829</v>
      </c>
    </row>
    <row r="880" spans="1:6" ht="12.6">
      <c r="A880" s="2">
        <f ca="1">IFERROR(__xludf.DUMMYFUNCTION("""COMPUTED_VALUE"""),45845.6666666666)</f>
        <v>45845.666666666599</v>
      </c>
      <c r="B880" s="1">
        <f ca="1">IFERROR(__xludf.DUMMYFUNCTION("""COMPUTED_VALUE"""),497.38)</f>
        <v>497.38</v>
      </c>
      <c r="C880" s="1">
        <f ca="1">IFERROR(__xludf.DUMMYFUNCTION("""COMPUTED_VALUE"""),498.75)</f>
        <v>498.75</v>
      </c>
      <c r="D880" s="1">
        <f ca="1">IFERROR(__xludf.DUMMYFUNCTION("""COMPUTED_VALUE"""),495.23)</f>
        <v>495.23</v>
      </c>
      <c r="E880" s="1">
        <f ca="1">IFERROR(__xludf.DUMMYFUNCTION("""COMPUTED_VALUE"""),497.72)</f>
        <v>497.72</v>
      </c>
      <c r="F880" s="1">
        <f ca="1">IFERROR(__xludf.DUMMYFUNCTION("""COMPUTED_VALUE"""),13981605)</f>
        <v>13981605</v>
      </c>
    </row>
    <row r="881" spans="1:6" ht="12.6">
      <c r="A881" s="2">
        <f ca="1">IFERROR(__xludf.DUMMYFUNCTION("""COMPUTED_VALUE"""),45846.6666666666)</f>
        <v>45846.666666666599</v>
      </c>
      <c r="B881" s="1">
        <f ca="1">IFERROR(__xludf.DUMMYFUNCTION("""COMPUTED_VALUE"""),497.24)</f>
        <v>497.24</v>
      </c>
      <c r="C881" s="1">
        <f ca="1">IFERROR(__xludf.DUMMYFUNCTION("""COMPUTED_VALUE"""),498.2)</f>
        <v>498.2</v>
      </c>
      <c r="D881" s="1">
        <f ca="1">IFERROR(__xludf.DUMMYFUNCTION("""COMPUTED_VALUE"""),494.11)</f>
        <v>494.11</v>
      </c>
      <c r="E881" s="1">
        <f ca="1">IFERROR(__xludf.DUMMYFUNCTION("""COMPUTED_VALUE"""),496.62)</f>
        <v>496.62</v>
      </c>
      <c r="F881" s="1">
        <f ca="1">IFERROR(__xludf.DUMMYFUNCTION("""COMPUTED_VALUE"""),11846586)</f>
        <v>11846586</v>
      </c>
    </row>
    <row r="882" spans="1:6" ht="12.6">
      <c r="A882" s="2">
        <f ca="1">IFERROR(__xludf.DUMMYFUNCTION("""COMPUTED_VALUE"""),45847.6666666666)</f>
        <v>45847.666666666599</v>
      </c>
      <c r="B882" s="1">
        <f ca="1">IFERROR(__xludf.DUMMYFUNCTION("""COMPUTED_VALUE"""),500.3)</f>
        <v>500.3</v>
      </c>
      <c r="C882" s="1">
        <f ca="1">IFERROR(__xludf.DUMMYFUNCTION("""COMPUTED_VALUE"""),506.78)</f>
        <v>506.78</v>
      </c>
      <c r="D882" s="1">
        <f ca="1">IFERROR(__xludf.DUMMYFUNCTION("""COMPUTED_VALUE"""),499.74)</f>
        <v>499.74</v>
      </c>
      <c r="E882" s="1">
        <f ca="1">IFERROR(__xludf.DUMMYFUNCTION("""COMPUTED_VALUE"""),503.51)</f>
        <v>503.51</v>
      </c>
      <c r="F882" s="1">
        <f ca="1">IFERROR(__xludf.DUMMYFUNCTION("""COMPUTED_VALUE"""),18659538)</f>
        <v>18659538</v>
      </c>
    </row>
    <row r="883" spans="1:6" ht="12.6">
      <c r="A883" s="2">
        <f ca="1">IFERROR(__xludf.DUMMYFUNCTION("""COMPUTED_VALUE"""),45848.6666666666)</f>
        <v>45848.666666666599</v>
      </c>
      <c r="B883" s="1">
        <f ca="1">IFERROR(__xludf.DUMMYFUNCTION("""COMPUTED_VALUE"""),503.05)</f>
        <v>503.05</v>
      </c>
      <c r="C883" s="1">
        <f ca="1">IFERROR(__xludf.DUMMYFUNCTION("""COMPUTED_VALUE"""),504.44)</f>
        <v>504.44</v>
      </c>
      <c r="D883" s="1">
        <f ca="1">IFERROR(__xludf.DUMMYFUNCTION("""COMPUTED_VALUE"""),497.75)</f>
        <v>497.75</v>
      </c>
      <c r="E883" s="1">
        <f ca="1">IFERROR(__xludf.DUMMYFUNCTION("""COMPUTED_VALUE"""),501.48)</f>
        <v>501.48</v>
      </c>
      <c r="F883" s="1">
        <f ca="1">IFERROR(__xludf.DUMMYFUNCTION("""COMPUTED_VALUE"""),16498740)</f>
        <v>16498740</v>
      </c>
    </row>
    <row r="884" spans="1:6" ht="12.6">
      <c r="A884" s="2">
        <f ca="1">IFERROR(__xludf.DUMMYFUNCTION("""COMPUTED_VALUE"""),45849.6666666666)</f>
        <v>45849.666666666599</v>
      </c>
      <c r="B884" s="1">
        <f ca="1">IFERROR(__xludf.DUMMYFUNCTION("""COMPUTED_VALUE"""),498.47)</f>
        <v>498.47</v>
      </c>
      <c r="C884" s="1">
        <f ca="1">IFERROR(__xludf.DUMMYFUNCTION("""COMPUTED_VALUE"""),505.03)</f>
        <v>505.03</v>
      </c>
      <c r="D884" s="1">
        <f ca="1">IFERROR(__xludf.DUMMYFUNCTION("""COMPUTED_VALUE"""),497.8)</f>
        <v>497.8</v>
      </c>
      <c r="E884" s="1">
        <f ca="1">IFERROR(__xludf.DUMMYFUNCTION("""COMPUTED_VALUE"""),503.32)</f>
        <v>503.32</v>
      </c>
      <c r="F884" s="1">
        <f ca="1">IFERROR(__xludf.DUMMYFUNCTION("""COMPUTED_VALUE"""),16459512)</f>
        <v>16459512</v>
      </c>
    </row>
    <row r="885" spans="1:6" ht="12.6">
      <c r="A885" s="2">
        <f ca="1">IFERROR(__xludf.DUMMYFUNCTION("""COMPUTED_VALUE"""),45852.6666666666)</f>
        <v>45852.666666666599</v>
      </c>
      <c r="B885" s="1">
        <f ca="1">IFERROR(__xludf.DUMMYFUNCTION("""COMPUTED_VALUE"""),501.52)</f>
        <v>501.52</v>
      </c>
      <c r="C885" s="1">
        <f ca="1">IFERROR(__xludf.DUMMYFUNCTION("""COMPUTED_VALUE"""),503.97)</f>
        <v>503.97</v>
      </c>
      <c r="D885" s="1">
        <f ca="1">IFERROR(__xludf.DUMMYFUNCTION("""COMPUTED_VALUE"""),501.03)</f>
        <v>501.03</v>
      </c>
      <c r="E885" s="1">
        <f ca="1">IFERROR(__xludf.DUMMYFUNCTION("""COMPUTED_VALUE"""),503.02)</f>
        <v>503.02</v>
      </c>
      <c r="F885" s="1">
        <f ca="1">IFERROR(__xludf.DUMMYFUNCTION("""COMPUTED_VALUE"""),12058848)</f>
        <v>12058848</v>
      </c>
    </row>
    <row r="886" spans="1:6" ht="12.6">
      <c r="A886" s="2">
        <f ca="1">IFERROR(__xludf.DUMMYFUNCTION("""COMPUTED_VALUE"""),45853.6666666666)</f>
        <v>45853.666666666599</v>
      </c>
      <c r="B886" s="1">
        <f ca="1">IFERROR(__xludf.DUMMYFUNCTION("""COMPUTED_VALUE"""),503.02)</f>
        <v>503.02</v>
      </c>
      <c r="C886" s="1">
        <f ca="1">IFERROR(__xludf.DUMMYFUNCTION("""COMPUTED_VALUE"""),508.3)</f>
        <v>508.3</v>
      </c>
      <c r="D886" s="1">
        <f ca="1">IFERROR(__xludf.DUMMYFUNCTION("""COMPUTED_VALUE"""),502.79)</f>
        <v>502.79</v>
      </c>
      <c r="E886" s="1">
        <f ca="1">IFERROR(__xludf.DUMMYFUNCTION("""COMPUTED_VALUE"""),505.82)</f>
        <v>505.82</v>
      </c>
      <c r="F886" s="1">
        <f ca="1">IFERROR(__xludf.DUMMYFUNCTION("""COMPUTED_VALUE"""),14927202)</f>
        <v>14927202</v>
      </c>
    </row>
    <row r="887" spans="1:6" ht="12.6">
      <c r="A887" s="2">
        <f ca="1">IFERROR(__xludf.DUMMYFUNCTION("""COMPUTED_VALUE"""),45854.6666666666)</f>
        <v>45854.666666666599</v>
      </c>
      <c r="B887" s="1">
        <f ca="1">IFERROR(__xludf.DUMMYFUNCTION("""COMPUTED_VALUE"""),505.18)</f>
        <v>505.18</v>
      </c>
      <c r="C887" s="1">
        <f ca="1">IFERROR(__xludf.DUMMYFUNCTION("""COMPUTED_VALUE"""),506.72)</f>
        <v>506.72</v>
      </c>
      <c r="D887" s="1">
        <f ca="1">IFERROR(__xludf.DUMMYFUNCTION("""COMPUTED_VALUE"""),501.89)</f>
        <v>501.89</v>
      </c>
      <c r="E887" s="1">
        <f ca="1">IFERROR(__xludf.DUMMYFUNCTION("""COMPUTED_VALUE"""),505.62)</f>
        <v>505.62</v>
      </c>
      <c r="F887" s="1">
        <f ca="1">IFERROR(__xludf.DUMMYFUNCTION("""COMPUTED_VALUE"""),15154374)</f>
        <v>15154374</v>
      </c>
    </row>
    <row r="888" spans="1:6" ht="12.6">
      <c r="A888" s="2">
        <f ca="1">IFERROR(__xludf.DUMMYFUNCTION("""COMPUTED_VALUE"""),45855.6666666666)</f>
        <v>45855.666666666599</v>
      </c>
      <c r="B888" s="1">
        <f ca="1">IFERROR(__xludf.DUMMYFUNCTION("""COMPUTED_VALUE"""),505.68)</f>
        <v>505.68</v>
      </c>
      <c r="C888" s="1">
        <f ca="1">IFERROR(__xludf.DUMMYFUNCTION("""COMPUTED_VALUE"""),513.37)</f>
        <v>513.37</v>
      </c>
      <c r="D888" s="1">
        <f ca="1">IFERROR(__xludf.DUMMYFUNCTION("""COMPUTED_VALUE"""),505.62)</f>
        <v>505.62</v>
      </c>
      <c r="E888" s="1">
        <f ca="1">IFERROR(__xludf.DUMMYFUNCTION("""COMPUTED_VALUE"""),511.7)</f>
        <v>511.7</v>
      </c>
      <c r="F888" s="1">
        <f ca="1">IFERROR(__xludf.DUMMYFUNCTION("""COMPUTED_VALUE"""),17503129)</f>
        <v>17503129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887"/>
  <sheetViews>
    <sheetView workbookViewId="0"/>
  </sheetViews>
  <sheetFormatPr defaultColWidth="12.5703125" defaultRowHeight="15.75" customHeight="1"/>
  <sheetData>
    <row r="1" spans="1:6" ht="15.75" customHeight="1">
      <c r="A1" s="1" t="str">
        <f ca="1">IFERROR(__xludf.DUMMYFUNCTION("GOOGLEFINANCE(""GOOG"",""all"",DATE(2022,1,1),today())"),"Date")</f>
        <v>Date</v>
      </c>
      <c r="B1" s="1" t="str">
        <f ca="1">IFERROR(__xludf.DUMMYFUNCTION("""COMPUTED_VALUE"""),"Open")</f>
        <v>Open</v>
      </c>
      <c r="C1" s="1" t="str">
        <f ca="1">IFERROR(__xludf.DUMMYFUNCTION("""COMPUTED_VALUE"""),"High")</f>
        <v>High</v>
      </c>
      <c r="D1" s="1" t="str">
        <f ca="1">IFERROR(__xludf.DUMMYFUNCTION("""COMPUTED_VALUE"""),"Low")</f>
        <v>Low</v>
      </c>
      <c r="E1" s="1" t="str">
        <f ca="1">IFERROR(__xludf.DUMMYFUNCTION("""COMPUTED_VALUE"""),"Close")</f>
        <v>Close</v>
      </c>
      <c r="F1" s="1" t="str">
        <f ca="1">IFERROR(__xludf.DUMMYFUNCTION("""COMPUTED_VALUE"""),"Volume")</f>
        <v>Volume</v>
      </c>
    </row>
    <row r="2" spans="1:6" ht="15.75" customHeight="1">
      <c r="A2" s="2">
        <f ca="1">IFERROR(__xludf.DUMMYFUNCTION("""COMPUTED_VALUE"""),44564.6666666666)</f>
        <v>44564.666666666599</v>
      </c>
      <c r="B2" s="1">
        <f ca="1">IFERROR(__xludf.DUMMYFUNCTION("""COMPUTED_VALUE"""),144.48)</f>
        <v>144.47999999999999</v>
      </c>
      <c r="C2" s="1">
        <f ca="1">IFERROR(__xludf.DUMMYFUNCTION("""COMPUTED_VALUE"""),145.55)</f>
        <v>145.55000000000001</v>
      </c>
      <c r="D2" s="1">
        <f ca="1">IFERROR(__xludf.DUMMYFUNCTION("""COMPUTED_VALUE"""),143.5)</f>
        <v>143.5</v>
      </c>
      <c r="E2" s="1">
        <f ca="1">IFERROR(__xludf.DUMMYFUNCTION("""COMPUTED_VALUE"""),145.07)</f>
        <v>145.07</v>
      </c>
      <c r="F2" s="1">
        <f ca="1">IFERROR(__xludf.DUMMYFUNCTION("""COMPUTED_VALUE"""),1261225)</f>
        <v>1261225</v>
      </c>
    </row>
    <row r="3" spans="1:6" ht="15.75" customHeight="1">
      <c r="A3" s="2">
        <f ca="1">IFERROR(__xludf.DUMMYFUNCTION("""COMPUTED_VALUE"""),44565.6666666666)</f>
        <v>44565.666666666599</v>
      </c>
      <c r="B3" s="1">
        <f ca="1">IFERROR(__xludf.DUMMYFUNCTION("""COMPUTED_VALUE"""),145.55)</f>
        <v>145.55000000000001</v>
      </c>
      <c r="C3" s="1">
        <f ca="1">IFERROR(__xludf.DUMMYFUNCTION("""COMPUTED_VALUE"""),146.61)</f>
        <v>146.61000000000001</v>
      </c>
      <c r="D3" s="1">
        <f ca="1">IFERROR(__xludf.DUMMYFUNCTION("""COMPUTED_VALUE"""),143.82)</f>
        <v>143.82</v>
      </c>
      <c r="E3" s="1">
        <f ca="1">IFERROR(__xludf.DUMMYFUNCTION("""COMPUTED_VALUE"""),144.42)</f>
        <v>144.41999999999999</v>
      </c>
      <c r="F3" s="1">
        <f ca="1">IFERROR(__xludf.DUMMYFUNCTION("""COMPUTED_VALUE"""),1146389)</f>
        <v>1146389</v>
      </c>
    </row>
    <row r="4" spans="1:6" ht="15.75" customHeight="1">
      <c r="A4" s="2">
        <f ca="1">IFERROR(__xludf.DUMMYFUNCTION("""COMPUTED_VALUE"""),44566.6666666666)</f>
        <v>44566.666666666599</v>
      </c>
      <c r="B4" s="1">
        <f ca="1">IFERROR(__xludf.DUMMYFUNCTION("""COMPUTED_VALUE"""),144.18)</f>
        <v>144.18</v>
      </c>
      <c r="C4" s="1">
        <f ca="1">IFERROR(__xludf.DUMMYFUNCTION("""COMPUTED_VALUE"""),144.3)</f>
        <v>144.30000000000001</v>
      </c>
      <c r="D4" s="1">
        <f ca="1">IFERROR(__xludf.DUMMYFUNCTION("""COMPUTED_VALUE"""),137.52)</f>
        <v>137.52000000000001</v>
      </c>
      <c r="E4" s="1">
        <f ca="1">IFERROR(__xludf.DUMMYFUNCTION("""COMPUTED_VALUE"""),137.65)</f>
        <v>137.65</v>
      </c>
      <c r="F4" s="1">
        <f ca="1">IFERROR(__xludf.DUMMYFUNCTION("""COMPUTED_VALUE"""),2482076)</f>
        <v>2482076</v>
      </c>
    </row>
    <row r="5" spans="1:6" ht="15.75" customHeight="1">
      <c r="A5" s="2">
        <f ca="1">IFERROR(__xludf.DUMMYFUNCTION("""COMPUTED_VALUE"""),44567.6666666666)</f>
        <v>44567.666666666599</v>
      </c>
      <c r="B5" s="1">
        <f ca="1">IFERROR(__xludf.DUMMYFUNCTION("""COMPUTED_VALUE"""),137.5)</f>
        <v>137.5</v>
      </c>
      <c r="C5" s="1">
        <f ca="1">IFERROR(__xludf.DUMMYFUNCTION("""COMPUTED_VALUE"""),139.69)</f>
        <v>139.69</v>
      </c>
      <c r="D5" s="1">
        <f ca="1">IFERROR(__xludf.DUMMYFUNCTION("""COMPUTED_VALUE"""),136.76)</f>
        <v>136.76</v>
      </c>
      <c r="E5" s="1">
        <f ca="1">IFERROR(__xludf.DUMMYFUNCTION("""COMPUTED_VALUE"""),137.55)</f>
        <v>137.55000000000001</v>
      </c>
      <c r="F5" s="1">
        <f ca="1">IFERROR(__xludf.DUMMYFUNCTION("""COMPUTED_VALUE"""),1452452)</f>
        <v>1452452</v>
      </c>
    </row>
    <row r="6" spans="1:6" ht="15.75" customHeight="1">
      <c r="A6" s="2">
        <f ca="1">IFERROR(__xludf.DUMMYFUNCTION("""COMPUTED_VALUE"""),44568.6666666666)</f>
        <v>44568.666666666599</v>
      </c>
      <c r="B6" s="1">
        <f ca="1">IFERROR(__xludf.DUMMYFUNCTION("""COMPUTED_VALUE"""),137.91)</f>
        <v>137.91</v>
      </c>
      <c r="C6" s="1">
        <f ca="1">IFERROR(__xludf.DUMMYFUNCTION("""COMPUTED_VALUE"""),138.25)</f>
        <v>138.25</v>
      </c>
      <c r="D6" s="1">
        <f ca="1">IFERROR(__xludf.DUMMYFUNCTION("""COMPUTED_VALUE"""),135.79)</f>
        <v>135.79</v>
      </c>
      <c r="E6" s="1">
        <f ca="1">IFERROR(__xludf.DUMMYFUNCTION("""COMPUTED_VALUE"""),137)</f>
        <v>137</v>
      </c>
      <c r="F6" s="1">
        <f ca="1">IFERROR(__xludf.DUMMYFUNCTION("""COMPUTED_VALUE"""),970412)</f>
        <v>970412</v>
      </c>
    </row>
    <row r="7" spans="1:6" ht="15.75" customHeight="1">
      <c r="A7" s="2">
        <f ca="1">IFERROR(__xludf.DUMMYFUNCTION("""COMPUTED_VALUE"""),44571.6666666666)</f>
        <v>44571.666666666599</v>
      </c>
      <c r="B7" s="1">
        <f ca="1">IFERROR(__xludf.DUMMYFUNCTION("""COMPUTED_VALUE"""),135.1)</f>
        <v>135.1</v>
      </c>
      <c r="C7" s="1">
        <f ca="1">IFERROR(__xludf.DUMMYFUNCTION("""COMPUTED_VALUE"""),138.64)</f>
        <v>138.63999999999999</v>
      </c>
      <c r="D7" s="1">
        <f ca="1">IFERROR(__xludf.DUMMYFUNCTION("""COMPUTED_VALUE"""),133.14)</f>
        <v>133.13999999999999</v>
      </c>
      <c r="E7" s="1">
        <f ca="1">IFERROR(__xludf.DUMMYFUNCTION("""COMPUTED_VALUE"""),138.57)</f>
        <v>138.57</v>
      </c>
      <c r="F7" s="1">
        <f ca="1">IFERROR(__xludf.DUMMYFUNCTION("""COMPUTED_VALUE"""),1704784)</f>
        <v>1704784</v>
      </c>
    </row>
    <row r="8" spans="1:6" ht="15.75" customHeight="1">
      <c r="A8" s="2">
        <f ca="1">IFERROR(__xludf.DUMMYFUNCTION("""COMPUTED_VALUE"""),44572.6666666666)</f>
        <v>44572.666666666599</v>
      </c>
      <c r="B8" s="1">
        <f ca="1">IFERROR(__xludf.DUMMYFUNCTION("""COMPUTED_VALUE"""),138.18)</f>
        <v>138.18</v>
      </c>
      <c r="C8" s="1">
        <f ca="1">IFERROR(__xludf.DUMMYFUNCTION("""COMPUTED_VALUE"""),140.33)</f>
        <v>140.33000000000001</v>
      </c>
      <c r="D8" s="1">
        <f ca="1">IFERROR(__xludf.DUMMYFUNCTION("""COMPUTED_VALUE"""),136.81)</f>
        <v>136.81</v>
      </c>
      <c r="E8" s="1">
        <f ca="1">IFERROR(__xludf.DUMMYFUNCTION("""COMPUTED_VALUE"""),140.02)</f>
        <v>140.02000000000001</v>
      </c>
      <c r="F8" s="1">
        <f ca="1">IFERROR(__xludf.DUMMYFUNCTION("""COMPUTED_VALUE"""),1175062)</f>
        <v>1175062</v>
      </c>
    </row>
    <row r="9" spans="1:6" ht="15.75" customHeight="1">
      <c r="A9" s="2">
        <f ca="1">IFERROR(__xludf.DUMMYFUNCTION("""COMPUTED_VALUE"""),44573.6666666666)</f>
        <v>44573.666666666599</v>
      </c>
      <c r="B9" s="1">
        <f ca="1">IFERROR(__xludf.DUMMYFUNCTION("""COMPUTED_VALUE"""),141.55)</f>
        <v>141.55000000000001</v>
      </c>
      <c r="C9" s="1">
        <f ca="1">IFERROR(__xludf.DUMMYFUNCTION("""COMPUTED_VALUE"""),142.81)</f>
        <v>142.81</v>
      </c>
      <c r="D9" s="1">
        <f ca="1">IFERROR(__xludf.DUMMYFUNCTION("""COMPUTED_VALUE"""),141.11)</f>
        <v>141.11000000000001</v>
      </c>
      <c r="E9" s="1">
        <f ca="1">IFERROR(__xludf.DUMMYFUNCTION("""COMPUTED_VALUE"""),141.65)</f>
        <v>141.65</v>
      </c>
      <c r="F9" s="1">
        <f ca="1">IFERROR(__xludf.DUMMYFUNCTION("""COMPUTED_VALUE"""),1182079)</f>
        <v>1182079</v>
      </c>
    </row>
    <row r="10" spans="1:6" ht="15.75" customHeight="1">
      <c r="A10" s="2">
        <f ca="1">IFERROR(__xludf.DUMMYFUNCTION("""COMPUTED_VALUE"""),44574.6666666666)</f>
        <v>44574.666666666599</v>
      </c>
      <c r="B10" s="1">
        <f ca="1">IFERROR(__xludf.DUMMYFUNCTION("""COMPUTED_VALUE"""),141.84)</f>
        <v>141.84</v>
      </c>
      <c r="C10" s="1">
        <f ca="1">IFERROR(__xludf.DUMMYFUNCTION("""COMPUTED_VALUE"""),143.19)</f>
        <v>143.19</v>
      </c>
      <c r="D10" s="1">
        <f ca="1">IFERROR(__xludf.DUMMYFUNCTION("""COMPUTED_VALUE"""),138.91)</f>
        <v>138.91</v>
      </c>
      <c r="E10" s="1">
        <f ca="1">IFERROR(__xludf.DUMMYFUNCTION("""COMPUTED_VALUE"""),139.13)</f>
        <v>139.13</v>
      </c>
      <c r="F10" s="1">
        <f ca="1">IFERROR(__xludf.DUMMYFUNCTION("""COMPUTED_VALUE"""),1328254)</f>
        <v>1328254</v>
      </c>
    </row>
    <row r="11" spans="1:6" ht="15.75" customHeight="1">
      <c r="A11" s="2">
        <f ca="1">IFERROR(__xludf.DUMMYFUNCTION("""COMPUTED_VALUE"""),44575.6666666666)</f>
        <v>44575.666666666599</v>
      </c>
      <c r="B11" s="1">
        <f ca="1">IFERROR(__xludf.DUMMYFUNCTION("""COMPUTED_VALUE"""),137.5)</f>
        <v>137.5</v>
      </c>
      <c r="C11" s="1">
        <f ca="1">IFERROR(__xludf.DUMMYFUNCTION("""COMPUTED_VALUE"""),141.2)</f>
        <v>141.19999999999999</v>
      </c>
      <c r="D11" s="1">
        <f ca="1">IFERROR(__xludf.DUMMYFUNCTION("""COMPUTED_VALUE"""),137.5)</f>
        <v>137.5</v>
      </c>
      <c r="E11" s="1">
        <f ca="1">IFERROR(__xludf.DUMMYFUNCTION("""COMPUTED_VALUE"""),139.79)</f>
        <v>139.79</v>
      </c>
      <c r="F11" s="1">
        <f ca="1">IFERROR(__xludf.DUMMYFUNCTION("""COMPUTED_VALUE"""),1191296)</f>
        <v>1191296</v>
      </c>
    </row>
    <row r="12" spans="1:6" ht="15.75" customHeight="1">
      <c r="A12" s="2">
        <f ca="1">IFERROR(__xludf.DUMMYFUNCTION("""COMPUTED_VALUE"""),44579.6666666666)</f>
        <v>44579.666666666599</v>
      </c>
      <c r="B12" s="1">
        <f ca="1">IFERROR(__xludf.DUMMYFUNCTION("""COMPUTED_VALUE"""),136.6)</f>
        <v>136.6</v>
      </c>
      <c r="C12" s="1">
        <f ca="1">IFERROR(__xludf.DUMMYFUNCTION("""COMPUTED_VALUE"""),137.39)</f>
        <v>137.38999999999999</v>
      </c>
      <c r="D12" s="1">
        <f ca="1">IFERROR(__xludf.DUMMYFUNCTION("""COMPUTED_VALUE"""),135.62)</f>
        <v>135.62</v>
      </c>
      <c r="E12" s="1">
        <f ca="1">IFERROR(__xludf.DUMMYFUNCTION("""COMPUTED_VALUE"""),136.29)</f>
        <v>136.29</v>
      </c>
      <c r="F12" s="1">
        <f ca="1">IFERROR(__xludf.DUMMYFUNCTION("""COMPUTED_VALUE"""),1370098)</f>
        <v>1370098</v>
      </c>
    </row>
    <row r="13" spans="1:6" ht="15.75" customHeight="1">
      <c r="A13" s="2">
        <f ca="1">IFERROR(__xludf.DUMMYFUNCTION("""COMPUTED_VALUE"""),44580.6666666666)</f>
        <v>44580.666666666599</v>
      </c>
      <c r="B13" s="1">
        <f ca="1">IFERROR(__xludf.DUMMYFUNCTION("""COMPUTED_VALUE"""),136.94)</f>
        <v>136.94</v>
      </c>
      <c r="C13" s="1">
        <f ca="1">IFERROR(__xludf.DUMMYFUNCTION("""COMPUTED_VALUE"""),138.4)</f>
        <v>138.4</v>
      </c>
      <c r="D13" s="1">
        <f ca="1">IFERROR(__xludf.DUMMYFUNCTION("""COMPUTED_VALUE"""),135.5)</f>
        <v>135.5</v>
      </c>
      <c r="E13" s="1">
        <f ca="1">IFERROR(__xludf.DUMMYFUNCTION("""COMPUTED_VALUE"""),135.65)</f>
        <v>135.65</v>
      </c>
      <c r="F13" s="1">
        <f ca="1">IFERROR(__xludf.DUMMYFUNCTION("""COMPUTED_VALUE"""),1039764)</f>
        <v>1039764</v>
      </c>
    </row>
    <row r="14" spans="1:6" ht="15.75" customHeight="1">
      <c r="A14" s="2">
        <f ca="1">IFERROR(__xludf.DUMMYFUNCTION("""COMPUTED_VALUE"""),44581.6666666666)</f>
        <v>44581.666666666599</v>
      </c>
      <c r="B14" s="1">
        <f ca="1">IFERROR(__xludf.DUMMYFUNCTION("""COMPUTED_VALUE"""),136.51)</f>
        <v>136.51</v>
      </c>
      <c r="C14" s="1">
        <f ca="1">IFERROR(__xludf.DUMMYFUNCTION("""COMPUTED_VALUE"""),137.91)</f>
        <v>137.91</v>
      </c>
      <c r="D14" s="1">
        <f ca="1">IFERROR(__xludf.DUMMYFUNCTION("""COMPUTED_VALUE"""),133.14)</f>
        <v>133.13999999999999</v>
      </c>
      <c r="E14" s="1">
        <f ca="1">IFERROR(__xludf.DUMMYFUNCTION("""COMPUTED_VALUE"""),133.51)</f>
        <v>133.51</v>
      </c>
      <c r="F14" s="1">
        <f ca="1">IFERROR(__xludf.DUMMYFUNCTION("""COMPUTED_VALUE"""),1096528)</f>
        <v>1096528</v>
      </c>
    </row>
    <row r="15" spans="1:6" ht="15.75" customHeight="1">
      <c r="A15" s="2">
        <f ca="1">IFERROR(__xludf.DUMMYFUNCTION("""COMPUTED_VALUE"""),44582.6666666666)</f>
        <v>44582.666666666599</v>
      </c>
      <c r="B15" s="1">
        <f ca="1">IFERROR(__xludf.DUMMYFUNCTION("""COMPUTED_VALUE"""),133.01)</f>
        <v>133.01</v>
      </c>
      <c r="C15" s="1">
        <f ca="1">IFERROR(__xludf.DUMMYFUNCTION("""COMPUTED_VALUE"""),134.76)</f>
        <v>134.76</v>
      </c>
      <c r="D15" s="1">
        <f ca="1">IFERROR(__xludf.DUMMYFUNCTION("""COMPUTED_VALUE"""),130)</f>
        <v>130</v>
      </c>
      <c r="E15" s="1">
        <f ca="1">IFERROR(__xludf.DUMMYFUNCTION("""COMPUTED_VALUE"""),130.09)</f>
        <v>130.09</v>
      </c>
      <c r="F15" s="1">
        <f ca="1">IFERROR(__xludf.DUMMYFUNCTION("""COMPUTED_VALUE"""),2095961)</f>
        <v>2095961</v>
      </c>
    </row>
    <row r="16" spans="1:6" ht="15.75" customHeight="1">
      <c r="A16" s="2">
        <f ca="1">IFERROR(__xludf.DUMMYFUNCTION("""COMPUTED_VALUE"""),44585.6666666666)</f>
        <v>44585.666666666599</v>
      </c>
      <c r="B16" s="1">
        <f ca="1">IFERROR(__xludf.DUMMYFUNCTION("""COMPUTED_VALUE"""),126.03)</f>
        <v>126.03</v>
      </c>
      <c r="C16" s="1">
        <f ca="1">IFERROR(__xludf.DUMMYFUNCTION("""COMPUTED_VALUE"""),130.78)</f>
        <v>130.78</v>
      </c>
      <c r="D16" s="1">
        <f ca="1">IFERROR(__xludf.DUMMYFUNCTION("""COMPUTED_VALUE"""),124.64)</f>
        <v>124.64</v>
      </c>
      <c r="E16" s="1">
        <f ca="1">IFERROR(__xludf.DUMMYFUNCTION("""COMPUTED_VALUE"""),130.37)</f>
        <v>130.37</v>
      </c>
      <c r="F16" s="1">
        <f ca="1">IFERROR(__xludf.DUMMYFUNCTION("""COMPUTED_VALUE"""),2764602)</f>
        <v>2764602</v>
      </c>
    </row>
    <row r="17" spans="1:6" ht="15.75" customHeight="1">
      <c r="A17" s="2">
        <f ca="1">IFERROR(__xludf.DUMMYFUNCTION("""COMPUTED_VALUE"""),44586.6666666666)</f>
        <v>44586.666666666599</v>
      </c>
      <c r="B17" s="1">
        <f ca="1">IFERROR(__xludf.DUMMYFUNCTION("""COMPUTED_VALUE"""),128.44)</f>
        <v>128.44</v>
      </c>
      <c r="C17" s="1">
        <f ca="1">IFERROR(__xludf.DUMMYFUNCTION("""COMPUTED_VALUE"""),129.34)</f>
        <v>129.34</v>
      </c>
      <c r="D17" s="1">
        <f ca="1">IFERROR(__xludf.DUMMYFUNCTION("""COMPUTED_VALUE"""),126.38)</f>
        <v>126.38</v>
      </c>
      <c r="E17" s="1">
        <f ca="1">IFERROR(__xludf.DUMMYFUNCTION("""COMPUTED_VALUE"""),126.74)</f>
        <v>126.74</v>
      </c>
      <c r="F17" s="1">
        <f ca="1">IFERROR(__xludf.DUMMYFUNCTION("""COMPUTED_VALUE"""),1800430)</f>
        <v>1800430</v>
      </c>
    </row>
    <row r="18" spans="1:6" ht="15.75" customHeight="1">
      <c r="A18" s="2">
        <f ca="1">IFERROR(__xludf.DUMMYFUNCTION("""COMPUTED_VALUE"""),44587.6666666666)</f>
        <v>44587.666666666599</v>
      </c>
      <c r="B18" s="1">
        <f ca="1">IFERROR(__xludf.DUMMYFUNCTION("""COMPUTED_VALUE"""),130.59)</f>
        <v>130.59</v>
      </c>
      <c r="C18" s="1">
        <f ca="1">IFERROR(__xludf.DUMMYFUNCTION("""COMPUTED_VALUE"""),132.81)</f>
        <v>132.81</v>
      </c>
      <c r="D18" s="1">
        <f ca="1">IFERROR(__xludf.DUMMYFUNCTION("""COMPUTED_VALUE"""),127.15)</f>
        <v>127.15</v>
      </c>
      <c r="E18" s="1">
        <f ca="1">IFERROR(__xludf.DUMMYFUNCTION("""COMPUTED_VALUE"""),129.24)</f>
        <v>129.24</v>
      </c>
      <c r="F18" s="1">
        <f ca="1">IFERROR(__xludf.DUMMYFUNCTION("""COMPUTED_VALUE"""),1981544)</f>
        <v>1981544</v>
      </c>
    </row>
    <row r="19" spans="1:6" ht="15.75" customHeight="1">
      <c r="A19" s="2">
        <f ca="1">IFERROR(__xludf.DUMMYFUNCTION("""COMPUTED_VALUE"""),44588.6666666666)</f>
        <v>44588.666666666599</v>
      </c>
      <c r="B19" s="1">
        <f ca="1">IFERROR(__xludf.DUMMYFUNCTION("""COMPUTED_VALUE"""),131.36)</f>
        <v>131.36000000000001</v>
      </c>
      <c r="C19" s="1">
        <f ca="1">IFERROR(__xludf.DUMMYFUNCTION("""COMPUTED_VALUE"""),132.61)</f>
        <v>132.61000000000001</v>
      </c>
      <c r="D19" s="1">
        <f ca="1">IFERROR(__xludf.DUMMYFUNCTION("""COMPUTED_VALUE"""),128.95)</f>
        <v>128.94999999999999</v>
      </c>
      <c r="E19" s="1">
        <f ca="1">IFERROR(__xludf.DUMMYFUNCTION("""COMPUTED_VALUE"""),129.12)</f>
        <v>129.12</v>
      </c>
      <c r="F19" s="1">
        <f ca="1">IFERROR(__xludf.DUMMYFUNCTION("""COMPUTED_VALUE"""),1514251)</f>
        <v>1514251</v>
      </c>
    </row>
    <row r="20" spans="1:6" ht="15.75" customHeight="1">
      <c r="A20" s="2">
        <f ca="1">IFERROR(__xludf.DUMMYFUNCTION("""COMPUTED_VALUE"""),44589.6666666666)</f>
        <v>44589.666666666599</v>
      </c>
      <c r="B20" s="1">
        <f ca="1">IFERROR(__xludf.DUMMYFUNCTION("""COMPUTED_VALUE"""),130)</f>
        <v>130</v>
      </c>
      <c r="C20" s="1">
        <f ca="1">IFERROR(__xludf.DUMMYFUNCTION("""COMPUTED_VALUE"""),133.37)</f>
        <v>133.37</v>
      </c>
      <c r="D20" s="1">
        <f ca="1">IFERROR(__xludf.DUMMYFUNCTION("""COMPUTED_VALUE"""),128.69)</f>
        <v>128.69</v>
      </c>
      <c r="E20" s="1">
        <f ca="1">IFERROR(__xludf.DUMMYFUNCTION("""COMPUTED_VALUE"""),133.29)</f>
        <v>133.29</v>
      </c>
      <c r="F20" s="1">
        <f ca="1">IFERROR(__xludf.DUMMYFUNCTION("""COMPUTED_VALUE"""),1525878)</f>
        <v>1525878</v>
      </c>
    </row>
    <row r="21" spans="1:6" ht="15.75" customHeight="1">
      <c r="A21" s="2">
        <f ca="1">IFERROR(__xludf.DUMMYFUNCTION("""COMPUTED_VALUE"""),44592.6666666666)</f>
        <v>44592.666666666599</v>
      </c>
      <c r="B21" s="1">
        <f ca="1">IFERROR(__xludf.DUMMYFUNCTION("""COMPUTED_VALUE"""),134.2)</f>
        <v>134.19999999999999</v>
      </c>
      <c r="C21" s="1">
        <f ca="1">IFERROR(__xludf.DUMMYFUNCTION("""COMPUTED_VALUE"""),135.84)</f>
        <v>135.84</v>
      </c>
      <c r="D21" s="1">
        <f ca="1">IFERROR(__xludf.DUMMYFUNCTION("""COMPUTED_VALUE"""),132.27)</f>
        <v>132.27000000000001</v>
      </c>
      <c r="E21" s="1">
        <f ca="1">IFERROR(__xludf.DUMMYFUNCTION("""COMPUTED_VALUE"""),135.7)</f>
        <v>135.69999999999999</v>
      </c>
      <c r="F21" s="1">
        <f ca="1">IFERROR(__xludf.DUMMYFUNCTION("""COMPUTED_VALUE"""),1702778)</f>
        <v>1702778</v>
      </c>
    </row>
    <row r="22" spans="1:6" ht="15.75" customHeight="1">
      <c r="A22" s="2">
        <f ca="1">IFERROR(__xludf.DUMMYFUNCTION("""COMPUTED_VALUE"""),44593.6666666666)</f>
        <v>44593.666666666599</v>
      </c>
      <c r="B22" s="1">
        <f ca="1">IFERROR(__xludf.DUMMYFUNCTION("""COMPUTED_VALUE"""),137.84)</f>
        <v>137.84</v>
      </c>
      <c r="C22" s="1">
        <f ca="1">IFERROR(__xludf.DUMMYFUNCTION("""COMPUTED_VALUE"""),138.2)</f>
        <v>138.19999999999999</v>
      </c>
      <c r="D22" s="1">
        <f ca="1">IFERROR(__xludf.DUMMYFUNCTION("""COMPUTED_VALUE"""),134.57)</f>
        <v>134.57</v>
      </c>
      <c r="E22" s="1">
        <f ca="1">IFERROR(__xludf.DUMMYFUNCTION("""COMPUTED_VALUE"""),137.88)</f>
        <v>137.88</v>
      </c>
      <c r="F22" s="1">
        <f ca="1">IFERROR(__xludf.DUMMYFUNCTION("""COMPUTED_VALUE"""),2560160)</f>
        <v>2560160</v>
      </c>
    </row>
    <row r="23" spans="1:6" ht="15.75" customHeight="1">
      <c r="A23" s="2">
        <f ca="1">IFERROR(__xludf.DUMMYFUNCTION("""COMPUTED_VALUE"""),44594.6666666666)</f>
        <v>44594.666666666599</v>
      </c>
      <c r="B23" s="1">
        <f ca="1">IFERROR(__xludf.DUMMYFUNCTION("""COMPUTED_VALUE"""),151.86)</f>
        <v>151.86000000000001</v>
      </c>
      <c r="C23" s="1">
        <f ca="1">IFERROR(__xludf.DUMMYFUNCTION("""COMPUTED_VALUE"""),152.1)</f>
        <v>152.1</v>
      </c>
      <c r="D23" s="1">
        <f ca="1">IFERROR(__xludf.DUMMYFUNCTION("""COMPUTED_VALUE"""),145.56)</f>
        <v>145.56</v>
      </c>
      <c r="E23" s="1">
        <f ca="1">IFERROR(__xludf.DUMMYFUNCTION("""COMPUTED_VALUE"""),148.04)</f>
        <v>148.04</v>
      </c>
      <c r="F23" s="1">
        <f ca="1">IFERROR(__xludf.DUMMYFUNCTION("""COMPUTED_VALUE"""),4487538)</f>
        <v>4487538</v>
      </c>
    </row>
    <row r="24" spans="1:6" ht="15.75" customHeight="1">
      <c r="A24" s="2">
        <f ca="1">IFERROR(__xludf.DUMMYFUNCTION("""COMPUTED_VALUE"""),44595.6666666666)</f>
        <v>44595.666666666599</v>
      </c>
      <c r="B24" s="1">
        <f ca="1">IFERROR(__xludf.DUMMYFUNCTION("""COMPUTED_VALUE"""),145.29)</f>
        <v>145.29</v>
      </c>
      <c r="C24" s="1">
        <f ca="1">IFERROR(__xludf.DUMMYFUNCTION("""COMPUTED_VALUE"""),149.12)</f>
        <v>149.12</v>
      </c>
      <c r="D24" s="1">
        <f ca="1">IFERROR(__xludf.DUMMYFUNCTION("""COMPUTED_VALUE"""),142.21)</f>
        <v>142.21</v>
      </c>
      <c r="E24" s="1">
        <f ca="1">IFERROR(__xludf.DUMMYFUNCTION("""COMPUTED_VALUE"""),142.65)</f>
        <v>142.65</v>
      </c>
      <c r="F24" s="1">
        <f ca="1">IFERROR(__xludf.DUMMYFUNCTION("""COMPUTED_VALUE"""),2846507)</f>
        <v>2846507</v>
      </c>
    </row>
    <row r="25" spans="1:6" ht="15.75" customHeight="1">
      <c r="A25" s="2">
        <f ca="1">IFERROR(__xludf.DUMMYFUNCTION("""COMPUTED_VALUE"""),44596.6666666666)</f>
        <v>44596.666666666599</v>
      </c>
      <c r="B25" s="1">
        <f ca="1">IFERROR(__xludf.DUMMYFUNCTION("""COMPUTED_VALUE"""),143.02)</f>
        <v>143.02000000000001</v>
      </c>
      <c r="C25" s="1">
        <f ca="1">IFERROR(__xludf.DUMMYFUNCTION("""COMPUTED_VALUE"""),144.54)</f>
        <v>144.54</v>
      </c>
      <c r="D25" s="1">
        <f ca="1">IFERROR(__xludf.DUMMYFUNCTION("""COMPUTED_VALUE"""),139.82)</f>
        <v>139.82</v>
      </c>
      <c r="E25" s="1">
        <f ca="1">IFERROR(__xludf.DUMMYFUNCTION("""COMPUTED_VALUE"""),143.02)</f>
        <v>143.02000000000001</v>
      </c>
      <c r="F25" s="1">
        <f ca="1">IFERROR(__xludf.DUMMYFUNCTION("""COMPUTED_VALUE"""),2461220)</f>
        <v>2461220</v>
      </c>
    </row>
    <row r="26" spans="1:6" ht="15.75" customHeight="1">
      <c r="A26" s="2">
        <f ca="1">IFERROR(__xludf.DUMMYFUNCTION("""COMPUTED_VALUE"""),44599.6666666666)</f>
        <v>44599.666666666599</v>
      </c>
      <c r="B26" s="1">
        <f ca="1">IFERROR(__xludf.DUMMYFUNCTION("""COMPUTED_VALUE"""),143.71)</f>
        <v>143.71</v>
      </c>
      <c r="C26" s="1">
        <f ca="1">IFERROR(__xludf.DUMMYFUNCTION("""COMPUTED_VALUE"""),143.85)</f>
        <v>143.85</v>
      </c>
      <c r="D26" s="1">
        <f ca="1">IFERROR(__xludf.DUMMYFUNCTION("""COMPUTED_VALUE"""),138.7)</f>
        <v>138.69999999999999</v>
      </c>
      <c r="E26" s="1">
        <f ca="1">IFERROR(__xludf.DUMMYFUNCTION("""COMPUTED_VALUE"""),138.94)</f>
        <v>138.94</v>
      </c>
      <c r="F26" s="1">
        <f ca="1">IFERROR(__xludf.DUMMYFUNCTION("""COMPUTED_VALUE"""),2230537)</f>
        <v>2230537</v>
      </c>
    </row>
    <row r="27" spans="1:6" ht="15.75" customHeight="1">
      <c r="A27" s="2">
        <f ca="1">IFERROR(__xludf.DUMMYFUNCTION("""COMPUTED_VALUE"""),44600.6666666666)</f>
        <v>44600.666666666599</v>
      </c>
      <c r="B27" s="1">
        <f ca="1">IFERROR(__xludf.DUMMYFUNCTION("""COMPUTED_VALUE"""),138.99)</f>
        <v>138.99</v>
      </c>
      <c r="C27" s="1">
        <f ca="1">IFERROR(__xludf.DUMMYFUNCTION("""COMPUTED_VALUE"""),139.84)</f>
        <v>139.84</v>
      </c>
      <c r="D27" s="1">
        <f ca="1">IFERROR(__xludf.DUMMYFUNCTION("""COMPUTED_VALUE"""),136.87)</f>
        <v>136.87</v>
      </c>
      <c r="E27" s="1">
        <f ca="1">IFERROR(__xludf.DUMMYFUNCTION("""COMPUTED_VALUE"""),139.21)</f>
        <v>139.21</v>
      </c>
      <c r="F27" s="1">
        <f ca="1">IFERROR(__xludf.DUMMYFUNCTION("""COMPUTED_VALUE"""),1712752)</f>
        <v>1712752</v>
      </c>
    </row>
    <row r="28" spans="1:6" ht="15.75" customHeight="1">
      <c r="A28" s="2">
        <f ca="1">IFERROR(__xludf.DUMMYFUNCTION("""COMPUTED_VALUE"""),44601.6666666666)</f>
        <v>44601.666666666599</v>
      </c>
      <c r="B28" s="1">
        <f ca="1">IFERROR(__xludf.DUMMYFUNCTION("""COMPUTED_VALUE"""),140.85)</f>
        <v>140.85</v>
      </c>
      <c r="C28" s="1">
        <f ca="1">IFERROR(__xludf.DUMMYFUNCTION("""COMPUTED_VALUE"""),142.18)</f>
        <v>142.18</v>
      </c>
      <c r="D28" s="1">
        <f ca="1">IFERROR(__xludf.DUMMYFUNCTION("""COMPUTED_VALUE"""),140.38)</f>
        <v>140.38</v>
      </c>
      <c r="E28" s="1">
        <f ca="1">IFERROR(__xludf.DUMMYFUNCTION("""COMPUTED_VALUE"""),141.45)</f>
        <v>141.44999999999999</v>
      </c>
      <c r="F28" s="1">
        <f ca="1">IFERROR(__xludf.DUMMYFUNCTION("""COMPUTED_VALUE"""),1431358)</f>
        <v>1431358</v>
      </c>
    </row>
    <row r="29" spans="1:6" ht="15.75" customHeight="1">
      <c r="A29" s="2">
        <f ca="1">IFERROR(__xludf.DUMMYFUNCTION("""COMPUTED_VALUE"""),44602.6666666666)</f>
        <v>44602.666666666599</v>
      </c>
      <c r="B29" s="1">
        <f ca="1">IFERROR(__xludf.DUMMYFUNCTION("""COMPUTED_VALUE"""),139.5)</f>
        <v>139.5</v>
      </c>
      <c r="C29" s="1">
        <f ca="1">IFERROR(__xludf.DUMMYFUNCTION("""COMPUTED_VALUE"""),141.43)</f>
        <v>141.43</v>
      </c>
      <c r="D29" s="1">
        <f ca="1">IFERROR(__xludf.DUMMYFUNCTION("""COMPUTED_VALUE"""),138.05)</f>
        <v>138.05000000000001</v>
      </c>
      <c r="E29" s="1">
        <f ca="1">IFERROR(__xludf.DUMMYFUNCTION("""COMPUTED_VALUE"""),138.6)</f>
        <v>138.6</v>
      </c>
      <c r="F29" s="1">
        <f ca="1">IFERROR(__xludf.DUMMYFUNCTION("""COMPUTED_VALUE"""),1650885)</f>
        <v>1650885</v>
      </c>
    </row>
    <row r="30" spans="1:6" ht="15.75" customHeight="1">
      <c r="A30" s="2">
        <f ca="1">IFERROR(__xludf.DUMMYFUNCTION("""COMPUTED_VALUE"""),44603.6666666666)</f>
        <v>44603.666666666599</v>
      </c>
      <c r="B30" s="1">
        <f ca="1">IFERROR(__xludf.DUMMYFUNCTION("""COMPUTED_VALUE"""),138.75)</f>
        <v>138.75</v>
      </c>
      <c r="C30" s="1">
        <f ca="1">IFERROR(__xludf.DUMMYFUNCTION("""COMPUTED_VALUE"""),139.28)</f>
        <v>139.28</v>
      </c>
      <c r="D30" s="1">
        <f ca="1">IFERROR(__xludf.DUMMYFUNCTION("""COMPUTED_VALUE"""),133.29)</f>
        <v>133.29</v>
      </c>
      <c r="E30" s="1">
        <f ca="1">IFERROR(__xludf.DUMMYFUNCTION("""COMPUTED_VALUE"""),134.13)</f>
        <v>134.13</v>
      </c>
      <c r="F30" s="1">
        <f ca="1">IFERROR(__xludf.DUMMYFUNCTION("""COMPUTED_VALUE"""),1940440)</f>
        <v>1940440</v>
      </c>
    </row>
    <row r="31" spans="1:6" ht="15.75" customHeight="1">
      <c r="A31" s="2">
        <f ca="1">IFERROR(__xludf.DUMMYFUNCTION("""COMPUTED_VALUE"""),44606.6666666666)</f>
        <v>44606.666666666599</v>
      </c>
      <c r="B31" s="1">
        <f ca="1">IFERROR(__xludf.DUMMYFUNCTION("""COMPUTED_VALUE"""),133.37)</f>
        <v>133.37</v>
      </c>
      <c r="C31" s="1">
        <f ca="1">IFERROR(__xludf.DUMMYFUNCTION("""COMPUTED_VALUE"""),136.17)</f>
        <v>136.16999999999999</v>
      </c>
      <c r="D31" s="1">
        <f ca="1">IFERROR(__xludf.DUMMYFUNCTION("""COMPUTED_VALUE"""),133.3)</f>
        <v>133.30000000000001</v>
      </c>
      <c r="E31" s="1">
        <f ca="1">IFERROR(__xludf.DUMMYFUNCTION("""COMPUTED_VALUE"""),135.3)</f>
        <v>135.30000000000001</v>
      </c>
      <c r="F31" s="1">
        <f ca="1">IFERROR(__xludf.DUMMYFUNCTION("""COMPUTED_VALUE"""),1339640)</f>
        <v>1339640</v>
      </c>
    </row>
    <row r="32" spans="1:6" ht="15.75" customHeight="1">
      <c r="A32" s="2">
        <f ca="1">IFERROR(__xludf.DUMMYFUNCTION("""COMPUTED_VALUE"""),44607.6666666666)</f>
        <v>44607.666666666599</v>
      </c>
      <c r="B32" s="1">
        <f ca="1">IFERROR(__xludf.DUMMYFUNCTION("""COMPUTED_VALUE"""),137.47)</f>
        <v>137.47</v>
      </c>
      <c r="C32" s="1">
        <f ca="1">IFERROR(__xludf.DUMMYFUNCTION("""COMPUTED_VALUE"""),137.9)</f>
        <v>137.9</v>
      </c>
      <c r="D32" s="1">
        <f ca="1">IFERROR(__xludf.DUMMYFUNCTION("""COMPUTED_VALUE"""),135.54)</f>
        <v>135.54</v>
      </c>
      <c r="E32" s="1">
        <f ca="1">IFERROR(__xludf.DUMMYFUNCTION("""COMPUTED_VALUE"""),136.43)</f>
        <v>136.43</v>
      </c>
      <c r="F32" s="1">
        <f ca="1">IFERROR(__xludf.DUMMYFUNCTION("""COMPUTED_VALUE"""),1328878)</f>
        <v>1328878</v>
      </c>
    </row>
    <row r="33" spans="1:6" ht="15.75" customHeight="1">
      <c r="A33" s="2">
        <f ca="1">IFERROR(__xludf.DUMMYFUNCTION("""COMPUTED_VALUE"""),44608.6666666666)</f>
        <v>44608.666666666599</v>
      </c>
      <c r="B33" s="1">
        <f ca="1">IFERROR(__xludf.DUMMYFUNCTION("""COMPUTED_VALUE"""),136.43)</f>
        <v>136.43</v>
      </c>
      <c r="C33" s="1">
        <f ca="1">IFERROR(__xludf.DUMMYFUNCTION("""COMPUTED_VALUE"""),137.95)</f>
        <v>137.94999999999999</v>
      </c>
      <c r="D33" s="1">
        <f ca="1">IFERROR(__xludf.DUMMYFUNCTION("""COMPUTED_VALUE"""),134.82)</f>
        <v>134.82</v>
      </c>
      <c r="E33" s="1">
        <f ca="1">IFERROR(__xludf.DUMMYFUNCTION("""COMPUTED_VALUE"""),137.49)</f>
        <v>137.49</v>
      </c>
      <c r="F33" s="1">
        <f ca="1">IFERROR(__xludf.DUMMYFUNCTION("""COMPUTED_VALUE"""),1280483)</f>
        <v>1280483</v>
      </c>
    </row>
    <row r="34" spans="1:6" ht="15.75" customHeight="1">
      <c r="A34" s="2">
        <f ca="1">IFERROR(__xludf.DUMMYFUNCTION("""COMPUTED_VALUE"""),44609.6666666666)</f>
        <v>44609.666666666599</v>
      </c>
      <c r="B34" s="1">
        <f ca="1">IFERROR(__xludf.DUMMYFUNCTION("""COMPUTED_VALUE"""),136.15)</f>
        <v>136.15</v>
      </c>
      <c r="C34" s="1">
        <f ca="1">IFERROR(__xludf.DUMMYFUNCTION("""COMPUTED_VALUE"""),136.84)</f>
        <v>136.84</v>
      </c>
      <c r="D34" s="1">
        <f ca="1">IFERROR(__xludf.DUMMYFUNCTION("""COMPUTED_VALUE"""),132.2)</f>
        <v>132.19999999999999</v>
      </c>
      <c r="E34" s="1">
        <f ca="1">IFERROR(__xludf.DUMMYFUNCTION("""COMPUTED_VALUE"""),132.31)</f>
        <v>132.31</v>
      </c>
      <c r="F34" s="1">
        <f ca="1">IFERROR(__xludf.DUMMYFUNCTION("""COMPUTED_VALUE"""),1548406)</f>
        <v>1548406</v>
      </c>
    </row>
    <row r="35" spans="1:6" ht="15.75" customHeight="1">
      <c r="A35" s="2">
        <f ca="1">IFERROR(__xludf.DUMMYFUNCTION("""COMPUTED_VALUE"""),44610.6666666666)</f>
        <v>44610.666666666599</v>
      </c>
      <c r="B35" s="1">
        <f ca="1">IFERROR(__xludf.DUMMYFUNCTION("""COMPUTED_VALUE"""),133.04)</f>
        <v>133.04</v>
      </c>
      <c r="C35" s="1">
        <f ca="1">IFERROR(__xludf.DUMMYFUNCTION("""COMPUTED_VALUE"""),133.82)</f>
        <v>133.82</v>
      </c>
      <c r="D35" s="1">
        <f ca="1">IFERROR(__xludf.DUMMYFUNCTION("""COMPUTED_VALUE"""),130.31)</f>
        <v>130.31</v>
      </c>
      <c r="E35" s="1">
        <f ca="1">IFERROR(__xludf.DUMMYFUNCTION("""COMPUTED_VALUE"""),130.47)</f>
        <v>130.47</v>
      </c>
      <c r="F35" s="1">
        <f ca="1">IFERROR(__xludf.DUMMYFUNCTION("""COMPUTED_VALUE"""),1592930)</f>
        <v>1592930</v>
      </c>
    </row>
    <row r="36" spans="1:6" ht="15.75" customHeight="1">
      <c r="A36" s="2">
        <f ca="1">IFERROR(__xludf.DUMMYFUNCTION("""COMPUTED_VALUE"""),44614.6666666666)</f>
        <v>44614.666666666599</v>
      </c>
      <c r="B36" s="1">
        <f ca="1">IFERROR(__xludf.DUMMYFUNCTION("""COMPUTED_VALUE"""),129.99)</f>
        <v>129.99</v>
      </c>
      <c r="C36" s="1">
        <f ca="1">IFERROR(__xludf.DUMMYFUNCTION("""COMPUTED_VALUE"""),131.9)</f>
        <v>131.9</v>
      </c>
      <c r="D36" s="1">
        <f ca="1">IFERROR(__xludf.DUMMYFUNCTION("""COMPUTED_VALUE"""),127.74)</f>
        <v>127.74</v>
      </c>
      <c r="E36" s="1">
        <f ca="1">IFERROR(__xludf.DUMMYFUNCTION("""COMPUTED_VALUE"""),129.4)</f>
        <v>129.4</v>
      </c>
      <c r="F36" s="1">
        <f ca="1">IFERROR(__xludf.DUMMYFUNCTION("""COMPUTED_VALUE"""),1945329)</f>
        <v>1945329</v>
      </c>
    </row>
    <row r="37" spans="1:6" ht="12.6">
      <c r="A37" s="2">
        <f ca="1">IFERROR(__xludf.DUMMYFUNCTION("""COMPUTED_VALUE"""),44615.6666666666)</f>
        <v>44615.666666666599</v>
      </c>
      <c r="B37" s="1">
        <f ca="1">IFERROR(__xludf.DUMMYFUNCTION("""COMPUTED_VALUE"""),131.08)</f>
        <v>131.08000000000001</v>
      </c>
      <c r="C37" s="1">
        <f ca="1">IFERROR(__xludf.DUMMYFUNCTION("""COMPUTED_VALUE"""),131.75)</f>
        <v>131.75</v>
      </c>
      <c r="D37" s="1">
        <f ca="1">IFERROR(__xludf.DUMMYFUNCTION("""COMPUTED_VALUE"""),127.5)</f>
        <v>127.5</v>
      </c>
      <c r="E37" s="1">
        <f ca="1">IFERROR(__xludf.DUMMYFUNCTION("""COMPUTED_VALUE"""),127.59)</f>
        <v>127.59</v>
      </c>
      <c r="F37" s="1">
        <f ca="1">IFERROR(__xludf.DUMMYFUNCTION("""COMPUTED_VALUE"""),1321564)</f>
        <v>1321564</v>
      </c>
    </row>
    <row r="38" spans="1:6" ht="12.6">
      <c r="A38" s="2">
        <f ca="1">IFERROR(__xludf.DUMMYFUNCTION("""COMPUTED_VALUE"""),44616.6666666666)</f>
        <v>44616.666666666599</v>
      </c>
      <c r="B38" s="1">
        <f ca="1">IFERROR(__xludf.DUMMYFUNCTION("""COMPUTED_VALUE"""),125)</f>
        <v>125</v>
      </c>
      <c r="C38" s="1">
        <f ca="1">IFERROR(__xludf.DUMMYFUNCTION("""COMPUTED_VALUE"""),133.04)</f>
        <v>133.04</v>
      </c>
      <c r="D38" s="1">
        <f ca="1">IFERROR(__xludf.DUMMYFUNCTION("""COMPUTED_VALUE"""),124.76)</f>
        <v>124.76</v>
      </c>
      <c r="E38" s="1">
        <f ca="1">IFERROR(__xludf.DUMMYFUNCTION("""COMPUTED_VALUE"""),132.67)</f>
        <v>132.66999999999999</v>
      </c>
      <c r="F38" s="1">
        <f ca="1">IFERROR(__xludf.DUMMYFUNCTION("""COMPUTED_VALUE"""),2158254)</f>
        <v>2158254</v>
      </c>
    </row>
    <row r="39" spans="1:6" ht="12.6">
      <c r="A39" s="2">
        <f ca="1">IFERROR(__xludf.DUMMYFUNCTION("""COMPUTED_VALUE"""),44617.6666666666)</f>
        <v>44617.666666666599</v>
      </c>
      <c r="B39" s="1">
        <f ca="1">IFERROR(__xludf.DUMMYFUNCTION("""COMPUTED_VALUE"""),133.53)</f>
        <v>133.53</v>
      </c>
      <c r="C39" s="1">
        <f ca="1">IFERROR(__xludf.DUMMYFUNCTION("""COMPUTED_VALUE"""),135.39)</f>
        <v>135.38999999999999</v>
      </c>
      <c r="D39" s="1">
        <f ca="1">IFERROR(__xludf.DUMMYFUNCTION("""COMPUTED_VALUE"""),131.76)</f>
        <v>131.76</v>
      </c>
      <c r="E39" s="1">
        <f ca="1">IFERROR(__xludf.DUMMYFUNCTION("""COMPUTED_VALUE"""),134.52)</f>
        <v>134.52000000000001</v>
      </c>
      <c r="F39" s="1">
        <f ca="1">IFERROR(__xludf.DUMMYFUNCTION("""COMPUTED_VALUE"""),1311793)</f>
        <v>1311793</v>
      </c>
    </row>
    <row r="40" spans="1:6" ht="12.6">
      <c r="A40" s="2">
        <f ca="1">IFERROR(__xludf.DUMMYFUNCTION("""COMPUTED_VALUE"""),44620.6666666666)</f>
        <v>44620.666666666599</v>
      </c>
      <c r="B40" s="1">
        <f ca="1">IFERROR(__xludf.DUMMYFUNCTION("""COMPUTED_VALUE"""),133.28)</f>
        <v>133.28</v>
      </c>
      <c r="C40" s="1">
        <f ca="1">IFERROR(__xludf.DUMMYFUNCTION("""COMPUTED_VALUE"""),135.64)</f>
        <v>135.63999999999999</v>
      </c>
      <c r="D40" s="1">
        <f ca="1">IFERROR(__xludf.DUMMYFUNCTION("""COMPUTED_VALUE"""),132.83)</f>
        <v>132.83000000000001</v>
      </c>
      <c r="E40" s="1">
        <f ca="1">IFERROR(__xludf.DUMMYFUNCTION("""COMPUTED_VALUE"""),134.89)</f>
        <v>134.88999999999999</v>
      </c>
      <c r="F40" s="1">
        <f ca="1">IFERROR(__xludf.DUMMYFUNCTION("""COMPUTED_VALUE"""),1483784)</f>
        <v>1483784</v>
      </c>
    </row>
    <row r="41" spans="1:6" ht="12.6">
      <c r="A41" s="2">
        <f ca="1">IFERROR(__xludf.DUMMYFUNCTION("""COMPUTED_VALUE"""),44621.6666666666)</f>
        <v>44621.666666666599</v>
      </c>
      <c r="B41" s="1">
        <f ca="1">IFERROR(__xludf.DUMMYFUNCTION("""COMPUTED_VALUE"""),134.48)</f>
        <v>134.47999999999999</v>
      </c>
      <c r="C41" s="1">
        <f ca="1">IFERROR(__xludf.DUMMYFUNCTION("""COMPUTED_VALUE"""),136.11)</f>
        <v>136.11000000000001</v>
      </c>
      <c r="D41" s="1">
        <f ca="1">IFERROR(__xludf.DUMMYFUNCTION("""COMPUTED_VALUE"""),133.38)</f>
        <v>133.38</v>
      </c>
      <c r="E41" s="1">
        <f ca="1">IFERROR(__xludf.DUMMYFUNCTION("""COMPUTED_VALUE"""),134.17)</f>
        <v>134.16999999999999</v>
      </c>
      <c r="F41" s="1">
        <f ca="1">IFERROR(__xludf.DUMMYFUNCTION("""COMPUTED_VALUE"""),1231996)</f>
        <v>1231996</v>
      </c>
    </row>
    <row r="42" spans="1:6" ht="12.6">
      <c r="A42" s="2">
        <f ca="1">IFERROR(__xludf.DUMMYFUNCTION("""COMPUTED_VALUE"""),44622.6666666666)</f>
        <v>44622.666666666599</v>
      </c>
      <c r="B42" s="1">
        <f ca="1">IFERROR(__xludf.DUMMYFUNCTION("""COMPUTED_VALUE"""),134.61)</f>
        <v>134.61000000000001</v>
      </c>
      <c r="C42" s="1">
        <f ca="1">IFERROR(__xludf.DUMMYFUNCTION("""COMPUTED_VALUE"""),135.62)</f>
        <v>135.62</v>
      </c>
      <c r="D42" s="1">
        <f ca="1">IFERROR(__xludf.DUMMYFUNCTION("""COMPUTED_VALUE"""),133.43)</f>
        <v>133.43</v>
      </c>
      <c r="E42" s="1">
        <f ca="1">IFERROR(__xludf.DUMMYFUNCTION("""COMPUTED_VALUE"""),134.75)</f>
        <v>134.75</v>
      </c>
      <c r="F42" s="1">
        <f ca="1">IFERROR(__xludf.DUMMYFUNCTION("""COMPUTED_VALUE"""),1198337)</f>
        <v>1198337</v>
      </c>
    </row>
    <row r="43" spans="1:6" ht="12.6">
      <c r="A43" s="2">
        <f ca="1">IFERROR(__xludf.DUMMYFUNCTION("""COMPUTED_VALUE"""),44623.6666666666)</f>
        <v>44623.666666666599</v>
      </c>
      <c r="B43" s="1">
        <f ca="1">IFERROR(__xludf.DUMMYFUNCTION("""COMPUTED_VALUE"""),135.98)</f>
        <v>135.97999999999999</v>
      </c>
      <c r="C43" s="1">
        <f ca="1">IFERROR(__xludf.DUMMYFUNCTION("""COMPUTED_VALUE"""),136.71)</f>
        <v>136.71</v>
      </c>
      <c r="D43" s="1">
        <f ca="1">IFERROR(__xludf.DUMMYFUNCTION("""COMPUTED_VALUE"""),133.43)</f>
        <v>133.43</v>
      </c>
      <c r="E43" s="1">
        <f ca="1">IFERROR(__xludf.DUMMYFUNCTION("""COMPUTED_VALUE"""),134.31)</f>
        <v>134.31</v>
      </c>
      <c r="F43" s="1">
        <f ca="1">IFERROR(__xludf.DUMMYFUNCTION("""COMPUTED_VALUE"""),988965)</f>
        <v>988965</v>
      </c>
    </row>
    <row r="44" spans="1:6" ht="12.6">
      <c r="A44" s="2">
        <f ca="1">IFERROR(__xludf.DUMMYFUNCTION("""COMPUTED_VALUE"""),44624.6666666666)</f>
        <v>44624.666666666599</v>
      </c>
      <c r="B44" s="1">
        <f ca="1">IFERROR(__xludf.DUMMYFUNCTION("""COMPUTED_VALUE"""),133.38)</f>
        <v>133.38</v>
      </c>
      <c r="C44" s="1">
        <f ca="1">IFERROR(__xludf.DUMMYFUNCTION("""COMPUTED_VALUE"""),134.2)</f>
        <v>134.19999999999999</v>
      </c>
      <c r="D44" s="1">
        <f ca="1">IFERROR(__xludf.DUMMYFUNCTION("""COMPUTED_VALUE"""),130.41)</f>
        <v>130.41</v>
      </c>
      <c r="E44" s="1">
        <f ca="1">IFERROR(__xludf.DUMMYFUNCTION("""COMPUTED_VALUE"""),132.12)</f>
        <v>132.12</v>
      </c>
      <c r="F44" s="1">
        <f ca="1">IFERROR(__xludf.DUMMYFUNCTION("""COMPUTED_VALUE"""),1223612)</f>
        <v>1223612</v>
      </c>
    </row>
    <row r="45" spans="1:6" ht="12.6">
      <c r="A45" s="2">
        <f ca="1">IFERROR(__xludf.DUMMYFUNCTION("""COMPUTED_VALUE"""),44627.6666666666)</f>
        <v>44627.666666666599</v>
      </c>
      <c r="B45" s="1">
        <f ca="1">IFERROR(__xludf.DUMMYFUNCTION("""COMPUTED_VALUE"""),131.9)</f>
        <v>131.9</v>
      </c>
      <c r="C45" s="1">
        <f ca="1">IFERROR(__xludf.DUMMYFUNCTION("""COMPUTED_VALUE"""),131.9)</f>
        <v>131.9</v>
      </c>
      <c r="D45" s="1">
        <f ca="1">IFERROR(__xludf.DUMMYFUNCTION("""COMPUTED_VALUE"""),126.41)</f>
        <v>126.41</v>
      </c>
      <c r="E45" s="1">
        <f ca="1">IFERROR(__xludf.DUMMYFUNCTION("""COMPUTED_VALUE"""),126.46)</f>
        <v>126.46</v>
      </c>
      <c r="F45" s="1">
        <f ca="1">IFERROR(__xludf.DUMMYFUNCTION("""COMPUTED_VALUE"""),1958895)</f>
        <v>1958895</v>
      </c>
    </row>
    <row r="46" spans="1:6" ht="12.6">
      <c r="A46" s="2">
        <f ca="1">IFERROR(__xludf.DUMMYFUNCTION("""COMPUTED_VALUE"""),44628.6666666666)</f>
        <v>44628.666666666599</v>
      </c>
      <c r="B46" s="1">
        <f ca="1">IFERROR(__xludf.DUMMYFUNCTION("""COMPUTED_VALUE"""),126.25)</f>
        <v>126.25</v>
      </c>
      <c r="C46" s="1">
        <f ca="1">IFERROR(__xludf.DUMMYFUNCTION("""COMPUTED_VALUE"""),131.25)</f>
        <v>131.25</v>
      </c>
      <c r="D46" s="1">
        <f ca="1">IFERROR(__xludf.DUMMYFUNCTION("""COMPUTED_VALUE"""),125.86)</f>
        <v>125.86</v>
      </c>
      <c r="E46" s="1">
        <f ca="1">IFERROR(__xludf.DUMMYFUNCTION("""COMPUTED_VALUE"""),127.28)</f>
        <v>127.28</v>
      </c>
      <c r="F46" s="1">
        <f ca="1">IFERROR(__xludf.DUMMYFUNCTION("""COMPUTED_VALUE"""),1762478)</f>
        <v>1762478</v>
      </c>
    </row>
    <row r="47" spans="1:6" ht="12.6">
      <c r="A47" s="2">
        <f ca="1">IFERROR(__xludf.DUMMYFUNCTION("""COMPUTED_VALUE"""),44629.6666666666)</f>
        <v>44629.666666666599</v>
      </c>
      <c r="B47" s="1">
        <f ca="1">IFERROR(__xludf.DUMMYFUNCTION("""COMPUTED_VALUE"""),131.4)</f>
        <v>131.4</v>
      </c>
      <c r="C47" s="1">
        <f ca="1">IFERROR(__xludf.DUMMYFUNCTION("""COMPUTED_VALUE"""),134.2)</f>
        <v>134.19999999999999</v>
      </c>
      <c r="D47" s="1">
        <f ca="1">IFERROR(__xludf.DUMMYFUNCTION("""COMPUTED_VALUE"""),130.09)</f>
        <v>130.09</v>
      </c>
      <c r="E47" s="1">
        <f ca="1">IFERROR(__xludf.DUMMYFUNCTION("""COMPUTED_VALUE"""),133.87)</f>
        <v>133.87</v>
      </c>
      <c r="F47" s="1">
        <f ca="1">IFERROR(__xludf.DUMMYFUNCTION("""COMPUTED_VALUE"""),1612872)</f>
        <v>1612872</v>
      </c>
    </row>
    <row r="48" spans="1:6" ht="12.6">
      <c r="A48" s="2">
        <f ca="1">IFERROR(__xludf.DUMMYFUNCTION("""COMPUTED_VALUE"""),44630.6666666666)</f>
        <v>44630.666666666599</v>
      </c>
      <c r="B48" s="1">
        <f ca="1">IFERROR(__xludf.DUMMYFUNCTION("""COMPUTED_VALUE"""),131.46)</f>
        <v>131.46</v>
      </c>
      <c r="C48" s="1">
        <f ca="1">IFERROR(__xludf.DUMMYFUNCTION("""COMPUTED_VALUE"""),133.54)</f>
        <v>133.54</v>
      </c>
      <c r="D48" s="1">
        <f ca="1">IFERROR(__xludf.DUMMYFUNCTION("""COMPUTED_VALUE"""),131.4)</f>
        <v>131.4</v>
      </c>
      <c r="E48" s="1">
        <f ca="1">IFERROR(__xludf.DUMMYFUNCTION("""COMPUTED_VALUE"""),132.68)</f>
        <v>132.68</v>
      </c>
      <c r="F48" s="1">
        <f ca="1">IFERROR(__xludf.DUMMYFUNCTION("""COMPUTED_VALUE"""),1213260)</f>
        <v>1213260</v>
      </c>
    </row>
    <row r="49" spans="1:6" ht="12.6">
      <c r="A49" s="2">
        <f ca="1">IFERROR(__xludf.DUMMYFUNCTION("""COMPUTED_VALUE"""),44631.6666666666)</f>
        <v>44631.666666666599</v>
      </c>
      <c r="B49" s="1">
        <f ca="1">IFERROR(__xludf.DUMMYFUNCTION("""COMPUTED_VALUE"""),134)</f>
        <v>134</v>
      </c>
      <c r="C49" s="1">
        <f ca="1">IFERROR(__xludf.DUMMYFUNCTION("""COMPUTED_VALUE"""),134.2)</f>
        <v>134.19999999999999</v>
      </c>
      <c r="D49" s="1">
        <f ca="1">IFERROR(__xludf.DUMMYFUNCTION("""COMPUTED_VALUE"""),130.3)</f>
        <v>130.30000000000001</v>
      </c>
      <c r="E49" s="1">
        <f ca="1">IFERROR(__xludf.DUMMYFUNCTION("""COMPUTED_VALUE"""),130.48)</f>
        <v>130.47999999999999</v>
      </c>
      <c r="F49" s="1">
        <f ca="1">IFERROR(__xludf.DUMMYFUNCTION("""COMPUTED_VALUE"""),1329990)</f>
        <v>1329990</v>
      </c>
    </row>
    <row r="50" spans="1:6" ht="12.6">
      <c r="A50" s="2">
        <f ca="1">IFERROR(__xludf.DUMMYFUNCTION("""COMPUTED_VALUE"""),44634.6666666666)</f>
        <v>44634.666666666599</v>
      </c>
      <c r="B50" s="1">
        <f ca="1">IFERROR(__xludf.DUMMYFUNCTION("""COMPUTED_VALUE"""),130.57)</f>
        <v>130.57</v>
      </c>
      <c r="C50" s="1">
        <f ca="1">IFERROR(__xludf.DUMMYFUNCTION("""COMPUTED_VALUE"""),131.03)</f>
        <v>131.03</v>
      </c>
      <c r="D50" s="1">
        <f ca="1">IFERROR(__xludf.DUMMYFUNCTION("""COMPUTED_VALUE"""),126.41)</f>
        <v>126.41</v>
      </c>
      <c r="E50" s="1">
        <f ca="1">IFERROR(__xludf.DUMMYFUNCTION("""COMPUTED_VALUE"""),126.74)</f>
        <v>126.74</v>
      </c>
      <c r="F50" s="1">
        <f ca="1">IFERROR(__xludf.DUMMYFUNCTION("""COMPUTED_VALUE"""),1512693)</f>
        <v>1512693</v>
      </c>
    </row>
    <row r="51" spans="1:6" ht="12.6">
      <c r="A51" s="2">
        <f ca="1">IFERROR(__xludf.DUMMYFUNCTION("""COMPUTED_VALUE"""),44635.6666666666)</f>
        <v>44635.666666666599</v>
      </c>
      <c r="B51" s="1">
        <f ca="1">IFERROR(__xludf.DUMMYFUNCTION("""COMPUTED_VALUE"""),127.74)</f>
        <v>127.74</v>
      </c>
      <c r="C51" s="1">
        <f ca="1">IFERROR(__xludf.DUMMYFUNCTION("""COMPUTED_VALUE"""),130.52)</f>
        <v>130.52000000000001</v>
      </c>
      <c r="D51" s="1">
        <f ca="1">IFERROR(__xludf.DUMMYFUNCTION("""COMPUTED_VALUE"""),126.57)</f>
        <v>126.57</v>
      </c>
      <c r="E51" s="1">
        <f ca="1">IFERROR(__xludf.DUMMYFUNCTION("""COMPUTED_VALUE"""),129.66)</f>
        <v>129.66</v>
      </c>
      <c r="F51" s="1">
        <f ca="1">IFERROR(__xludf.DUMMYFUNCTION("""COMPUTED_VALUE"""),1514630)</f>
        <v>1514630</v>
      </c>
    </row>
    <row r="52" spans="1:6" ht="12.6">
      <c r="A52" s="2">
        <f ca="1">IFERROR(__xludf.DUMMYFUNCTION("""COMPUTED_VALUE"""),44636.6666666666)</f>
        <v>44636.666666666599</v>
      </c>
      <c r="B52" s="1">
        <f ca="1">IFERROR(__xludf.DUMMYFUNCTION("""COMPUTED_VALUE"""),131)</f>
        <v>131</v>
      </c>
      <c r="C52" s="1">
        <f ca="1">IFERROR(__xludf.DUMMYFUNCTION("""COMPUTED_VALUE"""),133.77)</f>
        <v>133.77000000000001</v>
      </c>
      <c r="D52" s="1">
        <f ca="1">IFERROR(__xludf.DUMMYFUNCTION("""COMPUTED_VALUE"""),129.2)</f>
        <v>129.19999999999999</v>
      </c>
      <c r="E52" s="1">
        <f ca="1">IFERROR(__xludf.DUMMYFUNCTION("""COMPUTED_VALUE"""),133.69)</f>
        <v>133.69</v>
      </c>
      <c r="F52" s="1">
        <f ca="1">IFERROR(__xludf.DUMMYFUNCTION("""COMPUTED_VALUE"""),1602910)</f>
        <v>1602910</v>
      </c>
    </row>
    <row r="53" spans="1:6" ht="12.6">
      <c r="A53" s="2">
        <f ca="1">IFERROR(__xludf.DUMMYFUNCTION("""COMPUTED_VALUE"""),44637.6666666666)</f>
        <v>44637.666666666599</v>
      </c>
      <c r="B53" s="1">
        <f ca="1">IFERROR(__xludf.DUMMYFUNCTION("""COMPUTED_VALUE"""),133.32)</f>
        <v>133.32</v>
      </c>
      <c r="C53" s="1">
        <f ca="1">IFERROR(__xludf.DUMMYFUNCTION("""COMPUTED_VALUE"""),134.74)</f>
        <v>134.74</v>
      </c>
      <c r="D53" s="1">
        <f ca="1">IFERROR(__xludf.DUMMYFUNCTION("""COMPUTED_VALUE"""),132.72)</f>
        <v>132.72</v>
      </c>
      <c r="E53" s="1">
        <f ca="1">IFERROR(__xludf.DUMMYFUNCTION("""COMPUTED_VALUE"""),134.6)</f>
        <v>134.6</v>
      </c>
      <c r="F53" s="1">
        <f ca="1">IFERROR(__xludf.DUMMYFUNCTION("""COMPUTED_VALUE"""),1199719)</f>
        <v>1199719</v>
      </c>
    </row>
    <row r="54" spans="1:6" ht="12.6">
      <c r="A54" s="2">
        <f ca="1">IFERROR(__xludf.DUMMYFUNCTION("""COMPUTED_VALUE"""),44638.6666666666)</f>
        <v>44638.666666666599</v>
      </c>
      <c r="B54" s="1">
        <f ca="1">IFERROR(__xludf.DUMMYFUNCTION("""COMPUTED_VALUE"""),133.88)</f>
        <v>133.88</v>
      </c>
      <c r="C54" s="1">
        <f ca="1">IFERROR(__xludf.DUMMYFUNCTION("""COMPUTED_VALUE"""),136.91)</f>
        <v>136.91</v>
      </c>
      <c r="D54" s="1">
        <f ca="1">IFERROR(__xludf.DUMMYFUNCTION("""COMPUTED_VALUE"""),132.93)</f>
        <v>132.93</v>
      </c>
      <c r="E54" s="1">
        <f ca="1">IFERROR(__xludf.DUMMYFUNCTION("""COMPUTED_VALUE"""),136.8)</f>
        <v>136.80000000000001</v>
      </c>
      <c r="F54" s="1">
        <f ca="1">IFERROR(__xludf.DUMMYFUNCTION("""COMPUTED_VALUE"""),2294985)</f>
        <v>2294985</v>
      </c>
    </row>
    <row r="55" spans="1:6" ht="12.6">
      <c r="A55" s="2">
        <f ca="1">IFERROR(__xludf.DUMMYFUNCTION("""COMPUTED_VALUE"""),44641.6666666666)</f>
        <v>44641.666666666599</v>
      </c>
      <c r="B55" s="1">
        <f ca="1">IFERROR(__xludf.DUMMYFUNCTION("""COMPUTED_VALUE"""),136.85)</f>
        <v>136.85</v>
      </c>
      <c r="C55" s="1">
        <f ca="1">IFERROR(__xludf.DUMMYFUNCTION("""COMPUTED_VALUE"""),137.58)</f>
        <v>137.58000000000001</v>
      </c>
      <c r="D55" s="1">
        <f ca="1">IFERROR(__xludf.DUMMYFUNCTION("""COMPUTED_VALUE"""),134.61)</f>
        <v>134.61000000000001</v>
      </c>
      <c r="E55" s="1">
        <f ca="1">IFERROR(__xludf.DUMMYFUNCTION("""COMPUTED_VALUE"""),136.48)</f>
        <v>136.47999999999999</v>
      </c>
      <c r="F55" s="1">
        <f ca="1">IFERROR(__xludf.DUMMYFUNCTION("""COMPUTED_VALUE"""),1331623)</f>
        <v>1331623</v>
      </c>
    </row>
    <row r="56" spans="1:6" ht="12.6">
      <c r="A56" s="2">
        <f ca="1">IFERROR(__xludf.DUMMYFUNCTION("""COMPUTED_VALUE"""),44642.6666666666)</f>
        <v>44642.666666666599</v>
      </c>
      <c r="B56" s="1">
        <f ca="1">IFERROR(__xludf.DUMMYFUNCTION("""COMPUTED_VALUE"""),136.5)</f>
        <v>136.5</v>
      </c>
      <c r="C56" s="1">
        <f ca="1">IFERROR(__xludf.DUMMYFUNCTION("""COMPUTED_VALUE"""),141.5)</f>
        <v>141.5</v>
      </c>
      <c r="D56" s="1">
        <f ca="1">IFERROR(__xludf.DUMMYFUNCTION("""COMPUTED_VALUE"""),136.5)</f>
        <v>136.5</v>
      </c>
      <c r="E56" s="1">
        <f ca="1">IFERROR(__xludf.DUMMYFUNCTION("""COMPUTED_VALUE"""),140.28)</f>
        <v>140.28</v>
      </c>
      <c r="F56" s="1">
        <f ca="1">IFERROR(__xludf.DUMMYFUNCTION("""COMPUTED_VALUE"""),1488843)</f>
        <v>1488843</v>
      </c>
    </row>
    <row r="57" spans="1:6" ht="12.6">
      <c r="A57" s="2">
        <f ca="1">IFERROR(__xludf.DUMMYFUNCTION("""COMPUTED_VALUE"""),44643.6666666666)</f>
        <v>44643.666666666599</v>
      </c>
      <c r="B57" s="1">
        <f ca="1">IFERROR(__xludf.DUMMYFUNCTION("""COMPUTED_VALUE"""),139.14)</f>
        <v>139.13999999999999</v>
      </c>
      <c r="C57" s="1">
        <f ca="1">IFERROR(__xludf.DUMMYFUNCTION("""COMPUTED_VALUE"""),140.03)</f>
        <v>140.03</v>
      </c>
      <c r="D57" s="1">
        <f ca="1">IFERROR(__xludf.DUMMYFUNCTION("""COMPUTED_VALUE"""),138.17)</f>
        <v>138.16999999999999</v>
      </c>
      <c r="E57" s="1">
        <f ca="1">IFERROR(__xludf.DUMMYFUNCTION("""COMPUTED_VALUE"""),138.5)</f>
        <v>138.5</v>
      </c>
      <c r="F57" s="1">
        <f ca="1">IFERROR(__xludf.DUMMYFUNCTION("""COMPUTED_VALUE"""),1265116)</f>
        <v>1265116</v>
      </c>
    </row>
    <row r="58" spans="1:6" ht="12.6">
      <c r="A58" s="2">
        <f ca="1">IFERROR(__xludf.DUMMYFUNCTION("""COMPUTED_VALUE"""),44644.6666666666)</f>
        <v>44644.666666666599</v>
      </c>
      <c r="B58" s="1">
        <f ca="1">IFERROR(__xludf.DUMMYFUNCTION("""COMPUTED_VALUE"""),139.27)</f>
        <v>139.27000000000001</v>
      </c>
      <c r="C58" s="1">
        <f ca="1">IFERROR(__xludf.DUMMYFUNCTION("""COMPUTED_VALUE"""),141.4)</f>
        <v>141.4</v>
      </c>
      <c r="D58" s="1">
        <f ca="1">IFERROR(__xludf.DUMMYFUNCTION("""COMPUTED_VALUE"""),138.04)</f>
        <v>138.04</v>
      </c>
      <c r="E58" s="1">
        <f ca="1">IFERROR(__xludf.DUMMYFUNCTION("""COMPUTED_VALUE"""),141.31)</f>
        <v>141.31</v>
      </c>
      <c r="F58" s="1">
        <f ca="1">IFERROR(__xludf.DUMMYFUNCTION("""COMPUTED_VALUE"""),1027236)</f>
        <v>1027236</v>
      </c>
    </row>
    <row r="59" spans="1:6" ht="12.6">
      <c r="A59" s="2">
        <f ca="1">IFERROR(__xludf.DUMMYFUNCTION("""COMPUTED_VALUE"""),44645.6666666666)</f>
        <v>44645.666666666599</v>
      </c>
      <c r="B59" s="1">
        <f ca="1">IFERROR(__xludf.DUMMYFUNCTION("""COMPUTED_VALUE"""),141.75)</f>
        <v>141.75</v>
      </c>
      <c r="C59" s="1">
        <f ca="1">IFERROR(__xludf.DUMMYFUNCTION("""COMPUTED_VALUE"""),141.96)</f>
        <v>141.96</v>
      </c>
      <c r="D59" s="1">
        <f ca="1">IFERROR(__xludf.DUMMYFUNCTION("""COMPUTED_VALUE"""),139.7)</f>
        <v>139.69999999999999</v>
      </c>
      <c r="E59" s="1">
        <f ca="1">IFERROR(__xludf.DUMMYFUNCTION("""COMPUTED_VALUE"""),141.52)</f>
        <v>141.52000000000001</v>
      </c>
      <c r="F59" s="1">
        <f ca="1">IFERROR(__xludf.DUMMYFUNCTION("""COMPUTED_VALUE"""),964454)</f>
        <v>964454</v>
      </c>
    </row>
    <row r="60" spans="1:6" ht="12.6">
      <c r="A60" s="2">
        <f ca="1">IFERROR(__xludf.DUMMYFUNCTION("""COMPUTED_VALUE"""),44648.6666666666)</f>
        <v>44648.666666666599</v>
      </c>
      <c r="B60" s="1">
        <f ca="1">IFERROR(__xludf.DUMMYFUNCTION("""COMPUTED_VALUE"""),140.68)</f>
        <v>140.68</v>
      </c>
      <c r="C60" s="1">
        <f ca="1">IFERROR(__xludf.DUMMYFUNCTION("""COMPUTED_VALUE"""),141.98)</f>
        <v>141.97999999999999</v>
      </c>
      <c r="D60" s="1">
        <f ca="1">IFERROR(__xludf.DUMMYFUNCTION("""COMPUTED_VALUE"""),139.83)</f>
        <v>139.83000000000001</v>
      </c>
      <c r="E60" s="1">
        <f ca="1">IFERROR(__xludf.DUMMYFUNCTION("""COMPUTED_VALUE"""),141.95)</f>
        <v>141.94999999999999</v>
      </c>
      <c r="F60" s="1">
        <f ca="1">IFERROR(__xludf.DUMMYFUNCTION("""COMPUTED_VALUE"""),1188654)</f>
        <v>1188654</v>
      </c>
    </row>
    <row r="61" spans="1:6" ht="12.6">
      <c r="A61" s="2">
        <f ca="1">IFERROR(__xludf.DUMMYFUNCTION("""COMPUTED_VALUE"""),44649.6666666666)</f>
        <v>44649.666666666599</v>
      </c>
      <c r="B61" s="1">
        <f ca="1">IFERROR(__xludf.DUMMYFUNCTION("""COMPUTED_VALUE"""),143.16)</f>
        <v>143.16</v>
      </c>
      <c r="C61" s="1">
        <f ca="1">IFERROR(__xludf.DUMMYFUNCTION("""COMPUTED_VALUE"""),144.16)</f>
        <v>144.16</v>
      </c>
      <c r="D61" s="1">
        <f ca="1">IFERROR(__xludf.DUMMYFUNCTION("""COMPUTED_VALUE"""),142.48)</f>
        <v>142.47999999999999</v>
      </c>
      <c r="E61" s="1">
        <f ca="1">IFERROR(__xludf.DUMMYFUNCTION("""COMPUTED_VALUE"""),143.25)</f>
        <v>143.25</v>
      </c>
      <c r="F61" s="1">
        <f ca="1">IFERROR(__xludf.DUMMYFUNCTION("""COMPUTED_VALUE"""),1433921)</f>
        <v>1433921</v>
      </c>
    </row>
    <row r="62" spans="1:6" ht="12.6">
      <c r="A62" s="2">
        <f ca="1">IFERROR(__xludf.DUMMYFUNCTION("""COMPUTED_VALUE"""),44650.6666666666)</f>
        <v>44650.666666666599</v>
      </c>
      <c r="B62" s="1">
        <f ca="1">IFERROR(__xludf.DUMMYFUNCTION("""COMPUTED_VALUE"""),142.87)</f>
        <v>142.87</v>
      </c>
      <c r="C62" s="1">
        <f ca="1">IFERROR(__xludf.DUMMYFUNCTION("""COMPUTED_VALUE"""),143.48)</f>
        <v>143.47999999999999</v>
      </c>
      <c r="D62" s="1">
        <f ca="1">IFERROR(__xludf.DUMMYFUNCTION("""COMPUTED_VALUE"""),142.17)</f>
        <v>142.16999999999999</v>
      </c>
      <c r="E62" s="1">
        <f ca="1">IFERROR(__xludf.DUMMYFUNCTION("""COMPUTED_VALUE"""),142.64)</f>
        <v>142.63999999999999</v>
      </c>
      <c r="F62" s="1">
        <f ca="1">IFERROR(__xludf.DUMMYFUNCTION("""COMPUTED_VALUE"""),1052319)</f>
        <v>1052319</v>
      </c>
    </row>
    <row r="63" spans="1:6" ht="12.6">
      <c r="A63" s="2">
        <f ca="1">IFERROR(__xludf.DUMMYFUNCTION("""COMPUTED_VALUE"""),44651.6666666666)</f>
        <v>44651.666666666599</v>
      </c>
      <c r="B63" s="1">
        <f ca="1">IFERROR(__xludf.DUMMYFUNCTION("""COMPUTED_VALUE"""),142.45)</f>
        <v>142.44999999999999</v>
      </c>
      <c r="C63" s="1">
        <f ca="1">IFERROR(__xludf.DUMMYFUNCTION("""COMPUTED_VALUE"""),142.64)</f>
        <v>142.63999999999999</v>
      </c>
      <c r="D63" s="1">
        <f ca="1">IFERROR(__xludf.DUMMYFUNCTION("""COMPUTED_VALUE"""),139.62)</f>
        <v>139.62</v>
      </c>
      <c r="E63" s="1">
        <f ca="1">IFERROR(__xludf.DUMMYFUNCTION("""COMPUTED_VALUE"""),139.65)</f>
        <v>139.65</v>
      </c>
      <c r="F63" s="1">
        <f ca="1">IFERROR(__xludf.DUMMYFUNCTION("""COMPUTED_VALUE"""),1475816)</f>
        <v>1475816</v>
      </c>
    </row>
    <row r="64" spans="1:6" ht="12.6">
      <c r="A64" s="2">
        <f ca="1">IFERROR(__xludf.DUMMYFUNCTION("""COMPUTED_VALUE"""),44652.6666666666)</f>
        <v>44652.666666666599</v>
      </c>
      <c r="B64" s="1">
        <f ca="1">IFERROR(__xludf.DUMMYFUNCTION("""COMPUTED_VALUE"""),140.01)</f>
        <v>140.01</v>
      </c>
      <c r="C64" s="1">
        <f ca="1">IFERROR(__xludf.DUMMYFUNCTION("""COMPUTED_VALUE"""),140.95)</f>
        <v>140.94999999999999</v>
      </c>
      <c r="D64" s="1">
        <f ca="1">IFERROR(__xludf.DUMMYFUNCTION("""COMPUTED_VALUE"""),138.8)</f>
        <v>138.80000000000001</v>
      </c>
      <c r="E64" s="1">
        <f ca="1">IFERROR(__xludf.DUMMYFUNCTION("""COMPUTED_VALUE"""),140.7)</f>
        <v>140.69999999999999</v>
      </c>
      <c r="F64" s="1">
        <f ca="1">IFERROR(__xludf.DUMMYFUNCTION("""COMPUTED_VALUE"""),1174001)</f>
        <v>1174001</v>
      </c>
    </row>
    <row r="65" spans="1:6" ht="12.6">
      <c r="A65" s="2">
        <f ca="1">IFERROR(__xludf.DUMMYFUNCTION("""COMPUTED_VALUE"""),44655.6666666666)</f>
        <v>44655.666666666599</v>
      </c>
      <c r="B65" s="1">
        <f ca="1">IFERROR(__xludf.DUMMYFUNCTION("""COMPUTED_VALUE"""),140.82)</f>
        <v>140.82</v>
      </c>
      <c r="C65" s="1">
        <f ca="1">IFERROR(__xludf.DUMMYFUNCTION("""COMPUTED_VALUE"""),144.04)</f>
        <v>144.04</v>
      </c>
      <c r="D65" s="1">
        <f ca="1">IFERROR(__xludf.DUMMYFUNCTION("""COMPUTED_VALUE"""),140.82)</f>
        <v>140.82</v>
      </c>
      <c r="E65" s="1">
        <f ca="1">IFERROR(__xludf.DUMMYFUNCTION("""COMPUTED_VALUE"""),143.64)</f>
        <v>143.63999999999999</v>
      </c>
      <c r="F65" s="1">
        <f ca="1">IFERROR(__xludf.DUMMYFUNCTION("""COMPUTED_VALUE"""),954245)</f>
        <v>954245</v>
      </c>
    </row>
    <row r="66" spans="1:6" ht="12.6">
      <c r="A66" s="2">
        <f ca="1">IFERROR(__xludf.DUMMYFUNCTION("""COMPUTED_VALUE"""),44656.6666666666)</f>
        <v>44656.666666666599</v>
      </c>
      <c r="B66" s="1">
        <f ca="1">IFERROR(__xludf.DUMMYFUNCTION("""COMPUTED_VALUE"""),143.4)</f>
        <v>143.4</v>
      </c>
      <c r="C66" s="1">
        <f ca="1">IFERROR(__xludf.DUMMYFUNCTION("""COMPUTED_VALUE"""),143.59)</f>
        <v>143.59</v>
      </c>
      <c r="D66" s="1">
        <f ca="1">IFERROR(__xludf.DUMMYFUNCTION("""COMPUTED_VALUE"""),140.94)</f>
        <v>140.94</v>
      </c>
      <c r="E66" s="1">
        <f ca="1">IFERROR(__xludf.DUMMYFUNCTION("""COMPUTED_VALUE"""),141.06)</f>
        <v>141.06</v>
      </c>
      <c r="F66" s="1">
        <f ca="1">IFERROR(__xludf.DUMMYFUNCTION("""COMPUTED_VALUE"""),962778)</f>
        <v>962778</v>
      </c>
    </row>
    <row r="67" spans="1:6" ht="12.6">
      <c r="A67" s="2">
        <f ca="1">IFERROR(__xludf.DUMMYFUNCTION("""COMPUTED_VALUE"""),44657.6666666666)</f>
        <v>44657.666666666599</v>
      </c>
      <c r="B67" s="1">
        <f ca="1">IFERROR(__xludf.DUMMYFUNCTION("""COMPUTED_VALUE"""),139.16)</f>
        <v>139.16</v>
      </c>
      <c r="C67" s="1">
        <f ca="1">IFERROR(__xludf.DUMMYFUNCTION("""COMPUTED_VALUE"""),139.85)</f>
        <v>139.85</v>
      </c>
      <c r="D67" s="1">
        <f ca="1">IFERROR(__xludf.DUMMYFUNCTION("""COMPUTED_VALUE"""),136.42)</f>
        <v>136.41999999999999</v>
      </c>
      <c r="E67" s="1">
        <f ca="1">IFERROR(__xludf.DUMMYFUNCTION("""COMPUTED_VALUE"""),137.18)</f>
        <v>137.18</v>
      </c>
      <c r="F67" s="1">
        <f ca="1">IFERROR(__xludf.DUMMYFUNCTION("""COMPUTED_VALUE"""),1178730)</f>
        <v>1178730</v>
      </c>
    </row>
    <row r="68" spans="1:6" ht="12.6">
      <c r="A68" s="2">
        <f ca="1">IFERROR(__xludf.DUMMYFUNCTION("""COMPUTED_VALUE"""),44658.6666666666)</f>
        <v>44658.666666666599</v>
      </c>
      <c r="B68" s="1">
        <f ca="1">IFERROR(__xludf.DUMMYFUNCTION("""COMPUTED_VALUE"""),136.62)</f>
        <v>136.62</v>
      </c>
      <c r="C68" s="1">
        <f ca="1">IFERROR(__xludf.DUMMYFUNCTION("""COMPUTED_VALUE"""),137.7)</f>
        <v>137.69999999999999</v>
      </c>
      <c r="D68" s="1">
        <f ca="1">IFERROR(__xludf.DUMMYFUNCTION("""COMPUTED_VALUE"""),134.86)</f>
        <v>134.86000000000001</v>
      </c>
      <c r="E68" s="1">
        <f ca="1">IFERROR(__xludf.DUMMYFUNCTION("""COMPUTED_VALUE"""),136.47)</f>
        <v>136.47</v>
      </c>
      <c r="F68" s="1">
        <f ca="1">IFERROR(__xludf.DUMMYFUNCTION("""COMPUTED_VALUE"""),972427)</f>
        <v>972427</v>
      </c>
    </row>
    <row r="69" spans="1:6" ht="12.6">
      <c r="A69" s="2">
        <f ca="1">IFERROR(__xludf.DUMMYFUNCTION("""COMPUTED_VALUE"""),44659.6666666666)</f>
        <v>44659.666666666599</v>
      </c>
      <c r="B69" s="1">
        <f ca="1">IFERROR(__xludf.DUMMYFUNCTION("""COMPUTED_VALUE"""),136.25)</f>
        <v>136.25</v>
      </c>
      <c r="C69" s="1">
        <f ca="1">IFERROR(__xludf.DUMMYFUNCTION("""COMPUTED_VALUE"""),136.25)</f>
        <v>136.25</v>
      </c>
      <c r="D69" s="1">
        <f ca="1">IFERROR(__xludf.DUMMYFUNCTION("""COMPUTED_VALUE"""),133.75)</f>
        <v>133.75</v>
      </c>
      <c r="E69" s="1">
        <f ca="1">IFERROR(__xludf.DUMMYFUNCTION("""COMPUTED_VALUE"""),134.01)</f>
        <v>134.01</v>
      </c>
      <c r="F69" s="1">
        <f ca="1">IFERROR(__xludf.DUMMYFUNCTION("""COMPUTED_VALUE"""),821724)</f>
        <v>821724</v>
      </c>
    </row>
    <row r="70" spans="1:6" ht="12.6">
      <c r="A70" s="2">
        <f ca="1">IFERROR(__xludf.DUMMYFUNCTION("""COMPUTED_VALUE"""),44662.6666666666)</f>
        <v>44662.666666666599</v>
      </c>
      <c r="B70" s="1">
        <f ca="1">IFERROR(__xludf.DUMMYFUNCTION("""COMPUTED_VALUE"""),132.9)</f>
        <v>132.9</v>
      </c>
      <c r="C70" s="1">
        <f ca="1">IFERROR(__xludf.DUMMYFUNCTION("""COMPUTED_VALUE"""),132.94)</f>
        <v>132.94</v>
      </c>
      <c r="D70" s="1">
        <f ca="1">IFERROR(__xludf.DUMMYFUNCTION("""COMPUTED_VALUE"""),129.62)</f>
        <v>129.62</v>
      </c>
      <c r="E70" s="1">
        <f ca="1">IFERROR(__xludf.DUMMYFUNCTION("""COMPUTED_VALUE"""),129.8)</f>
        <v>129.80000000000001</v>
      </c>
      <c r="F70" s="1">
        <f ca="1">IFERROR(__xludf.DUMMYFUNCTION("""COMPUTED_VALUE"""),1209367)</f>
        <v>1209367</v>
      </c>
    </row>
    <row r="71" spans="1:6" ht="12.6">
      <c r="A71" s="2">
        <f ca="1">IFERROR(__xludf.DUMMYFUNCTION("""COMPUTED_VALUE"""),44663.6666666666)</f>
        <v>44663.666666666599</v>
      </c>
      <c r="B71" s="1">
        <f ca="1">IFERROR(__xludf.DUMMYFUNCTION("""COMPUTED_VALUE"""),132.42)</f>
        <v>132.41999999999999</v>
      </c>
      <c r="C71" s="1">
        <f ca="1">IFERROR(__xludf.DUMMYFUNCTION("""COMPUTED_VALUE"""),132.42)</f>
        <v>132.41999999999999</v>
      </c>
      <c r="D71" s="1">
        <f ca="1">IFERROR(__xludf.DUMMYFUNCTION("""COMPUTED_VALUE"""),127.58)</f>
        <v>127.58</v>
      </c>
      <c r="E71" s="1">
        <f ca="1">IFERROR(__xludf.DUMMYFUNCTION("""COMPUTED_VALUE"""),128.37)</f>
        <v>128.37</v>
      </c>
      <c r="F71" s="1">
        <f ca="1">IFERROR(__xludf.DUMMYFUNCTION("""COMPUTED_VALUE"""),1150161)</f>
        <v>1150161</v>
      </c>
    </row>
    <row r="72" spans="1:6" ht="12.6">
      <c r="A72" s="2">
        <f ca="1">IFERROR(__xludf.DUMMYFUNCTION("""COMPUTED_VALUE"""),44664.6666666666)</f>
        <v>44664.666666666599</v>
      </c>
      <c r="B72" s="1">
        <f ca="1">IFERROR(__xludf.DUMMYFUNCTION("""COMPUTED_VALUE"""),128.63)</f>
        <v>128.63</v>
      </c>
      <c r="C72" s="1">
        <f ca="1">IFERROR(__xludf.DUMMYFUNCTION("""COMPUTED_VALUE"""),130.66)</f>
        <v>130.66</v>
      </c>
      <c r="D72" s="1">
        <f ca="1">IFERROR(__xludf.DUMMYFUNCTION("""COMPUTED_VALUE"""),128.44)</f>
        <v>128.44</v>
      </c>
      <c r="E72" s="1">
        <f ca="1">IFERROR(__xludf.DUMMYFUNCTION("""COMPUTED_VALUE"""),130.29)</f>
        <v>130.29</v>
      </c>
      <c r="F72" s="1">
        <f ca="1">IFERROR(__xludf.DUMMYFUNCTION("""COMPUTED_VALUE"""),977148)</f>
        <v>977148</v>
      </c>
    </row>
    <row r="73" spans="1:6" ht="12.6">
      <c r="A73" s="2">
        <f ca="1">IFERROR(__xludf.DUMMYFUNCTION("""COMPUTED_VALUE"""),44665.6666666666)</f>
        <v>44665.666666666599</v>
      </c>
      <c r="B73" s="1">
        <f ca="1">IFERROR(__xludf.DUMMYFUNCTION("""COMPUTED_VALUE"""),130.65)</f>
        <v>130.65</v>
      </c>
      <c r="C73" s="1">
        <f ca="1">IFERROR(__xludf.DUMMYFUNCTION("""COMPUTED_VALUE"""),130.71)</f>
        <v>130.71</v>
      </c>
      <c r="D73" s="1">
        <f ca="1">IFERROR(__xludf.DUMMYFUNCTION("""COMPUTED_VALUE"""),127.11)</f>
        <v>127.11</v>
      </c>
      <c r="E73" s="1">
        <f ca="1">IFERROR(__xludf.DUMMYFUNCTION("""COMPUTED_VALUE"""),127.25)</f>
        <v>127.25</v>
      </c>
      <c r="F73" s="1">
        <f ca="1">IFERROR(__xludf.DUMMYFUNCTION("""COMPUTED_VALUE"""),1174168)</f>
        <v>1174168</v>
      </c>
    </row>
    <row r="74" spans="1:6" ht="12.6">
      <c r="A74" s="2">
        <f ca="1">IFERROR(__xludf.DUMMYFUNCTION("""COMPUTED_VALUE"""),44669.6666666666)</f>
        <v>44669.666666666599</v>
      </c>
      <c r="B74" s="1">
        <f ca="1">IFERROR(__xludf.DUMMYFUNCTION("""COMPUTED_VALUE"""),127.41)</f>
        <v>127.41</v>
      </c>
      <c r="C74" s="1">
        <f ca="1">IFERROR(__xludf.DUMMYFUNCTION("""COMPUTED_VALUE"""),128.71)</f>
        <v>128.71</v>
      </c>
      <c r="D74" s="1">
        <f ca="1">IFERROR(__xludf.DUMMYFUNCTION("""COMPUTED_VALUE"""),126.58)</f>
        <v>126.58</v>
      </c>
      <c r="E74" s="1">
        <f ca="1">IFERROR(__xludf.DUMMYFUNCTION("""COMPUTED_VALUE"""),127.96)</f>
        <v>127.96</v>
      </c>
      <c r="F74" s="1">
        <f ca="1">IFERROR(__xludf.DUMMYFUNCTION("""COMPUTED_VALUE"""),745860)</f>
        <v>745860</v>
      </c>
    </row>
    <row r="75" spans="1:6" ht="12.6">
      <c r="A75" s="2">
        <f ca="1">IFERROR(__xludf.DUMMYFUNCTION("""COMPUTED_VALUE"""),44670.6666666666)</f>
        <v>44670.666666666599</v>
      </c>
      <c r="B75" s="1">
        <f ca="1">IFERROR(__xludf.DUMMYFUNCTION("""COMPUTED_VALUE"""),128.08)</f>
        <v>128.08000000000001</v>
      </c>
      <c r="C75" s="1">
        <f ca="1">IFERROR(__xludf.DUMMYFUNCTION("""COMPUTED_VALUE"""),130.9)</f>
        <v>130.9</v>
      </c>
      <c r="D75" s="1">
        <f ca="1">IFERROR(__xludf.DUMMYFUNCTION("""COMPUTED_VALUE"""),127.45)</f>
        <v>127.45</v>
      </c>
      <c r="E75" s="1">
        <f ca="1">IFERROR(__xludf.DUMMYFUNCTION("""COMPUTED_VALUE"""),130.53)</f>
        <v>130.53</v>
      </c>
      <c r="F75" s="1">
        <f ca="1">IFERROR(__xludf.DUMMYFUNCTION("""COMPUTED_VALUE"""),1135965)</f>
        <v>1135965</v>
      </c>
    </row>
    <row r="76" spans="1:6" ht="12.6">
      <c r="A76" s="2">
        <f ca="1">IFERROR(__xludf.DUMMYFUNCTION("""COMPUTED_VALUE"""),44671.6666666666)</f>
        <v>44671.666666666599</v>
      </c>
      <c r="B76" s="1">
        <f ca="1">IFERROR(__xludf.DUMMYFUNCTION("""COMPUTED_VALUE"""),131.28)</f>
        <v>131.28</v>
      </c>
      <c r="C76" s="1">
        <f ca="1">IFERROR(__xludf.DUMMYFUNCTION("""COMPUTED_VALUE"""),131.92)</f>
        <v>131.91999999999999</v>
      </c>
      <c r="D76" s="1">
        <f ca="1">IFERROR(__xludf.DUMMYFUNCTION("""COMPUTED_VALUE"""),127.89)</f>
        <v>127.89</v>
      </c>
      <c r="E76" s="1">
        <f ca="1">IFERROR(__xludf.DUMMYFUNCTION("""COMPUTED_VALUE"""),128.25)</f>
        <v>128.25</v>
      </c>
      <c r="F76" s="1">
        <f ca="1">IFERROR(__xludf.DUMMYFUNCTION("""COMPUTED_VALUE"""),1130469)</f>
        <v>1130469</v>
      </c>
    </row>
    <row r="77" spans="1:6" ht="12.6">
      <c r="A77" s="2">
        <f ca="1">IFERROR(__xludf.DUMMYFUNCTION("""COMPUTED_VALUE"""),44672.6666666666)</f>
        <v>44672.666666666599</v>
      </c>
      <c r="B77" s="1">
        <f ca="1">IFERROR(__xludf.DUMMYFUNCTION("""COMPUTED_VALUE"""),129.35)</f>
        <v>129.35</v>
      </c>
      <c r="C77" s="1">
        <f ca="1">IFERROR(__xludf.DUMMYFUNCTION("""COMPUTED_VALUE"""),130.31)</f>
        <v>130.31</v>
      </c>
      <c r="D77" s="1">
        <f ca="1">IFERROR(__xludf.DUMMYFUNCTION("""COMPUTED_VALUE"""),124.65)</f>
        <v>124.65</v>
      </c>
      <c r="E77" s="1">
        <f ca="1">IFERROR(__xludf.DUMMYFUNCTION("""COMPUTED_VALUE"""),124.94)</f>
        <v>124.94</v>
      </c>
      <c r="F77" s="1">
        <f ca="1">IFERROR(__xludf.DUMMYFUNCTION("""COMPUTED_VALUE"""),1507877)</f>
        <v>1507877</v>
      </c>
    </row>
    <row r="78" spans="1:6" ht="12.6">
      <c r="A78" s="2">
        <f ca="1">IFERROR(__xludf.DUMMYFUNCTION("""COMPUTED_VALUE"""),44673.6666666666)</f>
        <v>44673.666666666599</v>
      </c>
      <c r="B78" s="1">
        <f ca="1">IFERROR(__xludf.DUMMYFUNCTION("""COMPUTED_VALUE"""),125)</f>
        <v>125</v>
      </c>
      <c r="C78" s="1">
        <f ca="1">IFERROR(__xludf.DUMMYFUNCTION("""COMPUTED_VALUE"""),125.45)</f>
        <v>125.45</v>
      </c>
      <c r="D78" s="1">
        <f ca="1">IFERROR(__xludf.DUMMYFUNCTION("""COMPUTED_VALUE"""),119.14)</f>
        <v>119.14</v>
      </c>
      <c r="E78" s="1">
        <f ca="1">IFERROR(__xludf.DUMMYFUNCTION("""COMPUTED_VALUE"""),119.61)</f>
        <v>119.61</v>
      </c>
      <c r="F78" s="1">
        <f ca="1">IFERROR(__xludf.DUMMYFUNCTION("""COMPUTED_VALUE"""),2320515)</f>
        <v>2320515</v>
      </c>
    </row>
    <row r="79" spans="1:6" ht="12.6">
      <c r="A79" s="2">
        <f ca="1">IFERROR(__xludf.DUMMYFUNCTION("""COMPUTED_VALUE"""),44676.6666666666)</f>
        <v>44676.666666666599</v>
      </c>
      <c r="B79" s="1">
        <f ca="1">IFERROR(__xludf.DUMMYFUNCTION("""COMPUTED_VALUE"""),119.43)</f>
        <v>119.43</v>
      </c>
      <c r="C79" s="1">
        <f ca="1">IFERROR(__xludf.DUMMYFUNCTION("""COMPUTED_VALUE"""),123.28)</f>
        <v>123.28</v>
      </c>
      <c r="D79" s="1">
        <f ca="1">IFERROR(__xludf.DUMMYFUNCTION("""COMPUTED_VALUE"""),118.77)</f>
        <v>118.77</v>
      </c>
      <c r="E79" s="1">
        <f ca="1">IFERROR(__xludf.DUMMYFUNCTION("""COMPUTED_VALUE"""),123.25)</f>
        <v>123.25</v>
      </c>
      <c r="F79" s="1">
        <f ca="1">IFERROR(__xludf.DUMMYFUNCTION("""COMPUTED_VALUE"""),1726090)</f>
        <v>1726090</v>
      </c>
    </row>
    <row r="80" spans="1:6" ht="12.6">
      <c r="A80" s="2">
        <f ca="1">IFERROR(__xludf.DUMMYFUNCTION("""COMPUTED_VALUE"""),44677.6666666666)</f>
        <v>44677.666666666599</v>
      </c>
      <c r="B80" s="1">
        <f ca="1">IFERROR(__xludf.DUMMYFUNCTION("""COMPUTED_VALUE"""),122.75)</f>
        <v>122.75</v>
      </c>
      <c r="C80" s="1">
        <f ca="1">IFERROR(__xludf.DUMMYFUNCTION("""COMPUTED_VALUE"""),122.75)</f>
        <v>122.75</v>
      </c>
      <c r="D80" s="1">
        <f ca="1">IFERROR(__xludf.DUMMYFUNCTION("""COMPUTED_VALUE"""),119.16)</f>
        <v>119.16</v>
      </c>
      <c r="E80" s="1">
        <f ca="1">IFERROR(__xludf.DUMMYFUNCTION("""COMPUTED_VALUE"""),119.51)</f>
        <v>119.51</v>
      </c>
      <c r="F80" s="1">
        <f ca="1">IFERROR(__xludf.DUMMYFUNCTION("""COMPUTED_VALUE"""),2469652)</f>
        <v>2469652</v>
      </c>
    </row>
    <row r="81" spans="1:6" ht="12.6">
      <c r="A81" s="2">
        <f ca="1">IFERROR(__xludf.DUMMYFUNCTION("""COMPUTED_VALUE"""),44678.6666666666)</f>
        <v>44678.666666666599</v>
      </c>
      <c r="B81" s="1">
        <f ca="1">IFERROR(__xludf.DUMMYFUNCTION("""COMPUTED_VALUE"""),114.37)</f>
        <v>114.37</v>
      </c>
      <c r="C81" s="1">
        <f ca="1">IFERROR(__xludf.DUMMYFUNCTION("""COMPUTED_VALUE"""),117.5)</f>
        <v>117.5</v>
      </c>
      <c r="D81" s="1">
        <f ca="1">IFERROR(__xludf.DUMMYFUNCTION("""COMPUTED_VALUE"""),113.12)</f>
        <v>113.12</v>
      </c>
      <c r="E81" s="1">
        <f ca="1">IFERROR(__xludf.DUMMYFUNCTION("""COMPUTED_VALUE"""),115.02)</f>
        <v>115.02</v>
      </c>
      <c r="F81" s="1">
        <f ca="1">IFERROR(__xludf.DUMMYFUNCTION("""COMPUTED_VALUE"""),3111906)</f>
        <v>3111906</v>
      </c>
    </row>
    <row r="82" spans="1:6" ht="12.6">
      <c r="A82" s="2">
        <f ca="1">IFERROR(__xludf.DUMMYFUNCTION("""COMPUTED_VALUE"""),44679.6666666666)</f>
        <v>44679.666666666599</v>
      </c>
      <c r="B82" s="1">
        <f ca="1">IFERROR(__xludf.DUMMYFUNCTION("""COMPUTED_VALUE"""),117.12)</f>
        <v>117.12</v>
      </c>
      <c r="C82" s="1">
        <f ca="1">IFERROR(__xludf.DUMMYFUNCTION("""COMPUTED_VALUE"""),120.44)</f>
        <v>120.44</v>
      </c>
      <c r="D82" s="1">
        <f ca="1">IFERROR(__xludf.DUMMYFUNCTION("""COMPUTED_VALUE"""),115.14)</f>
        <v>115.14</v>
      </c>
      <c r="E82" s="1">
        <f ca="1">IFERROR(__xludf.DUMMYFUNCTION("""COMPUTED_VALUE"""),119.41)</f>
        <v>119.41</v>
      </c>
      <c r="F82" s="1">
        <f ca="1">IFERROR(__xludf.DUMMYFUNCTION("""COMPUTED_VALUE"""),1839547)</f>
        <v>1839547</v>
      </c>
    </row>
    <row r="83" spans="1:6" ht="12.6">
      <c r="A83" s="2">
        <f ca="1">IFERROR(__xludf.DUMMYFUNCTION("""COMPUTED_VALUE"""),44680.6666666666)</f>
        <v>44680.666666666599</v>
      </c>
      <c r="B83" s="1">
        <f ca="1">IFERROR(__xludf.DUMMYFUNCTION("""COMPUTED_VALUE"""),117.58)</f>
        <v>117.58</v>
      </c>
      <c r="C83" s="1">
        <f ca="1">IFERROR(__xludf.DUMMYFUNCTION("""COMPUTED_VALUE"""),118.96)</f>
        <v>118.96</v>
      </c>
      <c r="D83" s="1">
        <f ca="1">IFERROR(__xludf.DUMMYFUNCTION("""COMPUTED_VALUE"""),114.69)</f>
        <v>114.69</v>
      </c>
      <c r="E83" s="1">
        <f ca="1">IFERROR(__xludf.DUMMYFUNCTION("""COMPUTED_VALUE"""),114.97)</f>
        <v>114.97</v>
      </c>
      <c r="F83" s="1">
        <f ca="1">IFERROR(__xludf.DUMMYFUNCTION("""COMPUTED_VALUE"""),1684655)</f>
        <v>1684655</v>
      </c>
    </row>
    <row r="84" spans="1:6" ht="12.6">
      <c r="A84" s="2">
        <f ca="1">IFERROR(__xludf.DUMMYFUNCTION("""COMPUTED_VALUE"""),44683.6666666666)</f>
        <v>44683.666666666599</v>
      </c>
      <c r="B84" s="1">
        <f ca="1">IFERROR(__xludf.DUMMYFUNCTION("""COMPUTED_VALUE"""),113.91)</f>
        <v>113.91</v>
      </c>
      <c r="C84" s="1">
        <f ca="1">IFERROR(__xludf.DUMMYFUNCTION("""COMPUTED_VALUE"""),117.34)</f>
        <v>117.34</v>
      </c>
      <c r="D84" s="1">
        <f ca="1">IFERROR(__xludf.DUMMYFUNCTION("""COMPUTED_VALUE"""),113.4)</f>
        <v>113.4</v>
      </c>
      <c r="E84" s="1">
        <f ca="1">IFERROR(__xludf.DUMMYFUNCTION("""COMPUTED_VALUE"""),117.16)</f>
        <v>117.16</v>
      </c>
      <c r="F84" s="1">
        <f ca="1">IFERROR(__xludf.DUMMYFUNCTION("""COMPUTED_VALUE"""),1513982)</f>
        <v>1513982</v>
      </c>
    </row>
    <row r="85" spans="1:6" ht="12.6">
      <c r="A85" s="2">
        <f ca="1">IFERROR(__xludf.DUMMYFUNCTION("""COMPUTED_VALUE"""),44684.6666666666)</f>
        <v>44684.666666666599</v>
      </c>
      <c r="B85" s="1">
        <f ca="1">IFERROR(__xludf.DUMMYFUNCTION("""COMPUTED_VALUE"""),116.77)</f>
        <v>116.77</v>
      </c>
      <c r="C85" s="1">
        <f ca="1">IFERROR(__xludf.DUMMYFUNCTION("""COMPUTED_VALUE"""),119.3)</f>
        <v>119.3</v>
      </c>
      <c r="D85" s="1">
        <f ca="1">IFERROR(__xludf.DUMMYFUNCTION("""COMPUTED_VALUE"""),116.63)</f>
        <v>116.63</v>
      </c>
      <c r="E85" s="1">
        <f ca="1">IFERROR(__xludf.DUMMYFUNCTION("""COMPUTED_VALUE"""),118.13)</f>
        <v>118.13</v>
      </c>
      <c r="F85" s="1">
        <f ca="1">IFERROR(__xludf.DUMMYFUNCTION("""COMPUTED_VALUE"""),1060787)</f>
        <v>1060787</v>
      </c>
    </row>
    <row r="86" spans="1:6" ht="12.6">
      <c r="A86" s="2">
        <f ca="1">IFERROR(__xludf.DUMMYFUNCTION("""COMPUTED_VALUE"""),44685.6666666666)</f>
        <v>44685.666666666599</v>
      </c>
      <c r="B86" s="1">
        <f ca="1">IFERROR(__xludf.DUMMYFUNCTION("""COMPUTED_VALUE"""),118)</f>
        <v>118</v>
      </c>
      <c r="C86" s="1">
        <f ca="1">IFERROR(__xludf.DUMMYFUNCTION("""COMPUTED_VALUE"""),123.14)</f>
        <v>123.14</v>
      </c>
      <c r="D86" s="1">
        <f ca="1">IFERROR(__xludf.DUMMYFUNCTION("""COMPUTED_VALUE"""),115.74)</f>
        <v>115.74</v>
      </c>
      <c r="E86" s="1">
        <f ca="1">IFERROR(__xludf.DUMMYFUNCTION("""COMPUTED_VALUE"""),122.58)</f>
        <v>122.58</v>
      </c>
      <c r="F86" s="1">
        <f ca="1">IFERROR(__xludf.DUMMYFUNCTION("""COMPUTED_VALUE"""),1661573)</f>
        <v>1661573</v>
      </c>
    </row>
    <row r="87" spans="1:6" ht="12.6">
      <c r="A87" s="2">
        <f ca="1">IFERROR(__xludf.DUMMYFUNCTION("""COMPUTED_VALUE"""),44686.6666666666)</f>
        <v>44686.666666666599</v>
      </c>
      <c r="B87" s="1">
        <f ca="1">IFERROR(__xludf.DUMMYFUNCTION("""COMPUTED_VALUE"""),120.22)</f>
        <v>120.22</v>
      </c>
      <c r="C87" s="1">
        <f ca="1">IFERROR(__xludf.DUMMYFUNCTION("""COMPUTED_VALUE"""),121.23)</f>
        <v>121.23</v>
      </c>
      <c r="D87" s="1">
        <f ca="1">IFERROR(__xludf.DUMMYFUNCTION("""COMPUTED_VALUE"""),115.18)</f>
        <v>115.18</v>
      </c>
      <c r="E87" s="1">
        <f ca="1">IFERROR(__xludf.DUMMYFUNCTION("""COMPUTED_VALUE"""),116.75)</f>
        <v>116.75</v>
      </c>
      <c r="F87" s="1">
        <f ca="1">IFERROR(__xludf.DUMMYFUNCTION("""COMPUTED_VALUE"""),2154452)</f>
        <v>2154452</v>
      </c>
    </row>
    <row r="88" spans="1:6" ht="12.6">
      <c r="A88" s="2">
        <f ca="1">IFERROR(__xludf.DUMMYFUNCTION("""COMPUTED_VALUE"""),44687.6666666666)</f>
        <v>44687.666666666599</v>
      </c>
      <c r="B88" s="1">
        <f ca="1">IFERROR(__xludf.DUMMYFUNCTION("""COMPUTED_VALUE"""),115.52)</f>
        <v>115.52</v>
      </c>
      <c r="C88" s="1">
        <f ca="1">IFERROR(__xludf.DUMMYFUNCTION("""COMPUTED_VALUE"""),117.5)</f>
        <v>117.5</v>
      </c>
      <c r="D88" s="1">
        <f ca="1">IFERROR(__xludf.DUMMYFUNCTION("""COMPUTED_VALUE"""),114.14)</f>
        <v>114.14</v>
      </c>
      <c r="E88" s="1">
        <f ca="1">IFERROR(__xludf.DUMMYFUNCTION("""COMPUTED_VALUE"""),115.66)</f>
        <v>115.66</v>
      </c>
      <c r="F88" s="1">
        <f ca="1">IFERROR(__xludf.DUMMYFUNCTION("""COMPUTED_VALUE"""),1765474)</f>
        <v>1765474</v>
      </c>
    </row>
    <row r="89" spans="1:6" ht="12.6">
      <c r="A89" s="2">
        <f ca="1">IFERROR(__xludf.DUMMYFUNCTION("""COMPUTED_VALUE"""),44690.6666666666)</f>
        <v>44690.666666666599</v>
      </c>
      <c r="B89" s="1">
        <f ca="1">IFERROR(__xludf.DUMMYFUNCTION("""COMPUTED_VALUE"""),113.3)</f>
        <v>113.3</v>
      </c>
      <c r="C89" s="1">
        <f ca="1">IFERROR(__xludf.DUMMYFUNCTION("""COMPUTED_VALUE"""),115.56)</f>
        <v>115.56</v>
      </c>
      <c r="D89" s="1">
        <f ca="1">IFERROR(__xludf.DUMMYFUNCTION("""COMPUTED_VALUE"""),112.55)</f>
        <v>112.55</v>
      </c>
      <c r="E89" s="1">
        <f ca="1">IFERROR(__xludf.DUMMYFUNCTION("""COMPUTED_VALUE"""),113.08)</f>
        <v>113.08</v>
      </c>
      <c r="F89" s="1">
        <f ca="1">IFERROR(__xludf.DUMMYFUNCTION("""COMPUTED_VALUE"""),1726048)</f>
        <v>1726048</v>
      </c>
    </row>
    <row r="90" spans="1:6" ht="12.6">
      <c r="A90" s="2">
        <f ca="1">IFERROR(__xludf.DUMMYFUNCTION("""COMPUTED_VALUE"""),44691.6666666666)</f>
        <v>44691.666666666599</v>
      </c>
      <c r="B90" s="1">
        <f ca="1">IFERROR(__xludf.DUMMYFUNCTION("""COMPUTED_VALUE"""),116.04)</f>
        <v>116.04</v>
      </c>
      <c r="C90" s="1">
        <f ca="1">IFERROR(__xludf.DUMMYFUNCTION("""COMPUTED_VALUE"""),116.69)</f>
        <v>116.69</v>
      </c>
      <c r="D90" s="1">
        <f ca="1">IFERROR(__xludf.DUMMYFUNCTION("""COMPUTED_VALUE"""),113.38)</f>
        <v>113.38</v>
      </c>
      <c r="E90" s="1">
        <f ca="1">IFERROR(__xludf.DUMMYFUNCTION("""COMPUTED_VALUE"""),114.58)</f>
        <v>114.58</v>
      </c>
      <c r="F90" s="1">
        <f ca="1">IFERROR(__xludf.DUMMYFUNCTION("""COMPUTED_VALUE"""),1557889)</f>
        <v>1557889</v>
      </c>
    </row>
    <row r="91" spans="1:6" ht="12.6">
      <c r="A91" s="2">
        <f ca="1">IFERROR(__xludf.DUMMYFUNCTION("""COMPUTED_VALUE"""),44692.6666666666)</f>
        <v>44692.666666666599</v>
      </c>
      <c r="B91" s="1">
        <f ca="1">IFERROR(__xludf.DUMMYFUNCTION("""COMPUTED_VALUE"""),113.71)</f>
        <v>113.71</v>
      </c>
      <c r="C91" s="1">
        <f ca="1">IFERROR(__xludf.DUMMYFUNCTION("""COMPUTED_VALUE"""),116.67)</f>
        <v>116.67</v>
      </c>
      <c r="D91" s="1">
        <f ca="1">IFERROR(__xludf.DUMMYFUNCTION("""COMPUTED_VALUE"""),113.65)</f>
        <v>113.65</v>
      </c>
      <c r="E91" s="1">
        <f ca="1">IFERROR(__xludf.DUMMYFUNCTION("""COMPUTED_VALUE"""),113.96)</f>
        <v>113.96</v>
      </c>
      <c r="F91" s="1">
        <f ca="1">IFERROR(__xludf.DUMMYFUNCTION("""COMPUTED_VALUE"""),1825082)</f>
        <v>1825082</v>
      </c>
    </row>
    <row r="92" spans="1:6" ht="12.6">
      <c r="A92" s="2">
        <f ca="1">IFERROR(__xludf.DUMMYFUNCTION("""COMPUTED_VALUE"""),44693.6666666666)</f>
        <v>44693.666666666599</v>
      </c>
      <c r="B92" s="1">
        <f ca="1">IFERROR(__xludf.DUMMYFUNCTION("""COMPUTED_VALUE"""),111.94)</f>
        <v>111.94</v>
      </c>
      <c r="C92" s="1">
        <f ca="1">IFERROR(__xludf.DUMMYFUNCTION("""COMPUTED_VALUE"""),114.86)</f>
        <v>114.86</v>
      </c>
      <c r="D92" s="1">
        <f ca="1">IFERROR(__xludf.DUMMYFUNCTION("""COMPUTED_VALUE"""),110.11)</f>
        <v>110.11</v>
      </c>
      <c r="E92" s="1">
        <f ca="1">IFERROR(__xludf.DUMMYFUNCTION("""COMPUTED_VALUE"""),113.16)</f>
        <v>113.16</v>
      </c>
      <c r="F92" s="1">
        <f ca="1">IFERROR(__xludf.DUMMYFUNCTION("""COMPUTED_VALUE"""),2073244)</f>
        <v>2073244</v>
      </c>
    </row>
    <row r="93" spans="1:6" ht="12.6">
      <c r="A93" s="2">
        <f ca="1">IFERROR(__xludf.DUMMYFUNCTION("""COMPUTED_VALUE"""),44694.6666666666)</f>
        <v>44694.666666666599</v>
      </c>
      <c r="B93" s="1">
        <f ca="1">IFERROR(__xludf.DUMMYFUNCTION("""COMPUTED_VALUE"""),114.85)</f>
        <v>114.85</v>
      </c>
      <c r="C93" s="1">
        <f ca="1">IFERROR(__xludf.DUMMYFUNCTION("""COMPUTED_VALUE"""),118.09)</f>
        <v>118.09</v>
      </c>
      <c r="D93" s="1">
        <f ca="1">IFERROR(__xludf.DUMMYFUNCTION("""COMPUTED_VALUE"""),114)</f>
        <v>114</v>
      </c>
      <c r="E93" s="1">
        <f ca="1">IFERROR(__xludf.DUMMYFUNCTION("""COMPUTED_VALUE"""),116.52)</f>
        <v>116.52</v>
      </c>
      <c r="F93" s="1">
        <f ca="1">IFERROR(__xludf.DUMMYFUNCTION("""COMPUTED_VALUE"""),1486878)</f>
        <v>1486878</v>
      </c>
    </row>
    <row r="94" spans="1:6" ht="12.6">
      <c r="A94" s="2">
        <f ca="1">IFERROR(__xludf.DUMMYFUNCTION("""COMPUTED_VALUE"""),44697.6666666666)</f>
        <v>44697.666666666599</v>
      </c>
      <c r="B94" s="1">
        <f ca="1">IFERROR(__xludf.DUMMYFUNCTION("""COMPUTED_VALUE"""),115.38)</f>
        <v>115.38</v>
      </c>
      <c r="C94" s="1">
        <f ca="1">IFERROR(__xludf.DUMMYFUNCTION("""COMPUTED_VALUE"""),116.61)</f>
        <v>116.61</v>
      </c>
      <c r="D94" s="1">
        <f ca="1">IFERROR(__xludf.DUMMYFUNCTION("""COMPUTED_VALUE"""),114.34)</f>
        <v>114.34</v>
      </c>
      <c r="E94" s="1">
        <f ca="1">IFERROR(__xludf.DUMMYFUNCTION("""COMPUTED_VALUE"""),114.79)</f>
        <v>114.79</v>
      </c>
      <c r="F94" s="1">
        <f ca="1">IFERROR(__xludf.DUMMYFUNCTION("""COMPUTED_VALUE"""),1164119)</f>
        <v>1164119</v>
      </c>
    </row>
    <row r="95" spans="1:6" ht="12.6">
      <c r="A95" s="2">
        <f ca="1">IFERROR(__xludf.DUMMYFUNCTION("""COMPUTED_VALUE"""),44698.6666666666)</f>
        <v>44698.666666666599</v>
      </c>
      <c r="B95" s="1">
        <f ca="1">IFERROR(__xludf.DUMMYFUNCTION("""COMPUTED_VALUE"""),117.23)</f>
        <v>117.23</v>
      </c>
      <c r="C95" s="1">
        <f ca="1">IFERROR(__xludf.DUMMYFUNCTION("""COMPUTED_VALUE"""),117.23)</f>
        <v>117.23</v>
      </c>
      <c r="D95" s="1">
        <f ca="1">IFERROR(__xludf.DUMMYFUNCTION("""COMPUTED_VALUE"""),115.34)</f>
        <v>115.34</v>
      </c>
      <c r="E95" s="1">
        <f ca="1">IFERROR(__xludf.DUMMYFUNCTION("""COMPUTED_VALUE"""),116.7)</f>
        <v>116.7</v>
      </c>
      <c r="F95" s="1">
        <f ca="1">IFERROR(__xludf.DUMMYFUNCTION("""COMPUTED_VALUE"""),1078804)</f>
        <v>1078804</v>
      </c>
    </row>
    <row r="96" spans="1:6" ht="12.6">
      <c r="A96" s="2">
        <f ca="1">IFERROR(__xludf.DUMMYFUNCTION("""COMPUTED_VALUE"""),44699.6666666666)</f>
        <v>44699.666666666599</v>
      </c>
      <c r="B96" s="1">
        <f ca="1">IFERROR(__xludf.DUMMYFUNCTION("""COMPUTED_VALUE"""),115.24)</f>
        <v>115.24</v>
      </c>
      <c r="C96" s="1">
        <f ca="1">IFERROR(__xludf.DUMMYFUNCTION("""COMPUTED_VALUE"""),115.7)</f>
        <v>115.7</v>
      </c>
      <c r="D96" s="1">
        <f ca="1">IFERROR(__xludf.DUMMYFUNCTION("""COMPUTED_VALUE"""),112.14)</f>
        <v>112.14</v>
      </c>
      <c r="E96" s="1">
        <f ca="1">IFERROR(__xludf.DUMMYFUNCTION("""COMPUTED_VALUE"""),112.4)</f>
        <v>112.4</v>
      </c>
      <c r="F96" s="1">
        <f ca="1">IFERROR(__xludf.DUMMYFUNCTION("""COMPUTED_VALUE"""),1399138)</f>
        <v>1399138</v>
      </c>
    </row>
    <row r="97" spans="1:6" ht="12.6">
      <c r="A97" s="2">
        <f ca="1">IFERROR(__xludf.DUMMYFUNCTION("""COMPUTED_VALUE"""),44700.6666666666)</f>
        <v>44700.666666666599</v>
      </c>
      <c r="B97" s="1">
        <f ca="1">IFERROR(__xludf.DUMMYFUNCTION("""COMPUTED_VALUE"""),111.84)</f>
        <v>111.84</v>
      </c>
      <c r="C97" s="1">
        <f ca="1">IFERROR(__xludf.DUMMYFUNCTION("""COMPUTED_VALUE"""),113.59)</f>
        <v>113.59</v>
      </c>
      <c r="D97" s="1">
        <f ca="1">IFERROR(__xludf.DUMMYFUNCTION("""COMPUTED_VALUE"""),110.47)</f>
        <v>110.47</v>
      </c>
      <c r="E97" s="1">
        <f ca="1">IFERROR(__xludf.DUMMYFUNCTION("""COMPUTED_VALUE"""),110.75)</f>
        <v>110.75</v>
      </c>
      <c r="F97" s="1">
        <f ca="1">IFERROR(__xludf.DUMMYFUNCTION("""COMPUTED_VALUE"""),1459587)</f>
        <v>1459587</v>
      </c>
    </row>
    <row r="98" spans="1:6" ht="12.6">
      <c r="A98" s="2">
        <f ca="1">IFERROR(__xludf.DUMMYFUNCTION("""COMPUTED_VALUE"""),44701.6666666666)</f>
        <v>44701.666666666599</v>
      </c>
      <c r="B98" s="1">
        <f ca="1">IFERROR(__xludf.DUMMYFUNCTION("""COMPUTED_VALUE"""),112.09)</f>
        <v>112.09</v>
      </c>
      <c r="C98" s="1">
        <f ca="1">IFERROR(__xludf.DUMMYFUNCTION("""COMPUTED_VALUE"""),112.55)</f>
        <v>112.55</v>
      </c>
      <c r="D98" s="1">
        <f ca="1">IFERROR(__xludf.DUMMYFUNCTION("""COMPUTED_VALUE"""),106.37)</f>
        <v>106.37</v>
      </c>
      <c r="E98" s="1">
        <f ca="1">IFERROR(__xludf.DUMMYFUNCTION("""COMPUTED_VALUE"""),109.31)</f>
        <v>109.31</v>
      </c>
      <c r="F98" s="1">
        <f ca="1">IFERROR(__xludf.DUMMYFUNCTION("""COMPUTED_VALUE"""),1879301)</f>
        <v>1879301</v>
      </c>
    </row>
    <row r="99" spans="1:6" ht="12.6">
      <c r="A99" s="2">
        <f ca="1">IFERROR(__xludf.DUMMYFUNCTION("""COMPUTED_VALUE"""),44704.6666666666)</f>
        <v>44704.666666666599</v>
      </c>
      <c r="B99" s="1">
        <f ca="1">IFERROR(__xludf.DUMMYFUNCTION("""COMPUTED_VALUE"""),110.1)</f>
        <v>110.1</v>
      </c>
      <c r="C99" s="1">
        <f ca="1">IFERROR(__xludf.DUMMYFUNCTION("""COMPUTED_VALUE"""),112.01)</f>
        <v>112.01</v>
      </c>
      <c r="D99" s="1">
        <f ca="1">IFERROR(__xludf.DUMMYFUNCTION("""COMPUTED_VALUE"""),109.15)</f>
        <v>109.15</v>
      </c>
      <c r="E99" s="1">
        <f ca="1">IFERROR(__xludf.DUMMYFUNCTION("""COMPUTED_VALUE"""),111.67)</f>
        <v>111.67</v>
      </c>
      <c r="F99" s="1">
        <f ca="1">IFERROR(__xludf.DUMMYFUNCTION("""COMPUTED_VALUE"""),1577911)</f>
        <v>1577911</v>
      </c>
    </row>
    <row r="100" spans="1:6" ht="12.6">
      <c r="A100" s="2">
        <f ca="1">IFERROR(__xludf.DUMMYFUNCTION("""COMPUTED_VALUE"""),44705.6666666666)</f>
        <v>44705.666666666599</v>
      </c>
      <c r="B100" s="1">
        <f ca="1">IFERROR(__xludf.DUMMYFUNCTION("""COMPUTED_VALUE"""),106.38)</f>
        <v>106.38</v>
      </c>
      <c r="C100" s="1">
        <f ca="1">IFERROR(__xludf.DUMMYFUNCTION("""COMPUTED_VALUE"""),106.4)</f>
        <v>106.4</v>
      </c>
      <c r="D100" s="1">
        <f ca="1">IFERROR(__xludf.DUMMYFUNCTION("""COMPUTED_VALUE"""),102.21)</f>
        <v>102.21</v>
      </c>
      <c r="E100" s="1">
        <f ca="1">IFERROR(__xludf.DUMMYFUNCTION("""COMPUTED_VALUE"""),105.93)</f>
        <v>105.93</v>
      </c>
      <c r="F100" s="1">
        <f ca="1">IFERROR(__xludf.DUMMYFUNCTION("""COMPUTED_VALUE"""),3019319)</f>
        <v>3019319</v>
      </c>
    </row>
    <row r="101" spans="1:6" ht="12.6">
      <c r="A101" s="2">
        <f ca="1">IFERROR(__xludf.DUMMYFUNCTION("""COMPUTED_VALUE"""),44706.6666666666)</f>
        <v>44706.666666666599</v>
      </c>
      <c r="B101" s="1">
        <f ca="1">IFERROR(__xludf.DUMMYFUNCTION("""COMPUTED_VALUE"""),105.14)</f>
        <v>105.14</v>
      </c>
      <c r="C101" s="1">
        <f ca="1">IFERROR(__xludf.DUMMYFUNCTION("""COMPUTED_VALUE"""),106.54)</f>
        <v>106.54</v>
      </c>
      <c r="D101" s="1">
        <f ca="1">IFERROR(__xludf.DUMMYFUNCTION("""COMPUTED_VALUE"""),104.21)</f>
        <v>104.21</v>
      </c>
      <c r="E101" s="1">
        <f ca="1">IFERROR(__xludf.DUMMYFUNCTION("""COMPUTED_VALUE"""),105.84)</f>
        <v>105.84</v>
      </c>
      <c r="F101" s="1">
        <f ca="1">IFERROR(__xludf.DUMMYFUNCTION("""COMPUTED_VALUE"""),1894967)</f>
        <v>1894967</v>
      </c>
    </row>
    <row r="102" spans="1:6" ht="12.6">
      <c r="A102" s="2">
        <f ca="1">IFERROR(__xludf.DUMMYFUNCTION("""COMPUTED_VALUE"""),44707.6666666666)</f>
        <v>44707.666666666599</v>
      </c>
      <c r="B102" s="1">
        <f ca="1">IFERROR(__xludf.DUMMYFUNCTION("""COMPUTED_VALUE"""),106.05)</f>
        <v>106.05</v>
      </c>
      <c r="C102" s="1">
        <f ca="1">IFERROR(__xludf.DUMMYFUNCTION("""COMPUTED_VALUE"""),108.96)</f>
        <v>108.96</v>
      </c>
      <c r="D102" s="1">
        <f ca="1">IFERROR(__xludf.DUMMYFUNCTION("""COMPUTED_VALUE"""),105.49)</f>
        <v>105.49</v>
      </c>
      <c r="E102" s="1">
        <f ca="1">IFERROR(__xludf.DUMMYFUNCTION("""COMPUTED_VALUE"""),108.3)</f>
        <v>108.3</v>
      </c>
      <c r="F102" s="1">
        <f ca="1">IFERROR(__xludf.DUMMYFUNCTION("""COMPUTED_VALUE"""),1514374)</f>
        <v>1514374</v>
      </c>
    </row>
    <row r="103" spans="1:6" ht="12.6">
      <c r="A103" s="2">
        <f ca="1">IFERROR(__xludf.DUMMYFUNCTION("""COMPUTED_VALUE"""),44708.6666666666)</f>
        <v>44708.666666666599</v>
      </c>
      <c r="B103" s="1">
        <f ca="1">IFERROR(__xludf.DUMMYFUNCTION("""COMPUTED_VALUE"""),109.79)</f>
        <v>109.79</v>
      </c>
      <c r="C103" s="1">
        <f ca="1">IFERROR(__xludf.DUMMYFUNCTION("""COMPUTED_VALUE"""),112.87)</f>
        <v>112.87</v>
      </c>
      <c r="D103" s="1">
        <f ca="1">IFERROR(__xludf.DUMMYFUNCTION("""COMPUTED_VALUE"""),109.55)</f>
        <v>109.55</v>
      </c>
      <c r="E103" s="1">
        <f ca="1">IFERROR(__xludf.DUMMYFUNCTION("""COMPUTED_VALUE"""),112.8)</f>
        <v>112.8</v>
      </c>
      <c r="F103" s="1">
        <f ca="1">IFERROR(__xludf.DUMMYFUNCTION("""COMPUTED_VALUE"""),1496221)</f>
        <v>1496221</v>
      </c>
    </row>
    <row r="104" spans="1:6" ht="12.6">
      <c r="A104" s="2">
        <f ca="1">IFERROR(__xludf.DUMMYFUNCTION("""COMPUTED_VALUE"""),44712.6666666666)</f>
        <v>44712.666666666599</v>
      </c>
      <c r="B104" s="1">
        <f ca="1">IFERROR(__xludf.DUMMYFUNCTION("""COMPUTED_VALUE"""),113.08)</f>
        <v>113.08</v>
      </c>
      <c r="C104" s="1">
        <f ca="1">IFERROR(__xludf.DUMMYFUNCTION("""COMPUTED_VALUE"""),116.43)</f>
        <v>116.43</v>
      </c>
      <c r="D104" s="1">
        <f ca="1">IFERROR(__xludf.DUMMYFUNCTION("""COMPUTED_VALUE"""),112.57)</f>
        <v>112.57</v>
      </c>
      <c r="E104" s="1">
        <f ca="1">IFERROR(__xludf.DUMMYFUNCTION("""COMPUTED_VALUE"""),114.04)</f>
        <v>114.04</v>
      </c>
      <c r="F104" s="1">
        <f ca="1">IFERROR(__xludf.DUMMYFUNCTION("""COMPUTED_VALUE"""),2565096)</f>
        <v>2565096</v>
      </c>
    </row>
    <row r="105" spans="1:6" ht="12.6">
      <c r="A105" s="2">
        <f ca="1">IFERROR(__xludf.DUMMYFUNCTION("""COMPUTED_VALUE"""),44713.6666666666)</f>
        <v>44713.666666666599</v>
      </c>
      <c r="B105" s="1">
        <f ca="1">IFERROR(__xludf.DUMMYFUNCTION("""COMPUTED_VALUE"""),114.93)</f>
        <v>114.93</v>
      </c>
      <c r="C105" s="1">
        <f ca="1">IFERROR(__xludf.DUMMYFUNCTION("""COMPUTED_VALUE"""),117.4)</f>
        <v>117.4</v>
      </c>
      <c r="D105" s="1">
        <f ca="1">IFERROR(__xludf.DUMMYFUNCTION("""COMPUTED_VALUE"""),113.55)</f>
        <v>113.55</v>
      </c>
      <c r="E105" s="1">
        <f ca="1">IFERROR(__xludf.DUMMYFUNCTION("""COMPUTED_VALUE"""),114.14)</f>
        <v>114.14</v>
      </c>
      <c r="F105" s="1">
        <f ca="1">IFERROR(__xludf.DUMMYFUNCTION("""COMPUTED_VALUE"""),1431464)</f>
        <v>1431464</v>
      </c>
    </row>
    <row r="106" spans="1:6" ht="12.6">
      <c r="A106" s="2">
        <f ca="1">IFERROR(__xludf.DUMMYFUNCTION("""COMPUTED_VALUE"""),44714.6666666666)</f>
        <v>44714.666666666599</v>
      </c>
      <c r="B106" s="1">
        <f ca="1">IFERROR(__xludf.DUMMYFUNCTION("""COMPUTED_VALUE"""),114.19)</f>
        <v>114.19</v>
      </c>
      <c r="C106" s="1">
        <f ca="1">IFERROR(__xludf.DUMMYFUNCTION("""COMPUTED_VALUE"""),117.9)</f>
        <v>117.9</v>
      </c>
      <c r="D106" s="1">
        <f ca="1">IFERROR(__xludf.DUMMYFUNCTION("""COMPUTED_VALUE"""),113.31)</f>
        <v>113.31</v>
      </c>
      <c r="E106" s="1">
        <f ca="1">IFERROR(__xludf.DUMMYFUNCTION("""COMPUTED_VALUE"""),117.75)</f>
        <v>117.75</v>
      </c>
      <c r="F106" s="1">
        <f ca="1">IFERROR(__xludf.DUMMYFUNCTION("""COMPUTED_VALUE"""),1374770)</f>
        <v>1374770</v>
      </c>
    </row>
    <row r="107" spans="1:6" ht="12.6">
      <c r="A107" s="2">
        <f ca="1">IFERROR(__xludf.DUMMYFUNCTION("""COMPUTED_VALUE"""),44715.6666666666)</f>
        <v>44715.666666666599</v>
      </c>
      <c r="B107" s="1">
        <f ca="1">IFERROR(__xludf.DUMMYFUNCTION("""COMPUTED_VALUE"""),115.99)</f>
        <v>115.99</v>
      </c>
      <c r="C107" s="1">
        <f ca="1">IFERROR(__xludf.DUMMYFUNCTION("""COMPUTED_VALUE"""),116.36)</f>
        <v>116.36</v>
      </c>
      <c r="D107" s="1">
        <f ca="1">IFERROR(__xludf.DUMMYFUNCTION("""COMPUTED_VALUE"""),113.67)</f>
        <v>113.67</v>
      </c>
      <c r="E107" s="1">
        <f ca="1">IFERROR(__xludf.DUMMYFUNCTION("""COMPUTED_VALUE"""),114.56)</f>
        <v>114.56</v>
      </c>
      <c r="F107" s="1">
        <f ca="1">IFERROR(__xludf.DUMMYFUNCTION("""COMPUTED_VALUE"""),1247604)</f>
        <v>1247604</v>
      </c>
    </row>
    <row r="108" spans="1:6" ht="12.6">
      <c r="A108" s="2">
        <f ca="1">IFERROR(__xludf.DUMMYFUNCTION("""COMPUTED_VALUE"""),44718.6666666666)</f>
        <v>44718.666666666599</v>
      </c>
      <c r="B108" s="1">
        <f ca="1">IFERROR(__xludf.DUMMYFUNCTION("""COMPUTED_VALUE"""),116.74)</f>
        <v>116.74</v>
      </c>
      <c r="C108" s="1">
        <f ca="1">IFERROR(__xludf.DUMMYFUNCTION("""COMPUTED_VALUE"""),119.4)</f>
        <v>119.4</v>
      </c>
      <c r="D108" s="1">
        <f ca="1">IFERROR(__xludf.DUMMYFUNCTION("""COMPUTED_VALUE"""),116.53)</f>
        <v>116.53</v>
      </c>
      <c r="E108" s="1">
        <f ca="1">IFERROR(__xludf.DUMMYFUNCTION("""COMPUTED_VALUE"""),117.01)</f>
        <v>117.01</v>
      </c>
      <c r="F108" s="1">
        <f ca="1">IFERROR(__xludf.DUMMYFUNCTION("""COMPUTED_VALUE"""),1189336)</f>
        <v>1189336</v>
      </c>
    </row>
    <row r="109" spans="1:6" ht="12.6">
      <c r="A109" s="2">
        <f ca="1">IFERROR(__xludf.DUMMYFUNCTION("""COMPUTED_VALUE"""),44719.6666666666)</f>
        <v>44719.666666666599</v>
      </c>
      <c r="B109" s="1">
        <f ca="1">IFERROR(__xludf.DUMMYFUNCTION("""COMPUTED_VALUE"""),115.65)</f>
        <v>115.65</v>
      </c>
      <c r="C109" s="1">
        <f ca="1">IFERROR(__xludf.DUMMYFUNCTION("""COMPUTED_VALUE"""),117.75)</f>
        <v>117.75</v>
      </c>
      <c r="D109" s="1">
        <f ca="1">IFERROR(__xludf.DUMMYFUNCTION("""COMPUTED_VALUE"""),115.13)</f>
        <v>115.13</v>
      </c>
      <c r="E109" s="1">
        <f ca="1">IFERROR(__xludf.DUMMYFUNCTION("""COMPUTED_VALUE"""),117.23)</f>
        <v>117.23</v>
      </c>
      <c r="F109" s="1">
        <f ca="1">IFERROR(__xludf.DUMMYFUNCTION("""COMPUTED_VALUE"""),1320677)</f>
        <v>1320677</v>
      </c>
    </row>
    <row r="110" spans="1:6" ht="12.6">
      <c r="A110" s="2">
        <f ca="1">IFERROR(__xludf.DUMMYFUNCTION("""COMPUTED_VALUE"""),44720.6666666666)</f>
        <v>44720.666666666599</v>
      </c>
      <c r="B110" s="1">
        <f ca="1">IFERROR(__xludf.DUMMYFUNCTION("""COMPUTED_VALUE"""),116.88)</f>
        <v>116.88</v>
      </c>
      <c r="C110" s="1">
        <f ca="1">IFERROR(__xludf.DUMMYFUNCTION("""COMPUTED_VALUE"""),118.65)</f>
        <v>118.65</v>
      </c>
      <c r="D110" s="1">
        <f ca="1">IFERROR(__xludf.DUMMYFUNCTION("""COMPUTED_VALUE"""),116.7)</f>
        <v>116.7</v>
      </c>
      <c r="E110" s="1">
        <f ca="1">IFERROR(__xludf.DUMMYFUNCTION("""COMPUTED_VALUE"""),117.24)</f>
        <v>117.24</v>
      </c>
      <c r="F110" s="1">
        <f ca="1">IFERROR(__xludf.DUMMYFUNCTION("""COMPUTED_VALUE"""),1127213)</f>
        <v>1127213</v>
      </c>
    </row>
    <row r="111" spans="1:6" ht="12.6">
      <c r="A111" s="2">
        <f ca="1">IFERROR(__xludf.DUMMYFUNCTION("""COMPUTED_VALUE"""),44721.6666666666)</f>
        <v>44721.666666666599</v>
      </c>
      <c r="B111" s="1">
        <f ca="1">IFERROR(__xludf.DUMMYFUNCTION("""COMPUTED_VALUE"""),116.34)</f>
        <v>116.34</v>
      </c>
      <c r="C111" s="1">
        <f ca="1">IFERROR(__xludf.DUMMYFUNCTION("""COMPUTED_VALUE"""),118.35)</f>
        <v>118.35</v>
      </c>
      <c r="D111" s="1">
        <f ca="1">IFERROR(__xludf.DUMMYFUNCTION("""COMPUTED_VALUE"""),114.87)</f>
        <v>114.87</v>
      </c>
      <c r="E111" s="1">
        <f ca="1">IFERROR(__xludf.DUMMYFUNCTION("""COMPUTED_VALUE"""),114.92)</f>
        <v>114.92</v>
      </c>
      <c r="F111" s="1">
        <f ca="1">IFERROR(__xludf.DUMMYFUNCTION("""COMPUTED_VALUE"""),1157080)</f>
        <v>1157080</v>
      </c>
    </row>
    <row r="112" spans="1:6" ht="12.6">
      <c r="A112" s="2">
        <f ca="1">IFERROR(__xludf.DUMMYFUNCTION("""COMPUTED_VALUE"""),44722.6666666666)</f>
        <v>44722.666666666599</v>
      </c>
      <c r="B112" s="1">
        <f ca="1">IFERROR(__xludf.DUMMYFUNCTION("""COMPUTED_VALUE"""),112.78)</f>
        <v>112.78</v>
      </c>
      <c r="C112" s="1">
        <f ca="1">IFERROR(__xludf.DUMMYFUNCTION("""COMPUTED_VALUE"""),113.5)</f>
        <v>113.5</v>
      </c>
      <c r="D112" s="1">
        <f ca="1">IFERROR(__xludf.DUMMYFUNCTION("""COMPUTED_VALUE"""),110.86)</f>
        <v>110.86</v>
      </c>
      <c r="E112" s="1">
        <f ca="1">IFERROR(__xludf.DUMMYFUNCTION("""COMPUTED_VALUE"""),111.43)</f>
        <v>111.43</v>
      </c>
      <c r="F112" s="1">
        <f ca="1">IFERROR(__xludf.DUMMYFUNCTION("""COMPUTED_VALUE"""),1567487)</f>
        <v>1567487</v>
      </c>
    </row>
    <row r="113" spans="1:6" ht="12.6">
      <c r="A113" s="2">
        <f ca="1">IFERROR(__xludf.DUMMYFUNCTION("""COMPUTED_VALUE"""),44725.6666666666)</f>
        <v>44725.666666666599</v>
      </c>
      <c r="B113" s="1">
        <f ca="1">IFERROR(__xludf.DUMMYFUNCTION("""COMPUTED_VALUE"""),107.45)</f>
        <v>107.45</v>
      </c>
      <c r="C113" s="1">
        <f ca="1">IFERROR(__xludf.DUMMYFUNCTION("""COMPUTED_VALUE"""),109.22)</f>
        <v>109.22</v>
      </c>
      <c r="D113" s="1">
        <f ca="1">IFERROR(__xludf.DUMMYFUNCTION("""COMPUTED_VALUE"""),106.59)</f>
        <v>106.59</v>
      </c>
      <c r="E113" s="1">
        <f ca="1">IFERROR(__xludf.DUMMYFUNCTION("""COMPUTED_VALUE"""),106.88)</f>
        <v>106.88</v>
      </c>
      <c r="F113" s="1">
        <f ca="1">IFERROR(__xludf.DUMMYFUNCTION("""COMPUTED_VALUE"""),1837810)</f>
        <v>1837810</v>
      </c>
    </row>
    <row r="114" spans="1:6" ht="12.6">
      <c r="A114" s="2">
        <f ca="1">IFERROR(__xludf.DUMMYFUNCTION("""COMPUTED_VALUE"""),44726.6666666666)</f>
        <v>44726.666666666599</v>
      </c>
      <c r="B114" s="1">
        <f ca="1">IFERROR(__xludf.DUMMYFUNCTION("""COMPUTED_VALUE"""),106.89)</f>
        <v>106.89</v>
      </c>
      <c r="C114" s="1">
        <f ca="1">IFERROR(__xludf.DUMMYFUNCTION("""COMPUTED_VALUE"""),108.46)</f>
        <v>108.46</v>
      </c>
      <c r="D114" s="1">
        <f ca="1">IFERROR(__xludf.DUMMYFUNCTION("""COMPUTED_VALUE"""),106.35)</f>
        <v>106.35</v>
      </c>
      <c r="E114" s="1">
        <f ca="1">IFERROR(__xludf.DUMMYFUNCTION("""COMPUTED_VALUE"""),107.19)</f>
        <v>107.19</v>
      </c>
      <c r="F114" s="1">
        <f ca="1">IFERROR(__xludf.DUMMYFUNCTION("""COMPUTED_VALUE"""),1274047)</f>
        <v>1274047</v>
      </c>
    </row>
    <row r="115" spans="1:6" ht="12.6">
      <c r="A115" s="2">
        <f ca="1">IFERROR(__xludf.DUMMYFUNCTION("""COMPUTED_VALUE"""),44727.6666666666)</f>
        <v>44727.666666666599</v>
      </c>
      <c r="B115" s="1">
        <f ca="1">IFERROR(__xludf.DUMMYFUNCTION("""COMPUTED_VALUE"""),108.9)</f>
        <v>108.9</v>
      </c>
      <c r="C115" s="1">
        <f ca="1">IFERROR(__xludf.DUMMYFUNCTION("""COMPUTED_VALUE"""),112.06)</f>
        <v>112.06</v>
      </c>
      <c r="D115" s="1">
        <f ca="1">IFERROR(__xludf.DUMMYFUNCTION("""COMPUTED_VALUE"""),108.12)</f>
        <v>108.12</v>
      </c>
      <c r="E115" s="1">
        <f ca="1">IFERROR(__xludf.DUMMYFUNCTION("""COMPUTED_VALUE"""),110.39)</f>
        <v>110.39</v>
      </c>
      <c r="F115" s="1">
        <f ca="1">IFERROR(__xludf.DUMMYFUNCTION("""COMPUTED_VALUE"""),1659601)</f>
        <v>1659601</v>
      </c>
    </row>
    <row r="116" spans="1:6" ht="12.6">
      <c r="A116" s="2">
        <f ca="1">IFERROR(__xludf.DUMMYFUNCTION("""COMPUTED_VALUE"""),44728.6666666666)</f>
        <v>44728.666666666599</v>
      </c>
      <c r="B116" s="1">
        <f ca="1">IFERROR(__xludf.DUMMYFUNCTION("""COMPUTED_VALUE"""),108.15)</f>
        <v>108.15</v>
      </c>
      <c r="C116" s="1">
        <f ca="1">IFERROR(__xludf.DUMMYFUNCTION("""COMPUTED_VALUE"""),109.29)</f>
        <v>109.29</v>
      </c>
      <c r="D116" s="1">
        <f ca="1">IFERROR(__xludf.DUMMYFUNCTION("""COMPUTED_VALUE"""),105.79)</f>
        <v>105.79</v>
      </c>
      <c r="E116" s="1">
        <f ca="1">IFERROR(__xludf.DUMMYFUNCTION("""COMPUTED_VALUE"""),106.64)</f>
        <v>106.64</v>
      </c>
      <c r="F116" s="1">
        <f ca="1">IFERROR(__xludf.DUMMYFUNCTION("""COMPUTED_VALUE"""),1765662)</f>
        <v>1765662</v>
      </c>
    </row>
    <row r="117" spans="1:6" ht="12.6">
      <c r="A117" s="2">
        <f ca="1">IFERROR(__xludf.DUMMYFUNCTION("""COMPUTED_VALUE"""),44729.6666666666)</f>
        <v>44729.666666666599</v>
      </c>
      <c r="B117" s="1">
        <f ca="1">IFERROR(__xludf.DUMMYFUNCTION("""COMPUTED_VALUE"""),106.54)</f>
        <v>106.54</v>
      </c>
      <c r="C117" s="1">
        <f ca="1">IFERROR(__xludf.DUMMYFUNCTION("""COMPUTED_VALUE"""),109.25)</f>
        <v>109.25</v>
      </c>
      <c r="D117" s="1">
        <f ca="1">IFERROR(__xludf.DUMMYFUNCTION("""COMPUTED_VALUE"""),105.63)</f>
        <v>105.63</v>
      </c>
      <c r="E117" s="1">
        <f ca="1">IFERROR(__xludf.DUMMYFUNCTION("""COMPUTED_VALUE"""),107.87)</f>
        <v>107.87</v>
      </c>
      <c r="F117" s="1">
        <f ca="1">IFERROR(__xludf.DUMMYFUNCTION("""COMPUTED_VALUE"""),2175833)</f>
        <v>2175833</v>
      </c>
    </row>
    <row r="118" spans="1:6" ht="12.6">
      <c r="A118" s="2">
        <f ca="1">IFERROR(__xludf.DUMMYFUNCTION("""COMPUTED_VALUE"""),44733.6666666666)</f>
        <v>44733.666666666599</v>
      </c>
      <c r="B118" s="1">
        <f ca="1">IFERROR(__xludf.DUMMYFUNCTION("""COMPUTED_VALUE"""),109.7)</f>
        <v>109.7</v>
      </c>
      <c r="C118" s="1">
        <f ca="1">IFERROR(__xludf.DUMMYFUNCTION("""COMPUTED_VALUE"""),112.67)</f>
        <v>112.67</v>
      </c>
      <c r="D118" s="1">
        <f ca="1">IFERROR(__xludf.DUMMYFUNCTION("""COMPUTED_VALUE"""),109.29)</f>
        <v>109.29</v>
      </c>
      <c r="E118" s="1">
        <f ca="1">IFERROR(__xludf.DUMMYFUNCTION("""COMPUTED_VALUE"""),112.02)</f>
        <v>112.02</v>
      </c>
      <c r="F118" s="1">
        <f ca="1">IFERROR(__xludf.DUMMYFUNCTION("""COMPUTED_VALUE"""),1950514)</f>
        <v>1950514</v>
      </c>
    </row>
    <row r="119" spans="1:6" ht="12.6">
      <c r="A119" s="2">
        <f ca="1">IFERROR(__xludf.DUMMYFUNCTION("""COMPUTED_VALUE"""),44734.6666666666)</f>
        <v>44734.666666666599</v>
      </c>
      <c r="B119" s="1">
        <f ca="1">IFERROR(__xludf.DUMMYFUNCTION("""COMPUTED_VALUE"""),111.16)</f>
        <v>111.16</v>
      </c>
      <c r="C119" s="1">
        <f ca="1">IFERROR(__xludf.DUMMYFUNCTION("""COMPUTED_VALUE"""),113.77)</f>
        <v>113.77</v>
      </c>
      <c r="D119" s="1">
        <f ca="1">IFERROR(__xludf.DUMMYFUNCTION("""COMPUTED_VALUE"""),110.72)</f>
        <v>110.72</v>
      </c>
      <c r="E119" s="1">
        <f ca="1">IFERROR(__xludf.DUMMYFUNCTION("""COMPUTED_VALUE"""),112.03)</f>
        <v>112.03</v>
      </c>
      <c r="F119" s="1">
        <f ca="1">IFERROR(__xludf.DUMMYFUNCTION("""COMPUTED_VALUE"""),1196086)</f>
        <v>1196086</v>
      </c>
    </row>
    <row r="120" spans="1:6" ht="12.6">
      <c r="A120" s="2">
        <f ca="1">IFERROR(__xludf.DUMMYFUNCTION("""COMPUTED_VALUE"""),44735.6666666666)</f>
        <v>44735.666666666599</v>
      </c>
      <c r="B120" s="1">
        <f ca="1">IFERROR(__xludf.DUMMYFUNCTION("""COMPUTED_VALUE"""),112.95)</f>
        <v>112.95</v>
      </c>
      <c r="C120" s="1">
        <f ca="1">IFERROR(__xludf.DUMMYFUNCTION("""COMPUTED_VALUE"""),113.2)</f>
        <v>113.2</v>
      </c>
      <c r="D120" s="1">
        <f ca="1">IFERROR(__xludf.DUMMYFUNCTION("""COMPUTED_VALUE"""),111.03)</f>
        <v>111.03</v>
      </c>
      <c r="E120" s="1">
        <f ca="1">IFERROR(__xludf.DUMMYFUNCTION("""COMPUTED_VALUE"""),112.68)</f>
        <v>112.68</v>
      </c>
      <c r="F120" s="1">
        <f ca="1">IFERROR(__xludf.DUMMYFUNCTION("""COMPUTED_VALUE"""),1235486)</f>
        <v>1235486</v>
      </c>
    </row>
    <row r="121" spans="1:6" ht="12.6">
      <c r="A121" s="2">
        <f ca="1">IFERROR(__xludf.DUMMYFUNCTION("""COMPUTED_VALUE"""),44736.6666666666)</f>
        <v>44736.666666666599</v>
      </c>
      <c r="B121" s="1">
        <f ca="1">IFERROR(__xludf.DUMMYFUNCTION("""COMPUTED_VALUE"""),113.6)</f>
        <v>113.6</v>
      </c>
      <c r="C121" s="1">
        <f ca="1">IFERROR(__xludf.DUMMYFUNCTION("""COMPUTED_VALUE"""),118.64)</f>
        <v>118.64</v>
      </c>
      <c r="D121" s="1">
        <f ca="1">IFERROR(__xludf.DUMMYFUNCTION("""COMPUTED_VALUE"""),113.6)</f>
        <v>113.6</v>
      </c>
      <c r="E121" s="1">
        <f ca="1">IFERROR(__xludf.DUMMYFUNCTION("""COMPUTED_VALUE"""),118.54)</f>
        <v>118.54</v>
      </c>
      <c r="F121" s="1">
        <f ca="1">IFERROR(__xludf.DUMMYFUNCTION("""COMPUTED_VALUE"""),1956138)</f>
        <v>1956138</v>
      </c>
    </row>
    <row r="122" spans="1:6" ht="12.6">
      <c r="A122" s="2">
        <f ca="1">IFERROR(__xludf.DUMMYFUNCTION("""COMPUTED_VALUE"""),44739.6666666666)</f>
        <v>44739.666666666599</v>
      </c>
      <c r="B122" s="1">
        <f ca="1">IFERROR(__xludf.DUMMYFUNCTION("""COMPUTED_VALUE"""),118.94)</f>
        <v>118.94</v>
      </c>
      <c r="C122" s="1">
        <f ca="1">IFERROR(__xludf.DUMMYFUNCTION("""COMPUTED_VALUE"""),119.25)</f>
        <v>119.25</v>
      </c>
      <c r="D122" s="1">
        <f ca="1">IFERROR(__xludf.DUMMYFUNCTION("""COMPUTED_VALUE"""),116)</f>
        <v>116</v>
      </c>
      <c r="E122" s="1">
        <f ca="1">IFERROR(__xludf.DUMMYFUNCTION("""COMPUTED_VALUE"""),116.62)</f>
        <v>116.62</v>
      </c>
      <c r="F122" s="1">
        <f ca="1">IFERROR(__xludf.DUMMYFUNCTION("""COMPUTED_VALUE"""),1641965)</f>
        <v>1641965</v>
      </c>
    </row>
    <row r="123" spans="1:6" ht="12.6">
      <c r="A123" s="2">
        <f ca="1">IFERROR(__xludf.DUMMYFUNCTION("""COMPUTED_VALUE"""),44740.6666666666)</f>
        <v>44740.666666666599</v>
      </c>
      <c r="B123" s="1">
        <f ca="1">IFERROR(__xludf.DUMMYFUNCTION("""COMPUTED_VALUE"""),116.35)</f>
        <v>116.35</v>
      </c>
      <c r="C123" s="1">
        <f ca="1">IFERROR(__xludf.DUMMYFUNCTION("""COMPUTED_VALUE"""),117.86)</f>
        <v>117.86</v>
      </c>
      <c r="D123" s="1">
        <f ca="1">IFERROR(__xludf.DUMMYFUNCTION("""COMPUTED_VALUE"""),112.44)</f>
        <v>112.44</v>
      </c>
      <c r="E123" s="1">
        <f ca="1">IFERROR(__xludf.DUMMYFUNCTION("""COMPUTED_VALUE"""),112.57)</f>
        <v>112.57</v>
      </c>
      <c r="F123" s="1">
        <f ca="1">IFERROR(__xludf.DUMMYFUNCTION("""COMPUTED_VALUE"""),1415811)</f>
        <v>1415811</v>
      </c>
    </row>
    <row r="124" spans="1:6" ht="12.6">
      <c r="A124" s="2">
        <f ca="1">IFERROR(__xludf.DUMMYFUNCTION("""COMPUTED_VALUE"""),44741.6666666666)</f>
        <v>44741.666666666599</v>
      </c>
      <c r="B124" s="1">
        <f ca="1">IFERROR(__xludf.DUMMYFUNCTION("""COMPUTED_VALUE"""),112.15)</f>
        <v>112.15</v>
      </c>
      <c r="C124" s="1">
        <f ca="1">IFERROR(__xludf.DUMMYFUNCTION("""COMPUTED_VALUE"""),113.66)</f>
        <v>113.66</v>
      </c>
      <c r="D124" s="1">
        <f ca="1">IFERROR(__xludf.DUMMYFUNCTION("""COMPUTED_VALUE"""),111.55)</f>
        <v>111.55</v>
      </c>
      <c r="E124" s="1">
        <f ca="1">IFERROR(__xludf.DUMMYFUNCTION("""COMPUTED_VALUE"""),112.26)</f>
        <v>112.26</v>
      </c>
      <c r="F124" s="1">
        <f ca="1">IFERROR(__xludf.DUMMYFUNCTION("""COMPUTED_VALUE"""),931393)</f>
        <v>931393</v>
      </c>
    </row>
    <row r="125" spans="1:6" ht="12.6">
      <c r="A125" s="2">
        <f ca="1">IFERROR(__xludf.DUMMYFUNCTION("""COMPUTED_VALUE"""),44742.6666666666)</f>
        <v>44742.666666666599</v>
      </c>
      <c r="B125" s="1">
        <f ca="1">IFERROR(__xludf.DUMMYFUNCTION("""COMPUTED_VALUE"""),110.5)</f>
        <v>110.5</v>
      </c>
      <c r="C125" s="1">
        <f ca="1">IFERROR(__xludf.DUMMYFUNCTION("""COMPUTED_VALUE"""),111.33)</f>
        <v>111.33</v>
      </c>
      <c r="D125" s="1">
        <f ca="1">IFERROR(__xludf.DUMMYFUNCTION("""COMPUTED_VALUE"""),107.31)</f>
        <v>107.31</v>
      </c>
      <c r="E125" s="1">
        <f ca="1">IFERROR(__xludf.DUMMYFUNCTION("""COMPUTED_VALUE"""),109.37)</f>
        <v>109.37</v>
      </c>
      <c r="F125" s="1">
        <f ca="1">IFERROR(__xludf.DUMMYFUNCTION("""COMPUTED_VALUE"""),1902302)</f>
        <v>1902302</v>
      </c>
    </row>
    <row r="126" spans="1:6" ht="12.6">
      <c r="A126" s="2">
        <f ca="1">IFERROR(__xludf.DUMMYFUNCTION("""COMPUTED_VALUE"""),44743.6666666666)</f>
        <v>44743.666666666599</v>
      </c>
      <c r="B126" s="1">
        <f ca="1">IFERROR(__xludf.DUMMYFUNCTION("""COMPUTED_VALUE"""),108.34)</f>
        <v>108.34</v>
      </c>
      <c r="C126" s="1">
        <f ca="1">IFERROR(__xludf.DUMMYFUNCTION("""COMPUTED_VALUE"""),109.81)</f>
        <v>109.81</v>
      </c>
      <c r="D126" s="1">
        <f ca="1">IFERROR(__xludf.DUMMYFUNCTION("""COMPUTED_VALUE"""),107.11)</f>
        <v>107.11</v>
      </c>
      <c r="E126" s="1">
        <f ca="1">IFERROR(__xludf.DUMMYFUNCTION("""COMPUTED_VALUE"""),109.08)</f>
        <v>109.08</v>
      </c>
      <c r="F126" s="1">
        <f ca="1">IFERROR(__xludf.DUMMYFUNCTION("""COMPUTED_VALUE"""),1551394)</f>
        <v>1551394</v>
      </c>
    </row>
    <row r="127" spans="1:6" ht="12.6">
      <c r="A127" s="2">
        <f ca="1">IFERROR(__xludf.DUMMYFUNCTION("""COMPUTED_VALUE"""),44747.6666666666)</f>
        <v>44747.666666666599</v>
      </c>
      <c r="B127" s="1">
        <f ca="1">IFERROR(__xludf.DUMMYFUNCTION("""COMPUTED_VALUE"""),107.51)</f>
        <v>107.51</v>
      </c>
      <c r="C127" s="1">
        <f ca="1">IFERROR(__xludf.DUMMYFUNCTION("""COMPUTED_VALUE"""),114.05)</f>
        <v>114.05</v>
      </c>
      <c r="D127" s="1">
        <f ca="1">IFERROR(__xludf.DUMMYFUNCTION("""COMPUTED_VALUE"""),106.25)</f>
        <v>106.25</v>
      </c>
      <c r="E127" s="1">
        <f ca="1">IFERROR(__xludf.DUMMYFUNCTION("""COMPUTED_VALUE"""),113.89)</f>
        <v>113.89</v>
      </c>
      <c r="F127" s="1">
        <f ca="1">IFERROR(__xludf.DUMMYFUNCTION("""COMPUTED_VALUE"""),1821469)</f>
        <v>1821469</v>
      </c>
    </row>
    <row r="128" spans="1:6" ht="12.6">
      <c r="A128" s="2">
        <f ca="1">IFERROR(__xludf.DUMMYFUNCTION("""COMPUTED_VALUE"""),44748.6666666666)</f>
        <v>44748.666666666599</v>
      </c>
      <c r="B128" s="1">
        <f ca="1">IFERROR(__xludf.DUMMYFUNCTION("""COMPUTED_VALUE"""),114.09)</f>
        <v>114.09</v>
      </c>
      <c r="C128" s="1">
        <f ca="1">IFERROR(__xludf.DUMMYFUNCTION("""COMPUTED_VALUE"""),116.35)</f>
        <v>116.35</v>
      </c>
      <c r="D128" s="1">
        <f ca="1">IFERROR(__xludf.DUMMYFUNCTION("""COMPUTED_VALUE"""),112.25)</f>
        <v>112.25</v>
      </c>
      <c r="E128" s="1">
        <f ca="1">IFERROR(__xludf.DUMMYFUNCTION("""COMPUTED_VALUE"""),115.21)</f>
        <v>115.21</v>
      </c>
      <c r="F128" s="1">
        <f ca="1">IFERROR(__xludf.DUMMYFUNCTION("""COMPUTED_VALUE"""),1442634)</f>
        <v>1442634</v>
      </c>
    </row>
    <row r="129" spans="1:6" ht="12.6">
      <c r="A129" s="2">
        <f ca="1">IFERROR(__xludf.DUMMYFUNCTION("""COMPUTED_VALUE"""),44749.6666666666)</f>
        <v>44749.666666666599</v>
      </c>
      <c r="B129" s="1">
        <f ca="1">IFERROR(__xludf.DUMMYFUNCTION("""COMPUTED_VALUE"""),116.01)</f>
        <v>116.01</v>
      </c>
      <c r="C129" s="1">
        <f ca="1">IFERROR(__xludf.DUMMYFUNCTION("""COMPUTED_VALUE"""),119.86)</f>
        <v>119.86</v>
      </c>
      <c r="D129" s="1">
        <f ca="1">IFERROR(__xludf.DUMMYFUNCTION("""COMPUTED_VALUE"""),115.53)</f>
        <v>115.53</v>
      </c>
      <c r="E129" s="1">
        <f ca="1">IFERROR(__xludf.DUMMYFUNCTION("""COMPUTED_VALUE"""),119.31)</f>
        <v>119.31</v>
      </c>
      <c r="F129" s="1">
        <f ca="1">IFERROR(__xludf.DUMMYFUNCTION("""COMPUTED_VALUE"""),1609197)</f>
        <v>1609197</v>
      </c>
    </row>
    <row r="130" spans="1:6" ht="12.6">
      <c r="A130" s="2">
        <f ca="1">IFERROR(__xludf.DUMMYFUNCTION("""COMPUTED_VALUE"""),44750.6666666666)</f>
        <v>44750.666666666599</v>
      </c>
      <c r="B130" s="1">
        <f ca="1">IFERROR(__xludf.DUMMYFUNCTION("""COMPUTED_VALUE"""),117.55)</f>
        <v>117.55</v>
      </c>
      <c r="C130" s="1">
        <f ca="1">IFERROR(__xludf.DUMMYFUNCTION("""COMPUTED_VALUE"""),120.44)</f>
        <v>120.44</v>
      </c>
      <c r="D130" s="1">
        <f ca="1">IFERROR(__xludf.DUMMYFUNCTION("""COMPUTED_VALUE"""),117.51)</f>
        <v>117.51</v>
      </c>
      <c r="E130" s="1">
        <f ca="1">IFERROR(__xludf.DUMMYFUNCTION("""COMPUTED_VALUE"""),120.17)</f>
        <v>120.17</v>
      </c>
      <c r="F130" s="1">
        <f ca="1">IFERROR(__xludf.DUMMYFUNCTION("""COMPUTED_VALUE"""),1454110)</f>
        <v>1454110</v>
      </c>
    </row>
    <row r="131" spans="1:6" ht="12.6">
      <c r="A131" s="2">
        <f ca="1">IFERROR(__xludf.DUMMYFUNCTION("""COMPUTED_VALUE"""),44753.6666666666)</f>
        <v>44753.666666666599</v>
      </c>
      <c r="B131" s="1">
        <f ca="1">IFERROR(__xludf.DUMMYFUNCTION("""COMPUTED_VALUE"""),118.65)</f>
        <v>118.65</v>
      </c>
      <c r="C131" s="1">
        <f ca="1">IFERROR(__xludf.DUMMYFUNCTION("""COMPUTED_VALUE"""),118.79)</f>
        <v>118.79</v>
      </c>
      <c r="D131" s="1">
        <f ca="1">IFERROR(__xludf.DUMMYFUNCTION("""COMPUTED_VALUE"""),116.23)</f>
        <v>116.23</v>
      </c>
      <c r="E131" s="1">
        <f ca="1">IFERROR(__xludf.DUMMYFUNCTION("""COMPUTED_VALUE"""),116.52)</f>
        <v>116.52</v>
      </c>
      <c r="F131" s="1">
        <f ca="1">IFERROR(__xludf.DUMMYFUNCTION("""COMPUTED_VALUE"""),1341523)</f>
        <v>1341523</v>
      </c>
    </row>
    <row r="132" spans="1:6" ht="12.6">
      <c r="A132" s="2">
        <f ca="1">IFERROR(__xludf.DUMMYFUNCTION("""COMPUTED_VALUE"""),44754.6666666666)</f>
        <v>44754.666666666599</v>
      </c>
      <c r="B132" s="1">
        <f ca="1">IFERROR(__xludf.DUMMYFUNCTION("""COMPUTED_VALUE"""),116.84)</f>
        <v>116.84</v>
      </c>
      <c r="C132" s="1">
        <f ca="1">IFERROR(__xludf.DUMMYFUNCTION("""COMPUTED_VALUE"""),117.85)</f>
        <v>117.85</v>
      </c>
      <c r="D132" s="1">
        <f ca="1">IFERROR(__xludf.DUMMYFUNCTION("""COMPUTED_VALUE"""),114.62)</f>
        <v>114.62</v>
      </c>
      <c r="E132" s="1">
        <f ca="1">IFERROR(__xludf.DUMMYFUNCTION("""COMPUTED_VALUE"""),114.85)</f>
        <v>114.85</v>
      </c>
      <c r="F132" s="1">
        <f ca="1">IFERROR(__xludf.DUMMYFUNCTION("""COMPUTED_VALUE"""),1248508)</f>
        <v>1248508</v>
      </c>
    </row>
    <row r="133" spans="1:6" ht="12.6">
      <c r="A133" s="2">
        <f ca="1">IFERROR(__xludf.DUMMYFUNCTION("""COMPUTED_VALUE"""),44755.6666666666)</f>
        <v>44755.666666666599</v>
      </c>
      <c r="B133" s="1">
        <f ca="1">IFERROR(__xludf.DUMMYFUNCTION("""COMPUTED_VALUE"""),112.64)</f>
        <v>112.64</v>
      </c>
      <c r="C133" s="1">
        <f ca="1">IFERROR(__xludf.DUMMYFUNCTION("""COMPUTED_VALUE"""),115.16)</f>
        <v>115.16</v>
      </c>
      <c r="D133" s="1">
        <f ca="1">IFERROR(__xludf.DUMMYFUNCTION("""COMPUTED_VALUE"""),111.82)</f>
        <v>111.82</v>
      </c>
      <c r="E133" s="1">
        <f ca="1">IFERROR(__xludf.DUMMYFUNCTION("""COMPUTED_VALUE"""),112.19)</f>
        <v>112.19</v>
      </c>
      <c r="F133" s="1">
        <f ca="1">IFERROR(__xludf.DUMMYFUNCTION("""COMPUTED_VALUE"""),1947943)</f>
        <v>1947943</v>
      </c>
    </row>
    <row r="134" spans="1:6" ht="12.6">
      <c r="A134" s="2">
        <f ca="1">IFERROR(__xludf.DUMMYFUNCTION("""COMPUTED_VALUE"""),44756.6666666666)</f>
        <v>44756.666666666599</v>
      </c>
      <c r="B134" s="1">
        <f ca="1">IFERROR(__xludf.DUMMYFUNCTION("""COMPUTED_VALUE"""),110.83)</f>
        <v>110.83</v>
      </c>
      <c r="C134" s="1">
        <f ca="1">IFERROR(__xludf.DUMMYFUNCTION("""COMPUTED_VALUE"""),111.99)</f>
        <v>111.99</v>
      </c>
      <c r="D134" s="1">
        <f ca="1">IFERROR(__xludf.DUMMYFUNCTION("""COMPUTED_VALUE"""),109.33)</f>
        <v>109.33</v>
      </c>
      <c r="E134" s="1">
        <f ca="1">IFERROR(__xludf.DUMMYFUNCTION("""COMPUTED_VALUE"""),111.44)</f>
        <v>111.44</v>
      </c>
      <c r="F134" s="1">
        <f ca="1">IFERROR(__xludf.DUMMYFUNCTION("""COMPUTED_VALUE"""),1618277)</f>
        <v>1618277</v>
      </c>
    </row>
    <row r="135" spans="1:6" ht="12.6">
      <c r="A135" s="2">
        <f ca="1">IFERROR(__xludf.DUMMYFUNCTION("""COMPUTED_VALUE"""),44757.6666666666)</f>
        <v>44757.666666666599</v>
      </c>
      <c r="B135" s="1">
        <f ca="1">IFERROR(__xludf.DUMMYFUNCTION("""COMPUTED_VALUE"""),112.96)</f>
        <v>112.96</v>
      </c>
      <c r="C135" s="1">
        <f ca="1">IFERROR(__xludf.DUMMYFUNCTION("""COMPUTED_VALUE"""),114)</f>
        <v>114</v>
      </c>
      <c r="D135" s="1">
        <f ca="1">IFERROR(__xludf.DUMMYFUNCTION("""COMPUTED_VALUE"""),111.82)</f>
        <v>111.82</v>
      </c>
      <c r="E135" s="1">
        <f ca="1">IFERROR(__xludf.DUMMYFUNCTION("""COMPUTED_VALUE"""),112.77)</f>
        <v>112.77</v>
      </c>
      <c r="F135" s="1">
        <f ca="1">IFERROR(__xludf.DUMMYFUNCTION("""COMPUTED_VALUE"""),1716538)</f>
        <v>1716538</v>
      </c>
    </row>
    <row r="136" spans="1:6" ht="12.6">
      <c r="A136" s="2">
        <f ca="1">IFERROR(__xludf.DUMMYFUNCTION("""COMPUTED_VALUE"""),44760.6666666666)</f>
        <v>44760.666666666599</v>
      </c>
      <c r="B136" s="1">
        <f ca="1">IFERROR(__xludf.DUMMYFUNCTION("""COMPUTED_VALUE"""),113.44)</f>
        <v>113.44</v>
      </c>
      <c r="C136" s="1">
        <f ca="1">IFERROR(__xludf.DUMMYFUNCTION("""COMPUTED_VALUE"""),114.8)</f>
        <v>114.8</v>
      </c>
      <c r="D136" s="1">
        <f ca="1">IFERROR(__xludf.DUMMYFUNCTION("""COMPUTED_VALUE"""),109.3)</f>
        <v>109.3</v>
      </c>
      <c r="E136" s="1">
        <f ca="1">IFERROR(__xludf.DUMMYFUNCTION("""COMPUTED_VALUE"""),109.91)</f>
        <v>109.91</v>
      </c>
      <c r="F136" s="1">
        <f ca="1">IFERROR(__xludf.DUMMYFUNCTION("""COMPUTED_VALUE"""),33353985)</f>
        <v>33353985</v>
      </c>
    </row>
    <row r="137" spans="1:6" ht="12.6">
      <c r="A137" s="2">
        <f ca="1">IFERROR(__xludf.DUMMYFUNCTION("""COMPUTED_VALUE"""),44761.6666666666)</f>
        <v>44761.666666666599</v>
      </c>
      <c r="B137" s="1">
        <f ca="1">IFERROR(__xludf.DUMMYFUNCTION("""COMPUTED_VALUE"""),111.73)</f>
        <v>111.73</v>
      </c>
      <c r="C137" s="1">
        <f ca="1">IFERROR(__xludf.DUMMYFUNCTION("""COMPUTED_VALUE"""),114.81)</f>
        <v>114.81</v>
      </c>
      <c r="D137" s="1">
        <f ca="1">IFERROR(__xludf.DUMMYFUNCTION("""COMPUTED_VALUE"""),110.5)</f>
        <v>110.5</v>
      </c>
      <c r="E137" s="1">
        <f ca="1">IFERROR(__xludf.DUMMYFUNCTION("""COMPUTED_VALUE"""),114.62)</f>
        <v>114.62</v>
      </c>
      <c r="F137" s="1">
        <f ca="1">IFERROR(__xludf.DUMMYFUNCTION("""COMPUTED_VALUE"""),30992331)</f>
        <v>30992331</v>
      </c>
    </row>
    <row r="138" spans="1:6" ht="12.6">
      <c r="A138" s="2">
        <f ca="1">IFERROR(__xludf.DUMMYFUNCTION("""COMPUTED_VALUE"""),44762.6666666666)</f>
        <v>44762.666666666599</v>
      </c>
      <c r="B138" s="1">
        <f ca="1">IFERROR(__xludf.DUMMYFUNCTION("""COMPUTED_VALUE"""),114.06)</f>
        <v>114.06</v>
      </c>
      <c r="C138" s="1">
        <f ca="1">IFERROR(__xludf.DUMMYFUNCTION("""COMPUTED_VALUE"""),116.33)</f>
        <v>116.33</v>
      </c>
      <c r="D138" s="1">
        <f ca="1">IFERROR(__xludf.DUMMYFUNCTION("""COMPUTED_VALUE"""),113.26)</f>
        <v>113.26</v>
      </c>
      <c r="E138" s="1">
        <f ca="1">IFERROR(__xludf.DUMMYFUNCTION("""COMPUTED_VALUE"""),114.7)</f>
        <v>114.7</v>
      </c>
      <c r="F138" s="1">
        <f ca="1">IFERROR(__xludf.DUMMYFUNCTION("""COMPUTED_VALUE"""),26780088)</f>
        <v>26780088</v>
      </c>
    </row>
    <row r="139" spans="1:6" ht="12.6">
      <c r="A139" s="2">
        <f ca="1">IFERROR(__xludf.DUMMYFUNCTION("""COMPUTED_VALUE"""),44763.6666666666)</f>
        <v>44763.666666666599</v>
      </c>
      <c r="B139" s="1">
        <f ca="1">IFERROR(__xludf.DUMMYFUNCTION("""COMPUTED_VALUE"""),115.09)</f>
        <v>115.09</v>
      </c>
      <c r="C139" s="1">
        <f ca="1">IFERROR(__xludf.DUMMYFUNCTION("""COMPUTED_VALUE"""),115.21)</f>
        <v>115.21</v>
      </c>
      <c r="D139" s="1">
        <f ca="1">IFERROR(__xludf.DUMMYFUNCTION("""COMPUTED_VALUE"""),111.91)</f>
        <v>111.91</v>
      </c>
      <c r="E139" s="1">
        <f ca="1">IFERROR(__xludf.DUMMYFUNCTION("""COMPUTED_VALUE"""),115.04)</f>
        <v>115.04</v>
      </c>
      <c r="F139" s="1">
        <f ca="1">IFERROR(__xludf.DUMMYFUNCTION("""COMPUTED_VALUE"""),27267848)</f>
        <v>27267848</v>
      </c>
    </row>
    <row r="140" spans="1:6" ht="12.6">
      <c r="A140" s="2">
        <f ca="1">IFERROR(__xludf.DUMMYFUNCTION("""COMPUTED_VALUE"""),44764.6666666666)</f>
        <v>44764.666666666599</v>
      </c>
      <c r="B140" s="1">
        <f ca="1">IFERROR(__xludf.DUMMYFUNCTION("""COMPUTED_VALUE"""),111.81)</f>
        <v>111.81</v>
      </c>
      <c r="C140" s="1">
        <f ca="1">IFERROR(__xludf.DUMMYFUNCTION("""COMPUTED_VALUE"""),113.18)</f>
        <v>113.18</v>
      </c>
      <c r="D140" s="1">
        <f ca="1">IFERROR(__xludf.DUMMYFUNCTION("""COMPUTED_VALUE"""),107.6)</f>
        <v>107.6</v>
      </c>
      <c r="E140" s="1">
        <f ca="1">IFERROR(__xludf.DUMMYFUNCTION("""COMPUTED_VALUE"""),108.36)</f>
        <v>108.36</v>
      </c>
      <c r="F140" s="1">
        <f ca="1">IFERROR(__xludf.DUMMYFUNCTION("""COMPUTED_VALUE"""),44455304)</f>
        <v>44455304</v>
      </c>
    </row>
    <row r="141" spans="1:6" ht="12.6">
      <c r="A141" s="2">
        <f ca="1">IFERROR(__xludf.DUMMYFUNCTION("""COMPUTED_VALUE"""),44767.6666666666)</f>
        <v>44767.666666666599</v>
      </c>
      <c r="B141" s="1">
        <f ca="1">IFERROR(__xludf.DUMMYFUNCTION("""COMPUTED_VALUE"""),108.88)</f>
        <v>108.88</v>
      </c>
      <c r="C141" s="1">
        <f ca="1">IFERROR(__xludf.DUMMYFUNCTION("""COMPUTED_VALUE"""),110.58)</f>
        <v>110.58</v>
      </c>
      <c r="D141" s="1">
        <f ca="1">IFERROR(__xludf.DUMMYFUNCTION("""COMPUTED_VALUE"""),107.01)</f>
        <v>107.01</v>
      </c>
      <c r="E141" s="1">
        <f ca="1">IFERROR(__xludf.DUMMYFUNCTION("""COMPUTED_VALUE"""),108.21)</f>
        <v>108.21</v>
      </c>
      <c r="F141" s="1">
        <f ca="1">IFERROR(__xludf.DUMMYFUNCTION("""COMPUTED_VALUE"""),28289942)</f>
        <v>28289942</v>
      </c>
    </row>
    <row r="142" spans="1:6" ht="12.6">
      <c r="A142" s="2">
        <f ca="1">IFERROR(__xludf.DUMMYFUNCTION("""COMPUTED_VALUE"""),44768.6666666666)</f>
        <v>44768.666666666599</v>
      </c>
      <c r="B142" s="1">
        <f ca="1">IFERROR(__xludf.DUMMYFUNCTION("""COMPUTED_VALUE"""),107.43)</f>
        <v>107.43</v>
      </c>
      <c r="C142" s="1">
        <f ca="1">IFERROR(__xludf.DUMMYFUNCTION("""COMPUTED_VALUE"""),107.74)</f>
        <v>107.74</v>
      </c>
      <c r="D142" s="1">
        <f ca="1">IFERROR(__xludf.DUMMYFUNCTION("""COMPUTED_VALUE"""),104.76)</f>
        <v>104.76</v>
      </c>
      <c r="E142" s="1">
        <f ca="1">IFERROR(__xludf.DUMMYFUNCTION("""COMPUTED_VALUE"""),105.44)</f>
        <v>105.44</v>
      </c>
      <c r="F142" s="1">
        <f ca="1">IFERROR(__xludf.DUMMYFUNCTION("""COMPUTED_VALUE"""),36626630)</f>
        <v>36626630</v>
      </c>
    </row>
    <row r="143" spans="1:6" ht="12.6">
      <c r="A143" s="2">
        <f ca="1">IFERROR(__xludf.DUMMYFUNCTION("""COMPUTED_VALUE"""),44769.6666666666)</f>
        <v>44769.666666666599</v>
      </c>
      <c r="B143" s="1">
        <f ca="1">IFERROR(__xludf.DUMMYFUNCTION("""COMPUTED_VALUE"""),109.6)</f>
        <v>109.6</v>
      </c>
      <c r="C143" s="1">
        <f ca="1">IFERROR(__xludf.DUMMYFUNCTION("""COMPUTED_VALUE"""),114.4)</f>
        <v>114.4</v>
      </c>
      <c r="D143" s="1">
        <f ca="1">IFERROR(__xludf.DUMMYFUNCTION("""COMPUTED_VALUE"""),108.42)</f>
        <v>108.42</v>
      </c>
      <c r="E143" s="1">
        <f ca="1">IFERROR(__xludf.DUMMYFUNCTION("""COMPUTED_VALUE"""),113.6)</f>
        <v>113.6</v>
      </c>
      <c r="F143" s="1">
        <f ca="1">IFERROR(__xludf.DUMMYFUNCTION("""COMPUTED_VALUE"""),41474618)</f>
        <v>41474618</v>
      </c>
    </row>
    <row r="144" spans="1:6" ht="12.6">
      <c r="A144" s="2">
        <f ca="1">IFERROR(__xludf.DUMMYFUNCTION("""COMPUTED_VALUE"""),44770.6666666666)</f>
        <v>44770.666666666599</v>
      </c>
      <c r="B144" s="1">
        <f ca="1">IFERROR(__xludf.DUMMYFUNCTION("""COMPUTED_VALUE"""),112.8)</f>
        <v>112.8</v>
      </c>
      <c r="C144" s="1">
        <f ca="1">IFERROR(__xludf.DUMMYFUNCTION("""COMPUTED_VALUE"""),114.7)</f>
        <v>114.7</v>
      </c>
      <c r="D144" s="1">
        <f ca="1">IFERROR(__xludf.DUMMYFUNCTION("""COMPUTED_VALUE"""),111.85)</f>
        <v>111.85</v>
      </c>
      <c r="E144" s="1">
        <f ca="1">IFERROR(__xludf.DUMMYFUNCTION("""COMPUTED_VALUE"""),114.59)</f>
        <v>114.59</v>
      </c>
      <c r="F144" s="1">
        <f ca="1">IFERROR(__xludf.DUMMYFUNCTION("""COMPUTED_VALUE"""),23303844)</f>
        <v>23303844</v>
      </c>
    </row>
    <row r="145" spans="1:6" ht="12.6">
      <c r="A145" s="2">
        <f ca="1">IFERROR(__xludf.DUMMYFUNCTION("""COMPUTED_VALUE"""),44771.6666666666)</f>
        <v>44771.666666666599</v>
      </c>
      <c r="B145" s="1">
        <f ca="1">IFERROR(__xludf.DUMMYFUNCTION("""COMPUTED_VALUE"""),113.4)</f>
        <v>113.4</v>
      </c>
      <c r="C145" s="1">
        <f ca="1">IFERROR(__xludf.DUMMYFUNCTION("""COMPUTED_VALUE"""),116.9)</f>
        <v>116.9</v>
      </c>
      <c r="D145" s="1">
        <f ca="1">IFERROR(__xludf.DUMMYFUNCTION("""COMPUTED_VALUE"""),113.23)</f>
        <v>113.23</v>
      </c>
      <c r="E145" s="1">
        <f ca="1">IFERROR(__xludf.DUMMYFUNCTION("""COMPUTED_VALUE"""),116.64)</f>
        <v>116.64</v>
      </c>
      <c r="F145" s="1">
        <f ca="1">IFERROR(__xludf.DUMMYFUNCTION("""COMPUTED_VALUE"""),31336183)</f>
        <v>31336183</v>
      </c>
    </row>
    <row r="146" spans="1:6" ht="12.6">
      <c r="A146" s="2">
        <f ca="1">IFERROR(__xludf.DUMMYFUNCTION("""COMPUTED_VALUE"""),44774.6666666666)</f>
        <v>44774.666666666599</v>
      </c>
      <c r="B146" s="1">
        <f ca="1">IFERROR(__xludf.DUMMYFUNCTION("""COMPUTED_VALUE"""),115.53)</f>
        <v>115.53</v>
      </c>
      <c r="C146" s="1">
        <f ca="1">IFERROR(__xludf.DUMMYFUNCTION("""COMPUTED_VALUE"""),117.12)</f>
        <v>117.12</v>
      </c>
      <c r="D146" s="1">
        <f ca="1">IFERROR(__xludf.DUMMYFUNCTION("""COMPUTED_VALUE"""),114.69)</f>
        <v>114.69</v>
      </c>
      <c r="E146" s="1">
        <f ca="1">IFERROR(__xludf.DUMMYFUNCTION("""COMPUTED_VALUE"""),115.48)</f>
        <v>115.48</v>
      </c>
      <c r="F146" s="1">
        <f ca="1">IFERROR(__xludf.DUMMYFUNCTION("""COMPUTED_VALUE"""),22856202)</f>
        <v>22856202</v>
      </c>
    </row>
    <row r="147" spans="1:6" ht="12.6">
      <c r="A147" s="2">
        <f ca="1">IFERROR(__xludf.DUMMYFUNCTION("""COMPUTED_VALUE"""),44775.6666666666)</f>
        <v>44775.666666666599</v>
      </c>
      <c r="B147" s="1">
        <f ca="1">IFERROR(__xludf.DUMMYFUNCTION("""COMPUTED_VALUE"""),114.43)</f>
        <v>114.43</v>
      </c>
      <c r="C147" s="1">
        <f ca="1">IFERROR(__xludf.DUMMYFUNCTION("""COMPUTED_VALUE"""),117.08)</f>
        <v>117.08</v>
      </c>
      <c r="D147" s="1">
        <f ca="1">IFERROR(__xludf.DUMMYFUNCTION("""COMPUTED_VALUE"""),114.26)</f>
        <v>114.26</v>
      </c>
      <c r="E147" s="1">
        <f ca="1">IFERROR(__xludf.DUMMYFUNCTION("""COMPUTED_VALUE"""),115.9)</f>
        <v>115.9</v>
      </c>
      <c r="F147" s="1">
        <f ca="1">IFERROR(__xludf.DUMMYFUNCTION("""COMPUTED_VALUE"""),17911039)</f>
        <v>17911039</v>
      </c>
    </row>
    <row r="148" spans="1:6" ht="12.6">
      <c r="A148" s="2">
        <f ca="1">IFERROR(__xludf.DUMMYFUNCTION("""COMPUTED_VALUE"""),44776.6666666666)</f>
        <v>44776.666666666599</v>
      </c>
      <c r="B148" s="1">
        <f ca="1">IFERROR(__xludf.DUMMYFUNCTION("""COMPUTED_VALUE"""),116.34)</f>
        <v>116.34</v>
      </c>
      <c r="C148" s="1">
        <f ca="1">IFERROR(__xludf.DUMMYFUNCTION("""COMPUTED_VALUE"""),119.42)</f>
        <v>119.42</v>
      </c>
      <c r="D148" s="1">
        <f ca="1">IFERROR(__xludf.DUMMYFUNCTION("""COMPUTED_VALUE"""),116.15)</f>
        <v>116.15</v>
      </c>
      <c r="E148" s="1">
        <f ca="1">IFERROR(__xludf.DUMMYFUNCTION("""COMPUTED_VALUE"""),118.78)</f>
        <v>118.78</v>
      </c>
      <c r="F148" s="1">
        <f ca="1">IFERROR(__xludf.DUMMYFUNCTION("""COMPUTED_VALUE"""),25302816)</f>
        <v>25302816</v>
      </c>
    </row>
    <row r="149" spans="1:6" ht="12.6">
      <c r="A149" s="2">
        <f ca="1">IFERROR(__xludf.DUMMYFUNCTION("""COMPUTED_VALUE"""),44777.6666666666)</f>
        <v>44777.666666666599</v>
      </c>
      <c r="B149" s="1">
        <f ca="1">IFERROR(__xludf.DUMMYFUNCTION("""COMPUTED_VALUE"""),118.3)</f>
        <v>118.3</v>
      </c>
      <c r="C149" s="1">
        <f ca="1">IFERROR(__xludf.DUMMYFUNCTION("""COMPUTED_VALUE"""),119.5)</f>
        <v>119.5</v>
      </c>
      <c r="D149" s="1">
        <f ca="1">IFERROR(__xludf.DUMMYFUNCTION("""COMPUTED_VALUE"""),117.71)</f>
        <v>117.71</v>
      </c>
      <c r="E149" s="1">
        <f ca="1">IFERROR(__xludf.DUMMYFUNCTION("""COMPUTED_VALUE"""),118.87)</f>
        <v>118.87</v>
      </c>
      <c r="F149" s="1">
        <f ca="1">IFERROR(__xludf.DUMMYFUNCTION("""COMPUTED_VALUE"""),15757698)</f>
        <v>15757698</v>
      </c>
    </row>
    <row r="150" spans="1:6" ht="12.6">
      <c r="A150" s="2">
        <f ca="1">IFERROR(__xludf.DUMMYFUNCTION("""COMPUTED_VALUE"""),44778.6666666666)</f>
        <v>44778.666666666599</v>
      </c>
      <c r="B150" s="1">
        <f ca="1">IFERROR(__xludf.DUMMYFUNCTION("""COMPUTED_VALUE"""),116.93)</f>
        <v>116.93</v>
      </c>
      <c r="C150" s="1">
        <f ca="1">IFERROR(__xludf.DUMMYFUNCTION("""COMPUTED_VALUE"""),118.86)</f>
        <v>118.86</v>
      </c>
      <c r="D150" s="1">
        <f ca="1">IFERROR(__xludf.DUMMYFUNCTION("""COMPUTED_VALUE"""),116.71)</f>
        <v>116.71</v>
      </c>
      <c r="E150" s="1">
        <f ca="1">IFERROR(__xludf.DUMMYFUNCTION("""COMPUTED_VALUE"""),118.22)</f>
        <v>118.22</v>
      </c>
      <c r="F150" s="1">
        <f ca="1">IFERROR(__xludf.DUMMYFUNCTION("""COMPUTED_VALUE"""),15615663)</f>
        <v>15615663</v>
      </c>
    </row>
    <row r="151" spans="1:6" ht="12.6">
      <c r="A151" s="2">
        <f ca="1">IFERROR(__xludf.DUMMYFUNCTION("""COMPUTED_VALUE"""),44781.6666666666)</f>
        <v>44781.666666666599</v>
      </c>
      <c r="B151" s="1">
        <f ca="1">IFERROR(__xludf.DUMMYFUNCTION("""COMPUTED_VALUE"""),119.12)</f>
        <v>119.12</v>
      </c>
      <c r="C151" s="1">
        <f ca="1">IFERROR(__xludf.DUMMYFUNCTION("""COMPUTED_VALUE"""),120.86)</f>
        <v>120.86</v>
      </c>
      <c r="D151" s="1">
        <f ca="1">IFERROR(__xludf.DUMMYFUNCTION("""COMPUTED_VALUE"""),117.83)</f>
        <v>117.83</v>
      </c>
      <c r="E151" s="1">
        <f ca="1">IFERROR(__xludf.DUMMYFUNCTION("""COMPUTED_VALUE"""),118.14)</f>
        <v>118.14</v>
      </c>
      <c r="F151" s="1">
        <f ca="1">IFERROR(__xludf.DUMMYFUNCTION("""COMPUTED_VALUE"""),17061112)</f>
        <v>17061112</v>
      </c>
    </row>
    <row r="152" spans="1:6" ht="12.6">
      <c r="A152" s="2">
        <f ca="1">IFERROR(__xludf.DUMMYFUNCTION("""COMPUTED_VALUE"""),44782.6666666666)</f>
        <v>44782.666666666599</v>
      </c>
      <c r="B152" s="1">
        <f ca="1">IFERROR(__xludf.DUMMYFUNCTION("""COMPUTED_VALUE"""),117.99)</f>
        <v>117.99</v>
      </c>
      <c r="C152" s="1">
        <f ca="1">IFERROR(__xludf.DUMMYFUNCTION("""COMPUTED_VALUE"""),118.2)</f>
        <v>118.2</v>
      </c>
      <c r="D152" s="1">
        <f ca="1">IFERROR(__xludf.DUMMYFUNCTION("""COMPUTED_VALUE"""),116.56)</f>
        <v>116.56</v>
      </c>
      <c r="E152" s="1">
        <f ca="1">IFERROR(__xludf.DUMMYFUNCTION("""COMPUTED_VALUE"""),117.5)</f>
        <v>117.5</v>
      </c>
      <c r="F152" s="1">
        <f ca="1">IFERROR(__xludf.DUMMYFUNCTION("""COMPUTED_VALUE"""),15424257)</f>
        <v>15424257</v>
      </c>
    </row>
    <row r="153" spans="1:6" ht="12.6">
      <c r="A153" s="2">
        <f ca="1">IFERROR(__xludf.DUMMYFUNCTION("""COMPUTED_VALUE"""),44783.6666666666)</f>
        <v>44783.666666666599</v>
      </c>
      <c r="B153" s="1">
        <f ca="1">IFERROR(__xludf.DUMMYFUNCTION("""COMPUTED_VALUE"""),119.59)</f>
        <v>119.59</v>
      </c>
      <c r="C153" s="1">
        <f ca="1">IFERROR(__xludf.DUMMYFUNCTION("""COMPUTED_VALUE"""),121.78)</f>
        <v>121.78</v>
      </c>
      <c r="D153" s="1">
        <f ca="1">IFERROR(__xludf.DUMMYFUNCTION("""COMPUTED_VALUE"""),119.36)</f>
        <v>119.36</v>
      </c>
      <c r="E153" s="1">
        <f ca="1">IFERROR(__xludf.DUMMYFUNCTION("""COMPUTED_VALUE"""),120.65)</f>
        <v>120.65</v>
      </c>
      <c r="F153" s="1">
        <f ca="1">IFERROR(__xludf.DUMMYFUNCTION("""COMPUTED_VALUE"""),20497021)</f>
        <v>20497021</v>
      </c>
    </row>
    <row r="154" spans="1:6" ht="12.6">
      <c r="A154" s="2">
        <f ca="1">IFERROR(__xludf.DUMMYFUNCTION("""COMPUTED_VALUE"""),44784.6666666666)</f>
        <v>44784.666666666599</v>
      </c>
      <c r="B154" s="1">
        <f ca="1">IFERROR(__xludf.DUMMYFUNCTION("""COMPUTED_VALUE"""),122.08)</f>
        <v>122.08</v>
      </c>
      <c r="C154" s="1">
        <f ca="1">IFERROR(__xludf.DUMMYFUNCTION("""COMPUTED_VALUE"""),122.34)</f>
        <v>122.34</v>
      </c>
      <c r="D154" s="1">
        <f ca="1">IFERROR(__xludf.DUMMYFUNCTION("""COMPUTED_VALUE"""),119.55)</f>
        <v>119.55</v>
      </c>
      <c r="E154" s="1">
        <f ca="1">IFERROR(__xludf.DUMMYFUNCTION("""COMPUTED_VALUE"""),119.82)</f>
        <v>119.82</v>
      </c>
      <c r="F154" s="1">
        <f ca="1">IFERROR(__xludf.DUMMYFUNCTION("""COMPUTED_VALUE"""),16671627)</f>
        <v>16671627</v>
      </c>
    </row>
    <row r="155" spans="1:6" ht="12.6">
      <c r="A155" s="2">
        <f ca="1">IFERROR(__xludf.DUMMYFUNCTION("""COMPUTED_VALUE"""),44785.6666666666)</f>
        <v>44785.666666666599</v>
      </c>
      <c r="B155" s="1">
        <f ca="1">IFERROR(__xludf.DUMMYFUNCTION("""COMPUTED_VALUE"""),121.16)</f>
        <v>121.16</v>
      </c>
      <c r="C155" s="1">
        <f ca="1">IFERROR(__xludf.DUMMYFUNCTION("""COMPUTED_VALUE"""),122.65)</f>
        <v>122.65</v>
      </c>
      <c r="D155" s="1">
        <f ca="1">IFERROR(__xludf.DUMMYFUNCTION("""COMPUTED_VALUE"""),120.4)</f>
        <v>120.4</v>
      </c>
      <c r="E155" s="1">
        <f ca="1">IFERROR(__xludf.DUMMYFUNCTION("""COMPUTED_VALUE"""),122.65)</f>
        <v>122.65</v>
      </c>
      <c r="F155" s="1">
        <f ca="1">IFERROR(__xludf.DUMMYFUNCTION("""COMPUTED_VALUE"""),16121087)</f>
        <v>16121087</v>
      </c>
    </row>
    <row r="156" spans="1:6" ht="12.6">
      <c r="A156" s="2">
        <f ca="1">IFERROR(__xludf.DUMMYFUNCTION("""COMPUTED_VALUE"""),44788.6666666666)</f>
        <v>44788.666666666599</v>
      </c>
      <c r="B156" s="1">
        <f ca="1">IFERROR(__xludf.DUMMYFUNCTION("""COMPUTED_VALUE"""),122.21)</f>
        <v>122.21</v>
      </c>
      <c r="C156" s="1">
        <f ca="1">IFERROR(__xludf.DUMMYFUNCTION("""COMPUTED_VALUE"""),123.26)</f>
        <v>123.26</v>
      </c>
      <c r="D156" s="1">
        <f ca="1">IFERROR(__xludf.DUMMYFUNCTION("""COMPUTED_VALUE"""),121.57)</f>
        <v>121.57</v>
      </c>
      <c r="E156" s="1">
        <f ca="1">IFERROR(__xludf.DUMMYFUNCTION("""COMPUTED_VALUE"""),122.88)</f>
        <v>122.88</v>
      </c>
      <c r="F156" s="1">
        <f ca="1">IFERROR(__xludf.DUMMYFUNCTION("""COMPUTED_VALUE"""),15524951)</f>
        <v>15524951</v>
      </c>
    </row>
    <row r="157" spans="1:6" ht="12.6">
      <c r="A157" s="2">
        <f ca="1">IFERROR(__xludf.DUMMYFUNCTION("""COMPUTED_VALUE"""),44789.6666666666)</f>
        <v>44789.666666666599</v>
      </c>
      <c r="B157" s="1">
        <f ca="1">IFERROR(__xludf.DUMMYFUNCTION("""COMPUTED_VALUE"""),122.32)</f>
        <v>122.32</v>
      </c>
      <c r="C157" s="1">
        <f ca="1">IFERROR(__xludf.DUMMYFUNCTION("""COMPUTED_VALUE"""),123.23)</f>
        <v>123.23</v>
      </c>
      <c r="D157" s="1">
        <f ca="1">IFERROR(__xludf.DUMMYFUNCTION("""COMPUTED_VALUE"""),121.54)</f>
        <v>121.54</v>
      </c>
      <c r="E157" s="1">
        <f ca="1">IFERROR(__xludf.DUMMYFUNCTION("""COMPUTED_VALUE"""),122.51)</f>
        <v>122.51</v>
      </c>
      <c r="F157" s="1">
        <f ca="1">IFERROR(__xludf.DUMMYFUNCTION("""COMPUTED_VALUE"""),15626171)</f>
        <v>15626171</v>
      </c>
    </row>
    <row r="158" spans="1:6" ht="12.6">
      <c r="A158" s="2">
        <f ca="1">IFERROR(__xludf.DUMMYFUNCTION("""COMPUTED_VALUE"""),44790.6666666666)</f>
        <v>44790.666666666599</v>
      </c>
      <c r="B158" s="1">
        <f ca="1">IFERROR(__xludf.DUMMYFUNCTION("""COMPUTED_VALUE"""),120.93)</f>
        <v>120.93</v>
      </c>
      <c r="C158" s="1">
        <f ca="1">IFERROR(__xludf.DUMMYFUNCTION("""COMPUTED_VALUE"""),122.15)</f>
        <v>122.15</v>
      </c>
      <c r="D158" s="1">
        <f ca="1">IFERROR(__xludf.DUMMYFUNCTION("""COMPUTED_VALUE"""),120.2)</f>
        <v>120.2</v>
      </c>
      <c r="E158" s="1">
        <f ca="1">IFERROR(__xludf.DUMMYFUNCTION("""COMPUTED_VALUE"""),120.32)</f>
        <v>120.32</v>
      </c>
      <c r="F158" s="1">
        <f ca="1">IFERROR(__xludf.DUMMYFUNCTION("""COMPUTED_VALUE"""),17589157)</f>
        <v>17589157</v>
      </c>
    </row>
    <row r="159" spans="1:6" ht="12.6">
      <c r="A159" s="2">
        <f ca="1">IFERROR(__xludf.DUMMYFUNCTION("""COMPUTED_VALUE"""),44791.6666666666)</f>
        <v>44791.666666666599</v>
      </c>
      <c r="B159" s="1">
        <f ca="1">IFERROR(__xludf.DUMMYFUNCTION("""COMPUTED_VALUE"""),120.23)</f>
        <v>120.23</v>
      </c>
      <c r="C159" s="1">
        <f ca="1">IFERROR(__xludf.DUMMYFUNCTION("""COMPUTED_VALUE"""),121.69)</f>
        <v>121.69</v>
      </c>
      <c r="D159" s="1">
        <f ca="1">IFERROR(__xludf.DUMMYFUNCTION("""COMPUTED_VALUE"""),119.55)</f>
        <v>119.55</v>
      </c>
      <c r="E159" s="1">
        <f ca="1">IFERROR(__xludf.DUMMYFUNCTION("""COMPUTED_VALUE"""),120.86)</f>
        <v>120.86</v>
      </c>
      <c r="F159" s="1">
        <f ca="1">IFERROR(__xludf.DUMMYFUNCTION("""COMPUTED_VALUE"""),15652029)</f>
        <v>15652029</v>
      </c>
    </row>
    <row r="160" spans="1:6" ht="12.6">
      <c r="A160" s="2">
        <f ca="1">IFERROR(__xludf.DUMMYFUNCTION("""COMPUTED_VALUE"""),44792.6666666666)</f>
        <v>44792.666666666599</v>
      </c>
      <c r="B160" s="1">
        <f ca="1">IFERROR(__xludf.DUMMYFUNCTION("""COMPUTED_VALUE"""),119.87)</f>
        <v>119.87</v>
      </c>
      <c r="C160" s="1">
        <f ca="1">IFERROR(__xludf.DUMMYFUNCTION("""COMPUTED_VALUE"""),120)</f>
        <v>120</v>
      </c>
      <c r="D160" s="1">
        <f ca="1">IFERROR(__xludf.DUMMYFUNCTION("""COMPUTED_VALUE"""),117.67)</f>
        <v>117.67</v>
      </c>
      <c r="E160" s="1">
        <f ca="1">IFERROR(__xludf.DUMMYFUNCTION("""COMPUTED_VALUE"""),118.12)</f>
        <v>118.12</v>
      </c>
      <c r="F160" s="1">
        <f ca="1">IFERROR(__xludf.DUMMYFUNCTION("""COMPUTED_VALUE"""),20186983)</f>
        <v>20186983</v>
      </c>
    </row>
    <row r="161" spans="1:6" ht="12.6">
      <c r="A161" s="2">
        <f ca="1">IFERROR(__xludf.DUMMYFUNCTION("""COMPUTED_VALUE"""),44795.6666666666)</f>
        <v>44795.666666666599</v>
      </c>
      <c r="B161" s="1">
        <f ca="1">IFERROR(__xludf.DUMMYFUNCTION("""COMPUTED_VALUE"""),116.1)</f>
        <v>116.1</v>
      </c>
      <c r="C161" s="1">
        <f ca="1">IFERROR(__xludf.DUMMYFUNCTION("""COMPUTED_VALUE"""),116.5)</f>
        <v>116.5</v>
      </c>
      <c r="D161" s="1">
        <f ca="1">IFERROR(__xludf.DUMMYFUNCTION("""COMPUTED_VALUE"""),114.67)</f>
        <v>114.67</v>
      </c>
      <c r="E161" s="1">
        <f ca="1">IFERROR(__xludf.DUMMYFUNCTION("""COMPUTED_VALUE"""),115.07)</f>
        <v>115.07</v>
      </c>
      <c r="F161" s="1">
        <f ca="1">IFERROR(__xludf.DUMMYFUNCTION("""COMPUTED_VALUE"""),19316024)</f>
        <v>19316024</v>
      </c>
    </row>
    <row r="162" spans="1:6" ht="12.6">
      <c r="A162" s="2">
        <f ca="1">IFERROR(__xludf.DUMMYFUNCTION("""COMPUTED_VALUE"""),44796.6666666666)</f>
        <v>44796.666666666599</v>
      </c>
      <c r="B162" s="1">
        <f ca="1">IFERROR(__xludf.DUMMYFUNCTION("""COMPUTED_VALUE"""),114.32)</f>
        <v>114.32</v>
      </c>
      <c r="C162" s="1">
        <f ca="1">IFERROR(__xludf.DUMMYFUNCTION("""COMPUTED_VALUE"""),115.93)</f>
        <v>115.93</v>
      </c>
      <c r="D162" s="1">
        <f ca="1">IFERROR(__xludf.DUMMYFUNCTION("""COMPUTED_VALUE"""),114.3)</f>
        <v>114.3</v>
      </c>
      <c r="E162" s="1">
        <f ca="1">IFERROR(__xludf.DUMMYFUNCTION("""COMPUTED_VALUE"""),114.77)</f>
        <v>114.77</v>
      </c>
      <c r="F162" s="1">
        <f ca="1">IFERROR(__xludf.DUMMYFUNCTION("""COMPUTED_VALUE"""),14390691)</f>
        <v>14390691</v>
      </c>
    </row>
    <row r="163" spans="1:6" ht="12.6">
      <c r="A163" s="2">
        <f ca="1">IFERROR(__xludf.DUMMYFUNCTION("""COMPUTED_VALUE"""),44797.6666666666)</f>
        <v>44797.666666666599</v>
      </c>
      <c r="B163" s="1">
        <f ca="1">IFERROR(__xludf.DUMMYFUNCTION("""COMPUTED_VALUE"""),114.45)</f>
        <v>114.45</v>
      </c>
      <c r="C163" s="1">
        <f ca="1">IFERROR(__xludf.DUMMYFUNCTION("""COMPUTED_VALUE"""),115.72)</f>
        <v>115.72</v>
      </c>
      <c r="D163" s="1">
        <f ca="1">IFERROR(__xludf.DUMMYFUNCTION("""COMPUTED_VALUE"""),113.78)</f>
        <v>113.78</v>
      </c>
      <c r="E163" s="1">
        <f ca="1">IFERROR(__xludf.DUMMYFUNCTION("""COMPUTED_VALUE"""),114.7)</f>
        <v>114.7</v>
      </c>
      <c r="F163" s="1">
        <f ca="1">IFERROR(__xludf.DUMMYFUNCTION("""COMPUTED_VALUE"""),16051174)</f>
        <v>16051174</v>
      </c>
    </row>
    <row r="164" spans="1:6" ht="12.6">
      <c r="A164" s="2">
        <f ca="1">IFERROR(__xludf.DUMMYFUNCTION("""COMPUTED_VALUE"""),44798.6666666666)</f>
        <v>44798.666666666599</v>
      </c>
      <c r="B164" s="1">
        <f ca="1">IFERROR(__xludf.DUMMYFUNCTION("""COMPUTED_VALUE"""),115.15)</f>
        <v>115.15</v>
      </c>
      <c r="C164" s="1">
        <f ca="1">IFERROR(__xludf.DUMMYFUNCTION("""COMPUTED_VALUE"""),117.78)</f>
        <v>117.78</v>
      </c>
      <c r="D164" s="1">
        <f ca="1">IFERROR(__xludf.DUMMYFUNCTION("""COMPUTED_VALUE"""),115.05)</f>
        <v>115.05</v>
      </c>
      <c r="E164" s="1">
        <f ca="1">IFERROR(__xludf.DUMMYFUNCTION("""COMPUTED_VALUE"""),117.7)</f>
        <v>117.7</v>
      </c>
      <c r="F164" s="1">
        <f ca="1">IFERROR(__xludf.DUMMYFUNCTION("""COMPUTED_VALUE"""),14874666)</f>
        <v>14874666</v>
      </c>
    </row>
    <row r="165" spans="1:6" ht="12.6">
      <c r="A165" s="2">
        <f ca="1">IFERROR(__xludf.DUMMYFUNCTION("""COMPUTED_VALUE"""),44799.6666666666)</f>
        <v>44799.666666666599</v>
      </c>
      <c r="B165" s="1">
        <f ca="1">IFERROR(__xludf.DUMMYFUNCTION("""COMPUTED_VALUE"""),115.81)</f>
        <v>115.81</v>
      </c>
      <c r="C165" s="1">
        <f ca="1">IFERROR(__xludf.DUMMYFUNCTION("""COMPUTED_VALUE"""),116.6)</f>
        <v>116.6</v>
      </c>
      <c r="D165" s="1">
        <f ca="1">IFERROR(__xludf.DUMMYFUNCTION("""COMPUTED_VALUE"""),111.22)</f>
        <v>111.22</v>
      </c>
      <c r="E165" s="1">
        <f ca="1">IFERROR(__xludf.DUMMYFUNCTION("""COMPUTED_VALUE"""),111.3)</f>
        <v>111.3</v>
      </c>
      <c r="F165" s="1">
        <f ca="1">IFERROR(__xludf.DUMMYFUNCTION("""COMPUTED_VALUE"""),31698668)</f>
        <v>31698668</v>
      </c>
    </row>
    <row r="166" spans="1:6" ht="12.6">
      <c r="A166" s="2">
        <f ca="1">IFERROR(__xludf.DUMMYFUNCTION("""COMPUTED_VALUE"""),44802.6666666666)</f>
        <v>44802.666666666599</v>
      </c>
      <c r="B166" s="1">
        <f ca="1">IFERROR(__xludf.DUMMYFUNCTION("""COMPUTED_VALUE"""),110.78)</f>
        <v>110.78</v>
      </c>
      <c r="C166" s="1">
        <f ca="1">IFERROR(__xludf.DUMMYFUNCTION("""COMPUTED_VALUE"""),111.96)</f>
        <v>111.96</v>
      </c>
      <c r="D166" s="1">
        <f ca="1">IFERROR(__xludf.DUMMYFUNCTION("""COMPUTED_VALUE"""),109.81)</f>
        <v>109.81</v>
      </c>
      <c r="E166" s="1">
        <f ca="1">IFERROR(__xludf.DUMMYFUNCTION("""COMPUTED_VALUE"""),110.34)</f>
        <v>110.34</v>
      </c>
      <c r="F166" s="1">
        <f ca="1">IFERROR(__xludf.DUMMYFUNCTION("""COMPUTED_VALUE"""),20386142)</f>
        <v>20386142</v>
      </c>
    </row>
    <row r="167" spans="1:6" ht="12.6">
      <c r="A167" s="2">
        <f ca="1">IFERROR(__xludf.DUMMYFUNCTION("""COMPUTED_VALUE"""),44803.6666666666)</f>
        <v>44803.666666666599</v>
      </c>
      <c r="B167" s="1">
        <f ca="1">IFERROR(__xludf.DUMMYFUNCTION("""COMPUTED_VALUE"""),111.03)</f>
        <v>111.03</v>
      </c>
      <c r="C167" s="1">
        <f ca="1">IFERROR(__xludf.DUMMYFUNCTION("""COMPUTED_VALUE"""),111.37)</f>
        <v>111.37</v>
      </c>
      <c r="D167" s="1">
        <f ca="1">IFERROR(__xludf.DUMMYFUNCTION("""COMPUTED_VALUE"""),108.8)</f>
        <v>108.8</v>
      </c>
      <c r="E167" s="1">
        <f ca="1">IFERROR(__xludf.DUMMYFUNCTION("""COMPUTED_VALUE"""),109.91)</f>
        <v>109.91</v>
      </c>
      <c r="F167" s="1">
        <f ca="1">IFERROR(__xludf.DUMMYFUNCTION("""COMPUTED_VALUE"""),20548202)</f>
        <v>20548202</v>
      </c>
    </row>
    <row r="168" spans="1:6" ht="12.6">
      <c r="A168" s="2">
        <f ca="1">IFERROR(__xludf.DUMMYFUNCTION("""COMPUTED_VALUE"""),44804.6666666666)</f>
        <v>44804.666666666599</v>
      </c>
      <c r="B168" s="1">
        <f ca="1">IFERROR(__xludf.DUMMYFUNCTION("""COMPUTED_VALUE"""),111.63)</f>
        <v>111.63</v>
      </c>
      <c r="C168" s="1">
        <f ca="1">IFERROR(__xludf.DUMMYFUNCTION("""COMPUTED_VALUE"""),111.77)</f>
        <v>111.77</v>
      </c>
      <c r="D168" s="1">
        <f ca="1">IFERROR(__xludf.DUMMYFUNCTION("""COMPUTED_VALUE"""),109.05)</f>
        <v>109.05</v>
      </c>
      <c r="E168" s="1">
        <f ca="1">IFERROR(__xludf.DUMMYFUNCTION("""COMPUTED_VALUE"""),109.15)</f>
        <v>109.15</v>
      </c>
      <c r="F168" s="1">
        <f ca="1">IFERROR(__xludf.DUMMYFUNCTION("""COMPUTED_VALUE"""),25897978)</f>
        <v>25897978</v>
      </c>
    </row>
    <row r="169" spans="1:6" ht="12.6">
      <c r="A169" s="2">
        <f ca="1">IFERROR(__xludf.DUMMYFUNCTION("""COMPUTED_VALUE"""),44805.6666666666)</f>
        <v>44805.666666666599</v>
      </c>
      <c r="B169" s="1">
        <f ca="1">IFERROR(__xludf.DUMMYFUNCTION("""COMPUTED_VALUE"""),109.2)</f>
        <v>109.2</v>
      </c>
      <c r="C169" s="1">
        <f ca="1">IFERROR(__xludf.DUMMYFUNCTION("""COMPUTED_VALUE"""),111.22)</f>
        <v>111.22</v>
      </c>
      <c r="D169" s="1">
        <f ca="1">IFERROR(__xludf.DUMMYFUNCTION("""COMPUTED_VALUE"""),108.19)</f>
        <v>108.19</v>
      </c>
      <c r="E169" s="1">
        <f ca="1">IFERROR(__xludf.DUMMYFUNCTION("""COMPUTED_VALUE"""),110.55)</f>
        <v>110.55</v>
      </c>
      <c r="F169" s="1">
        <f ca="1">IFERROR(__xludf.DUMMYFUNCTION("""COMPUTED_VALUE"""),22784385)</f>
        <v>22784385</v>
      </c>
    </row>
    <row r="170" spans="1:6" ht="12.6">
      <c r="A170" s="2">
        <f ca="1">IFERROR(__xludf.DUMMYFUNCTION("""COMPUTED_VALUE"""),44806.6666666666)</f>
        <v>44806.666666666599</v>
      </c>
      <c r="B170" s="1">
        <f ca="1">IFERROR(__xludf.DUMMYFUNCTION("""COMPUTED_VALUE"""),111.34)</f>
        <v>111.34</v>
      </c>
      <c r="C170" s="1">
        <f ca="1">IFERROR(__xludf.DUMMYFUNCTION("""COMPUTED_VALUE"""),111.68)</f>
        <v>111.68</v>
      </c>
      <c r="D170" s="1">
        <f ca="1">IFERROR(__xludf.DUMMYFUNCTION("""COMPUTED_VALUE"""),108.13)</f>
        <v>108.13</v>
      </c>
      <c r="E170" s="1">
        <f ca="1">IFERROR(__xludf.DUMMYFUNCTION("""COMPUTED_VALUE"""),108.68)</f>
        <v>108.68</v>
      </c>
      <c r="F170" s="1">
        <f ca="1">IFERROR(__xludf.DUMMYFUNCTION("""COMPUTED_VALUE"""),20618080)</f>
        <v>20618080</v>
      </c>
    </row>
    <row r="171" spans="1:6" ht="12.6">
      <c r="A171" s="2">
        <f ca="1">IFERROR(__xludf.DUMMYFUNCTION("""COMPUTED_VALUE"""),44810.6666666666)</f>
        <v>44810.666666666599</v>
      </c>
      <c r="B171" s="1">
        <f ca="1">IFERROR(__xludf.DUMMYFUNCTION("""COMPUTED_VALUE"""),108.14)</f>
        <v>108.14</v>
      </c>
      <c r="C171" s="1">
        <f ca="1">IFERROR(__xludf.DUMMYFUNCTION("""COMPUTED_VALUE"""),108.88)</f>
        <v>108.88</v>
      </c>
      <c r="D171" s="1">
        <f ca="1">IFERROR(__xludf.DUMMYFUNCTION("""COMPUTED_VALUE"""),106.51)</f>
        <v>106.51</v>
      </c>
      <c r="E171" s="1">
        <f ca="1">IFERROR(__xludf.DUMMYFUNCTION("""COMPUTED_VALUE"""),107.48)</f>
        <v>107.48</v>
      </c>
      <c r="F171" s="1">
        <f ca="1">IFERROR(__xludf.DUMMYFUNCTION("""COMPUTED_VALUE"""),20565050)</f>
        <v>20565050</v>
      </c>
    </row>
    <row r="172" spans="1:6" ht="12.6">
      <c r="A172" s="2">
        <f ca="1">IFERROR(__xludf.DUMMYFUNCTION("""COMPUTED_VALUE"""),44811.6666666666)</f>
        <v>44811.666666666599</v>
      </c>
      <c r="B172" s="1">
        <f ca="1">IFERROR(__xludf.DUMMYFUNCTION("""COMPUTED_VALUE"""),107.76)</f>
        <v>107.76</v>
      </c>
      <c r="C172" s="1">
        <f ca="1">IFERROR(__xludf.DUMMYFUNCTION("""COMPUTED_VALUE"""),110.99)</f>
        <v>110.99</v>
      </c>
      <c r="D172" s="1">
        <f ca="1">IFERROR(__xludf.DUMMYFUNCTION("""COMPUTED_VALUE"""),107.62)</f>
        <v>107.62</v>
      </c>
      <c r="E172" s="1">
        <f ca="1">IFERROR(__xludf.DUMMYFUNCTION("""COMPUTED_VALUE"""),110.48)</f>
        <v>110.48</v>
      </c>
      <c r="F172" s="1">
        <f ca="1">IFERROR(__xludf.DUMMYFUNCTION("""COMPUTED_VALUE"""),22987178)</f>
        <v>22987178</v>
      </c>
    </row>
    <row r="173" spans="1:6" ht="12.6">
      <c r="A173" s="2">
        <f ca="1">IFERROR(__xludf.DUMMYFUNCTION("""COMPUTED_VALUE"""),44812.6666666666)</f>
        <v>44812.666666666599</v>
      </c>
      <c r="B173" s="1">
        <f ca="1">IFERROR(__xludf.DUMMYFUNCTION("""COMPUTED_VALUE"""),109.18)</f>
        <v>109.18</v>
      </c>
      <c r="C173" s="1">
        <f ca="1">IFERROR(__xludf.DUMMYFUNCTION("""COMPUTED_VALUE"""),110.58)</f>
        <v>110.58</v>
      </c>
      <c r="D173" s="1">
        <f ca="1">IFERROR(__xludf.DUMMYFUNCTION("""COMPUTED_VALUE"""),108.06)</f>
        <v>108.06</v>
      </c>
      <c r="E173" s="1">
        <f ca="1">IFERROR(__xludf.DUMMYFUNCTION("""COMPUTED_VALUE"""),109.42)</f>
        <v>109.42</v>
      </c>
      <c r="F173" s="1">
        <f ca="1">IFERROR(__xludf.DUMMYFUNCTION("""COMPUTED_VALUE"""),21660654)</f>
        <v>21660654</v>
      </c>
    </row>
    <row r="174" spans="1:6" ht="12.6">
      <c r="A174" s="2">
        <f ca="1">IFERROR(__xludf.DUMMYFUNCTION("""COMPUTED_VALUE"""),44813.6666666666)</f>
        <v>44813.666666666599</v>
      </c>
      <c r="B174" s="1">
        <f ca="1">IFERROR(__xludf.DUMMYFUNCTION("""COMPUTED_VALUE"""),110.05)</f>
        <v>110.05</v>
      </c>
      <c r="C174" s="1">
        <f ca="1">IFERROR(__xludf.DUMMYFUNCTION("""COMPUTED_VALUE"""),112)</f>
        <v>112</v>
      </c>
      <c r="D174" s="1">
        <f ca="1">IFERROR(__xludf.DUMMYFUNCTION("""COMPUTED_VALUE"""),110)</f>
        <v>110</v>
      </c>
      <c r="E174" s="1">
        <f ca="1">IFERROR(__xludf.DUMMYFUNCTION("""COMPUTED_VALUE"""),111.78)</f>
        <v>111.78</v>
      </c>
      <c r="F174" s="1">
        <f ca="1">IFERROR(__xludf.DUMMYFUNCTION("""COMPUTED_VALUE"""),21745034)</f>
        <v>21745034</v>
      </c>
    </row>
    <row r="175" spans="1:6" ht="12.6">
      <c r="A175" s="2">
        <f ca="1">IFERROR(__xludf.DUMMYFUNCTION("""COMPUTED_VALUE"""),44816.6666666666)</f>
        <v>44816.666666666599</v>
      </c>
      <c r="B175" s="1">
        <f ca="1">IFERROR(__xludf.DUMMYFUNCTION("""COMPUTED_VALUE"""),111.99)</f>
        <v>111.99</v>
      </c>
      <c r="C175" s="1">
        <f ca="1">IFERROR(__xludf.DUMMYFUNCTION("""COMPUTED_VALUE"""),112.64)</f>
        <v>112.64</v>
      </c>
      <c r="D175" s="1">
        <f ca="1">IFERROR(__xludf.DUMMYFUNCTION("""COMPUTED_VALUE"""),110.93)</f>
        <v>110.93</v>
      </c>
      <c r="E175" s="1">
        <f ca="1">IFERROR(__xludf.DUMMYFUNCTION("""COMPUTED_VALUE"""),111.87)</f>
        <v>111.87</v>
      </c>
      <c r="F175" s="1">
        <f ca="1">IFERROR(__xludf.DUMMYFUNCTION("""COMPUTED_VALUE"""),19732905)</f>
        <v>19732905</v>
      </c>
    </row>
    <row r="176" spans="1:6" ht="12.6">
      <c r="A176" s="2">
        <f ca="1">IFERROR(__xludf.DUMMYFUNCTION("""COMPUTED_VALUE"""),44817.6666666666)</f>
        <v>44817.666666666599</v>
      </c>
      <c r="B176" s="1">
        <f ca="1">IFERROR(__xludf.DUMMYFUNCTION("""COMPUTED_VALUE"""),108.89)</f>
        <v>108.89</v>
      </c>
      <c r="C176" s="1">
        <f ca="1">IFERROR(__xludf.DUMMYFUNCTION("""COMPUTED_VALUE"""),109.37)</f>
        <v>109.37</v>
      </c>
      <c r="D176" s="1">
        <f ca="1">IFERROR(__xludf.DUMMYFUNCTION("""COMPUTED_VALUE"""),105)</f>
        <v>105</v>
      </c>
      <c r="E176" s="1">
        <f ca="1">IFERROR(__xludf.DUMMYFUNCTION("""COMPUTED_VALUE"""),105.31)</f>
        <v>105.31</v>
      </c>
      <c r="F176" s="1">
        <f ca="1">IFERROR(__xludf.DUMMYFUNCTION("""COMPUTED_VALUE"""),33014991)</f>
        <v>33014991</v>
      </c>
    </row>
    <row r="177" spans="1:6" ht="12.6">
      <c r="A177" s="2">
        <f ca="1">IFERROR(__xludf.DUMMYFUNCTION("""COMPUTED_VALUE"""),44818.6666666666)</f>
        <v>44818.666666666599</v>
      </c>
      <c r="B177" s="1">
        <f ca="1">IFERROR(__xludf.DUMMYFUNCTION("""COMPUTED_VALUE"""),105.44)</f>
        <v>105.44</v>
      </c>
      <c r="C177" s="1">
        <f ca="1">IFERROR(__xludf.DUMMYFUNCTION("""COMPUTED_VALUE"""),106.1)</f>
        <v>106.1</v>
      </c>
      <c r="D177" s="1">
        <f ca="1">IFERROR(__xludf.DUMMYFUNCTION("""COMPUTED_VALUE"""),104.5)</f>
        <v>104.5</v>
      </c>
      <c r="E177" s="1">
        <f ca="1">IFERROR(__xludf.DUMMYFUNCTION("""COMPUTED_VALUE"""),105.87)</f>
        <v>105.87</v>
      </c>
      <c r="F177" s="1">
        <f ca="1">IFERROR(__xludf.DUMMYFUNCTION("""COMPUTED_VALUE"""),22115805)</f>
        <v>22115805</v>
      </c>
    </row>
    <row r="178" spans="1:6" ht="12.6">
      <c r="A178" s="2">
        <f ca="1">IFERROR(__xludf.DUMMYFUNCTION("""COMPUTED_VALUE"""),44819.6666666666)</f>
        <v>44819.666666666599</v>
      </c>
      <c r="B178" s="1">
        <f ca="1">IFERROR(__xludf.DUMMYFUNCTION("""COMPUTED_VALUE"""),105.01)</f>
        <v>105.01</v>
      </c>
      <c r="C178" s="1">
        <f ca="1">IFERROR(__xludf.DUMMYFUNCTION("""COMPUTED_VALUE"""),106.21)</f>
        <v>106.21</v>
      </c>
      <c r="D178" s="1">
        <f ca="1">IFERROR(__xludf.DUMMYFUNCTION("""COMPUTED_VALUE"""),103.31)</f>
        <v>103.31</v>
      </c>
      <c r="E178" s="1">
        <f ca="1">IFERROR(__xludf.DUMMYFUNCTION("""COMPUTED_VALUE"""),103.9)</f>
        <v>103.9</v>
      </c>
      <c r="F178" s="1">
        <f ca="1">IFERROR(__xludf.DUMMYFUNCTION("""COMPUTED_VALUE"""),26494933)</f>
        <v>26494933</v>
      </c>
    </row>
    <row r="179" spans="1:6" ht="12.6">
      <c r="A179" s="2">
        <f ca="1">IFERROR(__xludf.DUMMYFUNCTION("""COMPUTED_VALUE"""),44820.6666666666)</f>
        <v>44820.666666666599</v>
      </c>
      <c r="B179" s="1">
        <f ca="1">IFERROR(__xludf.DUMMYFUNCTION("""COMPUTED_VALUE"""),102.97)</f>
        <v>102.97</v>
      </c>
      <c r="C179" s="1">
        <f ca="1">IFERROR(__xludf.DUMMYFUNCTION("""COMPUTED_VALUE"""),104.03)</f>
        <v>104.03</v>
      </c>
      <c r="D179" s="1">
        <f ca="1">IFERROR(__xludf.DUMMYFUNCTION("""COMPUTED_VALUE"""),101.86)</f>
        <v>101.86</v>
      </c>
      <c r="E179" s="1">
        <f ca="1">IFERROR(__xludf.DUMMYFUNCTION("""COMPUTED_VALUE"""),103.63)</f>
        <v>103.63</v>
      </c>
      <c r="F179" s="1">
        <f ca="1">IFERROR(__xludf.DUMMYFUNCTION("""COMPUTED_VALUE"""),64540115)</f>
        <v>64540115</v>
      </c>
    </row>
    <row r="180" spans="1:6" ht="12.6">
      <c r="A180" s="2">
        <f ca="1">IFERROR(__xludf.DUMMYFUNCTION("""COMPUTED_VALUE"""),44823.6666666666)</f>
        <v>44823.666666666599</v>
      </c>
      <c r="B180" s="1">
        <f ca="1">IFERROR(__xludf.DUMMYFUNCTION("""COMPUTED_VALUE"""),102.54)</f>
        <v>102.54</v>
      </c>
      <c r="C180" s="1">
        <f ca="1">IFERROR(__xludf.DUMMYFUNCTION("""COMPUTED_VALUE"""),104.02)</f>
        <v>104.02</v>
      </c>
      <c r="D180" s="1">
        <f ca="1">IFERROR(__xludf.DUMMYFUNCTION("""COMPUTED_VALUE"""),102.37)</f>
        <v>102.37</v>
      </c>
      <c r="E180" s="1">
        <f ca="1">IFERROR(__xludf.DUMMYFUNCTION("""COMPUTED_VALUE"""),103.85)</f>
        <v>103.85</v>
      </c>
      <c r="F180" s="1">
        <f ca="1">IFERROR(__xludf.DUMMYFUNCTION("""COMPUTED_VALUE"""),19738603)</f>
        <v>19738603</v>
      </c>
    </row>
    <row r="181" spans="1:6" ht="12.6">
      <c r="A181" s="2">
        <f ca="1">IFERROR(__xludf.DUMMYFUNCTION("""COMPUTED_VALUE"""),44824.6666666666)</f>
        <v>44824.666666666599</v>
      </c>
      <c r="B181" s="1">
        <f ca="1">IFERROR(__xludf.DUMMYFUNCTION("""COMPUTED_VALUE"""),102.88)</f>
        <v>102.88</v>
      </c>
      <c r="C181" s="1">
        <f ca="1">IFERROR(__xludf.DUMMYFUNCTION("""COMPUTED_VALUE"""),103.17)</f>
        <v>103.17</v>
      </c>
      <c r="D181" s="1">
        <f ca="1">IFERROR(__xludf.DUMMYFUNCTION("""COMPUTED_VALUE"""),101.12)</f>
        <v>101.12</v>
      </c>
      <c r="E181" s="1">
        <f ca="1">IFERROR(__xludf.DUMMYFUNCTION("""COMPUTED_VALUE"""),101.83)</f>
        <v>101.83</v>
      </c>
      <c r="F181" s="1">
        <f ca="1">IFERROR(__xludf.DUMMYFUNCTION("""COMPUTED_VALUE"""),24001668)</f>
        <v>24001668</v>
      </c>
    </row>
    <row r="182" spans="1:6" ht="12.6">
      <c r="A182" s="2">
        <f ca="1">IFERROR(__xludf.DUMMYFUNCTION("""COMPUTED_VALUE"""),44825.6666666666)</f>
        <v>44825.666666666599</v>
      </c>
      <c r="B182" s="1">
        <f ca="1">IFERROR(__xludf.DUMMYFUNCTION("""COMPUTED_VALUE"""),102.24)</f>
        <v>102.24</v>
      </c>
      <c r="C182" s="1">
        <f ca="1">IFERROR(__xludf.DUMMYFUNCTION("""COMPUTED_VALUE"""),103.49)</f>
        <v>103.49</v>
      </c>
      <c r="D182" s="1">
        <f ca="1">IFERROR(__xludf.DUMMYFUNCTION("""COMPUTED_VALUE"""),99.99)</f>
        <v>99.99</v>
      </c>
      <c r="E182" s="1">
        <f ca="1">IFERROR(__xludf.DUMMYFUNCTION("""COMPUTED_VALUE"""),100.01)</f>
        <v>100.01</v>
      </c>
      <c r="F182" s="1">
        <f ca="1">IFERROR(__xludf.DUMMYFUNCTION("""COMPUTED_VALUE"""),26596757)</f>
        <v>26596757</v>
      </c>
    </row>
    <row r="183" spans="1:6" ht="12.6">
      <c r="A183" s="2">
        <f ca="1">IFERROR(__xludf.DUMMYFUNCTION("""COMPUTED_VALUE"""),44826.6666666666)</f>
        <v>44826.666666666599</v>
      </c>
      <c r="B183" s="1">
        <f ca="1">IFERROR(__xludf.DUMMYFUNCTION("""COMPUTED_VALUE"""),99.45)</f>
        <v>99.45</v>
      </c>
      <c r="C183" s="1">
        <f ca="1">IFERROR(__xludf.DUMMYFUNCTION("""COMPUTED_VALUE"""),101.68)</f>
        <v>101.68</v>
      </c>
      <c r="D183" s="1">
        <f ca="1">IFERROR(__xludf.DUMMYFUNCTION("""COMPUTED_VALUE"""),99.41)</f>
        <v>99.41</v>
      </c>
      <c r="E183" s="1">
        <f ca="1">IFERROR(__xludf.DUMMYFUNCTION("""COMPUTED_VALUE"""),100.57)</f>
        <v>100.57</v>
      </c>
      <c r="F183" s="1">
        <f ca="1">IFERROR(__xludf.DUMMYFUNCTION("""COMPUTED_VALUE"""),21272675)</f>
        <v>21272675</v>
      </c>
    </row>
    <row r="184" spans="1:6" ht="12.6">
      <c r="A184" s="2">
        <f ca="1">IFERROR(__xludf.DUMMYFUNCTION("""COMPUTED_VALUE"""),44827.6666666666)</f>
        <v>44827.666666666599</v>
      </c>
      <c r="B184" s="1">
        <f ca="1">IFERROR(__xludf.DUMMYFUNCTION("""COMPUTED_VALUE"""),100.06)</f>
        <v>100.06</v>
      </c>
      <c r="C184" s="1">
        <f ca="1">IFERROR(__xludf.DUMMYFUNCTION("""COMPUTED_VALUE"""),100.11)</f>
        <v>100.11</v>
      </c>
      <c r="D184" s="1">
        <f ca="1">IFERROR(__xludf.DUMMYFUNCTION("""COMPUTED_VALUE"""),98.01)</f>
        <v>98.01</v>
      </c>
      <c r="E184" s="1">
        <f ca="1">IFERROR(__xludf.DUMMYFUNCTION("""COMPUTED_VALUE"""),99.17)</f>
        <v>99.17</v>
      </c>
      <c r="F184" s="1">
        <f ca="1">IFERROR(__xludf.DUMMYFUNCTION("""COMPUTED_VALUE"""),25656959)</f>
        <v>25656959</v>
      </c>
    </row>
    <row r="185" spans="1:6" ht="12.6">
      <c r="A185" s="2">
        <f ca="1">IFERROR(__xludf.DUMMYFUNCTION("""COMPUTED_VALUE"""),44830.6666666666)</f>
        <v>44830.666666666599</v>
      </c>
      <c r="B185" s="1">
        <f ca="1">IFERROR(__xludf.DUMMYFUNCTION("""COMPUTED_VALUE"""),98.61)</f>
        <v>98.61</v>
      </c>
      <c r="C185" s="1">
        <f ca="1">IFERROR(__xludf.DUMMYFUNCTION("""COMPUTED_VALUE"""),100.44)</f>
        <v>100.44</v>
      </c>
      <c r="D185" s="1">
        <f ca="1">IFERROR(__xludf.DUMMYFUNCTION("""COMPUTED_VALUE"""),98.38)</f>
        <v>98.38</v>
      </c>
      <c r="E185" s="1">
        <f ca="1">IFERROR(__xludf.DUMMYFUNCTION("""COMPUTED_VALUE"""),98.81)</f>
        <v>98.81</v>
      </c>
      <c r="F185" s="1">
        <f ca="1">IFERROR(__xludf.DUMMYFUNCTION("""COMPUTED_VALUE"""),22437938)</f>
        <v>22437938</v>
      </c>
    </row>
    <row r="186" spans="1:6" ht="12.6">
      <c r="A186" s="2">
        <f ca="1">IFERROR(__xludf.DUMMYFUNCTION("""COMPUTED_VALUE"""),44831.6666666666)</f>
        <v>44831.666666666599</v>
      </c>
      <c r="B186" s="1">
        <f ca="1">IFERROR(__xludf.DUMMYFUNCTION("""COMPUTED_VALUE"""),99.91)</f>
        <v>99.91</v>
      </c>
      <c r="C186" s="1">
        <f ca="1">IFERROR(__xludf.DUMMYFUNCTION("""COMPUTED_VALUE"""),100.46)</f>
        <v>100.46</v>
      </c>
      <c r="D186" s="1">
        <f ca="1">IFERROR(__xludf.DUMMYFUNCTION("""COMPUTED_VALUE"""),97.34)</f>
        <v>97.34</v>
      </c>
      <c r="E186" s="1">
        <f ca="1">IFERROR(__xludf.DUMMYFUNCTION("""COMPUTED_VALUE"""),98.09)</f>
        <v>98.09</v>
      </c>
      <c r="F186" s="1">
        <f ca="1">IFERROR(__xludf.DUMMYFUNCTION("""COMPUTED_VALUE"""),24224988)</f>
        <v>24224988</v>
      </c>
    </row>
    <row r="187" spans="1:6" ht="12.6">
      <c r="A187" s="2">
        <f ca="1">IFERROR(__xludf.DUMMYFUNCTION("""COMPUTED_VALUE"""),44832.6666666666)</f>
        <v>44832.666666666599</v>
      </c>
      <c r="B187" s="1">
        <f ca="1">IFERROR(__xludf.DUMMYFUNCTION("""COMPUTED_VALUE"""),98.02)</f>
        <v>98.02</v>
      </c>
      <c r="C187" s="1">
        <f ca="1">IFERROR(__xludf.DUMMYFUNCTION("""COMPUTED_VALUE"""),101.4)</f>
        <v>101.4</v>
      </c>
      <c r="D187" s="1">
        <f ca="1">IFERROR(__xludf.DUMMYFUNCTION("""COMPUTED_VALUE"""),97.8)</f>
        <v>97.8</v>
      </c>
      <c r="E187" s="1">
        <f ca="1">IFERROR(__xludf.DUMMYFUNCTION("""COMPUTED_VALUE"""),100.74)</f>
        <v>100.74</v>
      </c>
      <c r="F187" s="1">
        <f ca="1">IFERROR(__xludf.DUMMYFUNCTION("""COMPUTED_VALUE"""),24616999)</f>
        <v>24616999</v>
      </c>
    </row>
    <row r="188" spans="1:6" ht="12.6">
      <c r="A188" s="2">
        <f ca="1">IFERROR(__xludf.DUMMYFUNCTION("""COMPUTED_VALUE"""),44833.6666666666)</f>
        <v>44833.666666666599</v>
      </c>
      <c r="B188" s="1">
        <f ca="1">IFERROR(__xludf.DUMMYFUNCTION("""COMPUTED_VALUE"""),99.3)</f>
        <v>99.3</v>
      </c>
      <c r="C188" s="1">
        <f ca="1">IFERROR(__xludf.DUMMYFUNCTION("""COMPUTED_VALUE"""),99.3)</f>
        <v>99.3</v>
      </c>
      <c r="D188" s="1">
        <f ca="1">IFERROR(__xludf.DUMMYFUNCTION("""COMPUTED_VALUE"""),96.52)</f>
        <v>96.52</v>
      </c>
      <c r="E188" s="1">
        <f ca="1">IFERROR(__xludf.DUMMYFUNCTION("""COMPUTED_VALUE"""),98.09)</f>
        <v>98.09</v>
      </c>
      <c r="F188" s="1">
        <f ca="1">IFERROR(__xludf.DUMMYFUNCTION("""COMPUTED_VALUE"""),21921520)</f>
        <v>21921520</v>
      </c>
    </row>
    <row r="189" spans="1:6" ht="12.6">
      <c r="A189" s="2">
        <f ca="1">IFERROR(__xludf.DUMMYFUNCTION("""COMPUTED_VALUE"""),44834.6666666666)</f>
        <v>44834.666666666599</v>
      </c>
      <c r="B189" s="1">
        <f ca="1">IFERROR(__xludf.DUMMYFUNCTION("""COMPUTED_VALUE"""),97.73)</f>
        <v>97.73</v>
      </c>
      <c r="C189" s="1">
        <f ca="1">IFERROR(__xludf.DUMMYFUNCTION("""COMPUTED_VALUE"""),99.49)</f>
        <v>99.49</v>
      </c>
      <c r="D189" s="1">
        <f ca="1">IFERROR(__xludf.DUMMYFUNCTION("""COMPUTED_VALUE"""),96.03)</f>
        <v>96.03</v>
      </c>
      <c r="E189" s="1">
        <f ca="1">IFERROR(__xludf.DUMMYFUNCTION("""COMPUTED_VALUE"""),96.15)</f>
        <v>96.15</v>
      </c>
      <c r="F189" s="1">
        <f ca="1">IFERROR(__xludf.DUMMYFUNCTION("""COMPUTED_VALUE"""),26277832)</f>
        <v>26277832</v>
      </c>
    </row>
    <row r="190" spans="1:6" ht="12.6">
      <c r="A190" s="2">
        <f ca="1">IFERROR(__xludf.DUMMYFUNCTION("""COMPUTED_VALUE"""),44837.6666666666)</f>
        <v>44837.666666666599</v>
      </c>
      <c r="B190" s="1">
        <f ca="1">IFERROR(__xludf.DUMMYFUNCTION("""COMPUTED_VALUE"""),97.22)</f>
        <v>97.22</v>
      </c>
      <c r="C190" s="1">
        <f ca="1">IFERROR(__xludf.DUMMYFUNCTION("""COMPUTED_VALUE"""),99.97)</f>
        <v>99.97</v>
      </c>
      <c r="D190" s="1">
        <f ca="1">IFERROR(__xludf.DUMMYFUNCTION("""COMPUTED_VALUE"""),97.02)</f>
        <v>97.02</v>
      </c>
      <c r="E190" s="1">
        <f ca="1">IFERROR(__xludf.DUMMYFUNCTION("""COMPUTED_VALUE"""),99.3)</f>
        <v>99.3</v>
      </c>
      <c r="F190" s="1">
        <f ca="1">IFERROR(__xludf.DUMMYFUNCTION("""COMPUTED_VALUE"""),24840028)</f>
        <v>24840028</v>
      </c>
    </row>
    <row r="191" spans="1:6" ht="12.6">
      <c r="A191" s="2">
        <f ca="1">IFERROR(__xludf.DUMMYFUNCTION("""COMPUTED_VALUE"""),44838.6666666666)</f>
        <v>44838.666666666599</v>
      </c>
      <c r="B191" s="1">
        <f ca="1">IFERROR(__xludf.DUMMYFUNCTION("""COMPUTED_VALUE"""),101.04)</f>
        <v>101.04</v>
      </c>
      <c r="C191" s="1">
        <f ca="1">IFERROR(__xludf.DUMMYFUNCTION("""COMPUTED_VALUE"""),102.72)</f>
        <v>102.72</v>
      </c>
      <c r="D191" s="1">
        <f ca="1">IFERROR(__xludf.DUMMYFUNCTION("""COMPUTED_VALUE"""),101.04)</f>
        <v>101.04</v>
      </c>
      <c r="E191" s="1">
        <f ca="1">IFERROR(__xludf.DUMMYFUNCTION("""COMPUTED_VALUE"""),102.41)</f>
        <v>102.41</v>
      </c>
      <c r="F191" s="1">
        <f ca="1">IFERROR(__xludf.DUMMYFUNCTION("""COMPUTED_VALUE"""),22580931)</f>
        <v>22580931</v>
      </c>
    </row>
    <row r="192" spans="1:6" ht="12.6">
      <c r="A192" s="2">
        <f ca="1">IFERROR(__xludf.DUMMYFUNCTION("""COMPUTED_VALUE"""),44839.6666666666)</f>
        <v>44839.666666666599</v>
      </c>
      <c r="B192" s="1">
        <f ca="1">IFERROR(__xludf.DUMMYFUNCTION("""COMPUTED_VALUE"""),100.69)</f>
        <v>100.69</v>
      </c>
      <c r="C192" s="1">
        <f ca="1">IFERROR(__xludf.DUMMYFUNCTION("""COMPUTED_VALUE"""),102.74)</f>
        <v>102.74</v>
      </c>
      <c r="D192" s="1">
        <f ca="1">IFERROR(__xludf.DUMMYFUNCTION("""COMPUTED_VALUE"""),99.74)</f>
        <v>99.74</v>
      </c>
      <c r="E192" s="1">
        <f ca="1">IFERROR(__xludf.DUMMYFUNCTION("""COMPUTED_VALUE"""),102.22)</f>
        <v>102.22</v>
      </c>
      <c r="F192" s="1">
        <f ca="1">IFERROR(__xludf.DUMMYFUNCTION("""COMPUTED_VALUE"""),18475515)</f>
        <v>18475515</v>
      </c>
    </row>
    <row r="193" spans="1:6" ht="12.6">
      <c r="A193" s="2">
        <f ca="1">IFERROR(__xludf.DUMMYFUNCTION("""COMPUTED_VALUE"""),44840.6666666666)</f>
        <v>44840.666666666599</v>
      </c>
      <c r="B193" s="1">
        <f ca="1">IFERROR(__xludf.DUMMYFUNCTION("""COMPUTED_VALUE"""),101.5)</f>
        <v>101.5</v>
      </c>
      <c r="C193" s="1">
        <f ca="1">IFERROR(__xludf.DUMMYFUNCTION("""COMPUTED_VALUE"""),103.73)</f>
        <v>103.73</v>
      </c>
      <c r="D193" s="1">
        <f ca="1">IFERROR(__xludf.DUMMYFUNCTION("""COMPUTED_VALUE"""),101.5)</f>
        <v>101.5</v>
      </c>
      <c r="E193" s="1">
        <f ca="1">IFERROR(__xludf.DUMMYFUNCTION("""COMPUTED_VALUE"""),102.24)</f>
        <v>102.24</v>
      </c>
      <c r="F193" s="1">
        <f ca="1">IFERROR(__xludf.DUMMYFUNCTION("""COMPUTED_VALUE"""),17156240)</f>
        <v>17156240</v>
      </c>
    </row>
    <row r="194" spans="1:6" ht="12.6">
      <c r="A194" s="2">
        <f ca="1">IFERROR(__xludf.DUMMYFUNCTION("""COMPUTED_VALUE"""),44841.6666666666)</f>
        <v>44841.666666666599</v>
      </c>
      <c r="B194" s="1">
        <f ca="1">IFERROR(__xludf.DUMMYFUNCTION("""COMPUTED_VALUE"""),100.65)</f>
        <v>100.65</v>
      </c>
      <c r="C194" s="1">
        <f ca="1">IFERROR(__xludf.DUMMYFUNCTION("""COMPUTED_VALUE"""),101.42)</f>
        <v>101.42</v>
      </c>
      <c r="D194" s="1">
        <f ca="1">IFERROR(__xludf.DUMMYFUNCTION("""COMPUTED_VALUE"""),99.21)</f>
        <v>99.21</v>
      </c>
      <c r="E194" s="1">
        <f ca="1">IFERROR(__xludf.DUMMYFUNCTION("""COMPUTED_VALUE"""),99.57)</f>
        <v>99.57</v>
      </c>
      <c r="F194" s="1">
        <f ca="1">IFERROR(__xludf.DUMMYFUNCTION("""COMPUTED_VALUE"""),24249910)</f>
        <v>24249910</v>
      </c>
    </row>
    <row r="195" spans="1:6" ht="12.6">
      <c r="A195" s="2">
        <f ca="1">IFERROR(__xludf.DUMMYFUNCTION("""COMPUTED_VALUE"""),44844.6666666666)</f>
        <v>44844.666666666599</v>
      </c>
      <c r="B195" s="1">
        <f ca="1">IFERROR(__xludf.DUMMYFUNCTION("""COMPUTED_VALUE"""),99.85)</f>
        <v>99.85</v>
      </c>
      <c r="C195" s="1">
        <f ca="1">IFERROR(__xludf.DUMMYFUNCTION("""COMPUTED_VALUE"""),99.99)</f>
        <v>99.99</v>
      </c>
      <c r="D195" s="1">
        <f ca="1">IFERROR(__xludf.DUMMYFUNCTION("""COMPUTED_VALUE"""),97.87)</f>
        <v>97.87</v>
      </c>
      <c r="E195" s="1">
        <f ca="1">IFERROR(__xludf.DUMMYFUNCTION("""COMPUTED_VALUE"""),98.71)</f>
        <v>98.71</v>
      </c>
      <c r="F195" s="1">
        <f ca="1">IFERROR(__xludf.DUMMYFUNCTION("""COMPUTED_VALUE"""),16529897)</f>
        <v>16529897</v>
      </c>
    </row>
    <row r="196" spans="1:6" ht="12.6">
      <c r="A196" s="2">
        <f ca="1">IFERROR(__xludf.DUMMYFUNCTION("""COMPUTED_VALUE"""),44845.6666666666)</f>
        <v>44845.666666666599</v>
      </c>
      <c r="B196" s="1">
        <f ca="1">IFERROR(__xludf.DUMMYFUNCTION("""COMPUTED_VALUE"""),98.25)</f>
        <v>98.25</v>
      </c>
      <c r="C196" s="1">
        <f ca="1">IFERROR(__xludf.DUMMYFUNCTION("""COMPUTED_VALUE"""),100.12)</f>
        <v>100.12</v>
      </c>
      <c r="D196" s="1">
        <f ca="1">IFERROR(__xludf.DUMMYFUNCTION("""COMPUTED_VALUE"""),97.25)</f>
        <v>97.25</v>
      </c>
      <c r="E196" s="1">
        <f ca="1">IFERROR(__xludf.DUMMYFUNCTION("""COMPUTED_VALUE"""),98.05)</f>
        <v>98.05</v>
      </c>
      <c r="F196" s="1">
        <f ca="1">IFERROR(__xludf.DUMMYFUNCTION("""COMPUTED_VALUE"""),21617727)</f>
        <v>21617727</v>
      </c>
    </row>
    <row r="197" spans="1:6" ht="12.6">
      <c r="A197" s="2">
        <f ca="1">IFERROR(__xludf.DUMMYFUNCTION("""COMPUTED_VALUE"""),44846.6666666666)</f>
        <v>44846.666666666599</v>
      </c>
      <c r="B197" s="1">
        <f ca="1">IFERROR(__xludf.DUMMYFUNCTION("""COMPUTED_VALUE"""),98.27)</f>
        <v>98.27</v>
      </c>
      <c r="C197" s="1">
        <f ca="1">IFERROR(__xludf.DUMMYFUNCTION("""COMPUTED_VALUE"""),99.65)</f>
        <v>99.65</v>
      </c>
      <c r="D197" s="1">
        <f ca="1">IFERROR(__xludf.DUMMYFUNCTION("""COMPUTED_VALUE"""),97.67)</f>
        <v>97.67</v>
      </c>
      <c r="E197" s="1">
        <f ca="1">IFERROR(__xludf.DUMMYFUNCTION("""COMPUTED_VALUE"""),98.3)</f>
        <v>98.3</v>
      </c>
      <c r="F197" s="1">
        <f ca="1">IFERROR(__xludf.DUMMYFUNCTION("""COMPUTED_VALUE"""),17343431)</f>
        <v>17343431</v>
      </c>
    </row>
    <row r="198" spans="1:6" ht="12.6">
      <c r="A198" s="2">
        <f ca="1">IFERROR(__xludf.DUMMYFUNCTION("""COMPUTED_VALUE"""),44847.6666666666)</f>
        <v>44847.666666666599</v>
      </c>
      <c r="B198" s="1">
        <f ca="1">IFERROR(__xludf.DUMMYFUNCTION("""COMPUTED_VALUE"""),95.93)</f>
        <v>95.93</v>
      </c>
      <c r="C198" s="1">
        <f ca="1">IFERROR(__xludf.DUMMYFUNCTION("""COMPUTED_VALUE"""),100.53)</f>
        <v>100.53</v>
      </c>
      <c r="D198" s="1">
        <f ca="1">IFERROR(__xludf.DUMMYFUNCTION("""COMPUTED_VALUE"""),95.27)</f>
        <v>95.27</v>
      </c>
      <c r="E198" s="1">
        <f ca="1">IFERROR(__xludf.DUMMYFUNCTION("""COMPUTED_VALUE"""),99.71)</f>
        <v>99.71</v>
      </c>
      <c r="F198" s="1">
        <f ca="1">IFERROR(__xludf.DUMMYFUNCTION("""COMPUTED_VALUE"""),32812220)</f>
        <v>32812220</v>
      </c>
    </row>
    <row r="199" spans="1:6" ht="12.6">
      <c r="A199" s="2">
        <f ca="1">IFERROR(__xludf.DUMMYFUNCTION("""COMPUTED_VALUE"""),44848.6666666666)</f>
        <v>44848.666666666599</v>
      </c>
      <c r="B199" s="1">
        <f ca="1">IFERROR(__xludf.DUMMYFUNCTION("""COMPUTED_VALUE"""),100.63)</f>
        <v>100.63</v>
      </c>
      <c r="C199" s="1">
        <f ca="1">IFERROR(__xludf.DUMMYFUNCTION("""COMPUTED_VALUE"""),101.29)</f>
        <v>101.29</v>
      </c>
      <c r="D199" s="1">
        <f ca="1">IFERROR(__xludf.DUMMYFUNCTION("""COMPUTED_VALUE"""),97.03)</f>
        <v>97.03</v>
      </c>
      <c r="E199" s="1">
        <f ca="1">IFERROR(__xludf.DUMMYFUNCTION("""COMPUTED_VALUE"""),97.18)</f>
        <v>97.18</v>
      </c>
      <c r="F199" s="1">
        <f ca="1">IFERROR(__xludf.DUMMYFUNCTION("""COMPUTED_VALUE"""),22624832)</f>
        <v>22624832</v>
      </c>
    </row>
    <row r="200" spans="1:6" ht="12.6">
      <c r="A200" s="2">
        <f ca="1">IFERROR(__xludf.DUMMYFUNCTION("""COMPUTED_VALUE"""),44851.6666666666)</f>
        <v>44851.666666666599</v>
      </c>
      <c r="B200" s="1">
        <f ca="1">IFERROR(__xludf.DUMMYFUNCTION("""COMPUTED_VALUE"""),99.52)</f>
        <v>99.52</v>
      </c>
      <c r="C200" s="1">
        <f ca="1">IFERROR(__xludf.DUMMYFUNCTION("""COMPUTED_VALUE"""),101.77)</f>
        <v>101.77</v>
      </c>
      <c r="D200" s="1">
        <f ca="1">IFERROR(__xludf.DUMMYFUNCTION("""COMPUTED_VALUE"""),99.51)</f>
        <v>99.51</v>
      </c>
      <c r="E200" s="1">
        <f ca="1">IFERROR(__xludf.DUMMYFUNCTION("""COMPUTED_VALUE"""),100.78)</f>
        <v>100.78</v>
      </c>
      <c r="F200" s="1">
        <f ca="1">IFERROR(__xludf.DUMMYFUNCTION("""COMPUTED_VALUE"""),23311604)</f>
        <v>23311604</v>
      </c>
    </row>
    <row r="201" spans="1:6" ht="12.6">
      <c r="A201" s="2">
        <f ca="1">IFERROR(__xludf.DUMMYFUNCTION("""COMPUTED_VALUE"""),44852.6666666666)</f>
        <v>44852.666666666599</v>
      </c>
      <c r="B201" s="1">
        <f ca="1">IFERROR(__xludf.DUMMYFUNCTION("""COMPUTED_VALUE"""),103.94)</f>
        <v>103.94</v>
      </c>
      <c r="C201" s="1">
        <f ca="1">IFERROR(__xludf.DUMMYFUNCTION("""COMPUTED_VALUE"""),104.22)</f>
        <v>104.22</v>
      </c>
      <c r="D201" s="1">
        <f ca="1">IFERROR(__xludf.DUMMYFUNCTION("""COMPUTED_VALUE"""),100.65)</f>
        <v>100.65</v>
      </c>
      <c r="E201" s="1">
        <f ca="1">IFERROR(__xludf.DUMMYFUNCTION("""COMPUTED_VALUE"""),101.39)</f>
        <v>101.39</v>
      </c>
      <c r="F201" s="1">
        <f ca="1">IFERROR(__xludf.DUMMYFUNCTION("""COMPUTED_VALUE"""),21610541)</f>
        <v>21610541</v>
      </c>
    </row>
    <row r="202" spans="1:6" ht="12.6">
      <c r="A202" s="2">
        <f ca="1">IFERROR(__xludf.DUMMYFUNCTION("""COMPUTED_VALUE"""),44853.6666666666)</f>
        <v>44853.666666666599</v>
      </c>
      <c r="B202" s="1">
        <f ca="1">IFERROR(__xludf.DUMMYFUNCTION("""COMPUTED_VALUE"""),100.7)</f>
        <v>100.7</v>
      </c>
      <c r="C202" s="1">
        <f ca="1">IFERROR(__xludf.DUMMYFUNCTION("""COMPUTED_VALUE"""),101.66)</f>
        <v>101.66</v>
      </c>
      <c r="D202" s="1">
        <f ca="1">IFERROR(__xludf.DUMMYFUNCTION("""COMPUTED_VALUE"""),99.64)</f>
        <v>99.64</v>
      </c>
      <c r="E202" s="1">
        <f ca="1">IFERROR(__xludf.DUMMYFUNCTION("""COMPUTED_VALUE"""),100.29)</f>
        <v>100.29</v>
      </c>
      <c r="F202" s="1">
        <f ca="1">IFERROR(__xludf.DUMMYFUNCTION("""COMPUTED_VALUE"""),21573686)</f>
        <v>21573686</v>
      </c>
    </row>
    <row r="203" spans="1:6" ht="12.6">
      <c r="A203" s="2">
        <f ca="1">IFERROR(__xludf.DUMMYFUNCTION("""COMPUTED_VALUE"""),44854.6666666666)</f>
        <v>44854.666666666599</v>
      </c>
      <c r="B203" s="1">
        <f ca="1">IFERROR(__xludf.DUMMYFUNCTION("""COMPUTED_VALUE"""),100.82)</f>
        <v>100.82</v>
      </c>
      <c r="C203" s="1">
        <f ca="1">IFERROR(__xludf.DUMMYFUNCTION("""COMPUTED_VALUE"""),103)</f>
        <v>103</v>
      </c>
      <c r="D203" s="1">
        <f ca="1">IFERROR(__xludf.DUMMYFUNCTION("""COMPUTED_VALUE"""),99.97)</f>
        <v>99.97</v>
      </c>
      <c r="E203" s="1">
        <f ca="1">IFERROR(__xludf.DUMMYFUNCTION("""COMPUTED_VALUE"""),100.53)</f>
        <v>100.53</v>
      </c>
      <c r="F203" s="1">
        <f ca="1">IFERROR(__xludf.DUMMYFUNCTION("""COMPUTED_VALUE"""),25125082)</f>
        <v>25125082</v>
      </c>
    </row>
    <row r="204" spans="1:6" ht="12.6">
      <c r="A204" s="2">
        <f ca="1">IFERROR(__xludf.DUMMYFUNCTION("""COMPUTED_VALUE"""),44855.6666666666)</f>
        <v>44855.666666666599</v>
      </c>
      <c r="B204" s="1">
        <f ca="1">IFERROR(__xludf.DUMMYFUNCTION("""COMPUTED_VALUE"""),98.46)</f>
        <v>98.46</v>
      </c>
      <c r="C204" s="1">
        <f ca="1">IFERROR(__xludf.DUMMYFUNCTION("""COMPUTED_VALUE"""),101.62)</f>
        <v>101.62</v>
      </c>
      <c r="D204" s="1">
        <f ca="1">IFERROR(__xludf.DUMMYFUNCTION("""COMPUTED_VALUE"""),98.23)</f>
        <v>98.23</v>
      </c>
      <c r="E204" s="1">
        <f ca="1">IFERROR(__xludf.DUMMYFUNCTION("""COMPUTED_VALUE"""),101.48)</f>
        <v>101.48</v>
      </c>
      <c r="F204" s="1">
        <f ca="1">IFERROR(__xludf.DUMMYFUNCTION("""COMPUTED_VALUE"""),28988727)</f>
        <v>28988727</v>
      </c>
    </row>
    <row r="205" spans="1:6" ht="12.6">
      <c r="A205" s="2">
        <f ca="1">IFERROR(__xludf.DUMMYFUNCTION("""COMPUTED_VALUE"""),44858.6666666666)</f>
        <v>44858.666666666599</v>
      </c>
      <c r="B205" s="1">
        <f ca="1">IFERROR(__xludf.DUMMYFUNCTION("""COMPUTED_VALUE"""),102.09)</f>
        <v>102.09</v>
      </c>
      <c r="C205" s="1">
        <f ca="1">IFERROR(__xludf.DUMMYFUNCTION("""COMPUTED_VALUE"""),103.1)</f>
        <v>103.1</v>
      </c>
      <c r="D205" s="1">
        <f ca="1">IFERROR(__xludf.DUMMYFUNCTION("""COMPUTED_VALUE"""),100.3)</f>
        <v>100.3</v>
      </c>
      <c r="E205" s="1">
        <f ca="1">IFERROR(__xludf.DUMMYFUNCTION("""COMPUTED_VALUE"""),102.97)</f>
        <v>102.97</v>
      </c>
      <c r="F205" s="1">
        <f ca="1">IFERROR(__xludf.DUMMYFUNCTION("""COMPUTED_VALUE"""),24680831)</f>
        <v>24680831</v>
      </c>
    </row>
    <row r="206" spans="1:6" ht="12.6">
      <c r="A206" s="2">
        <f ca="1">IFERROR(__xludf.DUMMYFUNCTION("""COMPUTED_VALUE"""),44859.6666666666)</f>
        <v>44859.666666666599</v>
      </c>
      <c r="B206" s="1">
        <f ca="1">IFERROR(__xludf.DUMMYFUNCTION("""COMPUTED_VALUE"""),103.3)</f>
        <v>103.3</v>
      </c>
      <c r="C206" s="1">
        <f ca="1">IFERROR(__xludf.DUMMYFUNCTION("""COMPUTED_VALUE"""),105.1)</f>
        <v>105.1</v>
      </c>
      <c r="D206" s="1">
        <f ca="1">IFERROR(__xludf.DUMMYFUNCTION("""COMPUTED_VALUE"""),103.02)</f>
        <v>103.02</v>
      </c>
      <c r="E206" s="1">
        <f ca="1">IFERROR(__xludf.DUMMYFUNCTION("""COMPUTED_VALUE"""),104.93)</f>
        <v>104.93</v>
      </c>
      <c r="F206" s="1">
        <f ca="1">IFERROR(__xludf.DUMMYFUNCTION("""COMPUTED_VALUE"""),29910170)</f>
        <v>29910170</v>
      </c>
    </row>
    <row r="207" spans="1:6" ht="12.6">
      <c r="A207" s="2">
        <f ca="1">IFERROR(__xludf.DUMMYFUNCTION("""COMPUTED_VALUE"""),44860.6666666666)</f>
        <v>44860.666666666599</v>
      </c>
      <c r="B207" s="1">
        <f ca="1">IFERROR(__xludf.DUMMYFUNCTION("""COMPUTED_VALUE"""),96.76)</f>
        <v>96.76</v>
      </c>
      <c r="C207" s="1">
        <f ca="1">IFERROR(__xludf.DUMMYFUNCTION("""COMPUTED_VALUE"""),98.54)</f>
        <v>98.54</v>
      </c>
      <c r="D207" s="1">
        <f ca="1">IFERROR(__xludf.DUMMYFUNCTION("""COMPUTED_VALUE"""),94.57)</f>
        <v>94.57</v>
      </c>
      <c r="E207" s="1">
        <f ca="1">IFERROR(__xludf.DUMMYFUNCTION("""COMPUTED_VALUE"""),94.82)</f>
        <v>94.82</v>
      </c>
      <c r="F207" s="1">
        <f ca="1">IFERROR(__xludf.DUMMYFUNCTION("""COMPUTED_VALUE"""),71671814)</f>
        <v>71671814</v>
      </c>
    </row>
    <row r="208" spans="1:6" ht="12.6">
      <c r="A208" s="2">
        <f ca="1">IFERROR(__xludf.DUMMYFUNCTION("""COMPUTED_VALUE"""),44861.6666666666)</f>
        <v>44861.666666666599</v>
      </c>
      <c r="B208" s="1">
        <f ca="1">IFERROR(__xludf.DUMMYFUNCTION("""COMPUTED_VALUE"""),94.31)</f>
        <v>94.31</v>
      </c>
      <c r="C208" s="1">
        <f ca="1">IFERROR(__xludf.DUMMYFUNCTION("""COMPUTED_VALUE"""),95.17)</f>
        <v>95.17</v>
      </c>
      <c r="D208" s="1">
        <f ca="1">IFERROR(__xludf.DUMMYFUNCTION("""COMPUTED_VALUE"""),91.9)</f>
        <v>91.9</v>
      </c>
      <c r="E208" s="1">
        <f ca="1">IFERROR(__xludf.DUMMYFUNCTION("""COMPUTED_VALUE"""),92.6)</f>
        <v>92.6</v>
      </c>
      <c r="F208" s="1">
        <f ca="1">IFERROR(__xludf.DUMMYFUNCTION("""COMPUTED_VALUE"""),54036485)</f>
        <v>54036485</v>
      </c>
    </row>
    <row r="209" spans="1:6" ht="12.6">
      <c r="A209" s="2">
        <f ca="1">IFERROR(__xludf.DUMMYFUNCTION("""COMPUTED_VALUE"""),44862.6666666666)</f>
        <v>44862.666666666599</v>
      </c>
      <c r="B209" s="1">
        <f ca="1">IFERROR(__xludf.DUMMYFUNCTION("""COMPUTED_VALUE"""),92.53)</f>
        <v>92.53</v>
      </c>
      <c r="C209" s="1">
        <f ca="1">IFERROR(__xludf.DUMMYFUNCTION("""COMPUTED_VALUE"""),96.86)</f>
        <v>96.86</v>
      </c>
      <c r="D209" s="1">
        <f ca="1">IFERROR(__xludf.DUMMYFUNCTION("""COMPUTED_VALUE"""),92.32)</f>
        <v>92.32</v>
      </c>
      <c r="E209" s="1">
        <f ca="1">IFERROR(__xludf.DUMMYFUNCTION("""COMPUTED_VALUE"""),96.58)</f>
        <v>96.58</v>
      </c>
      <c r="F209" s="1">
        <f ca="1">IFERROR(__xludf.DUMMYFUNCTION("""COMPUTED_VALUE"""),35696925)</f>
        <v>35696925</v>
      </c>
    </row>
    <row r="210" spans="1:6" ht="12.6">
      <c r="A210" s="2">
        <f ca="1">IFERROR(__xludf.DUMMYFUNCTION("""COMPUTED_VALUE"""),44865.6666666666)</f>
        <v>44865.666666666599</v>
      </c>
      <c r="B210" s="1">
        <f ca="1">IFERROR(__xludf.DUMMYFUNCTION("""COMPUTED_VALUE"""),95.78)</f>
        <v>95.78</v>
      </c>
      <c r="C210" s="1">
        <f ca="1">IFERROR(__xludf.DUMMYFUNCTION("""COMPUTED_VALUE"""),96.35)</f>
        <v>96.35</v>
      </c>
      <c r="D210" s="1">
        <f ca="1">IFERROR(__xludf.DUMMYFUNCTION("""COMPUTED_VALUE"""),94.38)</f>
        <v>94.38</v>
      </c>
      <c r="E210" s="1">
        <f ca="1">IFERROR(__xludf.DUMMYFUNCTION("""COMPUTED_VALUE"""),94.66)</f>
        <v>94.66</v>
      </c>
      <c r="F210" s="1">
        <f ca="1">IFERROR(__xludf.DUMMYFUNCTION("""COMPUTED_VALUE"""),29868714)</f>
        <v>29868714</v>
      </c>
    </row>
    <row r="211" spans="1:6" ht="12.6">
      <c r="A211" s="2">
        <f ca="1">IFERROR(__xludf.DUMMYFUNCTION("""COMPUTED_VALUE"""),44866.6666666666)</f>
        <v>44866.666666666599</v>
      </c>
      <c r="B211" s="1">
        <f ca="1">IFERROR(__xludf.DUMMYFUNCTION("""COMPUTED_VALUE"""),95.59)</f>
        <v>95.59</v>
      </c>
      <c r="C211" s="1">
        <f ca="1">IFERROR(__xludf.DUMMYFUNCTION("""COMPUTED_VALUE"""),96.17)</f>
        <v>96.17</v>
      </c>
      <c r="D211" s="1">
        <f ca="1">IFERROR(__xludf.DUMMYFUNCTION("""COMPUTED_VALUE"""),90.43)</f>
        <v>90.43</v>
      </c>
      <c r="E211" s="1">
        <f ca="1">IFERROR(__xludf.DUMMYFUNCTION("""COMPUTED_VALUE"""),90.5)</f>
        <v>90.5</v>
      </c>
      <c r="F211" s="1">
        <f ca="1">IFERROR(__xludf.DUMMYFUNCTION("""COMPUTED_VALUE"""),43220599)</f>
        <v>43220599</v>
      </c>
    </row>
    <row r="212" spans="1:6" ht="12.6">
      <c r="A212" s="2">
        <f ca="1">IFERROR(__xludf.DUMMYFUNCTION("""COMPUTED_VALUE"""),44867.6666666666)</f>
        <v>44867.666666666599</v>
      </c>
      <c r="B212" s="1">
        <f ca="1">IFERROR(__xludf.DUMMYFUNCTION("""COMPUTED_VALUE"""),90.91)</f>
        <v>90.91</v>
      </c>
      <c r="C212" s="1">
        <f ca="1">IFERROR(__xludf.DUMMYFUNCTION("""COMPUTED_VALUE"""),91.3)</f>
        <v>91.3</v>
      </c>
      <c r="D212" s="1">
        <f ca="1">IFERROR(__xludf.DUMMYFUNCTION("""COMPUTED_VALUE"""),87.01)</f>
        <v>87.01</v>
      </c>
      <c r="E212" s="1">
        <f ca="1">IFERROR(__xludf.DUMMYFUNCTION("""COMPUTED_VALUE"""),87.07)</f>
        <v>87.07</v>
      </c>
      <c r="F212" s="1">
        <f ca="1">IFERROR(__xludf.DUMMYFUNCTION("""COMPUTED_VALUE"""),43553551)</f>
        <v>43553551</v>
      </c>
    </row>
    <row r="213" spans="1:6" ht="12.6">
      <c r="A213" s="2">
        <f ca="1">IFERROR(__xludf.DUMMYFUNCTION("""COMPUTED_VALUE"""),44868.6666666666)</f>
        <v>44868.666666666599</v>
      </c>
      <c r="B213" s="1">
        <f ca="1">IFERROR(__xludf.DUMMYFUNCTION("""COMPUTED_VALUE"""),86.35)</f>
        <v>86.35</v>
      </c>
      <c r="C213" s="1">
        <f ca="1">IFERROR(__xludf.DUMMYFUNCTION("""COMPUTED_VALUE"""),86.55)</f>
        <v>86.55</v>
      </c>
      <c r="D213" s="1">
        <f ca="1">IFERROR(__xludf.DUMMYFUNCTION("""COMPUTED_VALUE"""),83.45)</f>
        <v>83.45</v>
      </c>
      <c r="E213" s="1">
        <f ca="1">IFERROR(__xludf.DUMMYFUNCTION("""COMPUTED_VALUE"""),83.49)</f>
        <v>83.49</v>
      </c>
      <c r="F213" s="1">
        <f ca="1">IFERROR(__xludf.DUMMYFUNCTION("""COMPUTED_VALUE"""),48510364)</f>
        <v>48510364</v>
      </c>
    </row>
    <row r="214" spans="1:6" ht="12.6">
      <c r="A214" s="2">
        <f ca="1">IFERROR(__xludf.DUMMYFUNCTION("""COMPUTED_VALUE"""),44869.6666666666)</f>
        <v>44869.666666666599</v>
      </c>
      <c r="B214" s="1">
        <f ca="1">IFERROR(__xludf.DUMMYFUNCTION("""COMPUTED_VALUE"""),85.51)</f>
        <v>85.51</v>
      </c>
      <c r="C214" s="1">
        <f ca="1">IFERROR(__xludf.DUMMYFUNCTION("""COMPUTED_VALUE"""),86.73)</f>
        <v>86.73</v>
      </c>
      <c r="D214" s="1">
        <f ca="1">IFERROR(__xludf.DUMMYFUNCTION("""COMPUTED_VALUE"""),83.88)</f>
        <v>83.88</v>
      </c>
      <c r="E214" s="1">
        <f ca="1">IFERROR(__xludf.DUMMYFUNCTION("""COMPUTED_VALUE"""),86.7)</f>
        <v>86.7</v>
      </c>
      <c r="F214" s="1">
        <f ca="1">IFERROR(__xludf.DUMMYFUNCTION("""COMPUTED_VALUE"""),40173284)</f>
        <v>40173284</v>
      </c>
    </row>
    <row r="215" spans="1:6" ht="12.6">
      <c r="A215" s="2">
        <f ca="1">IFERROR(__xludf.DUMMYFUNCTION("""COMPUTED_VALUE"""),44872.6666666666)</f>
        <v>44872.666666666599</v>
      </c>
      <c r="B215" s="1">
        <f ca="1">IFERROR(__xludf.DUMMYFUNCTION("""COMPUTED_VALUE"""),87.34)</f>
        <v>87.34</v>
      </c>
      <c r="C215" s="1">
        <f ca="1">IFERROR(__xludf.DUMMYFUNCTION("""COMPUTED_VALUE"""),88.94)</f>
        <v>88.94</v>
      </c>
      <c r="D215" s="1">
        <f ca="1">IFERROR(__xludf.DUMMYFUNCTION("""COMPUTED_VALUE"""),86.96)</f>
        <v>86.96</v>
      </c>
      <c r="E215" s="1">
        <f ca="1">IFERROR(__xludf.DUMMYFUNCTION("""COMPUTED_VALUE"""),88.65)</f>
        <v>88.65</v>
      </c>
      <c r="F215" s="1">
        <f ca="1">IFERROR(__xludf.DUMMYFUNCTION("""COMPUTED_VALUE"""),26899879)</f>
        <v>26899879</v>
      </c>
    </row>
    <row r="216" spans="1:6" ht="12.6">
      <c r="A216" s="2">
        <f ca="1">IFERROR(__xludf.DUMMYFUNCTION("""COMPUTED_VALUE"""),44873.6666666666)</f>
        <v>44873.666666666599</v>
      </c>
      <c r="B216" s="1">
        <f ca="1">IFERROR(__xludf.DUMMYFUNCTION("""COMPUTED_VALUE"""),89.16)</f>
        <v>89.16</v>
      </c>
      <c r="C216" s="1">
        <f ca="1">IFERROR(__xludf.DUMMYFUNCTION("""COMPUTED_VALUE"""),90.41)</f>
        <v>90.41</v>
      </c>
      <c r="D216" s="1">
        <f ca="1">IFERROR(__xludf.DUMMYFUNCTION("""COMPUTED_VALUE"""),87.65)</f>
        <v>87.65</v>
      </c>
      <c r="E216" s="1">
        <f ca="1">IFERROR(__xludf.DUMMYFUNCTION("""COMPUTED_VALUE"""),88.91)</f>
        <v>88.91</v>
      </c>
      <c r="F216" s="1">
        <f ca="1">IFERROR(__xludf.DUMMYFUNCTION("""COMPUTED_VALUE"""),30172001)</f>
        <v>30172001</v>
      </c>
    </row>
    <row r="217" spans="1:6" ht="12.6">
      <c r="A217" s="2">
        <f ca="1">IFERROR(__xludf.DUMMYFUNCTION("""COMPUTED_VALUE"""),44874.6666666666)</f>
        <v>44874.666666666599</v>
      </c>
      <c r="B217" s="1">
        <f ca="1">IFERROR(__xludf.DUMMYFUNCTION("""COMPUTED_VALUE"""),88.55)</f>
        <v>88.55</v>
      </c>
      <c r="C217" s="1">
        <f ca="1">IFERROR(__xludf.DUMMYFUNCTION("""COMPUTED_VALUE"""),89.49)</f>
        <v>89.49</v>
      </c>
      <c r="D217" s="1">
        <f ca="1">IFERROR(__xludf.DUMMYFUNCTION("""COMPUTED_VALUE"""),87.36)</f>
        <v>87.36</v>
      </c>
      <c r="E217" s="1">
        <f ca="1">IFERROR(__xludf.DUMMYFUNCTION("""COMPUTED_VALUE"""),87.4)</f>
        <v>87.4</v>
      </c>
      <c r="F217" s="1">
        <f ca="1">IFERROR(__xludf.DUMMYFUNCTION("""COMPUTED_VALUE"""),26743883)</f>
        <v>26743883</v>
      </c>
    </row>
    <row r="218" spans="1:6" ht="12.6">
      <c r="A218" s="2">
        <f ca="1">IFERROR(__xludf.DUMMYFUNCTION("""COMPUTED_VALUE"""),44875.6666666666)</f>
        <v>44875.666666666599</v>
      </c>
      <c r="B218" s="1">
        <f ca="1">IFERROR(__xludf.DUMMYFUNCTION("""COMPUTED_VALUE"""),92.34)</f>
        <v>92.34</v>
      </c>
      <c r="C218" s="1">
        <f ca="1">IFERROR(__xludf.DUMMYFUNCTION("""COMPUTED_VALUE"""),94.55)</f>
        <v>94.55</v>
      </c>
      <c r="D218" s="1">
        <f ca="1">IFERROR(__xludf.DUMMYFUNCTION("""COMPUTED_VALUE"""),91.65)</f>
        <v>91.65</v>
      </c>
      <c r="E218" s="1">
        <f ca="1">IFERROR(__xludf.DUMMYFUNCTION("""COMPUTED_VALUE"""),94.17)</f>
        <v>94.17</v>
      </c>
      <c r="F218" s="1">
        <f ca="1">IFERROR(__xludf.DUMMYFUNCTION("""COMPUTED_VALUE"""),42371216)</f>
        <v>42371216</v>
      </c>
    </row>
    <row r="219" spans="1:6" ht="12.6">
      <c r="A219" s="2">
        <f ca="1">IFERROR(__xludf.DUMMYFUNCTION("""COMPUTED_VALUE"""),44876.6666666666)</f>
        <v>44876.666666666599</v>
      </c>
      <c r="B219" s="1">
        <f ca="1">IFERROR(__xludf.DUMMYFUNCTION("""COMPUTED_VALUE"""),94.71)</f>
        <v>94.71</v>
      </c>
      <c r="C219" s="1">
        <f ca="1">IFERROR(__xludf.DUMMYFUNCTION("""COMPUTED_VALUE"""),97.36)</f>
        <v>97.36</v>
      </c>
      <c r="D219" s="1">
        <f ca="1">IFERROR(__xludf.DUMMYFUNCTION("""COMPUTED_VALUE"""),94.16)</f>
        <v>94.16</v>
      </c>
      <c r="E219" s="1">
        <f ca="1">IFERROR(__xludf.DUMMYFUNCTION("""COMPUTED_VALUE"""),96.73)</f>
        <v>96.73</v>
      </c>
      <c r="F219" s="1">
        <f ca="1">IFERROR(__xludf.DUMMYFUNCTION("""COMPUTED_VALUE"""),30569112)</f>
        <v>30569112</v>
      </c>
    </row>
    <row r="220" spans="1:6" ht="12.6">
      <c r="A220" s="2">
        <f ca="1">IFERROR(__xludf.DUMMYFUNCTION("""COMPUTED_VALUE"""),44879.6666666666)</f>
        <v>44879.666666666599</v>
      </c>
      <c r="B220" s="1">
        <f ca="1">IFERROR(__xludf.DUMMYFUNCTION("""COMPUTED_VALUE"""),95.5)</f>
        <v>95.5</v>
      </c>
      <c r="C220" s="1">
        <f ca="1">IFERROR(__xludf.DUMMYFUNCTION("""COMPUTED_VALUE"""),97.18)</f>
        <v>97.18</v>
      </c>
      <c r="D220" s="1">
        <f ca="1">IFERROR(__xludf.DUMMYFUNCTION("""COMPUTED_VALUE"""),95.11)</f>
        <v>95.11</v>
      </c>
      <c r="E220" s="1">
        <f ca="1">IFERROR(__xludf.DUMMYFUNCTION("""COMPUTED_VALUE"""),96.03)</f>
        <v>96.03</v>
      </c>
      <c r="F220" s="1">
        <f ca="1">IFERROR(__xludf.DUMMYFUNCTION("""COMPUTED_VALUE"""),24170076)</f>
        <v>24170076</v>
      </c>
    </row>
    <row r="221" spans="1:6" ht="12.6">
      <c r="A221" s="2">
        <f ca="1">IFERROR(__xludf.DUMMYFUNCTION("""COMPUTED_VALUE"""),44880.6666666666)</f>
        <v>44880.666666666599</v>
      </c>
      <c r="B221" s="1">
        <f ca="1">IFERROR(__xludf.DUMMYFUNCTION("""COMPUTED_VALUE"""),98.67)</f>
        <v>98.67</v>
      </c>
      <c r="C221" s="1">
        <f ca="1">IFERROR(__xludf.DUMMYFUNCTION("""COMPUTED_VALUE"""),100.42)</f>
        <v>100.42</v>
      </c>
      <c r="D221" s="1">
        <f ca="1">IFERROR(__xludf.DUMMYFUNCTION("""COMPUTED_VALUE"""),97.02)</f>
        <v>97.02</v>
      </c>
      <c r="E221" s="1">
        <f ca="1">IFERROR(__xludf.DUMMYFUNCTION("""COMPUTED_VALUE"""),98.72)</f>
        <v>98.72</v>
      </c>
      <c r="F221" s="1">
        <f ca="1">IFERROR(__xludf.DUMMYFUNCTION("""COMPUTED_VALUE"""),31830969)</f>
        <v>31830969</v>
      </c>
    </row>
    <row r="222" spans="1:6" ht="12.6">
      <c r="A222" s="2">
        <f ca="1">IFERROR(__xludf.DUMMYFUNCTION("""COMPUTED_VALUE"""),44881.6666666666)</f>
        <v>44881.666666666599</v>
      </c>
      <c r="B222" s="1">
        <f ca="1">IFERROR(__xludf.DUMMYFUNCTION("""COMPUTED_VALUE"""),98.02)</f>
        <v>98.02</v>
      </c>
      <c r="C222" s="1">
        <f ca="1">IFERROR(__xludf.DUMMYFUNCTION("""COMPUTED_VALUE"""),99.85)</f>
        <v>99.85</v>
      </c>
      <c r="D222" s="1">
        <f ca="1">IFERROR(__xludf.DUMMYFUNCTION("""COMPUTED_VALUE"""),97.9)</f>
        <v>97.9</v>
      </c>
      <c r="E222" s="1">
        <f ca="1">IFERROR(__xludf.DUMMYFUNCTION("""COMPUTED_VALUE"""),98.99)</f>
        <v>98.99</v>
      </c>
      <c r="F222" s="1">
        <f ca="1">IFERROR(__xludf.DUMMYFUNCTION("""COMPUTED_VALUE"""),24660195)</f>
        <v>24660195</v>
      </c>
    </row>
    <row r="223" spans="1:6" ht="12.6">
      <c r="A223" s="2">
        <f ca="1">IFERROR(__xludf.DUMMYFUNCTION("""COMPUTED_VALUE"""),44882.6666666666)</f>
        <v>44882.666666666599</v>
      </c>
      <c r="B223" s="1">
        <f ca="1">IFERROR(__xludf.DUMMYFUNCTION("""COMPUTED_VALUE"""),97.18)</f>
        <v>97.18</v>
      </c>
      <c r="C223" s="1">
        <f ca="1">IFERROR(__xludf.DUMMYFUNCTION("""COMPUTED_VALUE"""),99.48)</f>
        <v>99.48</v>
      </c>
      <c r="D223" s="1">
        <f ca="1">IFERROR(__xludf.DUMMYFUNCTION("""COMPUTED_VALUE"""),97.1)</f>
        <v>97.1</v>
      </c>
      <c r="E223" s="1">
        <f ca="1">IFERROR(__xludf.DUMMYFUNCTION("""COMPUTED_VALUE"""),98.5)</f>
        <v>98.5</v>
      </c>
      <c r="F223" s="1">
        <f ca="1">IFERROR(__xludf.DUMMYFUNCTION("""COMPUTED_VALUE"""),21818732)</f>
        <v>21818732</v>
      </c>
    </row>
    <row r="224" spans="1:6" ht="12.6">
      <c r="A224" s="2">
        <f ca="1">IFERROR(__xludf.DUMMYFUNCTION("""COMPUTED_VALUE"""),44883.6666666666)</f>
        <v>44883.666666666599</v>
      </c>
      <c r="B224" s="1">
        <f ca="1">IFERROR(__xludf.DUMMYFUNCTION("""COMPUTED_VALUE"""),99.01)</f>
        <v>99.01</v>
      </c>
      <c r="C224" s="1">
        <f ca="1">IFERROR(__xludf.DUMMYFUNCTION("""COMPUTED_VALUE"""),99.16)</f>
        <v>99.16</v>
      </c>
      <c r="D224" s="1">
        <f ca="1">IFERROR(__xludf.DUMMYFUNCTION("""COMPUTED_VALUE"""),96.74)</f>
        <v>96.74</v>
      </c>
      <c r="E224" s="1">
        <f ca="1">IFERROR(__xludf.DUMMYFUNCTION("""COMPUTED_VALUE"""),97.8)</f>
        <v>97.8</v>
      </c>
      <c r="F224" s="1">
        <f ca="1">IFERROR(__xludf.DUMMYFUNCTION("""COMPUTED_VALUE"""),24969880)</f>
        <v>24969880</v>
      </c>
    </row>
    <row r="225" spans="1:6" ht="12.6">
      <c r="A225" s="2">
        <f ca="1">IFERROR(__xludf.DUMMYFUNCTION("""COMPUTED_VALUE"""),44886.6666666666)</f>
        <v>44886.666666666599</v>
      </c>
      <c r="B225" s="1">
        <f ca="1">IFERROR(__xludf.DUMMYFUNCTION("""COMPUTED_VALUE"""),97.56)</f>
        <v>97.56</v>
      </c>
      <c r="C225" s="1">
        <f ca="1">IFERROR(__xludf.DUMMYFUNCTION("""COMPUTED_VALUE"""),98.72)</f>
        <v>98.72</v>
      </c>
      <c r="D225" s="1">
        <f ca="1">IFERROR(__xludf.DUMMYFUNCTION("""COMPUTED_VALUE"""),95.67)</f>
        <v>95.67</v>
      </c>
      <c r="E225" s="1">
        <f ca="1">IFERROR(__xludf.DUMMYFUNCTION("""COMPUTED_VALUE"""),95.83)</f>
        <v>95.83</v>
      </c>
      <c r="F225" s="1">
        <f ca="1">IFERROR(__xludf.DUMMYFUNCTION("""COMPUTED_VALUE"""),18696874)</f>
        <v>18696874</v>
      </c>
    </row>
    <row r="226" spans="1:6" ht="12.6">
      <c r="A226" s="2">
        <f ca="1">IFERROR(__xludf.DUMMYFUNCTION("""COMPUTED_VALUE"""),44887.6666666666)</f>
        <v>44887.666666666599</v>
      </c>
      <c r="B226" s="1">
        <f ca="1">IFERROR(__xludf.DUMMYFUNCTION("""COMPUTED_VALUE"""),96.16)</f>
        <v>96.16</v>
      </c>
      <c r="C226" s="1">
        <f ca="1">IFERROR(__xludf.DUMMYFUNCTION("""COMPUTED_VALUE"""),97.55)</f>
        <v>97.55</v>
      </c>
      <c r="D226" s="1">
        <f ca="1">IFERROR(__xludf.DUMMYFUNCTION("""COMPUTED_VALUE"""),94.41)</f>
        <v>94.41</v>
      </c>
      <c r="E226" s="1">
        <f ca="1">IFERROR(__xludf.DUMMYFUNCTION("""COMPUTED_VALUE"""),97.33)</f>
        <v>97.33</v>
      </c>
      <c r="F226" s="1">
        <f ca="1">IFERROR(__xludf.DUMMYFUNCTION("""COMPUTED_VALUE"""),18868850)</f>
        <v>18868850</v>
      </c>
    </row>
    <row r="227" spans="1:6" ht="12.6">
      <c r="A227" s="2">
        <f ca="1">IFERROR(__xludf.DUMMYFUNCTION("""COMPUTED_VALUE"""),44888.6666666666)</f>
        <v>44888.666666666599</v>
      </c>
      <c r="B227" s="1">
        <f ca="1">IFERROR(__xludf.DUMMYFUNCTION("""COMPUTED_VALUE"""),97.34)</f>
        <v>97.34</v>
      </c>
      <c r="C227" s="1">
        <f ca="1">IFERROR(__xludf.DUMMYFUNCTION("""COMPUTED_VALUE"""),99.07)</f>
        <v>99.07</v>
      </c>
      <c r="D227" s="1">
        <f ca="1">IFERROR(__xludf.DUMMYFUNCTION("""COMPUTED_VALUE"""),97.34)</f>
        <v>97.34</v>
      </c>
      <c r="E227" s="1">
        <f ca="1">IFERROR(__xludf.DUMMYFUNCTION("""COMPUTED_VALUE"""),98.82)</f>
        <v>98.82</v>
      </c>
      <c r="F227" s="1">
        <f ca="1">IFERROR(__xludf.DUMMYFUNCTION("""COMPUTED_VALUE"""),17568859)</f>
        <v>17568859</v>
      </c>
    </row>
    <row r="228" spans="1:6" ht="12.6">
      <c r="A228" s="2">
        <f ca="1">IFERROR(__xludf.DUMMYFUNCTION("""COMPUTED_VALUE"""),44890.5451388888)</f>
        <v>44890.545138888803</v>
      </c>
      <c r="B228" s="1">
        <f ca="1">IFERROR(__xludf.DUMMYFUNCTION("""COMPUTED_VALUE"""),98.47)</f>
        <v>98.47</v>
      </c>
      <c r="C228" s="1">
        <f ca="1">IFERROR(__xludf.DUMMYFUNCTION("""COMPUTED_VALUE"""),98.94)</f>
        <v>98.94</v>
      </c>
      <c r="D228" s="1">
        <f ca="1">IFERROR(__xludf.DUMMYFUNCTION("""COMPUTED_VALUE"""),97.53)</f>
        <v>97.53</v>
      </c>
      <c r="E228" s="1">
        <f ca="1">IFERROR(__xludf.DUMMYFUNCTION("""COMPUTED_VALUE"""),97.6)</f>
        <v>97.6</v>
      </c>
      <c r="F228" s="1">
        <f ca="1">IFERROR(__xludf.DUMMYFUNCTION("""COMPUTED_VALUE"""),8567819)</f>
        <v>8567819</v>
      </c>
    </row>
    <row r="229" spans="1:6" ht="12.6">
      <c r="A229" s="2">
        <f ca="1">IFERROR(__xludf.DUMMYFUNCTION("""COMPUTED_VALUE"""),44893.6666666666)</f>
        <v>44893.666666666599</v>
      </c>
      <c r="B229" s="1">
        <f ca="1">IFERROR(__xludf.DUMMYFUNCTION("""COMPUTED_VALUE"""),97.2)</f>
        <v>97.2</v>
      </c>
      <c r="C229" s="1">
        <f ca="1">IFERROR(__xludf.DUMMYFUNCTION("""COMPUTED_VALUE"""),97.83)</f>
        <v>97.83</v>
      </c>
      <c r="D229" s="1">
        <f ca="1">IFERROR(__xludf.DUMMYFUNCTION("""COMPUTED_VALUE"""),95.89)</f>
        <v>95.89</v>
      </c>
      <c r="E229" s="1">
        <f ca="1">IFERROR(__xludf.DUMMYFUNCTION("""COMPUTED_VALUE"""),96.25)</f>
        <v>96.25</v>
      </c>
      <c r="F229" s="1">
        <f ca="1">IFERROR(__xludf.DUMMYFUNCTION("""COMPUTED_VALUE"""),19981974)</f>
        <v>19981974</v>
      </c>
    </row>
    <row r="230" spans="1:6" ht="12.6">
      <c r="A230" s="2">
        <f ca="1">IFERROR(__xludf.DUMMYFUNCTION("""COMPUTED_VALUE"""),44894.6666666666)</f>
        <v>44894.666666666599</v>
      </c>
      <c r="B230" s="1">
        <f ca="1">IFERROR(__xludf.DUMMYFUNCTION("""COMPUTED_VALUE"""),96)</f>
        <v>96</v>
      </c>
      <c r="C230" s="1">
        <f ca="1">IFERROR(__xludf.DUMMYFUNCTION("""COMPUTED_VALUE"""),96.39)</f>
        <v>96.39</v>
      </c>
      <c r="D230" s="1">
        <f ca="1">IFERROR(__xludf.DUMMYFUNCTION("""COMPUTED_VALUE"""),94.39)</f>
        <v>94.39</v>
      </c>
      <c r="E230" s="1">
        <f ca="1">IFERROR(__xludf.DUMMYFUNCTION("""COMPUTED_VALUE"""),95.44)</f>
        <v>95.44</v>
      </c>
      <c r="F230" s="1">
        <f ca="1">IFERROR(__xludf.DUMMYFUNCTION("""COMPUTED_VALUE"""),20220007)</f>
        <v>20220007</v>
      </c>
    </row>
    <row r="231" spans="1:6" ht="12.6">
      <c r="A231" s="2">
        <f ca="1">IFERROR(__xludf.DUMMYFUNCTION("""COMPUTED_VALUE"""),44895.6666666666)</f>
        <v>44895.666666666599</v>
      </c>
      <c r="B231" s="1">
        <f ca="1">IFERROR(__xludf.DUMMYFUNCTION("""COMPUTED_VALUE"""),95.12)</f>
        <v>95.12</v>
      </c>
      <c r="C231" s="1">
        <f ca="1">IFERROR(__xludf.DUMMYFUNCTION("""COMPUTED_VALUE"""),101.45)</f>
        <v>101.45</v>
      </c>
      <c r="D231" s="1">
        <f ca="1">IFERROR(__xludf.DUMMYFUNCTION("""COMPUTED_VALUE"""),94.67)</f>
        <v>94.67</v>
      </c>
      <c r="E231" s="1">
        <f ca="1">IFERROR(__xludf.DUMMYFUNCTION("""COMPUTED_VALUE"""),101.45)</f>
        <v>101.45</v>
      </c>
      <c r="F231" s="1">
        <f ca="1">IFERROR(__xludf.DUMMYFUNCTION("""COMPUTED_VALUE"""),39888074)</f>
        <v>39888074</v>
      </c>
    </row>
    <row r="232" spans="1:6" ht="12.6">
      <c r="A232" s="2">
        <f ca="1">IFERROR(__xludf.DUMMYFUNCTION("""COMPUTED_VALUE"""),44896.6666666666)</f>
        <v>44896.666666666599</v>
      </c>
      <c r="B232" s="1">
        <f ca="1">IFERROR(__xludf.DUMMYFUNCTION("""COMPUTED_VALUE"""),101.4)</f>
        <v>101.4</v>
      </c>
      <c r="C232" s="1">
        <f ca="1">IFERROR(__xludf.DUMMYFUNCTION("""COMPUTED_VALUE"""),102.59)</f>
        <v>102.59</v>
      </c>
      <c r="D232" s="1">
        <f ca="1">IFERROR(__xludf.DUMMYFUNCTION("""COMPUTED_VALUE"""),100.67)</f>
        <v>100.67</v>
      </c>
      <c r="E232" s="1">
        <f ca="1">IFERROR(__xludf.DUMMYFUNCTION("""COMPUTED_VALUE"""),101.28)</f>
        <v>101.28</v>
      </c>
      <c r="F232" s="1">
        <f ca="1">IFERROR(__xludf.DUMMYFUNCTION("""COMPUTED_VALUE"""),21771536)</f>
        <v>21771536</v>
      </c>
    </row>
    <row r="233" spans="1:6" ht="12.6">
      <c r="A233" s="2">
        <f ca="1">IFERROR(__xludf.DUMMYFUNCTION("""COMPUTED_VALUE"""),44897.6666666666)</f>
        <v>44897.666666666599</v>
      </c>
      <c r="B233" s="1">
        <f ca="1">IFERROR(__xludf.DUMMYFUNCTION("""COMPUTED_VALUE"""),99.37)</f>
        <v>99.37</v>
      </c>
      <c r="C233" s="1">
        <f ca="1">IFERROR(__xludf.DUMMYFUNCTION("""COMPUTED_VALUE"""),101.15)</f>
        <v>101.15</v>
      </c>
      <c r="D233" s="1">
        <f ca="1">IFERROR(__xludf.DUMMYFUNCTION("""COMPUTED_VALUE"""),99.17)</f>
        <v>99.17</v>
      </c>
      <c r="E233" s="1">
        <f ca="1">IFERROR(__xludf.DUMMYFUNCTION("""COMPUTED_VALUE"""),100.83)</f>
        <v>100.83</v>
      </c>
      <c r="F233" s="1">
        <f ca="1">IFERROR(__xludf.DUMMYFUNCTION("""COMPUTED_VALUE"""),18821527)</f>
        <v>18821527</v>
      </c>
    </row>
    <row r="234" spans="1:6" ht="12.6">
      <c r="A234" s="2">
        <f ca="1">IFERROR(__xludf.DUMMYFUNCTION("""COMPUTED_VALUE"""),44900.6666666666)</f>
        <v>44900.666666666599</v>
      </c>
      <c r="B234" s="1">
        <f ca="1">IFERROR(__xludf.DUMMYFUNCTION("""COMPUTED_VALUE"""),99.82)</f>
        <v>99.82</v>
      </c>
      <c r="C234" s="1">
        <f ca="1">IFERROR(__xludf.DUMMYFUNCTION("""COMPUTED_VALUE"""),101.75)</f>
        <v>101.75</v>
      </c>
      <c r="D234" s="1">
        <f ca="1">IFERROR(__xludf.DUMMYFUNCTION("""COMPUTED_VALUE"""),99.36)</f>
        <v>99.36</v>
      </c>
      <c r="E234" s="1">
        <f ca="1">IFERROR(__xludf.DUMMYFUNCTION("""COMPUTED_VALUE"""),99.87)</f>
        <v>99.87</v>
      </c>
      <c r="F234" s="1">
        <f ca="1">IFERROR(__xludf.DUMMYFUNCTION("""COMPUTED_VALUE"""),19955546)</f>
        <v>19955546</v>
      </c>
    </row>
    <row r="235" spans="1:6" ht="12.6">
      <c r="A235" s="2">
        <f ca="1">IFERROR(__xludf.DUMMYFUNCTION("""COMPUTED_VALUE"""),44901.6666666666)</f>
        <v>44901.666666666599</v>
      </c>
      <c r="B235" s="1">
        <f ca="1">IFERROR(__xludf.DUMMYFUNCTION("""COMPUTED_VALUE"""),99.67)</f>
        <v>99.67</v>
      </c>
      <c r="C235" s="1">
        <f ca="1">IFERROR(__xludf.DUMMYFUNCTION("""COMPUTED_VALUE"""),100.21)</f>
        <v>100.21</v>
      </c>
      <c r="D235" s="1">
        <f ca="1">IFERROR(__xludf.DUMMYFUNCTION("""COMPUTED_VALUE"""),96.76)</f>
        <v>96.76</v>
      </c>
      <c r="E235" s="1">
        <f ca="1">IFERROR(__xludf.DUMMYFUNCTION("""COMPUTED_VALUE"""),97.31)</f>
        <v>97.31</v>
      </c>
      <c r="F235" s="1">
        <f ca="1">IFERROR(__xludf.DUMMYFUNCTION("""COMPUTED_VALUE"""),20877623)</f>
        <v>20877623</v>
      </c>
    </row>
    <row r="236" spans="1:6" ht="12.6">
      <c r="A236" s="2">
        <f ca="1">IFERROR(__xludf.DUMMYFUNCTION("""COMPUTED_VALUE"""),44902.6666666666)</f>
        <v>44902.666666666599</v>
      </c>
      <c r="B236" s="1">
        <f ca="1">IFERROR(__xludf.DUMMYFUNCTION("""COMPUTED_VALUE"""),96.77)</f>
        <v>96.77</v>
      </c>
      <c r="C236" s="1">
        <f ca="1">IFERROR(__xludf.DUMMYFUNCTION("""COMPUTED_VALUE"""),97.31)</f>
        <v>97.31</v>
      </c>
      <c r="D236" s="1">
        <f ca="1">IFERROR(__xludf.DUMMYFUNCTION("""COMPUTED_VALUE"""),95.03)</f>
        <v>95.03</v>
      </c>
      <c r="E236" s="1">
        <f ca="1">IFERROR(__xludf.DUMMYFUNCTION("""COMPUTED_VALUE"""),95.15)</f>
        <v>95.15</v>
      </c>
      <c r="F236" s="1">
        <f ca="1">IFERROR(__xludf.DUMMYFUNCTION("""COMPUTED_VALUE"""),26647877)</f>
        <v>26647877</v>
      </c>
    </row>
    <row r="237" spans="1:6" ht="12.6">
      <c r="A237" s="2">
        <f ca="1">IFERROR(__xludf.DUMMYFUNCTION("""COMPUTED_VALUE"""),44903.6666666666)</f>
        <v>44903.666666666599</v>
      </c>
      <c r="B237" s="1">
        <f ca="1">IFERROR(__xludf.DUMMYFUNCTION("""COMPUTED_VALUE"""),95.69)</f>
        <v>95.69</v>
      </c>
      <c r="C237" s="1">
        <f ca="1">IFERROR(__xludf.DUMMYFUNCTION("""COMPUTED_VALUE"""),95.87)</f>
        <v>95.87</v>
      </c>
      <c r="D237" s="1">
        <f ca="1">IFERROR(__xludf.DUMMYFUNCTION("""COMPUTED_VALUE"""),93.8)</f>
        <v>93.8</v>
      </c>
      <c r="E237" s="1">
        <f ca="1">IFERROR(__xludf.DUMMYFUNCTION("""COMPUTED_VALUE"""),93.95)</f>
        <v>93.95</v>
      </c>
      <c r="F237" s="1">
        <f ca="1">IFERROR(__xludf.DUMMYFUNCTION("""COMPUTED_VALUE"""),25593232)</f>
        <v>25593232</v>
      </c>
    </row>
    <row r="238" spans="1:6" ht="12.6">
      <c r="A238" s="2">
        <f ca="1">IFERROR(__xludf.DUMMYFUNCTION("""COMPUTED_VALUE"""),44904.6666666666)</f>
        <v>44904.666666666599</v>
      </c>
      <c r="B238" s="1">
        <f ca="1">IFERROR(__xludf.DUMMYFUNCTION("""COMPUTED_VALUE"""),93.9)</f>
        <v>93.9</v>
      </c>
      <c r="C238" s="1">
        <f ca="1">IFERROR(__xludf.DUMMYFUNCTION("""COMPUTED_VALUE"""),94.49)</f>
        <v>94.49</v>
      </c>
      <c r="D238" s="1">
        <f ca="1">IFERROR(__xludf.DUMMYFUNCTION("""COMPUTED_VALUE"""),93.02)</f>
        <v>93.02</v>
      </c>
      <c r="E238" s="1">
        <f ca="1">IFERROR(__xludf.DUMMYFUNCTION("""COMPUTED_VALUE"""),93.07)</f>
        <v>93.07</v>
      </c>
      <c r="F238" s="1">
        <f ca="1">IFERROR(__xludf.DUMMYFUNCTION("""COMPUTED_VALUE"""),21885308)</f>
        <v>21885308</v>
      </c>
    </row>
    <row r="239" spans="1:6" ht="12.6">
      <c r="A239" s="2">
        <f ca="1">IFERROR(__xludf.DUMMYFUNCTION("""COMPUTED_VALUE"""),44907.6666666666)</f>
        <v>44907.666666666599</v>
      </c>
      <c r="B239" s="1">
        <f ca="1">IFERROR(__xludf.DUMMYFUNCTION("""COMPUTED_VALUE"""),93.09)</f>
        <v>93.09</v>
      </c>
      <c r="C239" s="1">
        <f ca="1">IFERROR(__xludf.DUMMYFUNCTION("""COMPUTED_VALUE"""),93.87)</f>
        <v>93.87</v>
      </c>
      <c r="D239" s="1">
        <f ca="1">IFERROR(__xludf.DUMMYFUNCTION("""COMPUTED_VALUE"""),91.9)</f>
        <v>91.9</v>
      </c>
      <c r="E239" s="1">
        <f ca="1">IFERROR(__xludf.DUMMYFUNCTION("""COMPUTED_VALUE"""),93.56)</f>
        <v>93.56</v>
      </c>
      <c r="F239" s="1">
        <f ca="1">IFERROR(__xludf.DUMMYFUNCTION("""COMPUTED_VALUE"""),27380948)</f>
        <v>27380948</v>
      </c>
    </row>
    <row r="240" spans="1:6" ht="12.6">
      <c r="A240" s="2">
        <f ca="1">IFERROR(__xludf.DUMMYFUNCTION("""COMPUTED_VALUE"""),44908.6666666666)</f>
        <v>44908.666666666599</v>
      </c>
      <c r="B240" s="1">
        <f ca="1">IFERROR(__xludf.DUMMYFUNCTION("""COMPUTED_VALUE"""),98.07)</f>
        <v>98.07</v>
      </c>
      <c r="C240" s="1">
        <f ca="1">IFERROR(__xludf.DUMMYFUNCTION("""COMPUTED_VALUE"""),99.8)</f>
        <v>99.8</v>
      </c>
      <c r="D240" s="1">
        <f ca="1">IFERROR(__xludf.DUMMYFUNCTION("""COMPUTED_VALUE"""),95.38)</f>
        <v>95.38</v>
      </c>
      <c r="E240" s="1">
        <f ca="1">IFERROR(__xludf.DUMMYFUNCTION("""COMPUTED_VALUE"""),95.85)</f>
        <v>95.85</v>
      </c>
      <c r="F240" s="1">
        <f ca="1">IFERROR(__xludf.DUMMYFUNCTION("""COMPUTED_VALUE"""),34788522)</f>
        <v>34788522</v>
      </c>
    </row>
    <row r="241" spans="1:6" ht="12.6">
      <c r="A241" s="2">
        <f ca="1">IFERROR(__xludf.DUMMYFUNCTION("""COMPUTED_VALUE"""),44909.6666666666)</f>
        <v>44909.666666666599</v>
      </c>
      <c r="B241" s="1">
        <f ca="1">IFERROR(__xludf.DUMMYFUNCTION("""COMPUTED_VALUE"""),95.54)</f>
        <v>95.54</v>
      </c>
      <c r="C241" s="1">
        <f ca="1">IFERROR(__xludf.DUMMYFUNCTION("""COMPUTED_VALUE"""),97.22)</f>
        <v>97.22</v>
      </c>
      <c r="D241" s="1">
        <f ca="1">IFERROR(__xludf.DUMMYFUNCTION("""COMPUTED_VALUE"""),93.94)</f>
        <v>93.94</v>
      </c>
      <c r="E241" s="1">
        <f ca="1">IFERROR(__xludf.DUMMYFUNCTION("""COMPUTED_VALUE"""),95.31)</f>
        <v>95.31</v>
      </c>
      <c r="F241" s="1">
        <f ca="1">IFERROR(__xludf.DUMMYFUNCTION("""COMPUTED_VALUE"""),26452939)</f>
        <v>26452939</v>
      </c>
    </row>
    <row r="242" spans="1:6" ht="12.6">
      <c r="A242" s="2">
        <f ca="1">IFERROR(__xludf.DUMMYFUNCTION("""COMPUTED_VALUE"""),44910.6666666666)</f>
        <v>44910.666666666599</v>
      </c>
      <c r="B242" s="1">
        <f ca="1">IFERROR(__xludf.DUMMYFUNCTION("""COMPUTED_VALUE"""),93.54)</f>
        <v>93.54</v>
      </c>
      <c r="C242" s="1">
        <f ca="1">IFERROR(__xludf.DUMMYFUNCTION("""COMPUTED_VALUE"""),94.03)</f>
        <v>94.03</v>
      </c>
      <c r="D242" s="1">
        <f ca="1">IFERROR(__xludf.DUMMYFUNCTION("""COMPUTED_VALUE"""),90.43)</f>
        <v>90.43</v>
      </c>
      <c r="E242" s="1">
        <f ca="1">IFERROR(__xludf.DUMMYFUNCTION("""COMPUTED_VALUE"""),91.2)</f>
        <v>91.2</v>
      </c>
      <c r="F242" s="1">
        <f ca="1">IFERROR(__xludf.DUMMYFUNCTION("""COMPUTED_VALUE"""),28298756)</f>
        <v>28298756</v>
      </c>
    </row>
    <row r="243" spans="1:6" ht="12.6">
      <c r="A243" s="2">
        <f ca="1">IFERROR(__xludf.DUMMYFUNCTION("""COMPUTED_VALUE"""),44911.6666666666)</f>
        <v>44911.666666666599</v>
      </c>
      <c r="B243" s="1">
        <f ca="1">IFERROR(__xludf.DUMMYFUNCTION("""COMPUTED_VALUE"""),91.2)</f>
        <v>91.2</v>
      </c>
      <c r="C243" s="1">
        <f ca="1">IFERROR(__xludf.DUMMYFUNCTION("""COMPUTED_VALUE"""),91.75)</f>
        <v>91.75</v>
      </c>
      <c r="D243" s="1">
        <f ca="1">IFERROR(__xludf.DUMMYFUNCTION("""COMPUTED_VALUE"""),90.01)</f>
        <v>90.01</v>
      </c>
      <c r="E243" s="1">
        <f ca="1">IFERROR(__xludf.DUMMYFUNCTION("""COMPUTED_VALUE"""),90.86)</f>
        <v>90.86</v>
      </c>
      <c r="F243" s="1">
        <f ca="1">IFERROR(__xludf.DUMMYFUNCTION("""COMPUTED_VALUE"""),48485507)</f>
        <v>48485507</v>
      </c>
    </row>
    <row r="244" spans="1:6" ht="12.6">
      <c r="A244" s="2">
        <f ca="1">IFERROR(__xludf.DUMMYFUNCTION("""COMPUTED_VALUE"""),44914.6666666666)</f>
        <v>44914.666666666599</v>
      </c>
      <c r="B244" s="1">
        <f ca="1">IFERROR(__xludf.DUMMYFUNCTION("""COMPUTED_VALUE"""),90.88)</f>
        <v>90.88</v>
      </c>
      <c r="C244" s="1">
        <f ca="1">IFERROR(__xludf.DUMMYFUNCTION("""COMPUTED_VALUE"""),91.2)</f>
        <v>91.2</v>
      </c>
      <c r="D244" s="1">
        <f ca="1">IFERROR(__xludf.DUMMYFUNCTION("""COMPUTED_VALUE"""),88.93)</f>
        <v>88.93</v>
      </c>
      <c r="E244" s="1">
        <f ca="1">IFERROR(__xludf.DUMMYFUNCTION("""COMPUTED_VALUE"""),89.15)</f>
        <v>89.15</v>
      </c>
      <c r="F244" s="1">
        <f ca="1">IFERROR(__xludf.DUMMYFUNCTION("""COMPUTED_VALUE"""),23020537)</f>
        <v>23020537</v>
      </c>
    </row>
    <row r="245" spans="1:6" ht="12.6">
      <c r="A245" s="2">
        <f ca="1">IFERROR(__xludf.DUMMYFUNCTION("""COMPUTED_VALUE"""),44915.6666666666)</f>
        <v>44915.666666666599</v>
      </c>
      <c r="B245" s="1">
        <f ca="1">IFERROR(__xludf.DUMMYFUNCTION("""COMPUTED_VALUE"""),88.73)</f>
        <v>88.73</v>
      </c>
      <c r="C245" s="1">
        <f ca="1">IFERROR(__xludf.DUMMYFUNCTION("""COMPUTED_VALUE"""),89.78)</f>
        <v>89.78</v>
      </c>
      <c r="D245" s="1">
        <f ca="1">IFERROR(__xludf.DUMMYFUNCTION("""COMPUTED_VALUE"""),88.04)</f>
        <v>88.04</v>
      </c>
      <c r="E245" s="1">
        <f ca="1">IFERROR(__xludf.DUMMYFUNCTION("""COMPUTED_VALUE"""),89.63)</f>
        <v>89.63</v>
      </c>
      <c r="F245" s="1">
        <f ca="1">IFERROR(__xludf.DUMMYFUNCTION("""COMPUTED_VALUE"""),21976846)</f>
        <v>21976846</v>
      </c>
    </row>
    <row r="246" spans="1:6" ht="12.6">
      <c r="A246" s="2">
        <f ca="1">IFERROR(__xludf.DUMMYFUNCTION("""COMPUTED_VALUE"""),44916.6666666666)</f>
        <v>44916.666666666599</v>
      </c>
      <c r="B246" s="1">
        <f ca="1">IFERROR(__xludf.DUMMYFUNCTION("""COMPUTED_VALUE"""),89.73)</f>
        <v>89.73</v>
      </c>
      <c r="C246" s="1">
        <f ca="1">IFERROR(__xludf.DUMMYFUNCTION("""COMPUTED_VALUE"""),90.92)</f>
        <v>90.92</v>
      </c>
      <c r="D246" s="1">
        <f ca="1">IFERROR(__xludf.DUMMYFUNCTION("""COMPUTED_VALUE"""),88.91)</f>
        <v>88.91</v>
      </c>
      <c r="E246" s="1">
        <f ca="1">IFERROR(__xludf.DUMMYFUNCTION("""COMPUTED_VALUE"""),90.25)</f>
        <v>90.25</v>
      </c>
      <c r="F246" s="1">
        <f ca="1">IFERROR(__xludf.DUMMYFUNCTION("""COMPUTED_VALUE"""),20336387)</f>
        <v>20336387</v>
      </c>
    </row>
    <row r="247" spans="1:6" ht="12.6">
      <c r="A247" s="2">
        <f ca="1">IFERROR(__xludf.DUMMYFUNCTION("""COMPUTED_VALUE"""),44917.6666666666)</f>
        <v>44917.666666666599</v>
      </c>
      <c r="B247" s="1">
        <f ca="1">IFERROR(__xludf.DUMMYFUNCTION("""COMPUTED_VALUE"""),88.93)</f>
        <v>88.93</v>
      </c>
      <c r="C247" s="1">
        <f ca="1">IFERROR(__xludf.DUMMYFUNCTION("""COMPUTED_VALUE"""),89.18)</f>
        <v>89.18</v>
      </c>
      <c r="D247" s="1">
        <f ca="1">IFERROR(__xludf.DUMMYFUNCTION("""COMPUTED_VALUE"""),86.94)</f>
        <v>86.94</v>
      </c>
      <c r="E247" s="1">
        <f ca="1">IFERROR(__xludf.DUMMYFUNCTION("""COMPUTED_VALUE"""),88.26)</f>
        <v>88.26</v>
      </c>
      <c r="F247" s="1">
        <f ca="1">IFERROR(__xludf.DUMMYFUNCTION("""COMPUTED_VALUE"""),23656066)</f>
        <v>23656066</v>
      </c>
    </row>
    <row r="248" spans="1:6" ht="12.6">
      <c r="A248" s="2">
        <f ca="1">IFERROR(__xludf.DUMMYFUNCTION("""COMPUTED_VALUE"""),44918.6666666666)</f>
        <v>44918.666666666599</v>
      </c>
      <c r="B248" s="1">
        <f ca="1">IFERROR(__xludf.DUMMYFUNCTION("""COMPUTED_VALUE"""),87.62)</f>
        <v>87.62</v>
      </c>
      <c r="C248" s="1">
        <f ca="1">IFERROR(__xludf.DUMMYFUNCTION("""COMPUTED_VALUE"""),90.1)</f>
        <v>90.1</v>
      </c>
      <c r="D248" s="1">
        <f ca="1">IFERROR(__xludf.DUMMYFUNCTION("""COMPUTED_VALUE"""),87.62)</f>
        <v>87.62</v>
      </c>
      <c r="E248" s="1">
        <f ca="1">IFERROR(__xludf.DUMMYFUNCTION("""COMPUTED_VALUE"""),89.81)</f>
        <v>89.81</v>
      </c>
      <c r="F248" s="1">
        <f ca="1">IFERROR(__xludf.DUMMYFUNCTION("""COMPUTED_VALUE"""),17815010)</f>
        <v>17815010</v>
      </c>
    </row>
    <row r="249" spans="1:6" ht="12.6">
      <c r="A249" s="2">
        <f ca="1">IFERROR(__xludf.DUMMYFUNCTION("""COMPUTED_VALUE"""),44922.6666666666)</f>
        <v>44922.666666666599</v>
      </c>
      <c r="B249" s="1">
        <f ca="1">IFERROR(__xludf.DUMMYFUNCTION("""COMPUTED_VALUE"""),89.31)</f>
        <v>89.31</v>
      </c>
      <c r="C249" s="1">
        <f ca="1">IFERROR(__xludf.DUMMYFUNCTION("""COMPUTED_VALUE"""),89.5)</f>
        <v>89.5</v>
      </c>
      <c r="D249" s="1">
        <f ca="1">IFERROR(__xludf.DUMMYFUNCTION("""COMPUTED_VALUE"""),87.54)</f>
        <v>87.54</v>
      </c>
      <c r="E249" s="1">
        <f ca="1">IFERROR(__xludf.DUMMYFUNCTION("""COMPUTED_VALUE"""),87.93)</f>
        <v>87.93</v>
      </c>
      <c r="F249" s="1">
        <f ca="1">IFERROR(__xludf.DUMMYFUNCTION("""COMPUTED_VALUE"""),15470870)</f>
        <v>15470870</v>
      </c>
    </row>
    <row r="250" spans="1:6" ht="12.6">
      <c r="A250" s="2">
        <f ca="1">IFERROR(__xludf.DUMMYFUNCTION("""COMPUTED_VALUE"""),44923.6666666666)</f>
        <v>44923.666666666599</v>
      </c>
      <c r="B250" s="1">
        <f ca="1">IFERROR(__xludf.DUMMYFUNCTION("""COMPUTED_VALUE"""),87.5)</f>
        <v>87.5</v>
      </c>
      <c r="C250" s="1">
        <f ca="1">IFERROR(__xludf.DUMMYFUNCTION("""COMPUTED_VALUE"""),88.52)</f>
        <v>88.52</v>
      </c>
      <c r="D250" s="1">
        <f ca="1">IFERROR(__xludf.DUMMYFUNCTION("""COMPUTED_VALUE"""),86.37)</f>
        <v>86.37</v>
      </c>
      <c r="E250" s="1">
        <f ca="1">IFERROR(__xludf.DUMMYFUNCTION("""COMPUTED_VALUE"""),86.46)</f>
        <v>86.46</v>
      </c>
      <c r="F250" s="1">
        <f ca="1">IFERROR(__xludf.DUMMYFUNCTION("""COMPUTED_VALUE"""),17879567)</f>
        <v>17879567</v>
      </c>
    </row>
    <row r="251" spans="1:6" ht="12.6">
      <c r="A251" s="2">
        <f ca="1">IFERROR(__xludf.DUMMYFUNCTION("""COMPUTED_VALUE"""),44924.6666666666)</f>
        <v>44924.666666666599</v>
      </c>
      <c r="B251" s="1">
        <f ca="1">IFERROR(__xludf.DUMMYFUNCTION("""COMPUTED_VALUE"""),87.03)</f>
        <v>87.03</v>
      </c>
      <c r="C251" s="1">
        <f ca="1">IFERROR(__xludf.DUMMYFUNCTION("""COMPUTED_VALUE"""),89.37)</f>
        <v>89.37</v>
      </c>
      <c r="D251" s="1">
        <f ca="1">IFERROR(__xludf.DUMMYFUNCTION("""COMPUTED_VALUE"""),86.99)</f>
        <v>86.99</v>
      </c>
      <c r="E251" s="1">
        <f ca="1">IFERROR(__xludf.DUMMYFUNCTION("""COMPUTED_VALUE"""),88.95)</f>
        <v>88.95</v>
      </c>
      <c r="F251" s="1">
        <f ca="1">IFERROR(__xludf.DUMMYFUNCTION("""COMPUTED_VALUE"""),18280660)</f>
        <v>18280660</v>
      </c>
    </row>
    <row r="252" spans="1:6" ht="12.6">
      <c r="A252" s="2">
        <f ca="1">IFERROR(__xludf.DUMMYFUNCTION("""COMPUTED_VALUE"""),44925.6666666666)</f>
        <v>44925.666666666599</v>
      </c>
      <c r="B252" s="1">
        <f ca="1">IFERROR(__xludf.DUMMYFUNCTION("""COMPUTED_VALUE"""),87.37)</f>
        <v>87.37</v>
      </c>
      <c r="C252" s="1">
        <f ca="1">IFERROR(__xludf.DUMMYFUNCTION("""COMPUTED_VALUE"""),88.83)</f>
        <v>88.83</v>
      </c>
      <c r="D252" s="1">
        <f ca="1">IFERROR(__xludf.DUMMYFUNCTION("""COMPUTED_VALUE"""),87.03)</f>
        <v>87.03</v>
      </c>
      <c r="E252" s="1">
        <f ca="1">IFERROR(__xludf.DUMMYFUNCTION("""COMPUTED_VALUE"""),88.73)</f>
        <v>88.73</v>
      </c>
      <c r="F252" s="1">
        <f ca="1">IFERROR(__xludf.DUMMYFUNCTION("""COMPUTED_VALUE"""),19190296)</f>
        <v>19190296</v>
      </c>
    </row>
    <row r="253" spans="1:6" ht="12.6">
      <c r="A253" s="2">
        <f ca="1">IFERROR(__xludf.DUMMYFUNCTION("""COMPUTED_VALUE"""),44929.6666666666)</f>
        <v>44929.666666666599</v>
      </c>
      <c r="B253" s="1">
        <f ca="1">IFERROR(__xludf.DUMMYFUNCTION("""COMPUTED_VALUE"""),89.83)</f>
        <v>89.83</v>
      </c>
      <c r="C253" s="1">
        <f ca="1">IFERROR(__xludf.DUMMYFUNCTION("""COMPUTED_VALUE"""),91.55)</f>
        <v>91.55</v>
      </c>
      <c r="D253" s="1">
        <f ca="1">IFERROR(__xludf.DUMMYFUNCTION("""COMPUTED_VALUE"""),89.02)</f>
        <v>89.02</v>
      </c>
      <c r="E253" s="1">
        <f ca="1">IFERROR(__xludf.DUMMYFUNCTION("""COMPUTED_VALUE"""),89.7)</f>
        <v>89.7</v>
      </c>
      <c r="F253" s="1">
        <f ca="1">IFERROR(__xludf.DUMMYFUNCTION("""COMPUTED_VALUE"""),20738457)</f>
        <v>20738457</v>
      </c>
    </row>
    <row r="254" spans="1:6" ht="12.6">
      <c r="A254" s="2">
        <f ca="1">IFERROR(__xludf.DUMMYFUNCTION("""COMPUTED_VALUE"""),44930.6666666666)</f>
        <v>44930.666666666599</v>
      </c>
      <c r="B254" s="1">
        <f ca="1">IFERROR(__xludf.DUMMYFUNCTION("""COMPUTED_VALUE"""),91.01)</f>
        <v>91.01</v>
      </c>
      <c r="C254" s="1">
        <f ca="1">IFERROR(__xludf.DUMMYFUNCTION("""COMPUTED_VALUE"""),91.24)</f>
        <v>91.24</v>
      </c>
      <c r="D254" s="1">
        <f ca="1">IFERROR(__xludf.DUMMYFUNCTION("""COMPUTED_VALUE"""),87.8)</f>
        <v>87.8</v>
      </c>
      <c r="E254" s="1">
        <f ca="1">IFERROR(__xludf.DUMMYFUNCTION("""COMPUTED_VALUE"""),88.71)</f>
        <v>88.71</v>
      </c>
      <c r="F254" s="1">
        <f ca="1">IFERROR(__xludf.DUMMYFUNCTION("""COMPUTED_VALUE"""),27046483)</f>
        <v>27046483</v>
      </c>
    </row>
    <row r="255" spans="1:6" ht="12.6">
      <c r="A255" s="2">
        <f ca="1">IFERROR(__xludf.DUMMYFUNCTION("""COMPUTED_VALUE"""),44931.6666666666)</f>
        <v>44931.666666666599</v>
      </c>
      <c r="B255" s="1">
        <f ca="1">IFERROR(__xludf.DUMMYFUNCTION("""COMPUTED_VALUE"""),88.07)</f>
        <v>88.07</v>
      </c>
      <c r="C255" s="1">
        <f ca="1">IFERROR(__xludf.DUMMYFUNCTION("""COMPUTED_VALUE"""),88.21)</f>
        <v>88.21</v>
      </c>
      <c r="D255" s="1">
        <f ca="1">IFERROR(__xludf.DUMMYFUNCTION("""COMPUTED_VALUE"""),86.56)</f>
        <v>86.56</v>
      </c>
      <c r="E255" s="1">
        <f ca="1">IFERROR(__xludf.DUMMYFUNCTION("""COMPUTED_VALUE"""),86.77)</f>
        <v>86.77</v>
      </c>
      <c r="F255" s="1">
        <f ca="1">IFERROR(__xludf.DUMMYFUNCTION("""COMPUTED_VALUE"""),23136084)</f>
        <v>23136084</v>
      </c>
    </row>
    <row r="256" spans="1:6" ht="12.6">
      <c r="A256" s="2">
        <f ca="1">IFERROR(__xludf.DUMMYFUNCTION("""COMPUTED_VALUE"""),44932.6666666666)</f>
        <v>44932.666666666599</v>
      </c>
      <c r="B256" s="1">
        <f ca="1">IFERROR(__xludf.DUMMYFUNCTION("""COMPUTED_VALUE"""),87.36)</f>
        <v>87.36</v>
      </c>
      <c r="C256" s="1">
        <f ca="1">IFERROR(__xludf.DUMMYFUNCTION("""COMPUTED_VALUE"""),88.47)</f>
        <v>88.47</v>
      </c>
      <c r="D256" s="1">
        <f ca="1">IFERROR(__xludf.DUMMYFUNCTION("""COMPUTED_VALUE"""),85.57)</f>
        <v>85.57</v>
      </c>
      <c r="E256" s="1">
        <f ca="1">IFERROR(__xludf.DUMMYFUNCTION("""COMPUTED_VALUE"""),88.16)</f>
        <v>88.16</v>
      </c>
      <c r="F256" s="1">
        <f ca="1">IFERROR(__xludf.DUMMYFUNCTION("""COMPUTED_VALUE"""),26612628)</f>
        <v>26612628</v>
      </c>
    </row>
    <row r="257" spans="1:6" ht="12.6">
      <c r="A257" s="2">
        <f ca="1">IFERROR(__xludf.DUMMYFUNCTION("""COMPUTED_VALUE"""),44935.6666666666)</f>
        <v>44935.666666666599</v>
      </c>
      <c r="B257" s="1">
        <f ca="1">IFERROR(__xludf.DUMMYFUNCTION("""COMPUTED_VALUE"""),89.2)</f>
        <v>89.2</v>
      </c>
      <c r="C257" s="1">
        <f ca="1">IFERROR(__xludf.DUMMYFUNCTION("""COMPUTED_VALUE"""),90.83)</f>
        <v>90.83</v>
      </c>
      <c r="D257" s="1">
        <f ca="1">IFERROR(__xludf.DUMMYFUNCTION("""COMPUTED_VALUE"""),88.58)</f>
        <v>88.58</v>
      </c>
      <c r="E257" s="1">
        <f ca="1">IFERROR(__xludf.DUMMYFUNCTION("""COMPUTED_VALUE"""),88.8)</f>
        <v>88.8</v>
      </c>
      <c r="F257" s="1">
        <f ca="1">IFERROR(__xludf.DUMMYFUNCTION("""COMPUTED_VALUE"""),22996681)</f>
        <v>22996681</v>
      </c>
    </row>
    <row r="258" spans="1:6" ht="12.6">
      <c r="A258" s="2">
        <f ca="1">IFERROR(__xludf.DUMMYFUNCTION("""COMPUTED_VALUE"""),44936.6666666666)</f>
        <v>44936.666666666599</v>
      </c>
      <c r="B258" s="1">
        <f ca="1">IFERROR(__xludf.DUMMYFUNCTION("""COMPUTED_VALUE"""),86.72)</f>
        <v>86.72</v>
      </c>
      <c r="C258" s="1">
        <f ca="1">IFERROR(__xludf.DUMMYFUNCTION("""COMPUTED_VALUE"""),89.48)</f>
        <v>89.48</v>
      </c>
      <c r="D258" s="1">
        <f ca="1">IFERROR(__xludf.DUMMYFUNCTION("""COMPUTED_VALUE"""),86.7)</f>
        <v>86.7</v>
      </c>
      <c r="E258" s="1">
        <f ca="1">IFERROR(__xludf.DUMMYFUNCTION("""COMPUTED_VALUE"""),89.24)</f>
        <v>89.24</v>
      </c>
      <c r="F258" s="1">
        <f ca="1">IFERROR(__xludf.DUMMYFUNCTION("""COMPUTED_VALUE"""),22855590)</f>
        <v>22855590</v>
      </c>
    </row>
    <row r="259" spans="1:6" ht="12.6">
      <c r="A259" s="2">
        <f ca="1">IFERROR(__xludf.DUMMYFUNCTION("""COMPUTED_VALUE"""),44937.6666666666)</f>
        <v>44937.666666666599</v>
      </c>
      <c r="B259" s="1">
        <f ca="1">IFERROR(__xludf.DUMMYFUNCTION("""COMPUTED_VALUE"""),90.06)</f>
        <v>90.06</v>
      </c>
      <c r="C259" s="1">
        <f ca="1">IFERROR(__xludf.DUMMYFUNCTION("""COMPUTED_VALUE"""),92.45)</f>
        <v>92.45</v>
      </c>
      <c r="D259" s="1">
        <f ca="1">IFERROR(__xludf.DUMMYFUNCTION("""COMPUTED_VALUE"""),89.74)</f>
        <v>89.74</v>
      </c>
      <c r="E259" s="1">
        <f ca="1">IFERROR(__xludf.DUMMYFUNCTION("""COMPUTED_VALUE"""),92.26)</f>
        <v>92.26</v>
      </c>
      <c r="F259" s="1">
        <f ca="1">IFERROR(__xludf.DUMMYFUNCTION("""COMPUTED_VALUE"""),25998844)</f>
        <v>25998844</v>
      </c>
    </row>
    <row r="260" spans="1:6" ht="12.6">
      <c r="A260" s="2">
        <f ca="1">IFERROR(__xludf.DUMMYFUNCTION("""COMPUTED_VALUE"""),44938.6666666666)</f>
        <v>44938.666666666599</v>
      </c>
      <c r="B260" s="1">
        <f ca="1">IFERROR(__xludf.DUMMYFUNCTION("""COMPUTED_VALUE"""),92.4)</f>
        <v>92.4</v>
      </c>
      <c r="C260" s="1">
        <f ca="1">IFERROR(__xludf.DUMMYFUNCTION("""COMPUTED_VALUE"""),92.62)</f>
        <v>92.62</v>
      </c>
      <c r="D260" s="1">
        <f ca="1">IFERROR(__xludf.DUMMYFUNCTION("""COMPUTED_VALUE"""),90.57)</f>
        <v>90.57</v>
      </c>
      <c r="E260" s="1">
        <f ca="1">IFERROR(__xludf.DUMMYFUNCTION("""COMPUTED_VALUE"""),91.91)</f>
        <v>91.91</v>
      </c>
      <c r="F260" s="1">
        <f ca="1">IFERROR(__xludf.DUMMYFUNCTION("""COMPUTED_VALUE"""),22754216)</f>
        <v>22754216</v>
      </c>
    </row>
    <row r="261" spans="1:6" ht="12.6">
      <c r="A261" s="2">
        <f ca="1">IFERROR(__xludf.DUMMYFUNCTION("""COMPUTED_VALUE"""),44939.6666666666)</f>
        <v>44939.666666666599</v>
      </c>
      <c r="B261" s="1">
        <f ca="1">IFERROR(__xludf.DUMMYFUNCTION("""COMPUTED_VALUE"""),91.53)</f>
        <v>91.53</v>
      </c>
      <c r="C261" s="1">
        <f ca="1">IFERROR(__xludf.DUMMYFUNCTION("""COMPUTED_VALUE"""),92.98)</f>
        <v>92.98</v>
      </c>
      <c r="D261" s="1">
        <f ca="1">IFERROR(__xludf.DUMMYFUNCTION("""COMPUTED_VALUE"""),90.93)</f>
        <v>90.93</v>
      </c>
      <c r="E261" s="1">
        <f ca="1">IFERROR(__xludf.DUMMYFUNCTION("""COMPUTED_VALUE"""),92.8)</f>
        <v>92.8</v>
      </c>
      <c r="F261" s="1">
        <f ca="1">IFERROR(__xludf.DUMMYFUNCTION("""COMPUTED_VALUE"""),18630709)</f>
        <v>18630709</v>
      </c>
    </row>
    <row r="262" spans="1:6" ht="12.6">
      <c r="A262" s="2">
        <f ca="1">IFERROR(__xludf.DUMMYFUNCTION("""COMPUTED_VALUE"""),44943.6666666666)</f>
        <v>44943.666666666599</v>
      </c>
      <c r="B262" s="1">
        <f ca="1">IFERROR(__xludf.DUMMYFUNCTION("""COMPUTED_VALUE"""),92.78)</f>
        <v>92.78</v>
      </c>
      <c r="C262" s="1">
        <f ca="1">IFERROR(__xludf.DUMMYFUNCTION("""COMPUTED_VALUE"""),92.97)</f>
        <v>92.97</v>
      </c>
      <c r="D262" s="1">
        <f ca="1">IFERROR(__xludf.DUMMYFUNCTION("""COMPUTED_VALUE"""),90.84)</f>
        <v>90.84</v>
      </c>
      <c r="E262" s="1">
        <f ca="1">IFERROR(__xludf.DUMMYFUNCTION("""COMPUTED_VALUE"""),92.16)</f>
        <v>92.16</v>
      </c>
      <c r="F262" s="1">
        <f ca="1">IFERROR(__xludf.DUMMYFUNCTION("""COMPUTED_VALUE"""),22935823)</f>
        <v>22935823</v>
      </c>
    </row>
    <row r="263" spans="1:6" ht="12.6">
      <c r="A263" s="2">
        <f ca="1">IFERROR(__xludf.DUMMYFUNCTION("""COMPUTED_VALUE"""),44944.6666666666)</f>
        <v>44944.666666666599</v>
      </c>
      <c r="B263" s="1">
        <f ca="1">IFERROR(__xludf.DUMMYFUNCTION("""COMPUTED_VALUE"""),92.94)</f>
        <v>92.94</v>
      </c>
      <c r="C263" s="1">
        <f ca="1">IFERROR(__xludf.DUMMYFUNCTION("""COMPUTED_VALUE"""),93.59)</f>
        <v>93.59</v>
      </c>
      <c r="D263" s="1">
        <f ca="1">IFERROR(__xludf.DUMMYFUNCTION("""COMPUTED_VALUE"""),91.4)</f>
        <v>91.4</v>
      </c>
      <c r="E263" s="1">
        <f ca="1">IFERROR(__xludf.DUMMYFUNCTION("""COMPUTED_VALUE"""),91.78)</f>
        <v>91.78</v>
      </c>
      <c r="F263" s="1">
        <f ca="1">IFERROR(__xludf.DUMMYFUNCTION("""COMPUTED_VALUE"""),19641622)</f>
        <v>19641622</v>
      </c>
    </row>
    <row r="264" spans="1:6" ht="12.6">
      <c r="A264" s="2">
        <f ca="1">IFERROR(__xludf.DUMMYFUNCTION("""COMPUTED_VALUE"""),44945.6666666666)</f>
        <v>44945.666666666599</v>
      </c>
      <c r="B264" s="1">
        <f ca="1">IFERROR(__xludf.DUMMYFUNCTION("""COMPUTED_VALUE"""),91.39)</f>
        <v>91.39</v>
      </c>
      <c r="C264" s="1">
        <f ca="1">IFERROR(__xludf.DUMMYFUNCTION("""COMPUTED_VALUE"""),94.4)</f>
        <v>94.4</v>
      </c>
      <c r="D264" s="1">
        <f ca="1">IFERROR(__xludf.DUMMYFUNCTION("""COMPUTED_VALUE"""),91.38)</f>
        <v>91.38</v>
      </c>
      <c r="E264" s="1">
        <f ca="1">IFERROR(__xludf.DUMMYFUNCTION("""COMPUTED_VALUE"""),93.91)</f>
        <v>93.91</v>
      </c>
      <c r="F264" s="1">
        <f ca="1">IFERROR(__xludf.DUMMYFUNCTION("""COMPUTED_VALUE"""),28707653)</f>
        <v>28707653</v>
      </c>
    </row>
    <row r="265" spans="1:6" ht="12.6">
      <c r="A265" s="2">
        <f ca="1">IFERROR(__xludf.DUMMYFUNCTION("""COMPUTED_VALUE"""),44946.6666666666)</f>
        <v>44946.666666666599</v>
      </c>
      <c r="B265" s="1">
        <f ca="1">IFERROR(__xludf.DUMMYFUNCTION("""COMPUTED_VALUE"""),95.95)</f>
        <v>95.95</v>
      </c>
      <c r="C265" s="1">
        <f ca="1">IFERROR(__xludf.DUMMYFUNCTION("""COMPUTED_VALUE"""),99.42)</f>
        <v>99.42</v>
      </c>
      <c r="D265" s="1">
        <f ca="1">IFERROR(__xludf.DUMMYFUNCTION("""COMPUTED_VALUE"""),95.91)</f>
        <v>95.91</v>
      </c>
      <c r="E265" s="1">
        <f ca="1">IFERROR(__xludf.DUMMYFUNCTION("""COMPUTED_VALUE"""),99.28)</f>
        <v>99.28</v>
      </c>
      <c r="F265" s="1">
        <f ca="1">IFERROR(__xludf.DUMMYFUNCTION("""COMPUTED_VALUE"""),53704763)</f>
        <v>53704763</v>
      </c>
    </row>
    <row r="266" spans="1:6" ht="12.6">
      <c r="A266" s="2">
        <f ca="1">IFERROR(__xludf.DUMMYFUNCTION("""COMPUTED_VALUE"""),44949.6666666666)</f>
        <v>44949.666666666599</v>
      </c>
      <c r="B266" s="1">
        <f ca="1">IFERROR(__xludf.DUMMYFUNCTION("""COMPUTED_VALUE"""),99.13)</f>
        <v>99.13</v>
      </c>
      <c r="C266" s="1">
        <f ca="1">IFERROR(__xludf.DUMMYFUNCTION("""COMPUTED_VALUE"""),101.4)</f>
        <v>101.4</v>
      </c>
      <c r="D266" s="1">
        <f ca="1">IFERROR(__xludf.DUMMYFUNCTION("""COMPUTED_VALUE"""),98.75)</f>
        <v>98.75</v>
      </c>
      <c r="E266" s="1">
        <f ca="1">IFERROR(__xludf.DUMMYFUNCTION("""COMPUTED_VALUE"""),101.21)</f>
        <v>101.21</v>
      </c>
      <c r="F266" s="1">
        <f ca="1">IFERROR(__xludf.DUMMYFUNCTION("""COMPUTED_VALUE"""),31791782)</f>
        <v>31791782</v>
      </c>
    </row>
    <row r="267" spans="1:6" ht="12.6">
      <c r="A267" s="2">
        <f ca="1">IFERROR(__xludf.DUMMYFUNCTION("""COMPUTED_VALUE"""),44950.6666666666)</f>
        <v>44950.666666666599</v>
      </c>
      <c r="B267" s="1">
        <f ca="1">IFERROR(__xludf.DUMMYFUNCTION("""COMPUTED_VALUE"""),99.55)</f>
        <v>99.55</v>
      </c>
      <c r="C267" s="1">
        <f ca="1">IFERROR(__xludf.DUMMYFUNCTION("""COMPUTED_VALUE"""),101.09)</f>
        <v>101.09</v>
      </c>
      <c r="D267" s="1">
        <f ca="1">IFERROR(__xludf.DUMMYFUNCTION("""COMPUTED_VALUE"""),98.7)</f>
        <v>98.7</v>
      </c>
      <c r="E267" s="1">
        <f ca="1">IFERROR(__xludf.DUMMYFUNCTION("""COMPUTED_VALUE"""),99.21)</f>
        <v>99.21</v>
      </c>
      <c r="F267" s="1">
        <f ca="1">IFERROR(__xludf.DUMMYFUNCTION("""COMPUTED_VALUE"""),27391372)</f>
        <v>27391372</v>
      </c>
    </row>
    <row r="268" spans="1:6" ht="12.6">
      <c r="A268" s="2">
        <f ca="1">IFERROR(__xludf.DUMMYFUNCTION("""COMPUTED_VALUE"""),44951.6666666666)</f>
        <v>44951.666666666599</v>
      </c>
      <c r="B268" s="1">
        <f ca="1">IFERROR(__xludf.DUMMYFUNCTION("""COMPUTED_VALUE"""),97.2)</f>
        <v>97.2</v>
      </c>
      <c r="C268" s="1">
        <f ca="1">IFERROR(__xludf.DUMMYFUNCTION("""COMPUTED_VALUE"""),97.72)</f>
        <v>97.72</v>
      </c>
      <c r="D268" s="1">
        <f ca="1">IFERROR(__xludf.DUMMYFUNCTION("""COMPUTED_VALUE"""),95.26)</f>
        <v>95.26</v>
      </c>
      <c r="E268" s="1">
        <f ca="1">IFERROR(__xludf.DUMMYFUNCTION("""COMPUTED_VALUE"""),96.73)</f>
        <v>96.73</v>
      </c>
      <c r="F268" s="1">
        <f ca="1">IFERROR(__xludf.DUMMYFUNCTION("""COMPUTED_VALUE"""),31000850)</f>
        <v>31000850</v>
      </c>
    </row>
    <row r="269" spans="1:6" ht="12.6">
      <c r="A269" s="2">
        <f ca="1">IFERROR(__xludf.DUMMYFUNCTION("""COMPUTED_VALUE"""),44952.6666666666)</f>
        <v>44952.666666666599</v>
      </c>
      <c r="B269" s="1">
        <f ca="1">IFERROR(__xludf.DUMMYFUNCTION("""COMPUTED_VALUE"""),98.28)</f>
        <v>98.28</v>
      </c>
      <c r="C269" s="1">
        <f ca="1">IFERROR(__xludf.DUMMYFUNCTION("""COMPUTED_VALUE"""),99.21)</f>
        <v>99.21</v>
      </c>
      <c r="D269" s="1">
        <f ca="1">IFERROR(__xludf.DUMMYFUNCTION("""COMPUTED_VALUE"""),96.82)</f>
        <v>96.82</v>
      </c>
      <c r="E269" s="1">
        <f ca="1">IFERROR(__xludf.DUMMYFUNCTION("""COMPUTED_VALUE"""),99.16)</f>
        <v>99.16</v>
      </c>
      <c r="F269" s="1">
        <f ca="1">IFERROR(__xludf.DUMMYFUNCTION("""COMPUTED_VALUE"""),24542060)</f>
        <v>24542060</v>
      </c>
    </row>
    <row r="270" spans="1:6" ht="12.6">
      <c r="A270" s="2">
        <f ca="1">IFERROR(__xludf.DUMMYFUNCTION("""COMPUTED_VALUE"""),44953.6666666666)</f>
        <v>44953.666666666599</v>
      </c>
      <c r="B270" s="1">
        <f ca="1">IFERROR(__xludf.DUMMYFUNCTION("""COMPUTED_VALUE"""),99.05)</f>
        <v>99.05</v>
      </c>
      <c r="C270" s="1">
        <f ca="1">IFERROR(__xludf.DUMMYFUNCTION("""COMPUTED_VALUE"""),101.58)</f>
        <v>101.58</v>
      </c>
      <c r="D270" s="1">
        <f ca="1">IFERROR(__xludf.DUMMYFUNCTION("""COMPUTED_VALUE"""),98.97)</f>
        <v>98.97</v>
      </c>
      <c r="E270" s="1">
        <f ca="1">IFERROR(__xludf.DUMMYFUNCTION("""COMPUTED_VALUE"""),100.71)</f>
        <v>100.71</v>
      </c>
      <c r="F270" s="1">
        <f ca="1">IFERROR(__xludf.DUMMYFUNCTION("""COMPUTED_VALUE"""),29020354)</f>
        <v>29020354</v>
      </c>
    </row>
    <row r="271" spans="1:6" ht="12.6">
      <c r="A271" s="2">
        <f ca="1">IFERROR(__xludf.DUMMYFUNCTION("""COMPUTED_VALUE"""),44956.6666666666)</f>
        <v>44956.666666666599</v>
      </c>
      <c r="B271" s="1">
        <f ca="1">IFERROR(__xludf.DUMMYFUNCTION("""COMPUTED_VALUE"""),98.75)</f>
        <v>98.75</v>
      </c>
      <c r="C271" s="1">
        <f ca="1">IFERROR(__xludf.DUMMYFUNCTION("""COMPUTED_VALUE"""),99.41)</f>
        <v>99.41</v>
      </c>
      <c r="D271" s="1">
        <f ca="1">IFERROR(__xludf.DUMMYFUNCTION("""COMPUTED_VALUE"""),97.52)</f>
        <v>97.52</v>
      </c>
      <c r="E271" s="1">
        <f ca="1">IFERROR(__xludf.DUMMYFUNCTION("""COMPUTED_VALUE"""),97.95)</f>
        <v>97.95</v>
      </c>
      <c r="F271" s="1">
        <f ca="1">IFERROR(__xludf.DUMMYFUNCTION("""COMPUTED_VALUE"""),24365142)</f>
        <v>24365142</v>
      </c>
    </row>
    <row r="272" spans="1:6" ht="12.6">
      <c r="A272" s="2">
        <f ca="1">IFERROR(__xludf.DUMMYFUNCTION("""COMPUTED_VALUE"""),44957.6666666666)</f>
        <v>44957.666666666599</v>
      </c>
      <c r="B272" s="1">
        <f ca="1">IFERROR(__xludf.DUMMYFUNCTION("""COMPUTED_VALUE"""),97.86)</f>
        <v>97.86</v>
      </c>
      <c r="C272" s="1">
        <f ca="1">IFERROR(__xludf.DUMMYFUNCTION("""COMPUTED_VALUE"""),99.91)</f>
        <v>99.91</v>
      </c>
      <c r="D272" s="1">
        <f ca="1">IFERROR(__xludf.DUMMYFUNCTION("""COMPUTED_VALUE"""),97.79)</f>
        <v>97.79</v>
      </c>
      <c r="E272" s="1">
        <f ca="1">IFERROR(__xludf.DUMMYFUNCTION("""COMPUTED_VALUE"""),99.87)</f>
        <v>99.87</v>
      </c>
      <c r="F272" s="1">
        <f ca="1">IFERROR(__xludf.DUMMYFUNCTION("""COMPUTED_VALUE"""),22306778)</f>
        <v>22306778</v>
      </c>
    </row>
    <row r="273" spans="1:6" ht="12.6">
      <c r="A273" s="2">
        <f ca="1">IFERROR(__xludf.DUMMYFUNCTION("""COMPUTED_VALUE"""),44958.6666666666)</f>
        <v>44958.666666666599</v>
      </c>
      <c r="B273" s="1">
        <f ca="1">IFERROR(__xludf.DUMMYFUNCTION("""COMPUTED_VALUE"""),99.74)</f>
        <v>99.74</v>
      </c>
      <c r="C273" s="1">
        <f ca="1">IFERROR(__xludf.DUMMYFUNCTION("""COMPUTED_VALUE"""),102.19)</f>
        <v>102.19</v>
      </c>
      <c r="D273" s="1">
        <f ca="1">IFERROR(__xludf.DUMMYFUNCTION("""COMPUTED_VALUE"""),98.42)</f>
        <v>98.42</v>
      </c>
      <c r="E273" s="1">
        <f ca="1">IFERROR(__xludf.DUMMYFUNCTION("""COMPUTED_VALUE"""),101.43)</f>
        <v>101.43</v>
      </c>
      <c r="F273" s="1">
        <f ca="1">IFERROR(__xludf.DUMMYFUNCTION("""COMPUTED_VALUE"""),26392568)</f>
        <v>26392568</v>
      </c>
    </row>
    <row r="274" spans="1:6" ht="12.6">
      <c r="A274" s="2">
        <f ca="1">IFERROR(__xludf.DUMMYFUNCTION("""COMPUTED_VALUE"""),44959.6666666666)</f>
        <v>44959.666666666599</v>
      </c>
      <c r="B274" s="1">
        <f ca="1">IFERROR(__xludf.DUMMYFUNCTION("""COMPUTED_VALUE"""),106.79)</f>
        <v>106.79</v>
      </c>
      <c r="C274" s="1">
        <f ca="1">IFERROR(__xludf.DUMMYFUNCTION("""COMPUTED_VALUE"""),108.82)</f>
        <v>108.82</v>
      </c>
      <c r="D274" s="1">
        <f ca="1">IFERROR(__xludf.DUMMYFUNCTION("""COMPUTED_VALUE"""),106.54)</f>
        <v>106.54</v>
      </c>
      <c r="E274" s="1">
        <f ca="1">IFERROR(__xludf.DUMMYFUNCTION("""COMPUTED_VALUE"""),108.8)</f>
        <v>108.8</v>
      </c>
      <c r="F274" s="1">
        <f ca="1">IFERROR(__xludf.DUMMYFUNCTION("""COMPUTED_VALUE"""),46622627)</f>
        <v>46622627</v>
      </c>
    </row>
    <row r="275" spans="1:6" ht="12.6">
      <c r="A275" s="2">
        <f ca="1">IFERROR(__xludf.DUMMYFUNCTION("""COMPUTED_VALUE"""),44960.6666666666)</f>
        <v>44960.666666666599</v>
      </c>
      <c r="B275" s="1">
        <f ca="1">IFERROR(__xludf.DUMMYFUNCTION("""COMPUTED_VALUE"""),103.51)</f>
        <v>103.51</v>
      </c>
      <c r="C275" s="1">
        <f ca="1">IFERROR(__xludf.DUMMYFUNCTION("""COMPUTED_VALUE"""),108.02)</f>
        <v>108.02</v>
      </c>
      <c r="D275" s="1">
        <f ca="1">IFERROR(__xludf.DUMMYFUNCTION("""COMPUTED_VALUE"""),103.3)</f>
        <v>103.3</v>
      </c>
      <c r="E275" s="1">
        <f ca="1">IFERROR(__xludf.DUMMYFUNCTION("""COMPUTED_VALUE"""),105.22)</f>
        <v>105.22</v>
      </c>
      <c r="F275" s="1">
        <f ca="1">IFERROR(__xludf.DUMMYFUNCTION("""COMPUTED_VALUE"""),36823421)</f>
        <v>36823421</v>
      </c>
    </row>
    <row r="276" spans="1:6" ht="12.6">
      <c r="A276" s="2">
        <f ca="1">IFERROR(__xludf.DUMMYFUNCTION("""COMPUTED_VALUE"""),44963.6666666666)</f>
        <v>44963.666666666599</v>
      </c>
      <c r="B276" s="1">
        <f ca="1">IFERROR(__xludf.DUMMYFUNCTION("""COMPUTED_VALUE"""),102.69)</f>
        <v>102.69</v>
      </c>
      <c r="C276" s="1">
        <f ca="1">IFERROR(__xludf.DUMMYFUNCTION("""COMPUTED_VALUE"""),104.7)</f>
        <v>104.7</v>
      </c>
      <c r="D276" s="1">
        <f ca="1">IFERROR(__xludf.DUMMYFUNCTION("""COMPUTED_VALUE"""),102.21)</f>
        <v>102.21</v>
      </c>
      <c r="E276" s="1">
        <f ca="1">IFERROR(__xludf.DUMMYFUNCTION("""COMPUTED_VALUE"""),103.47)</f>
        <v>103.47</v>
      </c>
      <c r="F276" s="1">
        <f ca="1">IFERROR(__xludf.DUMMYFUNCTION("""COMPUTED_VALUE"""),25573046)</f>
        <v>25573046</v>
      </c>
    </row>
    <row r="277" spans="1:6" ht="12.6">
      <c r="A277" s="2">
        <f ca="1">IFERROR(__xludf.DUMMYFUNCTION("""COMPUTED_VALUE"""),44964.6666666666)</f>
        <v>44964.666666666599</v>
      </c>
      <c r="B277" s="1">
        <f ca="1">IFERROR(__xludf.DUMMYFUNCTION("""COMPUTED_VALUE"""),103.63)</f>
        <v>103.63</v>
      </c>
      <c r="C277" s="1">
        <f ca="1">IFERROR(__xludf.DUMMYFUNCTION("""COMPUTED_VALUE"""),108.67)</f>
        <v>108.67</v>
      </c>
      <c r="D277" s="1">
        <f ca="1">IFERROR(__xludf.DUMMYFUNCTION("""COMPUTED_VALUE"""),103.55)</f>
        <v>103.55</v>
      </c>
      <c r="E277" s="1">
        <f ca="1">IFERROR(__xludf.DUMMYFUNCTION("""COMPUTED_VALUE"""),108.04)</f>
        <v>108.04</v>
      </c>
      <c r="F277" s="1">
        <f ca="1">IFERROR(__xludf.DUMMYFUNCTION("""COMPUTED_VALUE"""),33738828)</f>
        <v>33738828</v>
      </c>
    </row>
    <row r="278" spans="1:6" ht="12.6">
      <c r="A278" s="2">
        <f ca="1">IFERROR(__xludf.DUMMYFUNCTION("""COMPUTED_VALUE"""),44965.6666666666)</f>
        <v>44965.666666666599</v>
      </c>
      <c r="B278" s="1">
        <f ca="1">IFERROR(__xludf.DUMMYFUNCTION("""COMPUTED_VALUE"""),102.69)</f>
        <v>102.69</v>
      </c>
      <c r="C278" s="1">
        <f ca="1">IFERROR(__xludf.DUMMYFUNCTION("""COMPUTED_VALUE"""),103.58)</f>
        <v>103.58</v>
      </c>
      <c r="D278" s="1">
        <f ca="1">IFERROR(__xludf.DUMMYFUNCTION("""COMPUTED_VALUE"""),98.46)</f>
        <v>98.46</v>
      </c>
      <c r="E278" s="1">
        <f ca="1">IFERROR(__xludf.DUMMYFUNCTION("""COMPUTED_VALUE"""),100)</f>
        <v>100</v>
      </c>
      <c r="F278" s="1">
        <f ca="1">IFERROR(__xludf.DUMMYFUNCTION("""COMPUTED_VALUE"""),73546029)</f>
        <v>73546029</v>
      </c>
    </row>
    <row r="279" spans="1:6" ht="12.6">
      <c r="A279" s="2">
        <f ca="1">IFERROR(__xludf.DUMMYFUNCTION("""COMPUTED_VALUE"""),44966.6666666666)</f>
        <v>44966.666666666599</v>
      </c>
      <c r="B279" s="1">
        <f ca="1">IFERROR(__xludf.DUMMYFUNCTION("""COMPUTED_VALUE"""),100.54)</f>
        <v>100.54</v>
      </c>
      <c r="C279" s="1">
        <f ca="1">IFERROR(__xludf.DUMMYFUNCTION("""COMPUTED_VALUE"""),100.61)</f>
        <v>100.61</v>
      </c>
      <c r="D279" s="1">
        <f ca="1">IFERROR(__xludf.DUMMYFUNCTION("""COMPUTED_VALUE"""),93.86)</f>
        <v>93.86</v>
      </c>
      <c r="E279" s="1">
        <f ca="1">IFERROR(__xludf.DUMMYFUNCTION("""COMPUTED_VALUE"""),95.46)</f>
        <v>95.46</v>
      </c>
      <c r="F279" s="1">
        <f ca="1">IFERROR(__xludf.DUMMYFUNCTION("""COMPUTED_VALUE"""),97798573)</f>
        <v>97798573</v>
      </c>
    </row>
    <row r="280" spans="1:6" ht="12.6">
      <c r="A280" s="2">
        <f ca="1">IFERROR(__xludf.DUMMYFUNCTION("""COMPUTED_VALUE"""),44967.6666666666)</f>
        <v>44967.666666666599</v>
      </c>
      <c r="B280" s="1">
        <f ca="1">IFERROR(__xludf.DUMMYFUNCTION("""COMPUTED_VALUE"""),95.74)</f>
        <v>95.74</v>
      </c>
      <c r="C280" s="1">
        <f ca="1">IFERROR(__xludf.DUMMYFUNCTION("""COMPUTED_VALUE"""),97.02)</f>
        <v>97.02</v>
      </c>
      <c r="D280" s="1">
        <f ca="1">IFERROR(__xludf.DUMMYFUNCTION("""COMPUTED_VALUE"""),94.53)</f>
        <v>94.53</v>
      </c>
      <c r="E280" s="1">
        <f ca="1">IFERROR(__xludf.DUMMYFUNCTION("""COMPUTED_VALUE"""),94.86)</f>
        <v>94.86</v>
      </c>
      <c r="F280" s="1">
        <f ca="1">IFERROR(__xludf.DUMMYFUNCTION("""COMPUTED_VALUE"""),49325275)</f>
        <v>49325275</v>
      </c>
    </row>
    <row r="281" spans="1:6" ht="12.6">
      <c r="A281" s="2">
        <f ca="1">IFERROR(__xludf.DUMMYFUNCTION("""COMPUTED_VALUE"""),44970.6666666666)</f>
        <v>44970.666666666599</v>
      </c>
      <c r="B281" s="1">
        <f ca="1">IFERROR(__xludf.DUMMYFUNCTION("""COMPUTED_VALUE"""),95.01)</f>
        <v>95.01</v>
      </c>
      <c r="C281" s="1">
        <f ca="1">IFERROR(__xludf.DUMMYFUNCTION("""COMPUTED_VALUE"""),95.35)</f>
        <v>95.35</v>
      </c>
      <c r="D281" s="1">
        <f ca="1">IFERROR(__xludf.DUMMYFUNCTION("""COMPUTED_VALUE"""),94.05)</f>
        <v>94.05</v>
      </c>
      <c r="E281" s="1">
        <f ca="1">IFERROR(__xludf.DUMMYFUNCTION("""COMPUTED_VALUE"""),95)</f>
        <v>95</v>
      </c>
      <c r="F281" s="1">
        <f ca="1">IFERROR(__xludf.DUMMYFUNCTION("""COMPUTED_VALUE"""),43116559)</f>
        <v>43116559</v>
      </c>
    </row>
    <row r="282" spans="1:6" ht="12.6">
      <c r="A282" s="2">
        <f ca="1">IFERROR(__xludf.DUMMYFUNCTION("""COMPUTED_VALUE"""),44971.6666666666)</f>
        <v>44971.666666666599</v>
      </c>
      <c r="B282" s="1">
        <f ca="1">IFERROR(__xludf.DUMMYFUNCTION("""COMPUTED_VALUE"""),94.66)</f>
        <v>94.66</v>
      </c>
      <c r="C282" s="1">
        <f ca="1">IFERROR(__xludf.DUMMYFUNCTION("""COMPUTED_VALUE"""),95.18)</f>
        <v>95.18</v>
      </c>
      <c r="D282" s="1">
        <f ca="1">IFERROR(__xludf.DUMMYFUNCTION("""COMPUTED_VALUE"""),92.65)</f>
        <v>92.65</v>
      </c>
      <c r="E282" s="1">
        <f ca="1">IFERROR(__xludf.DUMMYFUNCTION("""COMPUTED_VALUE"""),94.95)</f>
        <v>94.95</v>
      </c>
      <c r="F282" s="1">
        <f ca="1">IFERROR(__xludf.DUMMYFUNCTION("""COMPUTED_VALUE"""),42513079)</f>
        <v>42513079</v>
      </c>
    </row>
    <row r="283" spans="1:6" ht="12.6">
      <c r="A283" s="2">
        <f ca="1">IFERROR(__xludf.DUMMYFUNCTION("""COMPUTED_VALUE"""),44972.6666666666)</f>
        <v>44972.666666666599</v>
      </c>
      <c r="B283" s="1">
        <f ca="1">IFERROR(__xludf.DUMMYFUNCTION("""COMPUTED_VALUE"""),94.74)</f>
        <v>94.74</v>
      </c>
      <c r="C283" s="1">
        <f ca="1">IFERROR(__xludf.DUMMYFUNCTION("""COMPUTED_VALUE"""),97.34)</f>
        <v>97.34</v>
      </c>
      <c r="D283" s="1">
        <f ca="1">IFERROR(__xludf.DUMMYFUNCTION("""COMPUTED_VALUE"""),94.36)</f>
        <v>94.36</v>
      </c>
      <c r="E283" s="1">
        <f ca="1">IFERROR(__xludf.DUMMYFUNCTION("""COMPUTED_VALUE"""),97.1)</f>
        <v>97.1</v>
      </c>
      <c r="F283" s="1">
        <f ca="1">IFERROR(__xludf.DUMMYFUNCTION("""COMPUTED_VALUE"""),37029885)</f>
        <v>37029885</v>
      </c>
    </row>
    <row r="284" spans="1:6" ht="12.6">
      <c r="A284" s="2">
        <f ca="1">IFERROR(__xludf.DUMMYFUNCTION("""COMPUTED_VALUE"""),44973.6666666666)</f>
        <v>44973.666666666599</v>
      </c>
      <c r="B284" s="1">
        <f ca="1">IFERROR(__xludf.DUMMYFUNCTION("""COMPUTED_VALUE"""),95.54)</f>
        <v>95.54</v>
      </c>
      <c r="C284" s="1">
        <f ca="1">IFERROR(__xludf.DUMMYFUNCTION("""COMPUTED_VALUE"""),97.88)</f>
        <v>97.88</v>
      </c>
      <c r="D284" s="1">
        <f ca="1">IFERROR(__xludf.DUMMYFUNCTION("""COMPUTED_VALUE"""),94.97)</f>
        <v>94.97</v>
      </c>
      <c r="E284" s="1">
        <f ca="1">IFERROR(__xludf.DUMMYFUNCTION("""COMPUTED_VALUE"""),95.78)</f>
        <v>95.78</v>
      </c>
      <c r="F284" s="1">
        <f ca="1">IFERROR(__xludf.DUMMYFUNCTION("""COMPUTED_VALUE"""),35642106)</f>
        <v>35642106</v>
      </c>
    </row>
    <row r="285" spans="1:6" ht="12.6">
      <c r="A285" s="2">
        <f ca="1">IFERROR(__xludf.DUMMYFUNCTION("""COMPUTED_VALUE"""),44974.6666666666)</f>
        <v>44974.666666666599</v>
      </c>
      <c r="B285" s="1">
        <f ca="1">IFERROR(__xludf.DUMMYFUNCTION("""COMPUTED_VALUE"""),95.07)</f>
        <v>95.07</v>
      </c>
      <c r="C285" s="1">
        <f ca="1">IFERROR(__xludf.DUMMYFUNCTION("""COMPUTED_VALUE"""),95.75)</f>
        <v>95.75</v>
      </c>
      <c r="D285" s="1">
        <f ca="1">IFERROR(__xludf.DUMMYFUNCTION("""COMPUTED_VALUE"""),93.45)</f>
        <v>93.45</v>
      </c>
      <c r="E285" s="1">
        <f ca="1">IFERROR(__xludf.DUMMYFUNCTION("""COMPUTED_VALUE"""),94.59)</f>
        <v>94.59</v>
      </c>
      <c r="F285" s="1">
        <f ca="1">IFERROR(__xludf.DUMMYFUNCTION("""COMPUTED_VALUE"""),31095067)</f>
        <v>31095067</v>
      </c>
    </row>
    <row r="286" spans="1:6" ht="12.6">
      <c r="A286" s="2">
        <f ca="1">IFERROR(__xludf.DUMMYFUNCTION("""COMPUTED_VALUE"""),44978.6666666666)</f>
        <v>44978.666666666599</v>
      </c>
      <c r="B286" s="1">
        <f ca="1">IFERROR(__xludf.DUMMYFUNCTION("""COMPUTED_VALUE"""),93.24)</f>
        <v>93.24</v>
      </c>
      <c r="C286" s="1">
        <f ca="1">IFERROR(__xludf.DUMMYFUNCTION("""COMPUTED_VALUE"""),93.41)</f>
        <v>93.41</v>
      </c>
      <c r="D286" s="1">
        <f ca="1">IFERROR(__xludf.DUMMYFUNCTION("""COMPUTED_VALUE"""),92)</f>
        <v>92</v>
      </c>
      <c r="E286" s="1">
        <f ca="1">IFERROR(__xludf.DUMMYFUNCTION("""COMPUTED_VALUE"""),92.05)</f>
        <v>92.05</v>
      </c>
      <c r="F286" s="1">
        <f ca="1">IFERROR(__xludf.DUMMYFUNCTION("""COMPUTED_VALUE"""),28367198)</f>
        <v>28367198</v>
      </c>
    </row>
    <row r="287" spans="1:6" ht="12.6">
      <c r="A287" s="2">
        <f ca="1">IFERROR(__xludf.DUMMYFUNCTION("""COMPUTED_VALUE"""),44979.6666666666)</f>
        <v>44979.666666666599</v>
      </c>
      <c r="B287" s="1">
        <f ca="1">IFERROR(__xludf.DUMMYFUNCTION("""COMPUTED_VALUE"""),91.93)</f>
        <v>91.93</v>
      </c>
      <c r="C287" s="1">
        <f ca="1">IFERROR(__xludf.DUMMYFUNCTION("""COMPUTED_VALUE"""),92.36)</f>
        <v>92.36</v>
      </c>
      <c r="D287" s="1">
        <f ca="1">IFERROR(__xludf.DUMMYFUNCTION("""COMPUTED_VALUE"""),90.87)</f>
        <v>90.87</v>
      </c>
      <c r="E287" s="1">
        <f ca="1">IFERROR(__xludf.DUMMYFUNCTION("""COMPUTED_VALUE"""),91.8)</f>
        <v>91.8</v>
      </c>
      <c r="F287" s="1">
        <f ca="1">IFERROR(__xludf.DUMMYFUNCTION("""COMPUTED_VALUE"""),29891135)</f>
        <v>29891135</v>
      </c>
    </row>
    <row r="288" spans="1:6" ht="12.6">
      <c r="A288" s="2">
        <f ca="1">IFERROR(__xludf.DUMMYFUNCTION("""COMPUTED_VALUE"""),44980.6666666666)</f>
        <v>44980.666666666599</v>
      </c>
      <c r="B288" s="1">
        <f ca="1">IFERROR(__xludf.DUMMYFUNCTION("""COMPUTED_VALUE"""),92.13)</f>
        <v>92.13</v>
      </c>
      <c r="C288" s="1">
        <f ca="1">IFERROR(__xludf.DUMMYFUNCTION("""COMPUTED_VALUE"""),92.13)</f>
        <v>92.13</v>
      </c>
      <c r="D288" s="1">
        <f ca="1">IFERROR(__xludf.DUMMYFUNCTION("""COMPUTED_VALUE"""),90.01)</f>
        <v>90.01</v>
      </c>
      <c r="E288" s="1">
        <f ca="1">IFERROR(__xludf.DUMMYFUNCTION("""COMPUTED_VALUE"""),91.07)</f>
        <v>91.07</v>
      </c>
      <c r="F288" s="1">
        <f ca="1">IFERROR(__xludf.DUMMYFUNCTION("""COMPUTED_VALUE"""),32423720)</f>
        <v>32423720</v>
      </c>
    </row>
    <row r="289" spans="1:6" ht="12.6">
      <c r="A289" s="2">
        <f ca="1">IFERROR(__xludf.DUMMYFUNCTION("""COMPUTED_VALUE"""),44981.6666666666)</f>
        <v>44981.666666666599</v>
      </c>
      <c r="B289" s="1">
        <f ca="1">IFERROR(__xludf.DUMMYFUNCTION("""COMPUTED_VALUE"""),89.63)</f>
        <v>89.63</v>
      </c>
      <c r="C289" s="1">
        <f ca="1">IFERROR(__xludf.DUMMYFUNCTION("""COMPUTED_VALUE"""),90.13)</f>
        <v>90.13</v>
      </c>
      <c r="D289" s="1">
        <f ca="1">IFERROR(__xludf.DUMMYFUNCTION("""COMPUTED_VALUE"""),88.86)</f>
        <v>88.86</v>
      </c>
      <c r="E289" s="1">
        <f ca="1">IFERROR(__xludf.DUMMYFUNCTION("""COMPUTED_VALUE"""),89.35)</f>
        <v>89.35</v>
      </c>
      <c r="F289" s="1">
        <f ca="1">IFERROR(__xludf.DUMMYFUNCTION("""COMPUTED_VALUE"""),31295619)</f>
        <v>31295619</v>
      </c>
    </row>
    <row r="290" spans="1:6" ht="12.6">
      <c r="A290" s="2">
        <f ca="1">IFERROR(__xludf.DUMMYFUNCTION("""COMPUTED_VALUE"""),44984.6666666666)</f>
        <v>44984.666666666599</v>
      </c>
      <c r="B290" s="1">
        <f ca="1">IFERROR(__xludf.DUMMYFUNCTION("""COMPUTED_VALUE"""),90.09)</f>
        <v>90.09</v>
      </c>
      <c r="C290" s="1">
        <f ca="1">IFERROR(__xludf.DUMMYFUNCTION("""COMPUTED_VALUE"""),90.45)</f>
        <v>90.45</v>
      </c>
      <c r="D290" s="1">
        <f ca="1">IFERROR(__xludf.DUMMYFUNCTION("""COMPUTED_VALUE"""),89.61)</f>
        <v>89.61</v>
      </c>
      <c r="E290" s="1">
        <f ca="1">IFERROR(__xludf.DUMMYFUNCTION("""COMPUTED_VALUE"""),90.1)</f>
        <v>90.1</v>
      </c>
      <c r="F290" s="1">
        <f ca="1">IFERROR(__xludf.DUMMYFUNCTION("""COMPUTED_VALUE"""),22724262)</f>
        <v>22724262</v>
      </c>
    </row>
    <row r="291" spans="1:6" ht="12.6">
      <c r="A291" s="2">
        <f ca="1">IFERROR(__xludf.DUMMYFUNCTION("""COMPUTED_VALUE"""),44985.6666666666)</f>
        <v>44985.666666666599</v>
      </c>
      <c r="B291" s="1">
        <f ca="1">IFERROR(__xludf.DUMMYFUNCTION("""COMPUTED_VALUE"""),89.54)</f>
        <v>89.54</v>
      </c>
      <c r="C291" s="1">
        <f ca="1">IFERROR(__xludf.DUMMYFUNCTION("""COMPUTED_VALUE"""),91.45)</f>
        <v>91.45</v>
      </c>
      <c r="D291" s="1">
        <f ca="1">IFERROR(__xludf.DUMMYFUNCTION("""COMPUTED_VALUE"""),89.52)</f>
        <v>89.52</v>
      </c>
      <c r="E291" s="1">
        <f ca="1">IFERROR(__xludf.DUMMYFUNCTION("""COMPUTED_VALUE"""),90.3)</f>
        <v>90.3</v>
      </c>
      <c r="F291" s="1">
        <f ca="1">IFERROR(__xludf.DUMMYFUNCTION("""COMPUTED_VALUE"""),30546912)</f>
        <v>30546912</v>
      </c>
    </row>
    <row r="292" spans="1:6" ht="12.6">
      <c r="A292" s="2">
        <f ca="1">IFERROR(__xludf.DUMMYFUNCTION("""COMPUTED_VALUE"""),44986.6666666666)</f>
        <v>44986.666666666599</v>
      </c>
      <c r="B292" s="1">
        <f ca="1">IFERROR(__xludf.DUMMYFUNCTION("""COMPUTED_VALUE"""),90.16)</f>
        <v>90.16</v>
      </c>
      <c r="C292" s="1">
        <f ca="1">IFERROR(__xludf.DUMMYFUNCTION("""COMPUTED_VALUE"""),91.2)</f>
        <v>91.2</v>
      </c>
      <c r="D292" s="1">
        <f ca="1">IFERROR(__xludf.DUMMYFUNCTION("""COMPUTED_VALUE"""),89.85)</f>
        <v>89.85</v>
      </c>
      <c r="E292" s="1">
        <f ca="1">IFERROR(__xludf.DUMMYFUNCTION("""COMPUTED_VALUE"""),90.51)</f>
        <v>90.51</v>
      </c>
      <c r="F292" s="1">
        <f ca="1">IFERROR(__xludf.DUMMYFUNCTION("""COMPUTED_VALUE"""),26323876)</f>
        <v>26323876</v>
      </c>
    </row>
    <row r="293" spans="1:6" ht="12.6">
      <c r="A293" s="2">
        <f ca="1">IFERROR(__xludf.DUMMYFUNCTION("""COMPUTED_VALUE"""),44987.6666666666)</f>
        <v>44987.666666666599</v>
      </c>
      <c r="B293" s="1">
        <f ca="1">IFERROR(__xludf.DUMMYFUNCTION("""COMPUTED_VALUE"""),89.86)</f>
        <v>89.86</v>
      </c>
      <c r="C293" s="1">
        <f ca="1">IFERROR(__xludf.DUMMYFUNCTION("""COMPUTED_VALUE"""),92.48)</f>
        <v>92.48</v>
      </c>
      <c r="D293" s="1">
        <f ca="1">IFERROR(__xludf.DUMMYFUNCTION("""COMPUTED_VALUE"""),89.77)</f>
        <v>89.77</v>
      </c>
      <c r="E293" s="1">
        <f ca="1">IFERROR(__xludf.DUMMYFUNCTION("""COMPUTED_VALUE"""),92.31)</f>
        <v>92.31</v>
      </c>
      <c r="F293" s="1">
        <f ca="1">IFERROR(__xludf.DUMMYFUNCTION("""COMPUTED_VALUE"""),23344562)</f>
        <v>23344562</v>
      </c>
    </row>
    <row r="294" spans="1:6" ht="12.6">
      <c r="A294" s="2">
        <f ca="1">IFERROR(__xludf.DUMMYFUNCTION("""COMPUTED_VALUE"""),44988.6666666666)</f>
        <v>44988.666666666599</v>
      </c>
      <c r="B294" s="1">
        <f ca="1">IFERROR(__xludf.DUMMYFUNCTION("""COMPUTED_VALUE"""),92.74)</f>
        <v>92.74</v>
      </c>
      <c r="C294" s="1">
        <f ca="1">IFERROR(__xludf.DUMMYFUNCTION("""COMPUTED_VALUE"""),94.11)</f>
        <v>94.11</v>
      </c>
      <c r="D294" s="1">
        <f ca="1">IFERROR(__xludf.DUMMYFUNCTION("""COMPUTED_VALUE"""),92.66)</f>
        <v>92.66</v>
      </c>
      <c r="E294" s="1">
        <f ca="1">IFERROR(__xludf.DUMMYFUNCTION("""COMPUTED_VALUE"""),94.02)</f>
        <v>94.02</v>
      </c>
      <c r="F294" s="1">
        <f ca="1">IFERROR(__xludf.DUMMYFUNCTION("""COMPUTED_VALUE"""),30242538)</f>
        <v>30242538</v>
      </c>
    </row>
    <row r="295" spans="1:6" ht="12.6">
      <c r="A295" s="2">
        <f ca="1">IFERROR(__xludf.DUMMYFUNCTION("""COMPUTED_VALUE"""),44991.6666666666)</f>
        <v>44991.666666666599</v>
      </c>
      <c r="B295" s="1">
        <f ca="1">IFERROR(__xludf.DUMMYFUNCTION("""COMPUTED_VALUE"""),94.36)</f>
        <v>94.36</v>
      </c>
      <c r="C295" s="1">
        <f ca="1">IFERROR(__xludf.DUMMYFUNCTION("""COMPUTED_VALUE"""),96.3)</f>
        <v>96.3</v>
      </c>
      <c r="D295" s="1">
        <f ca="1">IFERROR(__xludf.DUMMYFUNCTION("""COMPUTED_VALUE"""),94.3)</f>
        <v>94.3</v>
      </c>
      <c r="E295" s="1">
        <f ca="1">IFERROR(__xludf.DUMMYFUNCTION("""COMPUTED_VALUE"""),95.58)</f>
        <v>95.58</v>
      </c>
      <c r="F295" s="1">
        <f ca="1">IFERROR(__xludf.DUMMYFUNCTION("""COMPUTED_VALUE"""),28288206)</f>
        <v>28288206</v>
      </c>
    </row>
    <row r="296" spans="1:6" ht="12.6">
      <c r="A296" s="2">
        <f ca="1">IFERROR(__xludf.DUMMYFUNCTION("""COMPUTED_VALUE"""),44992.6666666666)</f>
        <v>44992.666666666599</v>
      </c>
      <c r="B296" s="1">
        <f ca="1">IFERROR(__xludf.DUMMYFUNCTION("""COMPUTED_VALUE"""),95.42)</f>
        <v>95.42</v>
      </c>
      <c r="C296" s="1">
        <f ca="1">IFERROR(__xludf.DUMMYFUNCTION("""COMPUTED_VALUE"""),96.09)</f>
        <v>96.09</v>
      </c>
      <c r="D296" s="1">
        <f ca="1">IFERROR(__xludf.DUMMYFUNCTION("""COMPUTED_VALUE"""),93.84)</f>
        <v>93.84</v>
      </c>
      <c r="E296" s="1">
        <f ca="1">IFERROR(__xludf.DUMMYFUNCTION("""COMPUTED_VALUE"""),94.17)</f>
        <v>94.17</v>
      </c>
      <c r="F296" s="1">
        <f ca="1">IFERROR(__xludf.DUMMYFUNCTION("""COMPUTED_VALUE"""),24101536)</f>
        <v>24101536</v>
      </c>
    </row>
    <row r="297" spans="1:6" ht="12.6">
      <c r="A297" s="2">
        <f ca="1">IFERROR(__xludf.DUMMYFUNCTION("""COMPUTED_VALUE"""),44993.6666666666)</f>
        <v>44993.666666666599</v>
      </c>
      <c r="B297" s="1">
        <f ca="1">IFERROR(__xludf.DUMMYFUNCTION("""COMPUTED_VALUE"""),94.41)</f>
        <v>94.41</v>
      </c>
      <c r="C297" s="1">
        <f ca="1">IFERROR(__xludf.DUMMYFUNCTION("""COMPUTED_VALUE"""),96.24)</f>
        <v>96.24</v>
      </c>
      <c r="D297" s="1">
        <f ca="1">IFERROR(__xludf.DUMMYFUNCTION("""COMPUTED_VALUE"""),94.41)</f>
        <v>94.41</v>
      </c>
      <c r="E297" s="1">
        <f ca="1">IFERROR(__xludf.DUMMYFUNCTION("""COMPUTED_VALUE"""),94.65)</f>
        <v>94.65</v>
      </c>
      <c r="F297" s="1">
        <f ca="1">IFERROR(__xludf.DUMMYFUNCTION("""COMPUTED_VALUE"""),25395200)</f>
        <v>25395200</v>
      </c>
    </row>
    <row r="298" spans="1:6" ht="12.6">
      <c r="A298" s="2">
        <f ca="1">IFERROR(__xludf.DUMMYFUNCTION("""COMPUTED_VALUE"""),44994.6666666666)</f>
        <v>44994.666666666599</v>
      </c>
      <c r="B298" s="1">
        <f ca="1">IFERROR(__xludf.DUMMYFUNCTION("""COMPUTED_VALUE"""),94.49)</f>
        <v>94.49</v>
      </c>
      <c r="C298" s="1">
        <f ca="1">IFERROR(__xludf.DUMMYFUNCTION("""COMPUTED_VALUE"""),95.92)</f>
        <v>95.92</v>
      </c>
      <c r="D298" s="1">
        <f ca="1">IFERROR(__xludf.DUMMYFUNCTION("""COMPUTED_VALUE"""),92.36)</f>
        <v>92.36</v>
      </c>
      <c r="E298" s="1">
        <f ca="1">IFERROR(__xludf.DUMMYFUNCTION("""COMPUTED_VALUE"""),92.66)</f>
        <v>92.66</v>
      </c>
      <c r="F298" s="1">
        <f ca="1">IFERROR(__xludf.DUMMYFUNCTION("""COMPUTED_VALUE"""),24438890)</f>
        <v>24438890</v>
      </c>
    </row>
    <row r="299" spans="1:6" ht="12.6">
      <c r="A299" s="2">
        <f ca="1">IFERROR(__xludf.DUMMYFUNCTION("""COMPUTED_VALUE"""),44995.6666666666)</f>
        <v>44995.666666666599</v>
      </c>
      <c r="B299" s="1">
        <f ca="1">IFERROR(__xludf.DUMMYFUNCTION("""COMPUTED_VALUE"""),92.5)</f>
        <v>92.5</v>
      </c>
      <c r="C299" s="1">
        <f ca="1">IFERROR(__xludf.DUMMYFUNCTION("""COMPUTED_VALUE"""),93.18)</f>
        <v>93.18</v>
      </c>
      <c r="D299" s="1">
        <f ca="1">IFERROR(__xludf.DUMMYFUNCTION("""COMPUTED_VALUE"""),90.8)</f>
        <v>90.8</v>
      </c>
      <c r="E299" s="1">
        <f ca="1">IFERROR(__xludf.DUMMYFUNCTION("""COMPUTED_VALUE"""),91.01)</f>
        <v>91.01</v>
      </c>
      <c r="F299" s="1">
        <f ca="1">IFERROR(__xludf.DUMMYFUNCTION("""COMPUTED_VALUE"""),32850092)</f>
        <v>32850092</v>
      </c>
    </row>
    <row r="300" spans="1:6" ht="12.6">
      <c r="A300" s="2">
        <f ca="1">IFERROR(__xludf.DUMMYFUNCTION("""COMPUTED_VALUE"""),44998.6666666666)</f>
        <v>44998.666666666599</v>
      </c>
      <c r="B300" s="1">
        <f ca="1">IFERROR(__xludf.DUMMYFUNCTION("""COMPUTED_VALUE"""),90.57)</f>
        <v>90.57</v>
      </c>
      <c r="C300" s="1">
        <f ca="1">IFERROR(__xludf.DUMMYFUNCTION("""COMPUTED_VALUE"""),93.08)</f>
        <v>93.08</v>
      </c>
      <c r="D300" s="1">
        <f ca="1">IFERROR(__xludf.DUMMYFUNCTION("""COMPUTED_VALUE"""),89.94)</f>
        <v>89.94</v>
      </c>
      <c r="E300" s="1">
        <f ca="1">IFERROR(__xludf.DUMMYFUNCTION("""COMPUTED_VALUE"""),91.66)</f>
        <v>91.66</v>
      </c>
      <c r="F300" s="1">
        <f ca="1">IFERROR(__xludf.DUMMYFUNCTION("""COMPUTED_VALUE"""),31508570)</f>
        <v>31508570</v>
      </c>
    </row>
    <row r="301" spans="1:6" ht="12.6">
      <c r="A301" s="2">
        <f ca="1">IFERROR(__xludf.DUMMYFUNCTION("""COMPUTED_VALUE"""),44999.6666666666)</f>
        <v>44999.666666666599</v>
      </c>
      <c r="B301" s="1">
        <f ca="1">IFERROR(__xludf.DUMMYFUNCTION("""COMPUTED_VALUE"""),93.07)</f>
        <v>93.07</v>
      </c>
      <c r="C301" s="1">
        <f ca="1">IFERROR(__xludf.DUMMYFUNCTION("""COMPUTED_VALUE"""),94.83)</f>
        <v>94.83</v>
      </c>
      <c r="D301" s="1">
        <f ca="1">IFERROR(__xludf.DUMMYFUNCTION("""COMPUTED_VALUE"""),92.78)</f>
        <v>92.78</v>
      </c>
      <c r="E301" s="1">
        <f ca="1">IFERROR(__xludf.DUMMYFUNCTION("""COMPUTED_VALUE"""),94.25)</f>
        <v>94.25</v>
      </c>
      <c r="F301" s="1">
        <f ca="1">IFERROR(__xludf.DUMMYFUNCTION("""COMPUTED_VALUE"""),32303881)</f>
        <v>32303881</v>
      </c>
    </row>
    <row r="302" spans="1:6" ht="12.6">
      <c r="A302" s="2">
        <f ca="1">IFERROR(__xludf.DUMMYFUNCTION("""COMPUTED_VALUE"""),45000.6666666666)</f>
        <v>45000.666666666599</v>
      </c>
      <c r="B302" s="1">
        <f ca="1">IFERROR(__xludf.DUMMYFUNCTION("""COMPUTED_VALUE"""),93.54)</f>
        <v>93.54</v>
      </c>
      <c r="C302" s="1">
        <f ca="1">IFERROR(__xludf.DUMMYFUNCTION("""COMPUTED_VALUE"""),97.25)</f>
        <v>97.25</v>
      </c>
      <c r="D302" s="1">
        <f ca="1">IFERROR(__xludf.DUMMYFUNCTION("""COMPUTED_VALUE"""),93.04)</f>
        <v>93.04</v>
      </c>
      <c r="E302" s="1">
        <f ca="1">IFERROR(__xludf.DUMMYFUNCTION("""COMPUTED_VALUE"""),96.55)</f>
        <v>96.55</v>
      </c>
      <c r="F302" s="1">
        <f ca="1">IFERROR(__xludf.DUMMYFUNCTION("""COMPUTED_VALUE"""),38367334)</f>
        <v>38367334</v>
      </c>
    </row>
    <row r="303" spans="1:6" ht="12.6">
      <c r="A303" s="2">
        <f ca="1">IFERROR(__xludf.DUMMYFUNCTION("""COMPUTED_VALUE"""),45001.6666666666)</f>
        <v>45001.666666666599</v>
      </c>
      <c r="B303" s="1">
        <f ca="1">IFERROR(__xludf.DUMMYFUNCTION("""COMPUTED_VALUE"""),96.57)</f>
        <v>96.57</v>
      </c>
      <c r="C303" s="1">
        <f ca="1">IFERROR(__xludf.DUMMYFUNCTION("""COMPUTED_VALUE"""),101.97)</f>
        <v>101.97</v>
      </c>
      <c r="D303" s="1">
        <f ca="1">IFERROR(__xludf.DUMMYFUNCTION("""COMPUTED_VALUE"""),95.87)</f>
        <v>95.87</v>
      </c>
      <c r="E303" s="1">
        <f ca="1">IFERROR(__xludf.DUMMYFUNCTION("""COMPUTED_VALUE"""),101.07)</f>
        <v>101.07</v>
      </c>
      <c r="F303" s="1">
        <f ca="1">IFERROR(__xludf.DUMMYFUNCTION("""COMPUTED_VALUE"""),54588200)</f>
        <v>54588200</v>
      </c>
    </row>
    <row r="304" spans="1:6" ht="12.6">
      <c r="A304" s="2">
        <f ca="1">IFERROR(__xludf.DUMMYFUNCTION("""COMPUTED_VALUE"""),45002.6666666666)</f>
        <v>45002.666666666599</v>
      </c>
      <c r="B304" s="1">
        <f ca="1">IFERROR(__xludf.DUMMYFUNCTION("""COMPUTED_VALUE"""),100.84)</f>
        <v>100.84</v>
      </c>
      <c r="C304" s="1">
        <f ca="1">IFERROR(__xludf.DUMMYFUNCTION("""COMPUTED_VALUE"""),103.49)</f>
        <v>103.49</v>
      </c>
      <c r="D304" s="1">
        <f ca="1">IFERROR(__xludf.DUMMYFUNCTION("""COMPUTED_VALUE"""),100.75)</f>
        <v>100.75</v>
      </c>
      <c r="E304" s="1">
        <f ca="1">IFERROR(__xludf.DUMMYFUNCTION("""COMPUTED_VALUE"""),102.46)</f>
        <v>102.46</v>
      </c>
      <c r="F304" s="1">
        <f ca="1">IFERROR(__xludf.DUMMYFUNCTION("""COMPUTED_VALUE"""),76140310)</f>
        <v>76140310</v>
      </c>
    </row>
    <row r="305" spans="1:6" ht="12.6">
      <c r="A305" s="2">
        <f ca="1">IFERROR(__xludf.DUMMYFUNCTION("""COMPUTED_VALUE"""),45005.6666666666)</f>
        <v>45005.666666666599</v>
      </c>
      <c r="B305" s="1">
        <f ca="1">IFERROR(__xludf.DUMMYFUNCTION("""COMPUTED_VALUE"""),101.06)</f>
        <v>101.06</v>
      </c>
      <c r="C305" s="1">
        <f ca="1">IFERROR(__xludf.DUMMYFUNCTION("""COMPUTED_VALUE"""),102.58)</f>
        <v>102.58</v>
      </c>
      <c r="D305" s="1">
        <f ca="1">IFERROR(__xludf.DUMMYFUNCTION("""COMPUTED_VALUE"""),100.79)</f>
        <v>100.79</v>
      </c>
      <c r="E305" s="1">
        <f ca="1">IFERROR(__xludf.DUMMYFUNCTION("""COMPUTED_VALUE"""),101.93)</f>
        <v>101.93</v>
      </c>
      <c r="F305" s="1">
        <f ca="1">IFERROR(__xludf.DUMMYFUNCTION("""COMPUTED_VALUE"""),26033916)</f>
        <v>26033916</v>
      </c>
    </row>
    <row r="306" spans="1:6" ht="12.6">
      <c r="A306" s="2">
        <f ca="1">IFERROR(__xludf.DUMMYFUNCTION("""COMPUTED_VALUE"""),45006.6666666666)</f>
        <v>45006.666666666599</v>
      </c>
      <c r="B306" s="1">
        <f ca="1">IFERROR(__xludf.DUMMYFUNCTION("""COMPUTED_VALUE"""),101.98)</f>
        <v>101.98</v>
      </c>
      <c r="C306" s="1">
        <f ca="1">IFERROR(__xludf.DUMMYFUNCTION("""COMPUTED_VALUE"""),105.96)</f>
        <v>105.96</v>
      </c>
      <c r="D306" s="1">
        <f ca="1">IFERROR(__xludf.DUMMYFUNCTION("""COMPUTED_VALUE"""),101.86)</f>
        <v>101.86</v>
      </c>
      <c r="E306" s="1">
        <f ca="1">IFERROR(__xludf.DUMMYFUNCTION("""COMPUTED_VALUE"""),105.84)</f>
        <v>105.84</v>
      </c>
      <c r="F306" s="1">
        <f ca="1">IFERROR(__xludf.DUMMYFUNCTION("""COMPUTED_VALUE"""),33122800)</f>
        <v>33122800</v>
      </c>
    </row>
    <row r="307" spans="1:6" ht="12.6">
      <c r="A307" s="2">
        <f ca="1">IFERROR(__xludf.DUMMYFUNCTION("""COMPUTED_VALUE"""),45007.6666666666)</f>
        <v>45007.666666666599</v>
      </c>
      <c r="B307" s="1">
        <f ca="1">IFERROR(__xludf.DUMMYFUNCTION("""COMPUTED_VALUE"""),105.14)</f>
        <v>105.14</v>
      </c>
      <c r="C307" s="1">
        <f ca="1">IFERROR(__xludf.DUMMYFUNCTION("""COMPUTED_VALUE"""),107.51)</f>
        <v>107.51</v>
      </c>
      <c r="D307" s="1">
        <f ca="1">IFERROR(__xludf.DUMMYFUNCTION("""COMPUTED_VALUE"""),104.21)</f>
        <v>104.21</v>
      </c>
      <c r="E307" s="1">
        <f ca="1">IFERROR(__xludf.DUMMYFUNCTION("""COMPUTED_VALUE"""),104.22)</f>
        <v>104.22</v>
      </c>
      <c r="F307" s="1">
        <f ca="1">IFERROR(__xludf.DUMMYFUNCTION("""COMPUTED_VALUE"""),32336877)</f>
        <v>32336877</v>
      </c>
    </row>
    <row r="308" spans="1:6" ht="12.6">
      <c r="A308" s="2">
        <f ca="1">IFERROR(__xludf.DUMMYFUNCTION("""COMPUTED_VALUE"""),45008.6666666666)</f>
        <v>45008.666666666599</v>
      </c>
      <c r="B308" s="1">
        <f ca="1">IFERROR(__xludf.DUMMYFUNCTION("""COMPUTED_VALUE"""),105.89)</f>
        <v>105.89</v>
      </c>
      <c r="C308" s="1">
        <f ca="1">IFERROR(__xludf.DUMMYFUNCTION("""COMPUTED_VALUE"""),107.1)</f>
        <v>107.1</v>
      </c>
      <c r="D308" s="1">
        <f ca="1">IFERROR(__xludf.DUMMYFUNCTION("""COMPUTED_VALUE"""),105.41)</f>
        <v>105.41</v>
      </c>
      <c r="E308" s="1">
        <f ca="1">IFERROR(__xludf.DUMMYFUNCTION("""COMPUTED_VALUE"""),106.26)</f>
        <v>106.26</v>
      </c>
      <c r="F308" s="1">
        <f ca="1">IFERROR(__xludf.DUMMYFUNCTION("""COMPUTED_VALUE"""),31385817)</f>
        <v>31385817</v>
      </c>
    </row>
    <row r="309" spans="1:6" ht="12.6">
      <c r="A309" s="2">
        <f ca="1">IFERROR(__xludf.DUMMYFUNCTION("""COMPUTED_VALUE"""),45009.6666666666)</f>
        <v>45009.666666666599</v>
      </c>
      <c r="B309" s="1">
        <f ca="1">IFERROR(__xludf.DUMMYFUNCTION("""COMPUTED_VALUE"""),105.74)</f>
        <v>105.74</v>
      </c>
      <c r="C309" s="1">
        <f ca="1">IFERROR(__xludf.DUMMYFUNCTION("""COMPUTED_VALUE"""),106.16)</f>
        <v>106.16</v>
      </c>
      <c r="D309" s="1">
        <f ca="1">IFERROR(__xludf.DUMMYFUNCTION("""COMPUTED_VALUE"""),104.74)</f>
        <v>104.74</v>
      </c>
      <c r="E309" s="1">
        <f ca="1">IFERROR(__xludf.DUMMYFUNCTION("""COMPUTED_VALUE"""),106.06)</f>
        <v>106.06</v>
      </c>
      <c r="F309" s="1">
        <f ca="1">IFERROR(__xludf.DUMMYFUNCTION("""COMPUTED_VALUE"""),25245010)</f>
        <v>25245010</v>
      </c>
    </row>
    <row r="310" spans="1:6" ht="12.6">
      <c r="A310" s="2">
        <f ca="1">IFERROR(__xludf.DUMMYFUNCTION("""COMPUTED_VALUE"""),45012.6666666666)</f>
        <v>45012.666666666599</v>
      </c>
      <c r="B310" s="1">
        <f ca="1">IFERROR(__xludf.DUMMYFUNCTION("""COMPUTED_VALUE"""),105.32)</f>
        <v>105.32</v>
      </c>
      <c r="C310" s="1">
        <f ca="1">IFERROR(__xludf.DUMMYFUNCTION("""COMPUTED_VALUE"""),105.4)</f>
        <v>105.4</v>
      </c>
      <c r="D310" s="1">
        <f ca="1">IFERROR(__xludf.DUMMYFUNCTION("""COMPUTED_VALUE"""),102.63)</f>
        <v>102.63</v>
      </c>
      <c r="E310" s="1">
        <f ca="1">IFERROR(__xludf.DUMMYFUNCTION("""COMPUTED_VALUE"""),103.06)</f>
        <v>103.06</v>
      </c>
      <c r="F310" s="1">
        <f ca="1">IFERROR(__xludf.DUMMYFUNCTION("""COMPUTED_VALUE"""),25393417)</f>
        <v>25393417</v>
      </c>
    </row>
    <row r="311" spans="1:6" ht="12.6">
      <c r="A311" s="2">
        <f ca="1">IFERROR(__xludf.DUMMYFUNCTION("""COMPUTED_VALUE"""),45013.6666666666)</f>
        <v>45013.666666666599</v>
      </c>
      <c r="B311" s="1">
        <f ca="1">IFERROR(__xludf.DUMMYFUNCTION("""COMPUTED_VALUE"""),103)</f>
        <v>103</v>
      </c>
      <c r="C311" s="1">
        <f ca="1">IFERROR(__xludf.DUMMYFUNCTION("""COMPUTED_VALUE"""),103)</f>
        <v>103</v>
      </c>
      <c r="D311" s="1">
        <f ca="1">IFERROR(__xludf.DUMMYFUNCTION("""COMPUTED_VALUE"""),100.28)</f>
        <v>100.28</v>
      </c>
      <c r="E311" s="1">
        <f ca="1">IFERROR(__xludf.DUMMYFUNCTION("""COMPUTED_VALUE"""),101.36)</f>
        <v>101.36</v>
      </c>
      <c r="F311" s="1">
        <f ca="1">IFERROR(__xludf.DUMMYFUNCTION("""COMPUTED_VALUE"""),24913480)</f>
        <v>24913480</v>
      </c>
    </row>
    <row r="312" spans="1:6" ht="12.6">
      <c r="A312" s="2">
        <f ca="1">IFERROR(__xludf.DUMMYFUNCTION("""COMPUTED_VALUE"""),45014.6666666666)</f>
        <v>45014.666666666599</v>
      </c>
      <c r="B312" s="1">
        <f ca="1">IFERROR(__xludf.DUMMYFUNCTION("""COMPUTED_VALUE"""),102.72)</f>
        <v>102.72</v>
      </c>
      <c r="C312" s="1">
        <f ca="1">IFERROR(__xludf.DUMMYFUNCTION("""COMPUTED_VALUE"""),102.82)</f>
        <v>102.82</v>
      </c>
      <c r="D312" s="1">
        <f ca="1">IFERROR(__xludf.DUMMYFUNCTION("""COMPUTED_VALUE"""),101.03)</f>
        <v>101.03</v>
      </c>
      <c r="E312" s="1">
        <f ca="1">IFERROR(__xludf.DUMMYFUNCTION("""COMPUTED_VALUE"""),101.9)</f>
        <v>101.9</v>
      </c>
      <c r="F312" s="1">
        <f ca="1">IFERROR(__xludf.DUMMYFUNCTION("""COMPUTED_VALUE"""),26148300)</f>
        <v>26148300</v>
      </c>
    </row>
    <row r="313" spans="1:6" ht="12.6">
      <c r="A313" s="2">
        <f ca="1">IFERROR(__xludf.DUMMYFUNCTION("""COMPUTED_VALUE"""),45015.6666666666)</f>
        <v>45015.666666666599</v>
      </c>
      <c r="B313" s="1">
        <f ca="1">IFERROR(__xludf.DUMMYFUNCTION("""COMPUTED_VALUE"""),101.44)</f>
        <v>101.44</v>
      </c>
      <c r="C313" s="1">
        <f ca="1">IFERROR(__xludf.DUMMYFUNCTION("""COMPUTED_VALUE"""),101.61)</f>
        <v>101.61</v>
      </c>
      <c r="D313" s="1">
        <f ca="1">IFERROR(__xludf.DUMMYFUNCTION("""COMPUTED_VALUE"""),100.29)</f>
        <v>100.29</v>
      </c>
      <c r="E313" s="1">
        <f ca="1">IFERROR(__xludf.DUMMYFUNCTION("""COMPUTED_VALUE"""),101.32)</f>
        <v>101.32</v>
      </c>
      <c r="F313" s="1">
        <f ca="1">IFERROR(__xludf.DUMMYFUNCTION("""COMPUTED_VALUE"""),25009829)</f>
        <v>25009829</v>
      </c>
    </row>
    <row r="314" spans="1:6" ht="12.6">
      <c r="A314" s="2">
        <f ca="1">IFERROR(__xludf.DUMMYFUNCTION("""COMPUTED_VALUE"""),45016.6666666666)</f>
        <v>45016.666666666599</v>
      </c>
      <c r="B314" s="1">
        <f ca="1">IFERROR(__xludf.DUMMYFUNCTION("""COMPUTED_VALUE"""),101.71)</f>
        <v>101.71</v>
      </c>
      <c r="C314" s="1">
        <f ca="1">IFERROR(__xludf.DUMMYFUNCTION("""COMPUTED_VALUE"""),104.19)</f>
        <v>104.19</v>
      </c>
      <c r="D314" s="1">
        <f ca="1">IFERROR(__xludf.DUMMYFUNCTION("""COMPUTED_VALUE"""),101.44)</f>
        <v>101.44</v>
      </c>
      <c r="E314" s="1">
        <f ca="1">IFERROR(__xludf.DUMMYFUNCTION("""COMPUTED_VALUE"""),104)</f>
        <v>104</v>
      </c>
      <c r="F314" s="1">
        <f ca="1">IFERROR(__xludf.DUMMYFUNCTION("""COMPUTED_VALUE"""),28107953)</f>
        <v>28107953</v>
      </c>
    </row>
    <row r="315" spans="1:6" ht="12.6">
      <c r="A315" s="2">
        <f ca="1">IFERROR(__xludf.DUMMYFUNCTION("""COMPUTED_VALUE"""),45019.6666666666)</f>
        <v>45019.666666666599</v>
      </c>
      <c r="B315" s="1">
        <f ca="1">IFERROR(__xludf.DUMMYFUNCTION("""COMPUTED_VALUE"""),102.67)</f>
        <v>102.67</v>
      </c>
      <c r="C315" s="1">
        <f ca="1">IFERROR(__xludf.DUMMYFUNCTION("""COMPUTED_VALUE"""),104.95)</f>
        <v>104.95</v>
      </c>
      <c r="D315" s="1">
        <f ca="1">IFERROR(__xludf.DUMMYFUNCTION("""COMPUTED_VALUE"""),102.38)</f>
        <v>102.38</v>
      </c>
      <c r="E315" s="1">
        <f ca="1">IFERROR(__xludf.DUMMYFUNCTION("""COMPUTED_VALUE"""),104.91)</f>
        <v>104.91</v>
      </c>
      <c r="F315" s="1">
        <f ca="1">IFERROR(__xludf.DUMMYFUNCTION("""COMPUTED_VALUE"""),20719861)</f>
        <v>20719861</v>
      </c>
    </row>
    <row r="316" spans="1:6" ht="12.6">
      <c r="A316" s="2">
        <f ca="1">IFERROR(__xludf.DUMMYFUNCTION("""COMPUTED_VALUE"""),45020.6666666666)</f>
        <v>45020.666666666599</v>
      </c>
      <c r="B316" s="1">
        <f ca="1">IFERROR(__xludf.DUMMYFUNCTION("""COMPUTED_VALUE"""),104.84)</f>
        <v>104.84</v>
      </c>
      <c r="C316" s="1">
        <f ca="1">IFERROR(__xludf.DUMMYFUNCTION("""COMPUTED_VALUE"""),106.1)</f>
        <v>106.1</v>
      </c>
      <c r="D316" s="1">
        <f ca="1">IFERROR(__xludf.DUMMYFUNCTION("""COMPUTED_VALUE"""),104.6)</f>
        <v>104.6</v>
      </c>
      <c r="E316" s="1">
        <f ca="1">IFERROR(__xludf.DUMMYFUNCTION("""COMPUTED_VALUE"""),105.12)</f>
        <v>105.12</v>
      </c>
      <c r="F316" s="1">
        <f ca="1">IFERROR(__xludf.DUMMYFUNCTION("""COMPUTED_VALUE"""),20377231)</f>
        <v>20377231</v>
      </c>
    </row>
    <row r="317" spans="1:6" ht="12.6">
      <c r="A317" s="2">
        <f ca="1">IFERROR(__xludf.DUMMYFUNCTION("""COMPUTED_VALUE"""),45021.6666666666)</f>
        <v>45021.666666666599</v>
      </c>
      <c r="B317" s="1">
        <f ca="1">IFERROR(__xludf.DUMMYFUNCTION("""COMPUTED_VALUE"""),106.12)</f>
        <v>106.12</v>
      </c>
      <c r="C317" s="1">
        <f ca="1">IFERROR(__xludf.DUMMYFUNCTION("""COMPUTED_VALUE"""),106.54)</f>
        <v>106.54</v>
      </c>
      <c r="D317" s="1">
        <f ca="1">IFERROR(__xludf.DUMMYFUNCTION("""COMPUTED_VALUE"""),104.1)</f>
        <v>104.1</v>
      </c>
      <c r="E317" s="1">
        <f ca="1">IFERROR(__xludf.DUMMYFUNCTION("""COMPUTED_VALUE"""),104.95)</f>
        <v>104.95</v>
      </c>
      <c r="F317" s="1">
        <f ca="1">IFERROR(__xludf.DUMMYFUNCTION("""COMPUTED_VALUE"""),21864200)</f>
        <v>21864200</v>
      </c>
    </row>
    <row r="318" spans="1:6" ht="12.6">
      <c r="A318" s="2">
        <f ca="1">IFERROR(__xludf.DUMMYFUNCTION("""COMPUTED_VALUE"""),45022.6666666666)</f>
        <v>45022.666666666599</v>
      </c>
      <c r="B318" s="1">
        <f ca="1">IFERROR(__xludf.DUMMYFUNCTION("""COMPUTED_VALUE"""),105.77)</f>
        <v>105.77</v>
      </c>
      <c r="C318" s="1">
        <f ca="1">IFERROR(__xludf.DUMMYFUNCTION("""COMPUTED_VALUE"""),109.63)</f>
        <v>109.63</v>
      </c>
      <c r="D318" s="1">
        <f ca="1">IFERROR(__xludf.DUMMYFUNCTION("""COMPUTED_VALUE"""),104.82)</f>
        <v>104.82</v>
      </c>
      <c r="E318" s="1">
        <f ca="1">IFERROR(__xludf.DUMMYFUNCTION("""COMPUTED_VALUE"""),108.9)</f>
        <v>108.9</v>
      </c>
      <c r="F318" s="1">
        <f ca="1">IFERROR(__xludf.DUMMYFUNCTION("""COMPUTED_VALUE"""),34684150)</f>
        <v>34684150</v>
      </c>
    </row>
    <row r="319" spans="1:6" ht="12.6">
      <c r="A319" s="2">
        <f ca="1">IFERROR(__xludf.DUMMYFUNCTION("""COMPUTED_VALUE"""),45026.6666666666)</f>
        <v>45026.666666666599</v>
      </c>
      <c r="B319" s="1">
        <f ca="1">IFERROR(__xludf.DUMMYFUNCTION("""COMPUTED_VALUE"""),107.39)</f>
        <v>107.39</v>
      </c>
      <c r="C319" s="1">
        <f ca="1">IFERROR(__xludf.DUMMYFUNCTION("""COMPUTED_VALUE"""),107.97)</f>
        <v>107.97</v>
      </c>
      <c r="D319" s="1">
        <f ca="1">IFERROR(__xludf.DUMMYFUNCTION("""COMPUTED_VALUE"""),105.6)</f>
        <v>105.6</v>
      </c>
      <c r="E319" s="1">
        <f ca="1">IFERROR(__xludf.DUMMYFUNCTION("""COMPUTED_VALUE"""),106.95)</f>
        <v>106.95</v>
      </c>
      <c r="F319" s="1">
        <f ca="1">IFERROR(__xludf.DUMMYFUNCTION("""COMPUTED_VALUE"""),19741517)</f>
        <v>19741517</v>
      </c>
    </row>
    <row r="320" spans="1:6" ht="12.6">
      <c r="A320" s="2">
        <f ca="1">IFERROR(__xludf.DUMMYFUNCTION("""COMPUTED_VALUE"""),45027.6666666666)</f>
        <v>45027.666666666599</v>
      </c>
      <c r="B320" s="1">
        <f ca="1">IFERROR(__xludf.DUMMYFUNCTION("""COMPUTED_VALUE"""),106.92)</f>
        <v>106.92</v>
      </c>
      <c r="C320" s="1">
        <f ca="1">IFERROR(__xludf.DUMMYFUNCTION("""COMPUTED_VALUE"""),107.22)</f>
        <v>107.22</v>
      </c>
      <c r="D320" s="1">
        <f ca="1">IFERROR(__xludf.DUMMYFUNCTION("""COMPUTED_VALUE"""),105.28)</f>
        <v>105.28</v>
      </c>
      <c r="E320" s="1">
        <f ca="1">IFERROR(__xludf.DUMMYFUNCTION("""COMPUTED_VALUE"""),106.12)</f>
        <v>106.12</v>
      </c>
      <c r="F320" s="1">
        <f ca="1">IFERROR(__xludf.DUMMYFUNCTION("""COMPUTED_VALUE"""),18721278)</f>
        <v>18721278</v>
      </c>
    </row>
    <row r="321" spans="1:6" ht="12.6">
      <c r="A321" s="2">
        <f ca="1">IFERROR(__xludf.DUMMYFUNCTION("""COMPUTED_VALUE"""),45028.6666666666)</f>
        <v>45028.666666666599</v>
      </c>
      <c r="B321" s="1">
        <f ca="1">IFERROR(__xludf.DUMMYFUNCTION("""COMPUTED_VALUE"""),107.39)</f>
        <v>107.39</v>
      </c>
      <c r="C321" s="1">
        <f ca="1">IFERROR(__xludf.DUMMYFUNCTION("""COMPUTED_VALUE"""),107.59)</f>
        <v>107.59</v>
      </c>
      <c r="D321" s="1">
        <f ca="1">IFERROR(__xludf.DUMMYFUNCTION("""COMPUTED_VALUE"""),104.97)</f>
        <v>104.97</v>
      </c>
      <c r="E321" s="1">
        <f ca="1">IFERROR(__xludf.DUMMYFUNCTION("""COMPUTED_VALUE"""),105.22)</f>
        <v>105.22</v>
      </c>
      <c r="F321" s="1">
        <f ca="1">IFERROR(__xludf.DUMMYFUNCTION("""COMPUTED_VALUE"""),22761569)</f>
        <v>22761569</v>
      </c>
    </row>
    <row r="322" spans="1:6" ht="12.6">
      <c r="A322" s="2">
        <f ca="1">IFERROR(__xludf.DUMMYFUNCTION("""COMPUTED_VALUE"""),45029.6666666666)</f>
        <v>45029.666666666599</v>
      </c>
      <c r="B322" s="1">
        <f ca="1">IFERROR(__xludf.DUMMYFUNCTION("""COMPUTED_VALUE"""),106.47)</f>
        <v>106.47</v>
      </c>
      <c r="C322" s="1">
        <f ca="1">IFERROR(__xludf.DUMMYFUNCTION("""COMPUTED_VALUE"""),108.27)</f>
        <v>108.27</v>
      </c>
      <c r="D322" s="1">
        <f ca="1">IFERROR(__xludf.DUMMYFUNCTION("""COMPUTED_VALUE"""),106.44)</f>
        <v>106.44</v>
      </c>
      <c r="E322" s="1">
        <f ca="1">IFERROR(__xludf.DUMMYFUNCTION("""COMPUTED_VALUE"""),108.19)</f>
        <v>108.19</v>
      </c>
      <c r="F322" s="1">
        <f ca="1">IFERROR(__xludf.DUMMYFUNCTION("""COMPUTED_VALUE"""),21650747)</f>
        <v>21650747</v>
      </c>
    </row>
    <row r="323" spans="1:6" ht="12.6">
      <c r="A323" s="2">
        <f ca="1">IFERROR(__xludf.DUMMYFUNCTION("""COMPUTED_VALUE"""),45030.6666666666)</f>
        <v>45030.666666666599</v>
      </c>
      <c r="B323" s="1">
        <f ca="1">IFERROR(__xludf.DUMMYFUNCTION("""COMPUTED_VALUE"""),107.69)</f>
        <v>107.69</v>
      </c>
      <c r="C323" s="1">
        <f ca="1">IFERROR(__xludf.DUMMYFUNCTION("""COMPUTED_VALUE"""),109.58)</f>
        <v>109.58</v>
      </c>
      <c r="D323" s="1">
        <f ca="1">IFERROR(__xludf.DUMMYFUNCTION("""COMPUTED_VALUE"""),107.59)</f>
        <v>107.59</v>
      </c>
      <c r="E323" s="1">
        <f ca="1">IFERROR(__xludf.DUMMYFUNCTION("""COMPUTED_VALUE"""),109.46)</f>
        <v>109.46</v>
      </c>
      <c r="F323" s="1">
        <f ca="1">IFERROR(__xludf.DUMMYFUNCTION("""COMPUTED_VALUE"""),20758686)</f>
        <v>20758686</v>
      </c>
    </row>
    <row r="324" spans="1:6" ht="12.6">
      <c r="A324" s="2">
        <f ca="1">IFERROR(__xludf.DUMMYFUNCTION("""COMPUTED_VALUE"""),45033.6666666666)</f>
        <v>45033.666666666599</v>
      </c>
      <c r="B324" s="1">
        <f ca="1">IFERROR(__xludf.DUMMYFUNCTION("""COMPUTED_VALUE"""),105.43)</f>
        <v>105.43</v>
      </c>
      <c r="C324" s="1">
        <f ca="1">IFERROR(__xludf.DUMMYFUNCTION("""COMPUTED_VALUE"""),106.71)</f>
        <v>106.71</v>
      </c>
      <c r="D324" s="1">
        <f ca="1">IFERROR(__xludf.DUMMYFUNCTION("""COMPUTED_VALUE"""),105.32)</f>
        <v>105.32</v>
      </c>
      <c r="E324" s="1">
        <f ca="1">IFERROR(__xludf.DUMMYFUNCTION("""COMPUTED_VALUE"""),106.42)</f>
        <v>106.42</v>
      </c>
      <c r="F324" s="1">
        <f ca="1">IFERROR(__xludf.DUMMYFUNCTION("""COMPUTED_VALUE"""),29043443)</f>
        <v>29043443</v>
      </c>
    </row>
    <row r="325" spans="1:6" ht="12.6">
      <c r="A325" s="2">
        <f ca="1">IFERROR(__xludf.DUMMYFUNCTION("""COMPUTED_VALUE"""),45034.6666666666)</f>
        <v>45034.666666666599</v>
      </c>
      <c r="B325" s="1">
        <f ca="1">IFERROR(__xludf.DUMMYFUNCTION("""COMPUTED_VALUE"""),107)</f>
        <v>107</v>
      </c>
      <c r="C325" s="1">
        <f ca="1">IFERROR(__xludf.DUMMYFUNCTION("""COMPUTED_VALUE"""),107.05)</f>
        <v>107.05</v>
      </c>
      <c r="D325" s="1">
        <f ca="1">IFERROR(__xludf.DUMMYFUNCTION("""COMPUTED_VALUE"""),104.78)</f>
        <v>104.78</v>
      </c>
      <c r="E325" s="1">
        <f ca="1">IFERROR(__xludf.DUMMYFUNCTION("""COMPUTED_VALUE"""),105.12)</f>
        <v>105.12</v>
      </c>
      <c r="F325" s="1">
        <f ca="1">IFERROR(__xludf.DUMMYFUNCTION("""COMPUTED_VALUE"""),17641369)</f>
        <v>17641369</v>
      </c>
    </row>
    <row r="326" spans="1:6" ht="12.6">
      <c r="A326" s="2">
        <f ca="1">IFERROR(__xludf.DUMMYFUNCTION("""COMPUTED_VALUE"""),45035.6666666666)</f>
        <v>45035.666666666599</v>
      </c>
      <c r="B326" s="1">
        <f ca="1">IFERROR(__xludf.DUMMYFUNCTION("""COMPUTED_VALUE"""),104.22)</f>
        <v>104.22</v>
      </c>
      <c r="C326" s="1">
        <f ca="1">IFERROR(__xludf.DUMMYFUNCTION("""COMPUTED_VALUE"""),105.73)</f>
        <v>105.73</v>
      </c>
      <c r="D326" s="1">
        <f ca="1">IFERROR(__xludf.DUMMYFUNCTION("""COMPUTED_VALUE"""),103.8)</f>
        <v>103.8</v>
      </c>
      <c r="E326" s="1">
        <f ca="1">IFERROR(__xludf.DUMMYFUNCTION("""COMPUTED_VALUE"""),105.02)</f>
        <v>105.02</v>
      </c>
      <c r="F326" s="1">
        <f ca="1">IFERROR(__xludf.DUMMYFUNCTION("""COMPUTED_VALUE"""),16732016)</f>
        <v>16732016</v>
      </c>
    </row>
    <row r="327" spans="1:6" ht="12.6">
      <c r="A327" s="2">
        <f ca="1">IFERROR(__xludf.DUMMYFUNCTION("""COMPUTED_VALUE"""),45036.6666666666)</f>
        <v>45036.666666666599</v>
      </c>
      <c r="B327" s="1">
        <f ca="1">IFERROR(__xludf.DUMMYFUNCTION("""COMPUTED_VALUE"""),104.65)</f>
        <v>104.65</v>
      </c>
      <c r="C327" s="1">
        <f ca="1">IFERROR(__xludf.DUMMYFUNCTION("""COMPUTED_VALUE"""),106.89)</f>
        <v>106.89</v>
      </c>
      <c r="D327" s="1">
        <f ca="1">IFERROR(__xludf.DUMMYFUNCTION("""COMPUTED_VALUE"""),104.64)</f>
        <v>104.64</v>
      </c>
      <c r="E327" s="1">
        <f ca="1">IFERROR(__xludf.DUMMYFUNCTION("""COMPUTED_VALUE"""),105.9)</f>
        <v>105.9</v>
      </c>
      <c r="F327" s="1">
        <f ca="1">IFERROR(__xludf.DUMMYFUNCTION("""COMPUTED_VALUE"""),22515331)</f>
        <v>22515331</v>
      </c>
    </row>
    <row r="328" spans="1:6" ht="12.6">
      <c r="A328" s="2">
        <f ca="1">IFERROR(__xludf.DUMMYFUNCTION("""COMPUTED_VALUE"""),45037.6666666666)</f>
        <v>45037.666666666599</v>
      </c>
      <c r="B328" s="1">
        <f ca="1">IFERROR(__xludf.DUMMYFUNCTION("""COMPUTED_VALUE"""),106.09)</f>
        <v>106.09</v>
      </c>
      <c r="C328" s="1">
        <f ca="1">IFERROR(__xludf.DUMMYFUNCTION("""COMPUTED_VALUE"""),106.64)</f>
        <v>106.64</v>
      </c>
      <c r="D328" s="1">
        <f ca="1">IFERROR(__xludf.DUMMYFUNCTION("""COMPUTED_VALUE"""),105.49)</f>
        <v>105.49</v>
      </c>
      <c r="E328" s="1">
        <f ca="1">IFERROR(__xludf.DUMMYFUNCTION("""COMPUTED_VALUE"""),105.91)</f>
        <v>105.91</v>
      </c>
      <c r="F328" s="1">
        <f ca="1">IFERROR(__xludf.DUMMYFUNCTION("""COMPUTED_VALUE"""),22379018)</f>
        <v>22379018</v>
      </c>
    </row>
    <row r="329" spans="1:6" ht="12.6">
      <c r="A329" s="2">
        <f ca="1">IFERROR(__xludf.DUMMYFUNCTION("""COMPUTED_VALUE"""),45040.6666666666)</f>
        <v>45040.666666666599</v>
      </c>
      <c r="B329" s="1">
        <f ca="1">IFERROR(__xludf.DUMMYFUNCTION("""COMPUTED_VALUE"""),106.05)</f>
        <v>106.05</v>
      </c>
      <c r="C329" s="1">
        <f ca="1">IFERROR(__xludf.DUMMYFUNCTION("""COMPUTED_VALUE"""),107.32)</f>
        <v>107.32</v>
      </c>
      <c r="D329" s="1">
        <f ca="1">IFERROR(__xludf.DUMMYFUNCTION("""COMPUTED_VALUE"""),105.36)</f>
        <v>105.36</v>
      </c>
      <c r="E329" s="1">
        <f ca="1">IFERROR(__xludf.DUMMYFUNCTION("""COMPUTED_VALUE"""),106.78)</f>
        <v>106.78</v>
      </c>
      <c r="F329" s="1">
        <f ca="1">IFERROR(__xludf.DUMMYFUNCTION("""COMPUTED_VALUE"""),21410908)</f>
        <v>21410908</v>
      </c>
    </row>
    <row r="330" spans="1:6" ht="12.6">
      <c r="A330" s="2">
        <f ca="1">IFERROR(__xludf.DUMMYFUNCTION("""COMPUTED_VALUE"""),45041.6666666666)</f>
        <v>45041.666666666599</v>
      </c>
      <c r="B330" s="1">
        <f ca="1">IFERROR(__xludf.DUMMYFUNCTION("""COMPUTED_VALUE"""),106.61)</f>
        <v>106.61</v>
      </c>
      <c r="C330" s="1">
        <f ca="1">IFERROR(__xludf.DUMMYFUNCTION("""COMPUTED_VALUE"""),107.44)</f>
        <v>107.44</v>
      </c>
      <c r="D330" s="1">
        <f ca="1">IFERROR(__xludf.DUMMYFUNCTION("""COMPUTED_VALUE"""),104.56)</f>
        <v>104.56</v>
      </c>
      <c r="E330" s="1">
        <f ca="1">IFERROR(__xludf.DUMMYFUNCTION("""COMPUTED_VALUE"""),104.61)</f>
        <v>104.61</v>
      </c>
      <c r="F330" s="1">
        <f ca="1">IFERROR(__xludf.DUMMYFUNCTION("""COMPUTED_VALUE"""),31408119)</f>
        <v>31408119</v>
      </c>
    </row>
    <row r="331" spans="1:6" ht="12.6">
      <c r="A331" s="2">
        <f ca="1">IFERROR(__xludf.DUMMYFUNCTION("""COMPUTED_VALUE"""),45042.6666666666)</f>
        <v>45042.666666666599</v>
      </c>
      <c r="B331" s="1">
        <f ca="1">IFERROR(__xludf.DUMMYFUNCTION("""COMPUTED_VALUE"""),105.56)</f>
        <v>105.56</v>
      </c>
      <c r="C331" s="1">
        <f ca="1">IFERROR(__xludf.DUMMYFUNCTION("""COMPUTED_VALUE"""),107.02)</f>
        <v>107.02</v>
      </c>
      <c r="D331" s="1">
        <f ca="1">IFERROR(__xludf.DUMMYFUNCTION("""COMPUTED_VALUE"""),103.27)</f>
        <v>103.27</v>
      </c>
      <c r="E331" s="1">
        <f ca="1">IFERROR(__xludf.DUMMYFUNCTION("""COMPUTED_VALUE"""),104.45)</f>
        <v>104.45</v>
      </c>
      <c r="F331" s="1">
        <f ca="1">IFERROR(__xludf.DUMMYFUNCTION("""COMPUTED_VALUE"""),37068168)</f>
        <v>37068168</v>
      </c>
    </row>
    <row r="332" spans="1:6" ht="12.6">
      <c r="A332" s="2">
        <f ca="1">IFERROR(__xludf.DUMMYFUNCTION("""COMPUTED_VALUE"""),45043.6666666666)</f>
        <v>45043.666666666599</v>
      </c>
      <c r="B332" s="1">
        <f ca="1">IFERROR(__xludf.DUMMYFUNCTION("""COMPUTED_VALUE"""),105.23)</f>
        <v>105.23</v>
      </c>
      <c r="C332" s="1">
        <f ca="1">IFERROR(__xludf.DUMMYFUNCTION("""COMPUTED_VALUE"""),109.15)</f>
        <v>109.15</v>
      </c>
      <c r="D332" s="1">
        <f ca="1">IFERROR(__xludf.DUMMYFUNCTION("""COMPUTED_VALUE"""),104.42)</f>
        <v>104.42</v>
      </c>
      <c r="E332" s="1">
        <f ca="1">IFERROR(__xludf.DUMMYFUNCTION("""COMPUTED_VALUE"""),108.37)</f>
        <v>108.37</v>
      </c>
      <c r="F332" s="1">
        <f ca="1">IFERROR(__xludf.DUMMYFUNCTION("""COMPUTED_VALUE"""),38235220)</f>
        <v>38235220</v>
      </c>
    </row>
    <row r="333" spans="1:6" ht="12.6">
      <c r="A333" s="2">
        <f ca="1">IFERROR(__xludf.DUMMYFUNCTION("""COMPUTED_VALUE"""),45044.6666666666)</f>
        <v>45044.666666666599</v>
      </c>
      <c r="B333" s="1">
        <f ca="1">IFERROR(__xludf.DUMMYFUNCTION("""COMPUTED_VALUE"""),107.8)</f>
        <v>107.8</v>
      </c>
      <c r="C333" s="1">
        <f ca="1">IFERROR(__xludf.DUMMYFUNCTION("""COMPUTED_VALUE"""),108.29)</f>
        <v>108.29</v>
      </c>
      <c r="D333" s="1">
        <f ca="1">IFERROR(__xludf.DUMMYFUNCTION("""COMPUTED_VALUE"""),106.04)</f>
        <v>106.04</v>
      </c>
      <c r="E333" s="1">
        <f ca="1">IFERROR(__xludf.DUMMYFUNCTION("""COMPUTED_VALUE"""),108.22)</f>
        <v>108.22</v>
      </c>
      <c r="F333" s="1">
        <f ca="1">IFERROR(__xludf.DUMMYFUNCTION("""COMPUTED_VALUE"""),23957872)</f>
        <v>23957872</v>
      </c>
    </row>
    <row r="334" spans="1:6" ht="12.6">
      <c r="A334" s="2">
        <f ca="1">IFERROR(__xludf.DUMMYFUNCTION("""COMPUTED_VALUE"""),45047.6666666666)</f>
        <v>45047.666666666599</v>
      </c>
      <c r="B334" s="1">
        <f ca="1">IFERROR(__xludf.DUMMYFUNCTION("""COMPUTED_VALUE"""),107.72)</f>
        <v>107.72</v>
      </c>
      <c r="C334" s="1">
        <f ca="1">IFERROR(__xludf.DUMMYFUNCTION("""COMPUTED_VALUE"""),108.68)</f>
        <v>108.68</v>
      </c>
      <c r="D334" s="1">
        <f ca="1">IFERROR(__xludf.DUMMYFUNCTION("""COMPUTED_VALUE"""),107.5)</f>
        <v>107.5</v>
      </c>
      <c r="E334" s="1">
        <f ca="1">IFERROR(__xludf.DUMMYFUNCTION("""COMPUTED_VALUE"""),107.71)</f>
        <v>107.71</v>
      </c>
      <c r="F334" s="1">
        <f ca="1">IFERROR(__xludf.DUMMYFUNCTION("""COMPUTED_VALUE"""),20926259)</f>
        <v>20926259</v>
      </c>
    </row>
    <row r="335" spans="1:6" ht="12.6">
      <c r="A335" s="2">
        <f ca="1">IFERROR(__xludf.DUMMYFUNCTION("""COMPUTED_VALUE"""),45048.6666666666)</f>
        <v>45048.666666666599</v>
      </c>
      <c r="B335" s="1">
        <f ca="1">IFERROR(__xludf.DUMMYFUNCTION("""COMPUTED_VALUE"""),107.66)</f>
        <v>107.66</v>
      </c>
      <c r="C335" s="1">
        <f ca="1">IFERROR(__xludf.DUMMYFUNCTION("""COMPUTED_VALUE"""),107.73)</f>
        <v>107.73</v>
      </c>
      <c r="D335" s="1">
        <f ca="1">IFERROR(__xludf.DUMMYFUNCTION("""COMPUTED_VALUE"""),104.5)</f>
        <v>104.5</v>
      </c>
      <c r="E335" s="1">
        <f ca="1">IFERROR(__xludf.DUMMYFUNCTION("""COMPUTED_VALUE"""),105.98)</f>
        <v>105.98</v>
      </c>
      <c r="F335" s="1">
        <f ca="1">IFERROR(__xludf.DUMMYFUNCTION("""COMPUTED_VALUE"""),20343116)</f>
        <v>20343116</v>
      </c>
    </row>
    <row r="336" spans="1:6" ht="12.6">
      <c r="A336" s="2">
        <f ca="1">IFERROR(__xludf.DUMMYFUNCTION("""COMPUTED_VALUE"""),45049.6666666666)</f>
        <v>45049.666666666599</v>
      </c>
      <c r="B336" s="1">
        <f ca="1">IFERROR(__xludf.DUMMYFUNCTION("""COMPUTED_VALUE"""),106.22)</f>
        <v>106.22</v>
      </c>
      <c r="C336" s="1">
        <f ca="1">IFERROR(__xludf.DUMMYFUNCTION("""COMPUTED_VALUE"""),108.13)</f>
        <v>108.13</v>
      </c>
      <c r="D336" s="1">
        <f ca="1">IFERROR(__xludf.DUMMYFUNCTION("""COMPUTED_VALUE"""),105.62)</f>
        <v>105.62</v>
      </c>
      <c r="E336" s="1">
        <f ca="1">IFERROR(__xludf.DUMMYFUNCTION("""COMPUTED_VALUE"""),106.12)</f>
        <v>106.12</v>
      </c>
      <c r="F336" s="1">
        <f ca="1">IFERROR(__xludf.DUMMYFUNCTION("""COMPUTED_VALUE"""),17116333)</f>
        <v>17116333</v>
      </c>
    </row>
    <row r="337" spans="1:6" ht="12.6">
      <c r="A337" s="2">
        <f ca="1">IFERROR(__xludf.DUMMYFUNCTION("""COMPUTED_VALUE"""),45050.6666666666)</f>
        <v>45050.666666666599</v>
      </c>
      <c r="B337" s="1">
        <f ca="1">IFERROR(__xludf.DUMMYFUNCTION("""COMPUTED_VALUE"""),106.16)</f>
        <v>106.16</v>
      </c>
      <c r="C337" s="1">
        <f ca="1">IFERROR(__xludf.DUMMYFUNCTION("""COMPUTED_VALUE"""),106.3)</f>
        <v>106.3</v>
      </c>
      <c r="D337" s="1">
        <f ca="1">IFERROR(__xludf.DUMMYFUNCTION("""COMPUTED_VALUE"""),104.7)</f>
        <v>104.7</v>
      </c>
      <c r="E337" s="1">
        <f ca="1">IFERROR(__xludf.DUMMYFUNCTION("""COMPUTED_VALUE"""),105.21)</f>
        <v>105.21</v>
      </c>
      <c r="F337" s="1">
        <f ca="1">IFERROR(__xludf.DUMMYFUNCTION("""COMPUTED_VALUE"""),19780637)</f>
        <v>19780637</v>
      </c>
    </row>
    <row r="338" spans="1:6" ht="12.6">
      <c r="A338" s="2">
        <f ca="1">IFERROR(__xludf.DUMMYFUNCTION("""COMPUTED_VALUE"""),45051.6666666666)</f>
        <v>45051.666666666599</v>
      </c>
      <c r="B338" s="1">
        <f ca="1">IFERROR(__xludf.DUMMYFUNCTION("""COMPUTED_VALUE"""),105.32)</f>
        <v>105.32</v>
      </c>
      <c r="C338" s="1">
        <f ca="1">IFERROR(__xludf.DUMMYFUNCTION("""COMPUTED_VALUE"""),106.44)</f>
        <v>106.44</v>
      </c>
      <c r="D338" s="1">
        <f ca="1">IFERROR(__xludf.DUMMYFUNCTION("""COMPUTED_VALUE"""),104.74)</f>
        <v>104.74</v>
      </c>
      <c r="E338" s="1">
        <f ca="1">IFERROR(__xludf.DUMMYFUNCTION("""COMPUTED_VALUE"""),106.22)</f>
        <v>106.22</v>
      </c>
      <c r="F338" s="1">
        <f ca="1">IFERROR(__xludf.DUMMYFUNCTION("""COMPUTED_VALUE"""),20710627)</f>
        <v>20710627</v>
      </c>
    </row>
    <row r="339" spans="1:6" ht="12.6">
      <c r="A339" s="2">
        <f ca="1">IFERROR(__xludf.DUMMYFUNCTION("""COMPUTED_VALUE"""),45054.6666666666)</f>
        <v>45054.666666666599</v>
      </c>
      <c r="B339" s="1">
        <f ca="1">IFERROR(__xludf.DUMMYFUNCTION("""COMPUTED_VALUE"""),105.8)</f>
        <v>105.8</v>
      </c>
      <c r="C339" s="1">
        <f ca="1">IFERROR(__xludf.DUMMYFUNCTION("""COMPUTED_VALUE"""),108.42)</f>
        <v>108.42</v>
      </c>
      <c r="D339" s="1">
        <f ca="1">IFERROR(__xludf.DUMMYFUNCTION("""COMPUTED_VALUE"""),105.79)</f>
        <v>105.79</v>
      </c>
      <c r="E339" s="1">
        <f ca="1">IFERROR(__xludf.DUMMYFUNCTION("""COMPUTED_VALUE"""),108.24)</f>
        <v>108.24</v>
      </c>
      <c r="F339" s="1">
        <f ca="1">IFERROR(__xludf.DUMMYFUNCTION("""COMPUTED_VALUE"""),17266021)</f>
        <v>17266021</v>
      </c>
    </row>
    <row r="340" spans="1:6" ht="12.6">
      <c r="A340" s="2">
        <f ca="1">IFERROR(__xludf.DUMMYFUNCTION("""COMPUTED_VALUE"""),45055.6666666666)</f>
        <v>45055.666666666599</v>
      </c>
      <c r="B340" s="1">
        <f ca="1">IFERROR(__xludf.DUMMYFUNCTION("""COMPUTED_VALUE"""),108.78)</f>
        <v>108.78</v>
      </c>
      <c r="C340" s="1">
        <f ca="1">IFERROR(__xludf.DUMMYFUNCTION("""COMPUTED_VALUE"""),110.6)</f>
        <v>110.6</v>
      </c>
      <c r="D340" s="1">
        <f ca="1">IFERROR(__xludf.DUMMYFUNCTION("""COMPUTED_VALUE"""),107.73)</f>
        <v>107.73</v>
      </c>
      <c r="E340" s="1">
        <f ca="1">IFERROR(__xludf.DUMMYFUNCTION("""COMPUTED_VALUE"""),107.94)</f>
        <v>107.94</v>
      </c>
      <c r="F340" s="1">
        <f ca="1">IFERROR(__xludf.DUMMYFUNCTION("""COMPUTED_VALUE"""),24782442)</f>
        <v>24782442</v>
      </c>
    </row>
    <row r="341" spans="1:6" ht="12.6">
      <c r="A341" s="2">
        <f ca="1">IFERROR(__xludf.DUMMYFUNCTION("""COMPUTED_VALUE"""),45056.6666666666)</f>
        <v>45056.666666666599</v>
      </c>
      <c r="B341" s="1">
        <f ca="1">IFERROR(__xludf.DUMMYFUNCTION("""COMPUTED_VALUE"""),108.55)</f>
        <v>108.55</v>
      </c>
      <c r="C341" s="1">
        <f ca="1">IFERROR(__xludf.DUMMYFUNCTION("""COMPUTED_VALUE"""),113.51)</f>
        <v>113.51</v>
      </c>
      <c r="D341" s="1">
        <f ca="1">IFERROR(__xludf.DUMMYFUNCTION("""COMPUTED_VALUE"""),108.48)</f>
        <v>108.48</v>
      </c>
      <c r="E341" s="1">
        <f ca="1">IFERROR(__xludf.DUMMYFUNCTION("""COMPUTED_VALUE"""),112.28)</f>
        <v>112.28</v>
      </c>
      <c r="F341" s="1">
        <f ca="1">IFERROR(__xludf.DUMMYFUNCTION("""COMPUTED_VALUE"""),47533463)</f>
        <v>47533463</v>
      </c>
    </row>
    <row r="342" spans="1:6" ht="12.6">
      <c r="A342" s="2">
        <f ca="1">IFERROR(__xludf.DUMMYFUNCTION("""COMPUTED_VALUE"""),45057.6666666666)</f>
        <v>45057.666666666599</v>
      </c>
      <c r="B342" s="1">
        <f ca="1">IFERROR(__xludf.DUMMYFUNCTION("""COMPUTED_VALUE"""),115.86)</f>
        <v>115.86</v>
      </c>
      <c r="C342" s="1">
        <f ca="1">IFERROR(__xludf.DUMMYFUNCTION("""COMPUTED_VALUE"""),118.44)</f>
        <v>118.44</v>
      </c>
      <c r="D342" s="1">
        <f ca="1">IFERROR(__xludf.DUMMYFUNCTION("""COMPUTED_VALUE"""),114.93)</f>
        <v>114.93</v>
      </c>
      <c r="E342" s="1">
        <f ca="1">IFERROR(__xludf.DUMMYFUNCTION("""COMPUTED_VALUE"""),116.9)</f>
        <v>116.9</v>
      </c>
      <c r="F342" s="1">
        <f ca="1">IFERROR(__xludf.DUMMYFUNCTION("""COMPUTED_VALUE"""),57115075)</f>
        <v>57115075</v>
      </c>
    </row>
    <row r="343" spans="1:6" ht="12.6">
      <c r="A343" s="2">
        <f ca="1">IFERROR(__xludf.DUMMYFUNCTION("""COMPUTED_VALUE"""),45058.6666666666)</f>
        <v>45058.666666666599</v>
      </c>
      <c r="B343" s="1">
        <f ca="1">IFERROR(__xludf.DUMMYFUNCTION("""COMPUTED_VALUE"""),117)</f>
        <v>117</v>
      </c>
      <c r="C343" s="1">
        <f ca="1">IFERROR(__xludf.DUMMYFUNCTION("""COMPUTED_VALUE"""),118.26)</f>
        <v>118.26</v>
      </c>
      <c r="D343" s="1">
        <f ca="1">IFERROR(__xludf.DUMMYFUNCTION("""COMPUTED_VALUE"""),116.55)</f>
        <v>116.55</v>
      </c>
      <c r="E343" s="1">
        <f ca="1">IFERROR(__xludf.DUMMYFUNCTION("""COMPUTED_VALUE"""),117.92)</f>
        <v>117.92</v>
      </c>
      <c r="F343" s="1">
        <f ca="1">IFERROR(__xludf.DUMMYFUNCTION("""COMPUTED_VALUE"""),31293778)</f>
        <v>31293778</v>
      </c>
    </row>
    <row r="344" spans="1:6" ht="12.6">
      <c r="A344" s="2">
        <f ca="1">IFERROR(__xludf.DUMMYFUNCTION("""COMPUTED_VALUE"""),45061.6666666666)</f>
        <v>45061.666666666599</v>
      </c>
      <c r="B344" s="1">
        <f ca="1">IFERROR(__xludf.DUMMYFUNCTION("""COMPUTED_VALUE"""),116.49)</f>
        <v>116.49</v>
      </c>
      <c r="C344" s="1">
        <f ca="1">IFERROR(__xludf.DUMMYFUNCTION("""COMPUTED_VALUE"""),118.8)</f>
        <v>118.8</v>
      </c>
      <c r="D344" s="1">
        <f ca="1">IFERROR(__xludf.DUMMYFUNCTION("""COMPUTED_VALUE"""),116.48)</f>
        <v>116.48</v>
      </c>
      <c r="E344" s="1">
        <f ca="1">IFERROR(__xludf.DUMMYFUNCTION("""COMPUTED_VALUE"""),116.96)</f>
        <v>116.96</v>
      </c>
      <c r="F344" s="1">
        <f ca="1">IFERROR(__xludf.DUMMYFUNCTION("""COMPUTED_VALUE"""),22107865)</f>
        <v>22107865</v>
      </c>
    </row>
    <row r="345" spans="1:6" ht="12.6">
      <c r="A345" s="2">
        <f ca="1">IFERROR(__xludf.DUMMYFUNCTION("""COMPUTED_VALUE"""),45062.6666666666)</f>
        <v>45062.666666666599</v>
      </c>
      <c r="B345" s="1">
        <f ca="1">IFERROR(__xludf.DUMMYFUNCTION("""COMPUTED_VALUE"""),116.83)</f>
        <v>116.83</v>
      </c>
      <c r="C345" s="1">
        <f ca="1">IFERROR(__xludf.DUMMYFUNCTION("""COMPUTED_VALUE"""),121.2)</f>
        <v>121.2</v>
      </c>
      <c r="D345" s="1">
        <f ca="1">IFERROR(__xludf.DUMMYFUNCTION("""COMPUTED_VALUE"""),116.83)</f>
        <v>116.83</v>
      </c>
      <c r="E345" s="1">
        <f ca="1">IFERROR(__xludf.DUMMYFUNCTION("""COMPUTED_VALUE"""),120.09)</f>
        <v>120.09</v>
      </c>
      <c r="F345" s="1">
        <f ca="1">IFERROR(__xludf.DUMMYFUNCTION("""COMPUTED_VALUE"""),32370113)</f>
        <v>32370113</v>
      </c>
    </row>
    <row r="346" spans="1:6" ht="12.6">
      <c r="A346" s="2">
        <f ca="1">IFERROR(__xludf.DUMMYFUNCTION("""COMPUTED_VALUE"""),45063.6666666666)</f>
        <v>45063.666666666599</v>
      </c>
      <c r="B346" s="1">
        <f ca="1">IFERROR(__xludf.DUMMYFUNCTION("""COMPUTED_VALUE"""),120.18)</f>
        <v>120.18</v>
      </c>
      <c r="C346" s="1">
        <f ca="1">IFERROR(__xludf.DUMMYFUNCTION("""COMPUTED_VALUE"""),122.28)</f>
        <v>122.28</v>
      </c>
      <c r="D346" s="1">
        <f ca="1">IFERROR(__xludf.DUMMYFUNCTION("""COMPUTED_VALUE"""),119.46)</f>
        <v>119.46</v>
      </c>
      <c r="E346" s="1">
        <f ca="1">IFERROR(__xludf.DUMMYFUNCTION("""COMPUTED_VALUE"""),121.48)</f>
        <v>121.48</v>
      </c>
      <c r="F346" s="1">
        <f ca="1">IFERROR(__xludf.DUMMYFUNCTION("""COMPUTED_VALUE"""),26659564)</f>
        <v>26659564</v>
      </c>
    </row>
    <row r="347" spans="1:6" ht="12.6">
      <c r="A347" s="2">
        <f ca="1">IFERROR(__xludf.DUMMYFUNCTION("""COMPUTED_VALUE"""),45064.6666666666)</f>
        <v>45064.666666666599</v>
      </c>
      <c r="B347" s="1">
        <f ca="1">IFERROR(__xludf.DUMMYFUNCTION("""COMPUTED_VALUE"""),121.56)</f>
        <v>121.56</v>
      </c>
      <c r="C347" s="1">
        <f ca="1">IFERROR(__xludf.DUMMYFUNCTION("""COMPUTED_VALUE"""),123.9)</f>
        <v>123.9</v>
      </c>
      <c r="D347" s="1">
        <f ca="1">IFERROR(__xludf.DUMMYFUNCTION("""COMPUTED_VALUE"""),121.49)</f>
        <v>121.49</v>
      </c>
      <c r="E347" s="1">
        <f ca="1">IFERROR(__xludf.DUMMYFUNCTION("""COMPUTED_VALUE"""),123.52)</f>
        <v>123.52</v>
      </c>
      <c r="F347" s="1">
        <f ca="1">IFERROR(__xludf.DUMMYFUNCTION("""COMPUTED_VALUE"""),27014468)</f>
        <v>27014468</v>
      </c>
    </row>
    <row r="348" spans="1:6" ht="12.6">
      <c r="A348" s="2">
        <f ca="1">IFERROR(__xludf.DUMMYFUNCTION("""COMPUTED_VALUE"""),45065.6666666666)</f>
        <v>45065.666666666599</v>
      </c>
      <c r="B348" s="1">
        <f ca="1">IFERROR(__xludf.DUMMYFUNCTION("""COMPUTED_VALUE"""),124.2)</f>
        <v>124.2</v>
      </c>
      <c r="C348" s="1">
        <f ca="1">IFERROR(__xludf.DUMMYFUNCTION("""COMPUTED_VALUE"""),126.48)</f>
        <v>126.48</v>
      </c>
      <c r="D348" s="1">
        <f ca="1">IFERROR(__xludf.DUMMYFUNCTION("""COMPUTED_VALUE"""),122.72)</f>
        <v>122.72</v>
      </c>
      <c r="E348" s="1">
        <f ca="1">IFERROR(__xludf.DUMMYFUNCTION("""COMPUTED_VALUE"""),123.25)</f>
        <v>123.25</v>
      </c>
      <c r="F348" s="1">
        <f ca="1">IFERROR(__xludf.DUMMYFUNCTION("""COMPUTED_VALUE"""),30268864)</f>
        <v>30268864</v>
      </c>
    </row>
    <row r="349" spans="1:6" ht="12.6">
      <c r="A349" s="2">
        <f ca="1">IFERROR(__xludf.DUMMYFUNCTION("""COMPUTED_VALUE"""),45068.6666666666)</f>
        <v>45068.666666666599</v>
      </c>
      <c r="B349" s="1">
        <f ca="1">IFERROR(__xludf.DUMMYFUNCTION("""COMPUTED_VALUE"""),123.51)</f>
        <v>123.51</v>
      </c>
      <c r="C349" s="1">
        <f ca="1">IFERROR(__xludf.DUMMYFUNCTION("""COMPUTED_VALUE"""),127.05)</f>
        <v>127.05</v>
      </c>
      <c r="D349" s="1">
        <f ca="1">IFERROR(__xludf.DUMMYFUNCTION("""COMPUTED_VALUE"""),123.45)</f>
        <v>123.45</v>
      </c>
      <c r="E349" s="1">
        <f ca="1">IFERROR(__xludf.DUMMYFUNCTION("""COMPUTED_VALUE"""),125.87)</f>
        <v>125.87</v>
      </c>
      <c r="F349" s="1">
        <f ca="1">IFERROR(__xludf.DUMMYFUNCTION("""COMPUTED_VALUE"""),29760236)</f>
        <v>29760236</v>
      </c>
    </row>
    <row r="350" spans="1:6" ht="12.6">
      <c r="A350" s="2">
        <f ca="1">IFERROR(__xludf.DUMMYFUNCTION("""COMPUTED_VALUE"""),45069.6666666666)</f>
        <v>45069.666666666599</v>
      </c>
      <c r="B350" s="1">
        <f ca="1">IFERROR(__xludf.DUMMYFUNCTION("""COMPUTED_VALUE"""),124.93)</f>
        <v>124.93</v>
      </c>
      <c r="C350" s="1">
        <f ca="1">IFERROR(__xludf.DUMMYFUNCTION("""COMPUTED_VALUE"""),125.42)</f>
        <v>125.42</v>
      </c>
      <c r="D350" s="1">
        <f ca="1">IFERROR(__xludf.DUMMYFUNCTION("""COMPUTED_VALUE"""),123.05)</f>
        <v>123.05</v>
      </c>
      <c r="E350" s="1">
        <f ca="1">IFERROR(__xludf.DUMMYFUNCTION("""COMPUTED_VALUE"""),123.29)</f>
        <v>123.29</v>
      </c>
      <c r="F350" s="1">
        <f ca="1">IFERROR(__xludf.DUMMYFUNCTION("""COMPUTED_VALUE"""),24477945)</f>
        <v>24477945</v>
      </c>
    </row>
    <row r="351" spans="1:6" ht="12.6">
      <c r="A351" s="2">
        <f ca="1">IFERROR(__xludf.DUMMYFUNCTION("""COMPUTED_VALUE"""),45070.6666666666)</f>
        <v>45070.666666666599</v>
      </c>
      <c r="B351" s="1">
        <f ca="1">IFERROR(__xludf.DUMMYFUNCTION("""COMPUTED_VALUE"""),121.88)</f>
        <v>121.88</v>
      </c>
      <c r="C351" s="1">
        <f ca="1">IFERROR(__xludf.DUMMYFUNCTION("""COMPUTED_VALUE"""),122.75)</f>
        <v>122.75</v>
      </c>
      <c r="D351" s="1">
        <f ca="1">IFERROR(__xludf.DUMMYFUNCTION("""COMPUTED_VALUE"""),120.75)</f>
        <v>120.75</v>
      </c>
      <c r="E351" s="1">
        <f ca="1">IFERROR(__xludf.DUMMYFUNCTION("""COMPUTED_VALUE"""),121.64)</f>
        <v>121.64</v>
      </c>
      <c r="F351" s="1">
        <f ca="1">IFERROR(__xludf.DUMMYFUNCTION("""COMPUTED_VALUE"""),23087925)</f>
        <v>23087925</v>
      </c>
    </row>
    <row r="352" spans="1:6" ht="12.6">
      <c r="A352" s="2">
        <f ca="1">IFERROR(__xludf.DUMMYFUNCTION("""COMPUTED_VALUE"""),45071.6666666666)</f>
        <v>45071.666666666599</v>
      </c>
      <c r="B352" s="1">
        <f ca="1">IFERROR(__xludf.DUMMYFUNCTION("""COMPUTED_VALUE"""),125.21)</f>
        <v>125.21</v>
      </c>
      <c r="C352" s="1">
        <f ca="1">IFERROR(__xludf.DUMMYFUNCTION("""COMPUTED_VALUE"""),125.98)</f>
        <v>125.98</v>
      </c>
      <c r="D352" s="1">
        <f ca="1">IFERROR(__xludf.DUMMYFUNCTION("""COMPUTED_VALUE"""),122.9)</f>
        <v>122.9</v>
      </c>
      <c r="E352" s="1">
        <f ca="1">IFERROR(__xludf.DUMMYFUNCTION("""COMPUTED_VALUE"""),124.35)</f>
        <v>124.35</v>
      </c>
      <c r="F352" s="1">
        <f ca="1">IFERROR(__xludf.DUMMYFUNCTION("""COMPUTED_VALUE"""),33812730)</f>
        <v>33812730</v>
      </c>
    </row>
    <row r="353" spans="1:6" ht="12.6">
      <c r="A353" s="2">
        <f ca="1">IFERROR(__xludf.DUMMYFUNCTION("""COMPUTED_VALUE"""),45072.6666666666)</f>
        <v>45072.666666666599</v>
      </c>
      <c r="B353" s="1">
        <f ca="1">IFERROR(__xludf.DUMMYFUNCTION("""COMPUTED_VALUE"""),124.07)</f>
        <v>124.07</v>
      </c>
      <c r="C353" s="1">
        <f ca="1">IFERROR(__xludf.DUMMYFUNCTION("""COMPUTED_VALUE"""),126)</f>
        <v>126</v>
      </c>
      <c r="D353" s="1">
        <f ca="1">IFERROR(__xludf.DUMMYFUNCTION("""COMPUTED_VALUE"""),123.29)</f>
        <v>123.29</v>
      </c>
      <c r="E353" s="1">
        <f ca="1">IFERROR(__xludf.DUMMYFUNCTION("""COMPUTED_VALUE"""),125.43)</f>
        <v>125.43</v>
      </c>
      <c r="F353" s="1">
        <f ca="1">IFERROR(__xludf.DUMMYFUNCTION("""COMPUTED_VALUE"""),25169036)</f>
        <v>25169036</v>
      </c>
    </row>
    <row r="354" spans="1:6" ht="12.6">
      <c r="A354" s="2">
        <f ca="1">IFERROR(__xludf.DUMMYFUNCTION("""COMPUTED_VALUE"""),45076.6666666666)</f>
        <v>45076.666666666599</v>
      </c>
      <c r="B354" s="1">
        <f ca="1">IFERROR(__xludf.DUMMYFUNCTION("""COMPUTED_VALUE"""),126.29)</f>
        <v>126.29</v>
      </c>
      <c r="C354" s="1">
        <f ca="1">IFERROR(__xludf.DUMMYFUNCTION("""COMPUTED_VALUE"""),126.38)</f>
        <v>126.38</v>
      </c>
      <c r="D354" s="1">
        <f ca="1">IFERROR(__xludf.DUMMYFUNCTION("""COMPUTED_VALUE"""),122.89)</f>
        <v>122.89</v>
      </c>
      <c r="E354" s="1">
        <f ca="1">IFERROR(__xludf.DUMMYFUNCTION("""COMPUTED_VALUE"""),124.64)</f>
        <v>124.64</v>
      </c>
      <c r="F354" s="1">
        <f ca="1">IFERROR(__xludf.DUMMYFUNCTION("""COMPUTED_VALUE"""),27230726)</f>
        <v>27230726</v>
      </c>
    </row>
    <row r="355" spans="1:6" ht="12.6">
      <c r="A355" s="2">
        <f ca="1">IFERROR(__xludf.DUMMYFUNCTION("""COMPUTED_VALUE"""),45077.6666666666)</f>
        <v>45077.666666666599</v>
      </c>
      <c r="B355" s="1">
        <f ca="1">IFERROR(__xludf.DUMMYFUNCTION("""COMPUTED_VALUE"""),123.7)</f>
        <v>123.7</v>
      </c>
      <c r="C355" s="1">
        <f ca="1">IFERROR(__xludf.DUMMYFUNCTION("""COMPUTED_VALUE"""),124.9)</f>
        <v>124.9</v>
      </c>
      <c r="D355" s="1">
        <f ca="1">IFERROR(__xludf.DUMMYFUNCTION("""COMPUTED_VALUE"""),123.1)</f>
        <v>123.1</v>
      </c>
      <c r="E355" s="1">
        <f ca="1">IFERROR(__xludf.DUMMYFUNCTION("""COMPUTED_VALUE"""),123.37)</f>
        <v>123.37</v>
      </c>
      <c r="F355" s="1">
        <f ca="1">IFERROR(__xludf.DUMMYFUNCTION("""COMPUTED_VALUE"""),41548759)</f>
        <v>41548759</v>
      </c>
    </row>
    <row r="356" spans="1:6" ht="12.6">
      <c r="A356" s="2">
        <f ca="1">IFERROR(__xludf.DUMMYFUNCTION("""COMPUTED_VALUE"""),45078.6666666666)</f>
        <v>45078.666666666599</v>
      </c>
      <c r="B356" s="1">
        <f ca="1">IFERROR(__xludf.DUMMYFUNCTION("""COMPUTED_VALUE"""),123.5)</f>
        <v>123.5</v>
      </c>
      <c r="C356" s="1">
        <f ca="1">IFERROR(__xludf.DUMMYFUNCTION("""COMPUTED_VALUE"""),125.04)</f>
        <v>125.04</v>
      </c>
      <c r="D356" s="1">
        <f ca="1">IFERROR(__xludf.DUMMYFUNCTION("""COMPUTED_VALUE"""),123.3)</f>
        <v>123.3</v>
      </c>
      <c r="E356" s="1">
        <f ca="1">IFERROR(__xludf.DUMMYFUNCTION("""COMPUTED_VALUE"""),124.37)</f>
        <v>124.37</v>
      </c>
      <c r="F356" s="1">
        <f ca="1">IFERROR(__xludf.DUMMYFUNCTION("""COMPUTED_VALUE"""),25017674)</f>
        <v>25017674</v>
      </c>
    </row>
    <row r="357" spans="1:6" ht="12.6">
      <c r="A357" s="2">
        <f ca="1">IFERROR(__xludf.DUMMYFUNCTION("""COMPUTED_VALUE"""),45079.6666666666)</f>
        <v>45079.666666666599</v>
      </c>
      <c r="B357" s="1">
        <f ca="1">IFERROR(__xludf.DUMMYFUNCTION("""COMPUTED_VALUE"""),124.49)</f>
        <v>124.49</v>
      </c>
      <c r="C357" s="1">
        <f ca="1">IFERROR(__xludf.DUMMYFUNCTION("""COMPUTED_VALUE"""),126.75)</f>
        <v>126.75</v>
      </c>
      <c r="D357" s="1">
        <f ca="1">IFERROR(__xludf.DUMMYFUNCTION("""COMPUTED_VALUE"""),124.35)</f>
        <v>124.35</v>
      </c>
      <c r="E357" s="1">
        <f ca="1">IFERROR(__xludf.DUMMYFUNCTION("""COMPUTED_VALUE"""),125.23)</f>
        <v>125.23</v>
      </c>
      <c r="F357" s="1">
        <f ca="1">IFERROR(__xludf.DUMMYFUNCTION("""COMPUTED_VALUE"""),19367453)</f>
        <v>19367453</v>
      </c>
    </row>
    <row r="358" spans="1:6" ht="12.6">
      <c r="A358" s="2">
        <f ca="1">IFERROR(__xludf.DUMMYFUNCTION("""COMPUTED_VALUE"""),45082.6666666666)</f>
        <v>45082.666666666599</v>
      </c>
      <c r="B358" s="1">
        <f ca="1">IFERROR(__xludf.DUMMYFUNCTION("""COMPUTED_VALUE"""),124.61)</f>
        <v>124.61</v>
      </c>
      <c r="C358" s="1">
        <f ca="1">IFERROR(__xludf.DUMMYFUNCTION("""COMPUTED_VALUE"""),127.99)</f>
        <v>127.99</v>
      </c>
      <c r="D358" s="1">
        <f ca="1">IFERROR(__xludf.DUMMYFUNCTION("""COMPUTED_VALUE"""),124.38)</f>
        <v>124.38</v>
      </c>
      <c r="E358" s="1">
        <f ca="1">IFERROR(__xludf.DUMMYFUNCTION("""COMPUTED_VALUE"""),126.63)</f>
        <v>126.63</v>
      </c>
      <c r="F358" s="1">
        <f ca="1">IFERROR(__xludf.DUMMYFUNCTION("""COMPUTED_VALUE"""),22672516)</f>
        <v>22672516</v>
      </c>
    </row>
    <row r="359" spans="1:6" ht="12.6">
      <c r="A359" s="2">
        <f ca="1">IFERROR(__xludf.DUMMYFUNCTION("""COMPUTED_VALUE"""),45083.6666666666)</f>
        <v>45083.666666666599</v>
      </c>
      <c r="B359" s="1">
        <f ca="1">IFERROR(__xludf.DUMMYFUNCTION("""COMPUTED_VALUE"""),126.6)</f>
        <v>126.6</v>
      </c>
      <c r="C359" s="1">
        <f ca="1">IFERROR(__xludf.DUMMYFUNCTION("""COMPUTED_VALUE"""),128.88)</f>
        <v>128.88</v>
      </c>
      <c r="D359" s="1">
        <f ca="1">IFERROR(__xludf.DUMMYFUNCTION("""COMPUTED_VALUE"""),125.97)</f>
        <v>125.97</v>
      </c>
      <c r="E359" s="1">
        <f ca="1">IFERROR(__xludf.DUMMYFUNCTION("""COMPUTED_VALUE"""),127.91)</f>
        <v>127.91</v>
      </c>
      <c r="F359" s="1">
        <f ca="1">IFERROR(__xludf.DUMMYFUNCTION("""COMPUTED_VALUE"""),19450128)</f>
        <v>19450128</v>
      </c>
    </row>
    <row r="360" spans="1:6" ht="12.6">
      <c r="A360" s="2">
        <f ca="1">IFERROR(__xludf.DUMMYFUNCTION("""COMPUTED_VALUE"""),45084.6666666666)</f>
        <v>45084.666666666599</v>
      </c>
      <c r="B360" s="1">
        <f ca="1">IFERROR(__xludf.DUMMYFUNCTION("""COMPUTED_VALUE"""),127.58)</f>
        <v>127.58</v>
      </c>
      <c r="C360" s="1">
        <f ca="1">IFERROR(__xludf.DUMMYFUNCTION("""COMPUTED_VALUE"""),129.55)</f>
        <v>129.55000000000001</v>
      </c>
      <c r="D360" s="1">
        <f ca="1">IFERROR(__xludf.DUMMYFUNCTION("""COMPUTED_VALUE"""),122.63)</f>
        <v>122.63</v>
      </c>
      <c r="E360" s="1">
        <f ca="1">IFERROR(__xludf.DUMMYFUNCTION("""COMPUTED_VALUE"""),122.94)</f>
        <v>122.94</v>
      </c>
      <c r="F360" s="1">
        <f ca="1">IFERROR(__xludf.DUMMYFUNCTION("""COMPUTED_VALUE"""),34179348)</f>
        <v>34179348</v>
      </c>
    </row>
    <row r="361" spans="1:6" ht="12.6">
      <c r="A361" s="2">
        <f ca="1">IFERROR(__xludf.DUMMYFUNCTION("""COMPUTED_VALUE"""),45085.6666666666)</f>
        <v>45085.666666666599</v>
      </c>
      <c r="B361" s="1">
        <f ca="1">IFERROR(__xludf.DUMMYFUNCTION("""COMPUTED_VALUE"""),122.59)</f>
        <v>122.59</v>
      </c>
      <c r="C361" s="1">
        <f ca="1">IFERROR(__xludf.DUMMYFUNCTION("""COMPUTED_VALUE"""),123.73)</f>
        <v>123.73</v>
      </c>
      <c r="D361" s="1">
        <f ca="1">IFERROR(__xludf.DUMMYFUNCTION("""COMPUTED_VALUE"""),122.01)</f>
        <v>122.01</v>
      </c>
      <c r="E361" s="1">
        <f ca="1">IFERROR(__xludf.DUMMYFUNCTION("""COMPUTED_VALUE"""),122.67)</f>
        <v>122.67</v>
      </c>
      <c r="F361" s="1">
        <f ca="1">IFERROR(__xludf.DUMMYFUNCTION("""COMPUTED_VALUE"""),24814996)</f>
        <v>24814996</v>
      </c>
    </row>
    <row r="362" spans="1:6" ht="12.6">
      <c r="A362" s="2">
        <f ca="1">IFERROR(__xludf.DUMMYFUNCTION("""COMPUTED_VALUE"""),45086.6666666666)</f>
        <v>45086.666666666599</v>
      </c>
      <c r="B362" s="1">
        <f ca="1">IFERROR(__xludf.DUMMYFUNCTION("""COMPUTED_VALUE"""),122.56)</f>
        <v>122.56</v>
      </c>
      <c r="C362" s="1">
        <f ca="1">IFERROR(__xludf.DUMMYFUNCTION("""COMPUTED_VALUE"""),124.29)</f>
        <v>124.29</v>
      </c>
      <c r="D362" s="1">
        <f ca="1">IFERROR(__xludf.DUMMYFUNCTION("""COMPUTED_VALUE"""),122.42)</f>
        <v>122.42</v>
      </c>
      <c r="E362" s="1">
        <f ca="1">IFERROR(__xludf.DUMMYFUNCTION("""COMPUTED_VALUE"""),122.87)</f>
        <v>122.87</v>
      </c>
      <c r="F362" s="1">
        <f ca="1">IFERROR(__xludf.DUMMYFUNCTION("""COMPUTED_VALUE"""),20313676)</f>
        <v>20313676</v>
      </c>
    </row>
    <row r="363" spans="1:6" ht="12.6">
      <c r="A363" s="2">
        <f ca="1">IFERROR(__xludf.DUMMYFUNCTION("""COMPUTED_VALUE"""),45089.6666666666)</f>
        <v>45089.666666666599</v>
      </c>
      <c r="B363" s="1">
        <f ca="1">IFERROR(__xludf.DUMMYFUNCTION("""COMPUTED_VALUE"""),123.4)</f>
        <v>123.4</v>
      </c>
      <c r="C363" s="1">
        <f ca="1">IFERROR(__xludf.DUMMYFUNCTION("""COMPUTED_VALUE"""),124.75)</f>
        <v>124.75</v>
      </c>
      <c r="D363" s="1">
        <f ca="1">IFERROR(__xludf.DUMMYFUNCTION("""COMPUTED_VALUE"""),122.35)</f>
        <v>122.35</v>
      </c>
      <c r="E363" s="1">
        <f ca="1">IFERROR(__xludf.DUMMYFUNCTION("""COMPUTED_VALUE"""),124.35)</f>
        <v>124.35</v>
      </c>
      <c r="F363" s="1">
        <f ca="1">IFERROR(__xludf.DUMMYFUNCTION("""COMPUTED_VALUE"""),22289632)</f>
        <v>22289632</v>
      </c>
    </row>
    <row r="364" spans="1:6" ht="12.6">
      <c r="A364" s="2">
        <f ca="1">IFERROR(__xludf.DUMMYFUNCTION("""COMPUTED_VALUE"""),45090.6666666666)</f>
        <v>45090.666666666599</v>
      </c>
      <c r="B364" s="1">
        <f ca="1">IFERROR(__xludf.DUMMYFUNCTION("""COMPUTED_VALUE"""),125.65)</f>
        <v>125.65</v>
      </c>
      <c r="C364" s="1">
        <f ca="1">IFERROR(__xludf.DUMMYFUNCTION("""COMPUTED_VALUE"""),125.86)</f>
        <v>125.86</v>
      </c>
      <c r="D364" s="1">
        <f ca="1">IFERROR(__xludf.DUMMYFUNCTION("""COMPUTED_VALUE"""),123.85)</f>
        <v>123.85</v>
      </c>
      <c r="E364" s="1">
        <f ca="1">IFERROR(__xludf.DUMMYFUNCTION("""COMPUTED_VALUE"""),124.43)</f>
        <v>124.43</v>
      </c>
      <c r="F364" s="1">
        <f ca="1">IFERROR(__xludf.DUMMYFUNCTION("""COMPUTED_VALUE"""),19287650)</f>
        <v>19287650</v>
      </c>
    </row>
    <row r="365" spans="1:6" ht="12.6">
      <c r="A365" s="2">
        <f ca="1">IFERROR(__xludf.DUMMYFUNCTION("""COMPUTED_VALUE"""),45091.6666666666)</f>
        <v>45091.666666666599</v>
      </c>
      <c r="B365" s="1">
        <f ca="1">IFERROR(__xludf.DUMMYFUNCTION("""COMPUTED_VALUE"""),123.8)</f>
        <v>123.8</v>
      </c>
      <c r="C365" s="1">
        <f ca="1">IFERROR(__xludf.DUMMYFUNCTION("""COMPUTED_VALUE"""),124.79)</f>
        <v>124.79</v>
      </c>
      <c r="D365" s="1">
        <f ca="1">IFERROR(__xludf.DUMMYFUNCTION("""COMPUTED_VALUE"""),122.16)</f>
        <v>122.16</v>
      </c>
      <c r="E365" s="1">
        <f ca="1">IFERROR(__xludf.DUMMYFUNCTION("""COMPUTED_VALUE"""),124.38)</f>
        <v>124.38</v>
      </c>
      <c r="F365" s="1">
        <f ca="1">IFERROR(__xludf.DUMMYFUNCTION("""COMPUTED_VALUE"""),24659620)</f>
        <v>24659620</v>
      </c>
    </row>
    <row r="366" spans="1:6" ht="12.6">
      <c r="A366" s="2">
        <f ca="1">IFERROR(__xludf.DUMMYFUNCTION("""COMPUTED_VALUE"""),45092.6666666666)</f>
        <v>45092.666666666599</v>
      </c>
      <c r="B366" s="1">
        <f ca="1">IFERROR(__xludf.DUMMYFUNCTION("""COMPUTED_VALUE"""),123.88)</f>
        <v>123.88</v>
      </c>
      <c r="C366" s="1">
        <f ca="1">IFERROR(__xludf.DUMMYFUNCTION("""COMPUTED_VALUE"""),126.16)</f>
        <v>126.16</v>
      </c>
      <c r="D366" s="1">
        <f ca="1">IFERROR(__xludf.DUMMYFUNCTION("""COMPUTED_VALUE"""),123.14)</f>
        <v>123.14</v>
      </c>
      <c r="E366" s="1">
        <f ca="1">IFERROR(__xludf.DUMMYFUNCTION("""COMPUTED_VALUE"""),125.79)</f>
        <v>125.79</v>
      </c>
      <c r="F366" s="1">
        <f ca="1">IFERROR(__xludf.DUMMYFUNCTION("""COMPUTED_VALUE"""),24517071)</f>
        <v>24517071</v>
      </c>
    </row>
    <row r="367" spans="1:6" ht="12.6">
      <c r="A367" s="2">
        <f ca="1">IFERROR(__xludf.DUMMYFUNCTION("""COMPUTED_VALUE"""),45093.6666666666)</f>
        <v>45093.666666666599</v>
      </c>
      <c r="B367" s="1">
        <f ca="1">IFERROR(__xludf.DUMMYFUNCTION("""COMPUTED_VALUE"""),126.7)</f>
        <v>126.7</v>
      </c>
      <c r="C367" s="1">
        <f ca="1">IFERROR(__xludf.DUMMYFUNCTION("""COMPUTED_VALUE"""),126.7)</f>
        <v>126.7</v>
      </c>
      <c r="D367" s="1">
        <f ca="1">IFERROR(__xludf.DUMMYFUNCTION("""COMPUTED_VALUE"""),123.79)</f>
        <v>123.79</v>
      </c>
      <c r="E367" s="1">
        <f ca="1">IFERROR(__xludf.DUMMYFUNCTION("""COMPUTED_VALUE"""),124.06)</f>
        <v>124.06</v>
      </c>
      <c r="F367" s="1">
        <f ca="1">IFERROR(__xludf.DUMMYFUNCTION("""COMPUTED_VALUE"""),56699200)</f>
        <v>56699200</v>
      </c>
    </row>
    <row r="368" spans="1:6" ht="12.6">
      <c r="A368" s="2">
        <f ca="1">IFERROR(__xludf.DUMMYFUNCTION("""COMPUTED_VALUE"""),45097.6666666666)</f>
        <v>45097.666666666599</v>
      </c>
      <c r="B368" s="1">
        <f ca="1">IFERROR(__xludf.DUMMYFUNCTION("""COMPUTED_VALUE"""),123.54)</f>
        <v>123.54</v>
      </c>
      <c r="C368" s="1">
        <f ca="1">IFERROR(__xludf.DUMMYFUNCTION("""COMPUTED_VALUE"""),125.18)</f>
        <v>125.18</v>
      </c>
      <c r="D368" s="1">
        <f ca="1">IFERROR(__xludf.DUMMYFUNCTION("""COMPUTED_VALUE"""),122.83)</f>
        <v>122.83</v>
      </c>
      <c r="E368" s="1">
        <f ca="1">IFERROR(__xludf.DUMMYFUNCTION("""COMPUTED_VALUE"""),123.85)</f>
        <v>123.85</v>
      </c>
      <c r="F368" s="1">
        <f ca="1">IFERROR(__xludf.DUMMYFUNCTION("""COMPUTED_VALUE"""),22698028)</f>
        <v>22698028</v>
      </c>
    </row>
    <row r="369" spans="1:6" ht="12.6">
      <c r="A369" s="2">
        <f ca="1">IFERROR(__xludf.DUMMYFUNCTION("""COMPUTED_VALUE"""),45098.6666666666)</f>
        <v>45098.666666666599</v>
      </c>
      <c r="B369" s="1">
        <f ca="1">IFERROR(__xludf.DUMMYFUNCTION("""COMPUTED_VALUE"""),123.24)</f>
        <v>123.24</v>
      </c>
      <c r="C369" s="1">
        <f ca="1">IFERROR(__xludf.DUMMYFUNCTION("""COMPUTED_VALUE"""),123.41)</f>
        <v>123.41</v>
      </c>
      <c r="D369" s="1">
        <f ca="1">IFERROR(__xludf.DUMMYFUNCTION("""COMPUTED_VALUE"""),120.86)</f>
        <v>120.86</v>
      </c>
      <c r="E369" s="1">
        <f ca="1">IFERROR(__xludf.DUMMYFUNCTION("""COMPUTED_VALUE"""),121.26)</f>
        <v>121.26</v>
      </c>
      <c r="F369" s="1">
        <f ca="1">IFERROR(__xludf.DUMMYFUNCTION("""COMPUTED_VALUE"""),22612002)</f>
        <v>22612002</v>
      </c>
    </row>
    <row r="370" spans="1:6" ht="12.6">
      <c r="A370" s="2">
        <f ca="1">IFERROR(__xludf.DUMMYFUNCTION("""COMPUTED_VALUE"""),45099.6666666666)</f>
        <v>45099.666666666599</v>
      </c>
      <c r="B370" s="1">
        <f ca="1">IFERROR(__xludf.DUMMYFUNCTION("""COMPUTED_VALUE"""),120.66)</f>
        <v>120.66</v>
      </c>
      <c r="C370" s="1">
        <f ca="1">IFERROR(__xludf.DUMMYFUNCTION("""COMPUTED_VALUE"""),123.94)</f>
        <v>123.94</v>
      </c>
      <c r="D370" s="1">
        <f ca="1">IFERROR(__xludf.DUMMYFUNCTION("""COMPUTED_VALUE"""),119.6)</f>
        <v>119.6</v>
      </c>
      <c r="E370" s="1">
        <f ca="1">IFERROR(__xludf.DUMMYFUNCTION("""COMPUTED_VALUE"""),123.87)</f>
        <v>123.87</v>
      </c>
      <c r="F370" s="1">
        <f ca="1">IFERROR(__xludf.DUMMYFUNCTION("""COMPUTED_VALUE"""),20781888)</f>
        <v>20781888</v>
      </c>
    </row>
    <row r="371" spans="1:6" ht="12.6">
      <c r="A371" s="2">
        <f ca="1">IFERROR(__xludf.DUMMYFUNCTION("""COMPUTED_VALUE"""),45100.6666666666)</f>
        <v>45100.666666666599</v>
      </c>
      <c r="B371" s="1">
        <f ca="1">IFERROR(__xludf.DUMMYFUNCTION("""COMPUTED_VALUE"""),122.04)</f>
        <v>122.04</v>
      </c>
      <c r="C371" s="1">
        <f ca="1">IFERROR(__xludf.DUMMYFUNCTION("""COMPUTED_VALUE"""),123.44)</f>
        <v>123.44</v>
      </c>
      <c r="D371" s="1">
        <f ca="1">IFERROR(__xludf.DUMMYFUNCTION("""COMPUTED_VALUE"""),121.86)</f>
        <v>121.86</v>
      </c>
      <c r="E371" s="1">
        <f ca="1">IFERROR(__xludf.DUMMYFUNCTION("""COMPUTED_VALUE"""),123.02)</f>
        <v>123.02</v>
      </c>
      <c r="F371" s="1">
        <f ca="1">IFERROR(__xludf.DUMMYFUNCTION("""COMPUTED_VALUE"""),29573123)</f>
        <v>29573123</v>
      </c>
    </row>
    <row r="372" spans="1:6" ht="12.6">
      <c r="A372" s="2">
        <f ca="1">IFERROR(__xludf.DUMMYFUNCTION("""COMPUTED_VALUE"""),45103.6666666666)</f>
        <v>45103.666666666599</v>
      </c>
      <c r="B372" s="1">
        <f ca="1">IFERROR(__xludf.DUMMYFUNCTION("""COMPUTED_VALUE"""),121.47)</f>
        <v>121.47</v>
      </c>
      <c r="C372" s="1">
        <f ca="1">IFERROR(__xludf.DUMMYFUNCTION("""COMPUTED_VALUE"""),122.72)</f>
        <v>122.72</v>
      </c>
      <c r="D372" s="1">
        <f ca="1">IFERROR(__xludf.DUMMYFUNCTION("""COMPUTED_VALUE"""),118.99)</f>
        <v>118.99</v>
      </c>
      <c r="E372" s="1">
        <f ca="1">IFERROR(__xludf.DUMMYFUNCTION("""COMPUTED_VALUE"""),119.09)</f>
        <v>119.09</v>
      </c>
      <c r="F372" s="1">
        <f ca="1">IFERROR(__xludf.DUMMYFUNCTION("""COMPUTED_VALUE"""),23184961)</f>
        <v>23184961</v>
      </c>
    </row>
    <row r="373" spans="1:6" ht="12.6">
      <c r="A373" s="2">
        <f ca="1">IFERROR(__xludf.DUMMYFUNCTION("""COMPUTED_VALUE"""),45104.6666666666)</f>
        <v>45104.666666666599</v>
      </c>
      <c r="B373" s="1">
        <f ca="1">IFERROR(__xludf.DUMMYFUNCTION("""COMPUTED_VALUE"""),117.84)</f>
        <v>117.84</v>
      </c>
      <c r="C373" s="1">
        <f ca="1">IFERROR(__xludf.DUMMYFUNCTION("""COMPUTED_VALUE"""),119.9)</f>
        <v>119.9</v>
      </c>
      <c r="D373" s="1">
        <f ca="1">IFERROR(__xludf.DUMMYFUNCTION("""COMPUTED_VALUE"""),116.91)</f>
        <v>116.91</v>
      </c>
      <c r="E373" s="1">
        <f ca="1">IFERROR(__xludf.DUMMYFUNCTION("""COMPUTED_VALUE"""),119.01)</f>
        <v>119.01</v>
      </c>
      <c r="F373" s="1">
        <f ca="1">IFERROR(__xludf.DUMMYFUNCTION("""COMPUTED_VALUE"""),27221714)</f>
        <v>27221714</v>
      </c>
    </row>
    <row r="374" spans="1:6" ht="12.6">
      <c r="A374" s="2">
        <f ca="1">IFERROR(__xludf.DUMMYFUNCTION("""COMPUTED_VALUE"""),45105.6666666666)</f>
        <v>45105.666666666599</v>
      </c>
      <c r="B374" s="1">
        <f ca="1">IFERROR(__xludf.DUMMYFUNCTION("""COMPUTED_VALUE"""),117.96)</f>
        <v>117.96</v>
      </c>
      <c r="C374" s="1">
        <f ca="1">IFERROR(__xludf.DUMMYFUNCTION("""COMPUTED_VALUE"""),121.27)</f>
        <v>121.27</v>
      </c>
      <c r="D374" s="1">
        <f ca="1">IFERROR(__xludf.DUMMYFUNCTION("""COMPUTED_VALUE"""),117.6)</f>
        <v>117.6</v>
      </c>
      <c r="E374" s="1">
        <f ca="1">IFERROR(__xludf.DUMMYFUNCTION("""COMPUTED_VALUE"""),121.08)</f>
        <v>121.08</v>
      </c>
      <c r="F374" s="1">
        <f ca="1">IFERROR(__xludf.DUMMYFUNCTION("""COMPUTED_VALUE"""),19753145)</f>
        <v>19753145</v>
      </c>
    </row>
    <row r="375" spans="1:6" ht="12.6">
      <c r="A375" s="2">
        <f ca="1">IFERROR(__xludf.DUMMYFUNCTION("""COMPUTED_VALUE"""),45106.6666666666)</f>
        <v>45106.666666666599</v>
      </c>
      <c r="B375" s="1">
        <f ca="1">IFERROR(__xludf.DUMMYFUNCTION("""COMPUTED_VALUE"""),120.09)</f>
        <v>120.09</v>
      </c>
      <c r="C375" s="1">
        <f ca="1">IFERROR(__xludf.DUMMYFUNCTION("""COMPUTED_VALUE"""),120.91)</f>
        <v>120.91</v>
      </c>
      <c r="D375" s="1">
        <f ca="1">IFERROR(__xludf.DUMMYFUNCTION("""COMPUTED_VALUE"""),119.21)</f>
        <v>119.21</v>
      </c>
      <c r="E375" s="1">
        <f ca="1">IFERROR(__xludf.DUMMYFUNCTION("""COMPUTED_VALUE"""),120.01)</f>
        <v>120.01</v>
      </c>
      <c r="F375" s="1">
        <f ca="1">IFERROR(__xludf.DUMMYFUNCTION("""COMPUTED_VALUE"""),18517458)</f>
        <v>18517458</v>
      </c>
    </row>
    <row r="376" spans="1:6" ht="12.6">
      <c r="A376" s="2">
        <f ca="1">IFERROR(__xludf.DUMMYFUNCTION("""COMPUTED_VALUE"""),45107.6666666666)</f>
        <v>45107.666666666599</v>
      </c>
      <c r="B376" s="1">
        <f ca="1">IFERROR(__xludf.DUMMYFUNCTION("""COMPUTED_VALUE"""),121.1)</f>
        <v>121.1</v>
      </c>
      <c r="C376" s="1">
        <f ca="1">IFERROR(__xludf.DUMMYFUNCTION("""COMPUTED_VALUE"""),122.03)</f>
        <v>122.03</v>
      </c>
      <c r="D376" s="1">
        <f ca="1">IFERROR(__xludf.DUMMYFUNCTION("""COMPUTED_VALUE"""),120.88)</f>
        <v>120.88</v>
      </c>
      <c r="E376" s="1">
        <f ca="1">IFERROR(__xludf.DUMMYFUNCTION("""COMPUTED_VALUE"""),120.97)</f>
        <v>120.97</v>
      </c>
      <c r="F376" s="1">
        <f ca="1">IFERROR(__xludf.DUMMYFUNCTION("""COMPUTED_VALUE"""),23871764)</f>
        <v>23871764</v>
      </c>
    </row>
    <row r="377" spans="1:6" ht="12.6">
      <c r="A377" s="2">
        <f ca="1">IFERROR(__xludf.DUMMYFUNCTION("""COMPUTED_VALUE"""),45110.5451388888)</f>
        <v>45110.545138888803</v>
      </c>
      <c r="B377" s="1">
        <f ca="1">IFERROR(__xludf.DUMMYFUNCTION("""COMPUTED_VALUE"""),120.32)</f>
        <v>120.32</v>
      </c>
      <c r="C377" s="1">
        <f ca="1">IFERROR(__xludf.DUMMYFUNCTION("""COMPUTED_VALUE"""),121.02)</f>
        <v>121.02</v>
      </c>
      <c r="D377" s="1">
        <f ca="1">IFERROR(__xludf.DUMMYFUNCTION("""COMPUTED_VALUE"""),119.71)</f>
        <v>119.71</v>
      </c>
      <c r="E377" s="1">
        <f ca="1">IFERROR(__xludf.DUMMYFUNCTION("""COMPUTED_VALUE"""),120.56)</f>
        <v>120.56</v>
      </c>
      <c r="F377" s="1">
        <f ca="1">IFERROR(__xludf.DUMMYFUNCTION("""COMPUTED_VALUE"""),13888262)</f>
        <v>13888262</v>
      </c>
    </row>
    <row r="378" spans="1:6" ht="12.6">
      <c r="A378" s="2">
        <f ca="1">IFERROR(__xludf.DUMMYFUNCTION("""COMPUTED_VALUE"""),45112.6666666666)</f>
        <v>45112.666666666599</v>
      </c>
      <c r="B378" s="1">
        <f ca="1">IFERROR(__xludf.DUMMYFUNCTION("""COMPUTED_VALUE"""),120.06)</f>
        <v>120.06</v>
      </c>
      <c r="C378" s="1">
        <f ca="1">IFERROR(__xludf.DUMMYFUNCTION("""COMPUTED_VALUE"""),123.37)</f>
        <v>123.37</v>
      </c>
      <c r="D378" s="1">
        <f ca="1">IFERROR(__xludf.DUMMYFUNCTION("""COMPUTED_VALUE"""),120.06)</f>
        <v>120.06</v>
      </c>
      <c r="E378" s="1">
        <f ca="1">IFERROR(__xludf.DUMMYFUNCTION("""COMPUTED_VALUE"""),122.63)</f>
        <v>122.63</v>
      </c>
      <c r="F378" s="1">
        <f ca="1">IFERROR(__xludf.DUMMYFUNCTION("""COMPUTED_VALUE"""),17830347)</f>
        <v>17830347</v>
      </c>
    </row>
    <row r="379" spans="1:6" ht="12.6">
      <c r="A379" s="2">
        <f ca="1">IFERROR(__xludf.DUMMYFUNCTION("""COMPUTED_VALUE"""),45113.6666666666)</f>
        <v>45113.666666666599</v>
      </c>
      <c r="B379" s="1">
        <f ca="1">IFERROR(__xludf.DUMMYFUNCTION("""COMPUTED_VALUE"""),120.64)</f>
        <v>120.64</v>
      </c>
      <c r="C379" s="1">
        <f ca="1">IFERROR(__xludf.DUMMYFUNCTION("""COMPUTED_VALUE"""),121.15)</f>
        <v>121.15</v>
      </c>
      <c r="D379" s="1">
        <f ca="1">IFERROR(__xludf.DUMMYFUNCTION("""COMPUTED_VALUE"""),119.25)</f>
        <v>119.25</v>
      </c>
      <c r="E379" s="1">
        <f ca="1">IFERROR(__xludf.DUMMYFUNCTION("""COMPUTED_VALUE"""),120.93)</f>
        <v>120.93</v>
      </c>
      <c r="F379" s="1">
        <f ca="1">IFERROR(__xludf.DUMMYFUNCTION("""COMPUTED_VALUE"""),17750181)</f>
        <v>17750181</v>
      </c>
    </row>
    <row r="380" spans="1:6" ht="12.6">
      <c r="A380" s="2">
        <f ca="1">IFERROR(__xludf.DUMMYFUNCTION("""COMPUTED_VALUE"""),45114.6666666666)</f>
        <v>45114.666666666599</v>
      </c>
      <c r="B380" s="1">
        <f ca="1">IFERROR(__xludf.DUMMYFUNCTION("""COMPUTED_VALUE"""),120.89)</f>
        <v>120.89</v>
      </c>
      <c r="C380" s="1">
        <f ca="1">IFERROR(__xludf.DUMMYFUNCTION("""COMPUTED_VALUE"""),121.75)</f>
        <v>121.75</v>
      </c>
      <c r="D380" s="1">
        <f ca="1">IFERROR(__xludf.DUMMYFUNCTION("""COMPUTED_VALUE"""),120.09)</f>
        <v>120.09</v>
      </c>
      <c r="E380" s="1">
        <f ca="1">IFERROR(__xludf.DUMMYFUNCTION("""COMPUTED_VALUE"""),120.14)</f>
        <v>120.14</v>
      </c>
      <c r="F380" s="1">
        <f ca="1">IFERROR(__xludf.DUMMYFUNCTION("""COMPUTED_VALUE"""),20997665)</f>
        <v>20997665</v>
      </c>
    </row>
    <row r="381" spans="1:6" ht="12.6">
      <c r="A381" s="2">
        <f ca="1">IFERROR(__xludf.DUMMYFUNCTION("""COMPUTED_VALUE"""),45117.6666666666)</f>
        <v>45117.666666666599</v>
      </c>
      <c r="B381" s="1">
        <f ca="1">IFERROR(__xludf.DUMMYFUNCTION("""COMPUTED_VALUE"""),119.07)</f>
        <v>119.07</v>
      </c>
      <c r="C381" s="1">
        <f ca="1">IFERROR(__xludf.DUMMYFUNCTION("""COMPUTED_VALUE"""),119.07)</f>
        <v>119.07</v>
      </c>
      <c r="D381" s="1">
        <f ca="1">IFERROR(__xludf.DUMMYFUNCTION("""COMPUTED_VALUE"""),116.64)</f>
        <v>116.64</v>
      </c>
      <c r="E381" s="1">
        <f ca="1">IFERROR(__xludf.DUMMYFUNCTION("""COMPUTED_VALUE"""),116.87)</f>
        <v>116.87</v>
      </c>
      <c r="F381" s="1">
        <f ca="1">IFERROR(__xludf.DUMMYFUNCTION("""COMPUTED_VALUE"""),32960078)</f>
        <v>32960078</v>
      </c>
    </row>
    <row r="382" spans="1:6" ht="12.6">
      <c r="A382" s="2">
        <f ca="1">IFERROR(__xludf.DUMMYFUNCTION("""COMPUTED_VALUE"""),45118.6666666666)</f>
        <v>45118.666666666599</v>
      </c>
      <c r="B382" s="1">
        <f ca="1">IFERROR(__xludf.DUMMYFUNCTION("""COMPUTED_VALUE"""),116.76)</f>
        <v>116.76</v>
      </c>
      <c r="C382" s="1">
        <f ca="1">IFERROR(__xludf.DUMMYFUNCTION("""COMPUTED_VALUE"""),118.23)</f>
        <v>118.23</v>
      </c>
      <c r="D382" s="1">
        <f ca="1">IFERROR(__xludf.DUMMYFUNCTION("""COMPUTED_VALUE"""),115.83)</f>
        <v>115.83</v>
      </c>
      <c r="E382" s="1">
        <f ca="1">IFERROR(__xludf.DUMMYFUNCTION("""COMPUTED_VALUE"""),117.71)</f>
        <v>117.71</v>
      </c>
      <c r="F382" s="1">
        <f ca="1">IFERROR(__xludf.DUMMYFUNCTION("""COMPUTED_VALUE"""),18286571)</f>
        <v>18286571</v>
      </c>
    </row>
    <row r="383" spans="1:6" ht="12.6">
      <c r="A383" s="2">
        <f ca="1">IFERROR(__xludf.DUMMYFUNCTION("""COMPUTED_VALUE"""),45119.6666666666)</f>
        <v>45119.666666666599</v>
      </c>
      <c r="B383" s="1">
        <f ca="1">IFERROR(__xludf.DUMMYFUNCTION("""COMPUTED_VALUE"""),119.3)</f>
        <v>119.3</v>
      </c>
      <c r="C383" s="1">
        <f ca="1">IFERROR(__xludf.DUMMYFUNCTION("""COMPUTED_VALUE"""),120.96)</f>
        <v>120.96</v>
      </c>
      <c r="D383" s="1">
        <f ca="1">IFERROR(__xludf.DUMMYFUNCTION("""COMPUTED_VALUE"""),119)</f>
        <v>119</v>
      </c>
      <c r="E383" s="1">
        <f ca="1">IFERROR(__xludf.DUMMYFUNCTION("""COMPUTED_VALUE"""),119.62)</f>
        <v>119.62</v>
      </c>
      <c r="F383" s="1">
        <f ca="1">IFERROR(__xludf.DUMMYFUNCTION("""COMPUTED_VALUE"""),22059611)</f>
        <v>22059611</v>
      </c>
    </row>
    <row r="384" spans="1:6" ht="12.6">
      <c r="A384" s="2">
        <f ca="1">IFERROR(__xludf.DUMMYFUNCTION("""COMPUTED_VALUE"""),45120.6666666666)</f>
        <v>45120.666666666599</v>
      </c>
      <c r="B384" s="1">
        <f ca="1">IFERROR(__xludf.DUMMYFUNCTION("""COMPUTED_VALUE"""),121.54)</f>
        <v>121.54</v>
      </c>
      <c r="C384" s="1">
        <f ca="1">IFERROR(__xludf.DUMMYFUNCTION("""COMPUTED_VALUE"""),125.34)</f>
        <v>125.34</v>
      </c>
      <c r="D384" s="1">
        <f ca="1">IFERROR(__xludf.DUMMYFUNCTION("""COMPUTED_VALUE"""),121.06)</f>
        <v>121.06</v>
      </c>
      <c r="E384" s="1">
        <f ca="1">IFERROR(__xludf.DUMMYFUNCTION("""COMPUTED_VALUE"""),124.83)</f>
        <v>124.83</v>
      </c>
      <c r="F384" s="1">
        <f ca="1">IFERROR(__xludf.DUMMYFUNCTION("""COMPUTED_VALUE"""),31535853)</f>
        <v>31535853</v>
      </c>
    </row>
    <row r="385" spans="1:6" ht="12.6">
      <c r="A385" s="2">
        <f ca="1">IFERROR(__xludf.DUMMYFUNCTION("""COMPUTED_VALUE"""),45121.6666666666)</f>
        <v>45121.666666666599</v>
      </c>
      <c r="B385" s="1">
        <f ca="1">IFERROR(__xludf.DUMMYFUNCTION("""COMPUTED_VALUE"""),125.13)</f>
        <v>125.13</v>
      </c>
      <c r="C385" s="1">
        <f ca="1">IFERROR(__xludf.DUMMYFUNCTION("""COMPUTED_VALUE"""),127.09)</f>
        <v>127.09</v>
      </c>
      <c r="D385" s="1">
        <f ca="1">IFERROR(__xludf.DUMMYFUNCTION("""COMPUTED_VALUE"""),124.9)</f>
        <v>124.9</v>
      </c>
      <c r="E385" s="1">
        <f ca="1">IFERROR(__xludf.DUMMYFUNCTION("""COMPUTED_VALUE"""),125.7)</f>
        <v>125.7</v>
      </c>
      <c r="F385" s="1">
        <f ca="1">IFERROR(__xludf.DUMMYFUNCTION("""COMPUTED_VALUE"""),20499780)</f>
        <v>20499780</v>
      </c>
    </row>
    <row r="386" spans="1:6" ht="12.6">
      <c r="A386" s="2">
        <f ca="1">IFERROR(__xludf.DUMMYFUNCTION("""COMPUTED_VALUE"""),45124.6666666666)</f>
        <v>45124.666666666599</v>
      </c>
      <c r="B386" s="1">
        <f ca="1">IFERROR(__xludf.DUMMYFUNCTION("""COMPUTED_VALUE"""),126.06)</f>
        <v>126.06</v>
      </c>
      <c r="C386" s="1">
        <f ca="1">IFERROR(__xludf.DUMMYFUNCTION("""COMPUTED_VALUE"""),127.28)</f>
        <v>127.28</v>
      </c>
      <c r="D386" s="1">
        <f ca="1">IFERROR(__xludf.DUMMYFUNCTION("""COMPUTED_VALUE"""),124.5)</f>
        <v>124.5</v>
      </c>
      <c r="E386" s="1">
        <f ca="1">IFERROR(__xludf.DUMMYFUNCTION("""COMPUTED_VALUE"""),125.06)</f>
        <v>125.06</v>
      </c>
      <c r="F386" s="1">
        <f ca="1">IFERROR(__xludf.DUMMYFUNCTION("""COMPUTED_VALUE"""),20675297)</f>
        <v>20675297</v>
      </c>
    </row>
    <row r="387" spans="1:6" ht="12.6">
      <c r="A387" s="2">
        <f ca="1">IFERROR(__xludf.DUMMYFUNCTION("""COMPUTED_VALUE"""),45125.6666666666)</f>
        <v>45125.666666666599</v>
      </c>
      <c r="B387" s="1">
        <f ca="1">IFERROR(__xludf.DUMMYFUNCTION("""COMPUTED_VALUE"""),124.91)</f>
        <v>124.91</v>
      </c>
      <c r="C387" s="1">
        <f ca="1">IFERROR(__xludf.DUMMYFUNCTION("""COMPUTED_VALUE"""),124.99)</f>
        <v>124.99</v>
      </c>
      <c r="D387" s="1">
        <f ca="1">IFERROR(__xludf.DUMMYFUNCTION("""COMPUTED_VALUE"""),123.3)</f>
        <v>123.3</v>
      </c>
      <c r="E387" s="1">
        <f ca="1">IFERROR(__xludf.DUMMYFUNCTION("""COMPUTED_VALUE"""),124.08)</f>
        <v>124.08</v>
      </c>
      <c r="F387" s="1">
        <f ca="1">IFERROR(__xludf.DUMMYFUNCTION("""COMPUTED_VALUE"""),21071248)</f>
        <v>21071248</v>
      </c>
    </row>
    <row r="388" spans="1:6" ht="12.6">
      <c r="A388" s="2">
        <f ca="1">IFERROR(__xludf.DUMMYFUNCTION("""COMPUTED_VALUE"""),45126.6666666666)</f>
        <v>45126.666666666599</v>
      </c>
      <c r="B388" s="1">
        <f ca="1">IFERROR(__xludf.DUMMYFUNCTION("""COMPUTED_VALUE"""),124.79)</f>
        <v>124.79</v>
      </c>
      <c r="C388" s="1">
        <f ca="1">IFERROR(__xludf.DUMMYFUNCTION("""COMPUTED_VALUE"""),125.47)</f>
        <v>125.47</v>
      </c>
      <c r="D388" s="1">
        <f ca="1">IFERROR(__xludf.DUMMYFUNCTION("""COMPUTED_VALUE"""),122.47)</f>
        <v>122.47</v>
      </c>
      <c r="E388" s="1">
        <f ca="1">IFERROR(__xludf.DUMMYFUNCTION("""COMPUTED_VALUE"""),122.78)</f>
        <v>122.78</v>
      </c>
      <c r="F388" s="1">
        <f ca="1">IFERROR(__xludf.DUMMYFUNCTION("""COMPUTED_VALUE"""),22313803)</f>
        <v>22313803</v>
      </c>
    </row>
    <row r="389" spans="1:6" ht="12.6">
      <c r="A389" s="2">
        <f ca="1">IFERROR(__xludf.DUMMYFUNCTION("""COMPUTED_VALUE"""),45127.6666666666)</f>
        <v>45127.666666666599</v>
      </c>
      <c r="B389" s="1">
        <f ca="1">IFERROR(__xludf.DUMMYFUNCTION("""COMPUTED_VALUE"""),122.12)</f>
        <v>122.12</v>
      </c>
      <c r="C389" s="1">
        <f ca="1">IFERROR(__xludf.DUMMYFUNCTION("""COMPUTED_VALUE"""),124.7)</f>
        <v>124.7</v>
      </c>
      <c r="D389" s="1">
        <f ca="1">IFERROR(__xludf.DUMMYFUNCTION("""COMPUTED_VALUE"""),118.69)</f>
        <v>118.69</v>
      </c>
      <c r="E389" s="1">
        <f ca="1">IFERROR(__xludf.DUMMYFUNCTION("""COMPUTED_VALUE"""),119.53)</f>
        <v>119.53</v>
      </c>
      <c r="F389" s="1">
        <f ca="1">IFERROR(__xludf.DUMMYFUNCTION("""COMPUTED_VALUE"""),27541711)</f>
        <v>27541711</v>
      </c>
    </row>
    <row r="390" spans="1:6" ht="12.6">
      <c r="A390" s="2">
        <f ca="1">IFERROR(__xludf.DUMMYFUNCTION("""COMPUTED_VALUE"""),45128.6666666666)</f>
        <v>45128.666666666599</v>
      </c>
      <c r="B390" s="1">
        <f ca="1">IFERROR(__xludf.DUMMYFUNCTION("""COMPUTED_VALUE"""),120.87)</f>
        <v>120.87</v>
      </c>
      <c r="C390" s="1">
        <f ca="1">IFERROR(__xludf.DUMMYFUNCTION("""COMPUTED_VALUE"""),121.3)</f>
        <v>121.3</v>
      </c>
      <c r="D390" s="1">
        <f ca="1">IFERROR(__xludf.DUMMYFUNCTION("""COMPUTED_VALUE"""),119.07)</f>
        <v>119.07</v>
      </c>
      <c r="E390" s="1">
        <f ca="1">IFERROR(__xludf.DUMMYFUNCTION("""COMPUTED_VALUE"""),120.31)</f>
        <v>120.31</v>
      </c>
      <c r="F390" s="1">
        <f ca="1">IFERROR(__xludf.DUMMYFUNCTION("""COMPUTED_VALUE"""),56514645)</f>
        <v>56514645</v>
      </c>
    </row>
    <row r="391" spans="1:6" ht="12.6">
      <c r="A391" s="2">
        <f ca="1">IFERROR(__xludf.DUMMYFUNCTION("""COMPUTED_VALUE"""),45131.6666666666)</f>
        <v>45131.666666666599</v>
      </c>
      <c r="B391" s="1">
        <f ca="1">IFERROR(__xludf.DUMMYFUNCTION("""COMPUTED_VALUE"""),121.93)</f>
        <v>121.93</v>
      </c>
      <c r="C391" s="1">
        <f ca="1">IFERROR(__xludf.DUMMYFUNCTION("""COMPUTED_VALUE"""),123.35)</f>
        <v>123.35</v>
      </c>
      <c r="D391" s="1">
        <f ca="1">IFERROR(__xludf.DUMMYFUNCTION("""COMPUTED_VALUE"""),121.38)</f>
        <v>121.38</v>
      </c>
      <c r="E391" s="1">
        <f ca="1">IFERROR(__xludf.DUMMYFUNCTION("""COMPUTED_VALUE"""),121.88)</f>
        <v>121.88</v>
      </c>
      <c r="F391" s="1">
        <f ca="1">IFERROR(__xludf.DUMMYFUNCTION("""COMPUTED_VALUE"""),22312220)</f>
        <v>22312220</v>
      </c>
    </row>
    <row r="392" spans="1:6" ht="12.6">
      <c r="A392" s="2">
        <f ca="1">IFERROR(__xludf.DUMMYFUNCTION("""COMPUTED_VALUE"""),45132.6666666666)</f>
        <v>45132.666666666599</v>
      </c>
      <c r="B392" s="1">
        <f ca="1">IFERROR(__xludf.DUMMYFUNCTION("""COMPUTED_VALUE"""),121.88)</f>
        <v>121.88</v>
      </c>
      <c r="C392" s="1">
        <f ca="1">IFERROR(__xludf.DUMMYFUNCTION("""COMPUTED_VALUE"""),123.69)</f>
        <v>123.69</v>
      </c>
      <c r="D392" s="1">
        <f ca="1">IFERROR(__xludf.DUMMYFUNCTION("""COMPUTED_VALUE"""),121.53)</f>
        <v>121.53</v>
      </c>
      <c r="E392" s="1">
        <f ca="1">IFERROR(__xludf.DUMMYFUNCTION("""COMPUTED_VALUE"""),122.79)</f>
        <v>122.79</v>
      </c>
      <c r="F392" s="1">
        <f ca="1">IFERROR(__xludf.DUMMYFUNCTION("""COMPUTED_VALUE"""),31820846)</f>
        <v>31820846</v>
      </c>
    </row>
    <row r="393" spans="1:6" ht="12.6">
      <c r="A393" s="2">
        <f ca="1">IFERROR(__xludf.DUMMYFUNCTION("""COMPUTED_VALUE"""),45133.6666666666)</f>
        <v>45133.666666666599</v>
      </c>
      <c r="B393" s="1">
        <f ca="1">IFERROR(__xludf.DUMMYFUNCTION("""COMPUTED_VALUE"""),130.36)</f>
        <v>130.36000000000001</v>
      </c>
      <c r="C393" s="1">
        <f ca="1">IFERROR(__xludf.DUMMYFUNCTION("""COMPUTED_VALUE"""),131.37)</f>
        <v>131.37</v>
      </c>
      <c r="D393" s="1">
        <f ca="1">IFERROR(__xludf.DUMMYFUNCTION("""COMPUTED_VALUE"""),128.71)</f>
        <v>128.71</v>
      </c>
      <c r="E393" s="1">
        <f ca="1">IFERROR(__xludf.DUMMYFUNCTION("""COMPUTED_VALUE"""),129.66)</f>
        <v>129.66</v>
      </c>
      <c r="F393" s="1">
        <f ca="1">IFERROR(__xludf.DUMMYFUNCTION("""COMPUTED_VALUE"""),46216895)</f>
        <v>46216895</v>
      </c>
    </row>
    <row r="394" spans="1:6" ht="12.6">
      <c r="A394" s="2">
        <f ca="1">IFERROR(__xludf.DUMMYFUNCTION("""COMPUTED_VALUE"""),45134.6666666666)</f>
        <v>45134.666666666599</v>
      </c>
      <c r="B394" s="1">
        <f ca="1">IFERROR(__xludf.DUMMYFUNCTION("""COMPUTED_VALUE"""),131.8)</f>
        <v>131.80000000000001</v>
      </c>
      <c r="C394" s="1">
        <f ca="1">IFERROR(__xludf.DUMMYFUNCTION("""COMPUTED_VALUE"""),133.6)</f>
        <v>133.6</v>
      </c>
      <c r="D394" s="1">
        <f ca="1">IFERROR(__xludf.DUMMYFUNCTION("""COMPUTED_VALUE"""),129.18)</f>
        <v>129.18</v>
      </c>
      <c r="E394" s="1">
        <f ca="1">IFERROR(__xludf.DUMMYFUNCTION("""COMPUTED_VALUE"""),129.87)</f>
        <v>129.87</v>
      </c>
      <c r="F394" s="1">
        <f ca="1">IFERROR(__xludf.DUMMYFUNCTION("""COMPUTED_VALUE"""),35931612)</f>
        <v>35931612</v>
      </c>
    </row>
    <row r="395" spans="1:6" ht="12.6">
      <c r="A395" s="2">
        <f ca="1">IFERROR(__xludf.DUMMYFUNCTION("""COMPUTED_VALUE"""),45135.6666666666)</f>
        <v>45135.666666666599</v>
      </c>
      <c r="B395" s="1">
        <f ca="1">IFERROR(__xludf.DUMMYFUNCTION("""COMPUTED_VALUE"""),130.97)</f>
        <v>130.97</v>
      </c>
      <c r="C395" s="1">
        <f ca="1">IFERROR(__xludf.DUMMYFUNCTION("""COMPUTED_VALUE"""),134.07)</f>
        <v>134.07</v>
      </c>
      <c r="D395" s="1">
        <f ca="1">IFERROR(__xludf.DUMMYFUNCTION("""COMPUTED_VALUE"""),130.92)</f>
        <v>130.91999999999999</v>
      </c>
      <c r="E395" s="1">
        <f ca="1">IFERROR(__xludf.DUMMYFUNCTION("""COMPUTED_VALUE"""),133.01)</f>
        <v>133.01</v>
      </c>
      <c r="F395" s="1">
        <f ca="1">IFERROR(__xludf.DUMMYFUNCTION("""COMPUTED_VALUE"""),26971011)</f>
        <v>26971011</v>
      </c>
    </row>
    <row r="396" spans="1:6" ht="12.6">
      <c r="A396" s="2">
        <f ca="1">IFERROR(__xludf.DUMMYFUNCTION("""COMPUTED_VALUE"""),45138.6666666666)</f>
        <v>45138.666666666599</v>
      </c>
      <c r="B396" s="1">
        <f ca="1">IFERROR(__xludf.DUMMYFUNCTION("""COMPUTED_VALUE"""),133.01)</f>
        <v>133.01</v>
      </c>
      <c r="C396" s="1">
        <f ca="1">IFERROR(__xludf.DUMMYFUNCTION("""COMPUTED_VALUE"""),133.83)</f>
        <v>133.83000000000001</v>
      </c>
      <c r="D396" s="1">
        <f ca="1">IFERROR(__xludf.DUMMYFUNCTION("""COMPUTED_VALUE"""),132.13)</f>
        <v>132.13</v>
      </c>
      <c r="E396" s="1">
        <f ca="1">IFERROR(__xludf.DUMMYFUNCTION("""COMPUTED_VALUE"""),133.11)</f>
        <v>133.11000000000001</v>
      </c>
      <c r="F396" s="1">
        <f ca="1">IFERROR(__xludf.DUMMYFUNCTION("""COMPUTED_VALUE"""),18381891)</f>
        <v>18381891</v>
      </c>
    </row>
    <row r="397" spans="1:6" ht="12.6">
      <c r="A397" s="2">
        <f ca="1">IFERROR(__xludf.DUMMYFUNCTION("""COMPUTED_VALUE"""),45139.6666666666)</f>
        <v>45139.666666666599</v>
      </c>
      <c r="B397" s="1">
        <f ca="1">IFERROR(__xludf.DUMMYFUNCTION("""COMPUTED_VALUE"""),130.85)</f>
        <v>130.85</v>
      </c>
      <c r="C397" s="1">
        <f ca="1">IFERROR(__xludf.DUMMYFUNCTION("""COMPUTED_VALUE"""),132.92)</f>
        <v>132.91999999999999</v>
      </c>
      <c r="D397" s="1">
        <f ca="1">IFERROR(__xludf.DUMMYFUNCTION("""COMPUTED_VALUE"""),130.75)</f>
        <v>130.75</v>
      </c>
      <c r="E397" s="1">
        <f ca="1">IFERROR(__xludf.DUMMYFUNCTION("""COMPUTED_VALUE"""),131.89)</f>
        <v>131.88999999999999</v>
      </c>
      <c r="F397" s="1">
        <f ca="1">IFERROR(__xludf.DUMMYFUNCTION("""COMPUTED_VALUE"""),22219012)</f>
        <v>22219012</v>
      </c>
    </row>
    <row r="398" spans="1:6" ht="12.6">
      <c r="A398" s="2">
        <f ca="1">IFERROR(__xludf.DUMMYFUNCTION("""COMPUTED_VALUE"""),45140.6666666666)</f>
        <v>45140.666666666599</v>
      </c>
      <c r="B398" s="1">
        <f ca="1">IFERROR(__xludf.DUMMYFUNCTION("""COMPUTED_VALUE"""),129.84)</f>
        <v>129.84</v>
      </c>
      <c r="C398" s="1">
        <f ca="1">IFERROR(__xludf.DUMMYFUNCTION("""COMPUTED_VALUE"""),130.42)</f>
        <v>130.41999999999999</v>
      </c>
      <c r="D398" s="1">
        <f ca="1">IFERROR(__xludf.DUMMYFUNCTION("""COMPUTED_VALUE"""),127.85)</f>
        <v>127.85</v>
      </c>
      <c r="E398" s="1">
        <f ca="1">IFERROR(__xludf.DUMMYFUNCTION("""COMPUTED_VALUE"""),128.64)</f>
        <v>128.63999999999999</v>
      </c>
      <c r="F398" s="1">
        <f ca="1">IFERROR(__xludf.DUMMYFUNCTION("""COMPUTED_VALUE"""),22705778)</f>
        <v>22705778</v>
      </c>
    </row>
    <row r="399" spans="1:6" ht="12.6">
      <c r="A399" s="2">
        <f ca="1">IFERROR(__xludf.DUMMYFUNCTION("""COMPUTED_VALUE"""),45141.6666666666)</f>
        <v>45141.666666666599</v>
      </c>
      <c r="B399" s="1">
        <f ca="1">IFERROR(__xludf.DUMMYFUNCTION("""COMPUTED_VALUE"""),128.37)</f>
        <v>128.37</v>
      </c>
      <c r="C399" s="1">
        <f ca="1">IFERROR(__xludf.DUMMYFUNCTION("""COMPUTED_VALUE"""),129.77)</f>
        <v>129.77000000000001</v>
      </c>
      <c r="D399" s="1">
        <f ca="1">IFERROR(__xludf.DUMMYFUNCTION("""COMPUTED_VALUE"""),127.78)</f>
        <v>127.78</v>
      </c>
      <c r="E399" s="1">
        <f ca="1">IFERROR(__xludf.DUMMYFUNCTION("""COMPUTED_VALUE"""),128.77)</f>
        <v>128.77000000000001</v>
      </c>
      <c r="F399" s="1">
        <f ca="1">IFERROR(__xludf.DUMMYFUNCTION("""COMPUTED_VALUE"""),15086132)</f>
        <v>15086132</v>
      </c>
    </row>
    <row r="400" spans="1:6" ht="12.6">
      <c r="A400" s="2">
        <f ca="1">IFERROR(__xludf.DUMMYFUNCTION("""COMPUTED_VALUE"""),45142.6666666666)</f>
        <v>45142.666666666599</v>
      </c>
      <c r="B400" s="1">
        <f ca="1">IFERROR(__xludf.DUMMYFUNCTION("""COMPUTED_VALUE"""),129.6)</f>
        <v>129.6</v>
      </c>
      <c r="C400" s="1">
        <f ca="1">IFERROR(__xludf.DUMMYFUNCTION("""COMPUTED_VALUE"""),131.93)</f>
        <v>131.93</v>
      </c>
      <c r="D400" s="1">
        <f ca="1">IFERROR(__xludf.DUMMYFUNCTION("""COMPUTED_VALUE"""),128.32)</f>
        <v>128.32</v>
      </c>
      <c r="E400" s="1">
        <f ca="1">IFERROR(__xludf.DUMMYFUNCTION("""COMPUTED_VALUE"""),128.54)</f>
        <v>128.54</v>
      </c>
      <c r="F400" s="1">
        <f ca="1">IFERROR(__xludf.DUMMYFUNCTION("""COMPUTED_VALUE"""),20521852)</f>
        <v>20521852</v>
      </c>
    </row>
    <row r="401" spans="1:6" ht="12.6">
      <c r="A401" s="2">
        <f ca="1">IFERROR(__xludf.DUMMYFUNCTION("""COMPUTED_VALUE"""),45145.6666666666)</f>
        <v>45145.666666666599</v>
      </c>
      <c r="B401" s="1">
        <f ca="1">IFERROR(__xludf.DUMMYFUNCTION("""COMPUTED_VALUE"""),129.51)</f>
        <v>129.51</v>
      </c>
      <c r="C401" s="1">
        <f ca="1">IFERROR(__xludf.DUMMYFUNCTION("""COMPUTED_VALUE"""),132.06)</f>
        <v>132.06</v>
      </c>
      <c r="D401" s="1">
        <f ca="1">IFERROR(__xludf.DUMMYFUNCTION("""COMPUTED_VALUE"""),129.43)</f>
        <v>129.43</v>
      </c>
      <c r="E401" s="1">
        <f ca="1">IFERROR(__xludf.DUMMYFUNCTION("""COMPUTED_VALUE"""),131.94)</f>
        <v>131.94</v>
      </c>
      <c r="F401" s="1">
        <f ca="1">IFERROR(__xludf.DUMMYFUNCTION("""COMPUTED_VALUE"""),17621041)</f>
        <v>17621041</v>
      </c>
    </row>
    <row r="402" spans="1:6" ht="12.6">
      <c r="A402" s="2">
        <f ca="1">IFERROR(__xludf.DUMMYFUNCTION("""COMPUTED_VALUE"""),45146.6666666666)</f>
        <v>45146.666666666599</v>
      </c>
      <c r="B402" s="1">
        <f ca="1">IFERROR(__xludf.DUMMYFUNCTION("""COMPUTED_VALUE"""),130.98)</f>
        <v>130.97999999999999</v>
      </c>
      <c r="C402" s="1">
        <f ca="1">IFERROR(__xludf.DUMMYFUNCTION("""COMPUTED_VALUE"""),131.94)</f>
        <v>131.94</v>
      </c>
      <c r="D402" s="1">
        <f ca="1">IFERROR(__xludf.DUMMYFUNCTION("""COMPUTED_VALUE"""),130.13)</f>
        <v>130.13</v>
      </c>
      <c r="E402" s="1">
        <f ca="1">IFERROR(__xludf.DUMMYFUNCTION("""COMPUTED_VALUE"""),131.84)</f>
        <v>131.84</v>
      </c>
      <c r="F402" s="1">
        <f ca="1">IFERROR(__xludf.DUMMYFUNCTION("""COMPUTED_VALUE"""),16835952)</f>
        <v>16835952</v>
      </c>
    </row>
    <row r="403" spans="1:6" ht="12.6">
      <c r="A403" s="2">
        <f ca="1">IFERROR(__xludf.DUMMYFUNCTION("""COMPUTED_VALUE"""),45147.6666666666)</f>
        <v>45147.666666666599</v>
      </c>
      <c r="B403" s="1">
        <f ca="1">IFERROR(__xludf.DUMMYFUNCTION("""COMPUTED_VALUE"""),132.19)</f>
        <v>132.19</v>
      </c>
      <c r="C403" s="1">
        <f ca="1">IFERROR(__xludf.DUMMYFUNCTION("""COMPUTED_VALUE"""),132.47)</f>
        <v>132.47</v>
      </c>
      <c r="D403" s="1">
        <f ca="1">IFERROR(__xludf.DUMMYFUNCTION("""COMPUTED_VALUE"""),129.51)</f>
        <v>129.51</v>
      </c>
      <c r="E403" s="1">
        <f ca="1">IFERROR(__xludf.DUMMYFUNCTION("""COMPUTED_VALUE"""),130.15)</f>
        <v>130.15</v>
      </c>
      <c r="F403" s="1">
        <f ca="1">IFERROR(__xludf.DUMMYFUNCTION("""COMPUTED_VALUE"""),17745218)</f>
        <v>17745218</v>
      </c>
    </row>
    <row r="404" spans="1:6" ht="12.6">
      <c r="A404" s="2">
        <f ca="1">IFERROR(__xludf.DUMMYFUNCTION("""COMPUTED_VALUE"""),45148.6666666666)</f>
        <v>45148.666666666599</v>
      </c>
      <c r="B404" s="1">
        <f ca="1">IFERROR(__xludf.DUMMYFUNCTION("""COMPUTED_VALUE"""),131.97)</f>
        <v>131.97</v>
      </c>
      <c r="C404" s="1">
        <f ca="1">IFERROR(__xludf.DUMMYFUNCTION("""COMPUTED_VALUE"""),132.65)</f>
        <v>132.65</v>
      </c>
      <c r="D404" s="1">
        <f ca="1">IFERROR(__xludf.DUMMYFUNCTION("""COMPUTED_VALUE"""),130.04)</f>
        <v>130.04</v>
      </c>
      <c r="E404" s="1">
        <f ca="1">IFERROR(__xludf.DUMMYFUNCTION("""COMPUTED_VALUE"""),130.21)</f>
        <v>130.21</v>
      </c>
      <c r="F404" s="1">
        <f ca="1">IFERROR(__xludf.DUMMYFUNCTION("""COMPUTED_VALUE"""),17855681)</f>
        <v>17855681</v>
      </c>
    </row>
    <row r="405" spans="1:6" ht="12.6">
      <c r="A405" s="2">
        <f ca="1">IFERROR(__xludf.DUMMYFUNCTION("""COMPUTED_VALUE"""),45149.6666666666)</f>
        <v>45149.666666666599</v>
      </c>
      <c r="B405" s="1">
        <f ca="1">IFERROR(__xludf.DUMMYFUNCTION("""COMPUTED_VALUE"""),129.2)</f>
        <v>129.19999999999999</v>
      </c>
      <c r="C405" s="1">
        <f ca="1">IFERROR(__xludf.DUMMYFUNCTION("""COMPUTED_VALUE"""),130.44)</f>
        <v>130.44</v>
      </c>
      <c r="D405" s="1">
        <f ca="1">IFERROR(__xludf.DUMMYFUNCTION("""COMPUTED_VALUE"""),128.75)</f>
        <v>128.75</v>
      </c>
      <c r="E405" s="1">
        <f ca="1">IFERROR(__xludf.DUMMYFUNCTION("""COMPUTED_VALUE"""),130.17)</f>
        <v>130.16999999999999</v>
      </c>
      <c r="F405" s="1">
        <f ca="1">IFERROR(__xludf.DUMMYFUNCTION("""COMPUTED_VALUE"""),15205465)</f>
        <v>15205465</v>
      </c>
    </row>
    <row r="406" spans="1:6" ht="12.6">
      <c r="A406" s="2">
        <f ca="1">IFERROR(__xludf.DUMMYFUNCTION("""COMPUTED_VALUE"""),45152.6666666666)</f>
        <v>45152.666666666599</v>
      </c>
      <c r="B406" s="1">
        <f ca="1">IFERROR(__xludf.DUMMYFUNCTION("""COMPUTED_VALUE"""),129.85)</f>
        <v>129.85</v>
      </c>
      <c r="C406" s="1">
        <f ca="1">IFERROR(__xludf.DUMMYFUNCTION("""COMPUTED_VALUE"""),131.91)</f>
        <v>131.91</v>
      </c>
      <c r="D406" s="1">
        <f ca="1">IFERROR(__xludf.DUMMYFUNCTION("""COMPUTED_VALUE"""),129.59)</f>
        <v>129.59</v>
      </c>
      <c r="E406" s="1">
        <f ca="1">IFERROR(__xludf.DUMMYFUNCTION("""COMPUTED_VALUE"""),131.83)</f>
        <v>131.83000000000001</v>
      </c>
      <c r="F406" s="1">
        <f ca="1">IFERROR(__xludf.DUMMYFUNCTION("""COMPUTED_VALUE"""),17526195)</f>
        <v>17526195</v>
      </c>
    </row>
    <row r="407" spans="1:6" ht="12.6">
      <c r="A407" s="2">
        <f ca="1">IFERROR(__xludf.DUMMYFUNCTION("""COMPUTED_VALUE"""),45153.6666666666)</f>
        <v>45153.666666666599</v>
      </c>
      <c r="B407" s="1">
        <f ca="1">IFERROR(__xludf.DUMMYFUNCTION("""COMPUTED_VALUE"""),131.59)</f>
        <v>131.59</v>
      </c>
      <c r="C407" s="1">
        <f ca="1">IFERROR(__xludf.DUMMYFUNCTION("""COMPUTED_VALUE"""),131.99)</f>
        <v>131.99</v>
      </c>
      <c r="D407" s="1">
        <f ca="1">IFERROR(__xludf.DUMMYFUNCTION("""COMPUTED_VALUE"""),129.82)</f>
        <v>129.82</v>
      </c>
      <c r="E407" s="1">
        <f ca="1">IFERROR(__xludf.DUMMYFUNCTION("""COMPUTED_VALUE"""),130.27)</f>
        <v>130.27000000000001</v>
      </c>
      <c r="F407" s="1">
        <f ca="1">IFERROR(__xludf.DUMMYFUNCTION("""COMPUTED_VALUE"""),14769173)</f>
        <v>14769173</v>
      </c>
    </row>
    <row r="408" spans="1:6" ht="12.6">
      <c r="A408" s="2">
        <f ca="1">IFERROR(__xludf.DUMMYFUNCTION("""COMPUTED_VALUE"""),45154.6666666666)</f>
        <v>45154.666666666599</v>
      </c>
      <c r="B408" s="1">
        <f ca="1">IFERROR(__xludf.DUMMYFUNCTION("""COMPUTED_VALUE"""),129.28)</f>
        <v>129.28</v>
      </c>
      <c r="C408" s="1">
        <f ca="1">IFERROR(__xludf.DUMMYFUNCTION("""COMPUTED_VALUE"""),130.9)</f>
        <v>130.9</v>
      </c>
      <c r="D408" s="1">
        <f ca="1">IFERROR(__xludf.DUMMYFUNCTION("""COMPUTED_VALUE"""),128.46)</f>
        <v>128.46</v>
      </c>
      <c r="E408" s="1">
        <f ca="1">IFERROR(__xludf.DUMMYFUNCTION("""COMPUTED_VALUE"""),129.11)</f>
        <v>129.11000000000001</v>
      </c>
      <c r="F408" s="1">
        <f ca="1">IFERROR(__xludf.DUMMYFUNCTION("""COMPUTED_VALUE"""),17548355)</f>
        <v>17548355</v>
      </c>
    </row>
    <row r="409" spans="1:6" ht="12.6">
      <c r="A409" s="2">
        <f ca="1">IFERROR(__xludf.DUMMYFUNCTION("""COMPUTED_VALUE"""),45155.6666666666)</f>
        <v>45155.666666666599</v>
      </c>
      <c r="B409" s="1">
        <f ca="1">IFERROR(__xludf.DUMMYFUNCTION("""COMPUTED_VALUE"""),130.45)</f>
        <v>130.44999999999999</v>
      </c>
      <c r="C409" s="1">
        <f ca="1">IFERROR(__xludf.DUMMYFUNCTION("""COMPUTED_VALUE"""),132.49)</f>
        <v>132.49</v>
      </c>
      <c r="D409" s="1">
        <f ca="1">IFERROR(__xludf.DUMMYFUNCTION("""COMPUTED_VALUE"""),129.85)</f>
        <v>129.85</v>
      </c>
      <c r="E409" s="1">
        <f ca="1">IFERROR(__xludf.DUMMYFUNCTION("""COMPUTED_VALUE"""),130.46)</f>
        <v>130.46</v>
      </c>
      <c r="F409" s="1">
        <f ca="1">IFERROR(__xludf.DUMMYFUNCTION("""COMPUTED_VALUE"""),23665562)</f>
        <v>23665562</v>
      </c>
    </row>
    <row r="410" spans="1:6" ht="12.6">
      <c r="A410" s="2">
        <f ca="1">IFERROR(__xludf.DUMMYFUNCTION("""COMPUTED_VALUE"""),45156.6666666666)</f>
        <v>45156.666666666599</v>
      </c>
      <c r="B410" s="1">
        <f ca="1">IFERROR(__xludf.DUMMYFUNCTION("""COMPUTED_VALUE"""),129.06)</f>
        <v>129.06</v>
      </c>
      <c r="C410" s="1">
        <f ca="1">IFERROR(__xludf.DUMMYFUNCTION("""COMPUTED_VALUE"""),129.83)</f>
        <v>129.83000000000001</v>
      </c>
      <c r="D410" s="1">
        <f ca="1">IFERROR(__xludf.DUMMYFUNCTION("""COMPUTED_VALUE"""),127)</f>
        <v>127</v>
      </c>
      <c r="E410" s="1">
        <f ca="1">IFERROR(__xludf.DUMMYFUNCTION("""COMPUTED_VALUE"""),128.11)</f>
        <v>128.11000000000001</v>
      </c>
      <c r="F410" s="1">
        <f ca="1">IFERROR(__xludf.DUMMYFUNCTION("""COMPUTED_VALUE"""),23627202)</f>
        <v>23627202</v>
      </c>
    </row>
    <row r="411" spans="1:6" ht="12.6">
      <c r="A411" s="2">
        <f ca="1">IFERROR(__xludf.DUMMYFUNCTION("""COMPUTED_VALUE"""),45159.6666666666)</f>
        <v>45159.666666666599</v>
      </c>
      <c r="B411" s="1">
        <f ca="1">IFERROR(__xludf.DUMMYFUNCTION("""COMPUTED_VALUE"""),127.85)</f>
        <v>127.85</v>
      </c>
      <c r="C411" s="1">
        <f ca="1">IFERROR(__xludf.DUMMYFUNCTION("""COMPUTED_VALUE"""),129.26)</f>
        <v>129.26</v>
      </c>
      <c r="D411" s="1">
        <f ca="1">IFERROR(__xludf.DUMMYFUNCTION("""COMPUTED_VALUE"""),127.16)</f>
        <v>127.16</v>
      </c>
      <c r="E411" s="1">
        <f ca="1">IFERROR(__xludf.DUMMYFUNCTION("""COMPUTED_VALUE"""),128.93)</f>
        <v>128.93</v>
      </c>
      <c r="F411" s="1">
        <f ca="1">IFERROR(__xludf.DUMMYFUNCTION("""COMPUTED_VALUE"""),21851070)</f>
        <v>21851070</v>
      </c>
    </row>
    <row r="412" spans="1:6" ht="12.6">
      <c r="A412" s="2">
        <f ca="1">IFERROR(__xludf.DUMMYFUNCTION("""COMPUTED_VALUE"""),45160.6666666666)</f>
        <v>45160.666666666599</v>
      </c>
      <c r="B412" s="1">
        <f ca="1">IFERROR(__xludf.DUMMYFUNCTION("""COMPUTED_VALUE"""),129.13)</f>
        <v>129.13</v>
      </c>
      <c r="C412" s="1">
        <f ca="1">IFERROR(__xludf.DUMMYFUNCTION("""COMPUTED_VALUE"""),130.95)</f>
        <v>130.94999999999999</v>
      </c>
      <c r="D412" s="1">
        <f ca="1">IFERROR(__xludf.DUMMYFUNCTION("""COMPUTED_VALUE"""),128.93)</f>
        <v>128.93</v>
      </c>
      <c r="E412" s="1">
        <f ca="1">IFERROR(__xludf.DUMMYFUNCTION("""COMPUTED_VALUE"""),129.69)</f>
        <v>129.69</v>
      </c>
      <c r="F412" s="1">
        <f ca="1">IFERROR(__xludf.DUMMYFUNCTION("""COMPUTED_VALUE"""),15569373)</f>
        <v>15569373</v>
      </c>
    </row>
    <row r="413" spans="1:6" ht="12.6">
      <c r="A413" s="2">
        <f ca="1">IFERROR(__xludf.DUMMYFUNCTION("""COMPUTED_VALUE"""),45161.6666666666)</f>
        <v>45161.666666666599</v>
      </c>
      <c r="B413" s="1">
        <f ca="1">IFERROR(__xludf.DUMMYFUNCTION("""COMPUTED_VALUE"""),130.85)</f>
        <v>130.85</v>
      </c>
      <c r="C413" s="1">
        <f ca="1">IFERROR(__xludf.DUMMYFUNCTION("""COMPUTED_VALUE"""),134.07)</f>
        <v>134.07</v>
      </c>
      <c r="D413" s="1">
        <f ca="1">IFERROR(__xludf.DUMMYFUNCTION("""COMPUTED_VALUE"""),130.51)</f>
        <v>130.51</v>
      </c>
      <c r="E413" s="1">
        <f ca="1">IFERROR(__xludf.DUMMYFUNCTION("""COMPUTED_VALUE"""),133.21)</f>
        <v>133.21</v>
      </c>
      <c r="F413" s="1">
        <f ca="1">IFERROR(__xludf.DUMMYFUNCTION("""COMPUTED_VALUE"""),26497027)</f>
        <v>26497027</v>
      </c>
    </row>
    <row r="414" spans="1:6" ht="12.6">
      <c r="A414" s="2">
        <f ca="1">IFERROR(__xludf.DUMMYFUNCTION("""COMPUTED_VALUE"""),45162.6666666666)</f>
        <v>45162.666666666599</v>
      </c>
      <c r="B414" s="1">
        <f ca="1">IFERROR(__xludf.DUMMYFUNCTION("""COMPUTED_VALUE"""),134.73)</f>
        <v>134.72999999999999</v>
      </c>
      <c r="C414" s="1">
        <f ca="1">IFERROR(__xludf.DUMMYFUNCTION("""COMPUTED_VALUE"""),134.97)</f>
        <v>134.97</v>
      </c>
      <c r="D414" s="1">
        <f ca="1">IFERROR(__xludf.DUMMYFUNCTION("""COMPUTED_VALUE"""),130.3)</f>
        <v>130.30000000000001</v>
      </c>
      <c r="E414" s="1">
        <f ca="1">IFERROR(__xludf.DUMMYFUNCTION("""COMPUTED_VALUE"""),130.42)</f>
        <v>130.41999999999999</v>
      </c>
      <c r="F414" s="1">
        <f ca="1">IFERROR(__xludf.DUMMYFUNCTION("""COMPUTED_VALUE"""),18680381)</f>
        <v>18680381</v>
      </c>
    </row>
    <row r="415" spans="1:6" ht="12.6">
      <c r="A415" s="2">
        <f ca="1">IFERROR(__xludf.DUMMYFUNCTION("""COMPUTED_VALUE"""),45163.6666666666)</f>
        <v>45163.666666666599</v>
      </c>
      <c r="B415" s="1">
        <f ca="1">IFERROR(__xludf.DUMMYFUNCTION("""COMPUTED_VALUE"""),130.14)</f>
        <v>130.13999999999999</v>
      </c>
      <c r="C415" s="1">
        <f ca="1">IFERROR(__xludf.DUMMYFUNCTION("""COMPUTED_VALUE"""),131.4)</f>
        <v>131.4</v>
      </c>
      <c r="D415" s="1">
        <f ca="1">IFERROR(__xludf.DUMMYFUNCTION("""COMPUTED_VALUE"""),128.04)</f>
        <v>128.04</v>
      </c>
      <c r="E415" s="1">
        <f ca="1">IFERROR(__xludf.DUMMYFUNCTION("""COMPUTED_VALUE"""),130.69)</f>
        <v>130.69</v>
      </c>
      <c r="F415" s="1">
        <f ca="1">IFERROR(__xludf.DUMMYFUNCTION("""COMPUTED_VALUE"""),20678096)</f>
        <v>20678096</v>
      </c>
    </row>
    <row r="416" spans="1:6" ht="12.6">
      <c r="A416" s="2">
        <f ca="1">IFERROR(__xludf.DUMMYFUNCTION("""COMPUTED_VALUE"""),45166.6666666666)</f>
        <v>45166.666666666599</v>
      </c>
      <c r="B416" s="1">
        <f ca="1">IFERROR(__xludf.DUMMYFUNCTION("""COMPUTED_VALUE"""),132.08)</f>
        <v>132.08000000000001</v>
      </c>
      <c r="C416" s="1">
        <f ca="1">IFERROR(__xludf.DUMMYFUNCTION("""COMPUTED_VALUE"""),133.24)</f>
        <v>133.24</v>
      </c>
      <c r="D416" s="1">
        <f ca="1">IFERROR(__xludf.DUMMYFUNCTION("""COMPUTED_VALUE"""),130.85)</f>
        <v>130.85</v>
      </c>
      <c r="E416" s="1">
        <f ca="1">IFERROR(__xludf.DUMMYFUNCTION("""COMPUTED_VALUE"""),131.79)</f>
        <v>131.79</v>
      </c>
      <c r="F416" s="1">
        <f ca="1">IFERROR(__xludf.DUMMYFUNCTION("""COMPUTED_VALUE"""),16715467)</f>
        <v>16715467</v>
      </c>
    </row>
    <row r="417" spans="1:6" ht="12.6">
      <c r="A417" s="2">
        <f ca="1">IFERROR(__xludf.DUMMYFUNCTION("""COMPUTED_VALUE"""),45167.6666666666)</f>
        <v>45167.666666666599</v>
      </c>
      <c r="B417" s="1">
        <f ca="1">IFERROR(__xludf.DUMMYFUNCTION("""COMPUTED_VALUE"""),133)</f>
        <v>133</v>
      </c>
      <c r="C417" s="1">
        <f ca="1">IFERROR(__xludf.DUMMYFUNCTION("""COMPUTED_VALUE"""),137.29)</f>
        <v>137.29</v>
      </c>
      <c r="D417" s="1">
        <f ca="1">IFERROR(__xludf.DUMMYFUNCTION("""COMPUTED_VALUE"""),132.98)</f>
        <v>132.97999999999999</v>
      </c>
      <c r="E417" s="1">
        <f ca="1">IFERROR(__xludf.DUMMYFUNCTION("""COMPUTED_VALUE"""),135.49)</f>
        <v>135.49</v>
      </c>
      <c r="F417" s="1">
        <f ca="1">IFERROR(__xludf.DUMMYFUNCTION("""COMPUTED_VALUE"""),30803265)</f>
        <v>30803265</v>
      </c>
    </row>
    <row r="418" spans="1:6" ht="12.6">
      <c r="A418" s="2">
        <f ca="1">IFERROR(__xludf.DUMMYFUNCTION("""COMPUTED_VALUE"""),45168.6666666666)</f>
        <v>45168.666666666599</v>
      </c>
      <c r="B418" s="1">
        <f ca="1">IFERROR(__xludf.DUMMYFUNCTION("""COMPUTED_VALUE"""),135.57)</f>
        <v>135.57</v>
      </c>
      <c r="C418" s="1">
        <f ca="1">IFERROR(__xludf.DUMMYFUNCTION("""COMPUTED_VALUE"""),137.25)</f>
        <v>137.25</v>
      </c>
      <c r="D418" s="1">
        <f ca="1">IFERROR(__xludf.DUMMYFUNCTION("""COMPUTED_VALUE"""),135.02)</f>
        <v>135.02000000000001</v>
      </c>
      <c r="E418" s="1">
        <f ca="1">IFERROR(__xludf.DUMMYFUNCTION("""COMPUTED_VALUE"""),136.93)</f>
        <v>136.93</v>
      </c>
      <c r="F418" s="1">
        <f ca="1">IFERROR(__xludf.DUMMYFUNCTION("""COMPUTED_VALUE"""),21773356)</f>
        <v>21773356</v>
      </c>
    </row>
    <row r="419" spans="1:6" ht="12.6">
      <c r="A419" s="2">
        <f ca="1">IFERROR(__xludf.DUMMYFUNCTION("""COMPUTED_VALUE"""),45169.6666666666)</f>
        <v>45169.666666666599</v>
      </c>
      <c r="B419" s="1">
        <f ca="1">IFERROR(__xludf.DUMMYFUNCTION("""COMPUTED_VALUE"""),137.05)</f>
        <v>137.05000000000001</v>
      </c>
      <c r="C419" s="1">
        <f ca="1">IFERROR(__xludf.DUMMYFUNCTION("""COMPUTED_VALUE"""),138.4)</f>
        <v>138.4</v>
      </c>
      <c r="D419" s="1">
        <f ca="1">IFERROR(__xludf.DUMMYFUNCTION("""COMPUTED_VALUE"""),136.82)</f>
        <v>136.82</v>
      </c>
      <c r="E419" s="1">
        <f ca="1">IFERROR(__xludf.DUMMYFUNCTION("""COMPUTED_VALUE"""),137.35)</f>
        <v>137.35</v>
      </c>
      <c r="F419" s="1">
        <f ca="1">IFERROR(__xludf.DUMMYFUNCTION("""COMPUTED_VALUE"""),28147850)</f>
        <v>28147850</v>
      </c>
    </row>
    <row r="420" spans="1:6" ht="12.6">
      <c r="A420" s="2">
        <f ca="1">IFERROR(__xludf.DUMMYFUNCTION("""COMPUTED_VALUE"""),45170.6666666666)</f>
        <v>45170.666666666599</v>
      </c>
      <c r="B420" s="1">
        <f ca="1">IFERROR(__xludf.DUMMYFUNCTION("""COMPUTED_VALUE"""),138.43)</f>
        <v>138.43</v>
      </c>
      <c r="C420" s="1">
        <f ca="1">IFERROR(__xludf.DUMMYFUNCTION("""COMPUTED_VALUE"""),138.58)</f>
        <v>138.58000000000001</v>
      </c>
      <c r="D420" s="1">
        <f ca="1">IFERROR(__xludf.DUMMYFUNCTION("""COMPUTED_VALUE"""),135.94)</f>
        <v>135.94</v>
      </c>
      <c r="E420" s="1">
        <f ca="1">IFERROR(__xludf.DUMMYFUNCTION("""COMPUTED_VALUE"""),136.8)</f>
        <v>136.80000000000001</v>
      </c>
      <c r="F420" s="1">
        <f ca="1">IFERROR(__xludf.DUMMYFUNCTION("""COMPUTED_VALUE"""),16671647)</f>
        <v>16671647</v>
      </c>
    </row>
    <row r="421" spans="1:6" ht="12.6">
      <c r="A421" s="2">
        <f ca="1">IFERROR(__xludf.DUMMYFUNCTION("""COMPUTED_VALUE"""),45174.6666666666)</f>
        <v>45174.666666666599</v>
      </c>
      <c r="B421" s="1">
        <f ca="1">IFERROR(__xludf.DUMMYFUNCTION("""COMPUTED_VALUE"""),136.44)</f>
        <v>136.44</v>
      </c>
      <c r="C421" s="1">
        <f ca="1">IFERROR(__xludf.DUMMYFUNCTION("""COMPUTED_VALUE"""),137.37)</f>
        <v>137.37</v>
      </c>
      <c r="D421" s="1">
        <f ca="1">IFERROR(__xludf.DUMMYFUNCTION("""COMPUTED_VALUE"""),135.56)</f>
        <v>135.56</v>
      </c>
      <c r="E421" s="1">
        <f ca="1">IFERROR(__xludf.DUMMYFUNCTION("""COMPUTED_VALUE"""),136.71)</f>
        <v>136.71</v>
      </c>
      <c r="F421" s="1">
        <f ca="1">IFERROR(__xludf.DUMMYFUNCTION("""COMPUTED_VALUE"""),17730218)</f>
        <v>17730218</v>
      </c>
    </row>
    <row r="422" spans="1:6" ht="12.6">
      <c r="A422" s="2">
        <f ca="1">IFERROR(__xludf.DUMMYFUNCTION("""COMPUTED_VALUE"""),45175.6666666666)</f>
        <v>45175.666666666599</v>
      </c>
      <c r="B422" s="1">
        <f ca="1">IFERROR(__xludf.DUMMYFUNCTION("""COMPUTED_VALUE"""),137.01)</f>
        <v>137.01</v>
      </c>
      <c r="C422" s="1">
        <f ca="1">IFERROR(__xludf.DUMMYFUNCTION("""COMPUTED_VALUE"""),137.48)</f>
        <v>137.47999999999999</v>
      </c>
      <c r="D422" s="1">
        <f ca="1">IFERROR(__xludf.DUMMYFUNCTION("""COMPUTED_VALUE"""),134.69)</f>
        <v>134.69</v>
      </c>
      <c r="E422" s="1">
        <f ca="1">IFERROR(__xludf.DUMMYFUNCTION("""COMPUTED_VALUE"""),135.37)</f>
        <v>135.37</v>
      </c>
      <c r="F422" s="1">
        <f ca="1">IFERROR(__xludf.DUMMYFUNCTION("""COMPUTED_VALUE"""),15814327)</f>
        <v>15814327</v>
      </c>
    </row>
    <row r="423" spans="1:6" ht="12.6">
      <c r="A423" s="2">
        <f ca="1">IFERROR(__xludf.DUMMYFUNCTION("""COMPUTED_VALUE"""),45176.6666666666)</f>
        <v>45176.666666666599</v>
      </c>
      <c r="B423" s="1">
        <f ca="1">IFERROR(__xludf.DUMMYFUNCTION("""COMPUTED_VALUE"""),134.6)</f>
        <v>134.6</v>
      </c>
      <c r="C423" s="1">
        <f ca="1">IFERROR(__xludf.DUMMYFUNCTION("""COMPUTED_VALUE"""),136.58)</f>
        <v>136.58000000000001</v>
      </c>
      <c r="D423" s="1">
        <f ca="1">IFERROR(__xludf.DUMMYFUNCTION("""COMPUTED_VALUE"""),133.96)</f>
        <v>133.96</v>
      </c>
      <c r="E423" s="1">
        <f ca="1">IFERROR(__xludf.DUMMYFUNCTION("""COMPUTED_VALUE"""),136.2)</f>
        <v>136.19999999999999</v>
      </c>
      <c r="F423" s="1">
        <f ca="1">IFERROR(__xludf.DUMMYFUNCTION("""COMPUTED_VALUE"""),16975956)</f>
        <v>16975956</v>
      </c>
    </row>
    <row r="424" spans="1:6" ht="12.6">
      <c r="A424" s="2">
        <f ca="1">IFERROR(__xludf.DUMMYFUNCTION("""COMPUTED_VALUE"""),45177.6666666666)</f>
        <v>45177.666666666599</v>
      </c>
      <c r="B424" s="1">
        <f ca="1">IFERROR(__xludf.DUMMYFUNCTION("""COMPUTED_VALUE"""),135.87)</f>
        <v>135.87</v>
      </c>
      <c r="C424" s="1">
        <f ca="1">IFERROR(__xludf.DUMMYFUNCTION("""COMPUTED_VALUE"""),137.51)</f>
        <v>137.51</v>
      </c>
      <c r="D424" s="1">
        <f ca="1">IFERROR(__xludf.DUMMYFUNCTION("""COMPUTED_VALUE"""),135.87)</f>
        <v>135.87</v>
      </c>
      <c r="E424" s="1">
        <f ca="1">IFERROR(__xludf.DUMMYFUNCTION("""COMPUTED_VALUE"""),137.2)</f>
        <v>137.19999999999999</v>
      </c>
      <c r="F424" s="1">
        <f ca="1">IFERROR(__xludf.DUMMYFUNCTION("""COMPUTED_VALUE"""),17820005)</f>
        <v>17820005</v>
      </c>
    </row>
    <row r="425" spans="1:6" ht="12.6">
      <c r="A425" s="2">
        <f ca="1">IFERROR(__xludf.DUMMYFUNCTION("""COMPUTED_VALUE"""),45180.6666666666)</f>
        <v>45180.666666666599</v>
      </c>
      <c r="B425" s="1">
        <f ca="1">IFERROR(__xludf.DUMMYFUNCTION("""COMPUTED_VALUE"""),137.38)</f>
        <v>137.38</v>
      </c>
      <c r="C425" s="1">
        <f ca="1">IFERROR(__xludf.DUMMYFUNCTION("""COMPUTED_VALUE"""),138.26)</f>
        <v>138.26</v>
      </c>
      <c r="D425" s="1">
        <f ca="1">IFERROR(__xludf.DUMMYFUNCTION("""COMPUTED_VALUE"""),136.55)</f>
        <v>136.55000000000001</v>
      </c>
      <c r="E425" s="1">
        <f ca="1">IFERROR(__xludf.DUMMYFUNCTION("""COMPUTED_VALUE"""),137.74)</f>
        <v>137.74</v>
      </c>
      <c r="F425" s="1">
        <f ca="1">IFERROR(__xludf.DUMMYFUNCTION("""COMPUTED_VALUE"""),17180755)</f>
        <v>17180755</v>
      </c>
    </row>
    <row r="426" spans="1:6" ht="12.6">
      <c r="A426" s="2">
        <f ca="1">IFERROR(__xludf.DUMMYFUNCTION("""COMPUTED_VALUE"""),45181.6666666666)</f>
        <v>45181.666666666599</v>
      </c>
      <c r="B426" s="1">
        <f ca="1">IFERROR(__xludf.DUMMYFUNCTION("""COMPUTED_VALUE"""),137.13)</f>
        <v>137.13</v>
      </c>
      <c r="C426" s="1">
        <f ca="1">IFERROR(__xludf.DUMMYFUNCTION("""COMPUTED_VALUE"""),137.64)</f>
        <v>137.63999999999999</v>
      </c>
      <c r="D426" s="1">
        <f ca="1">IFERROR(__xludf.DUMMYFUNCTION("""COMPUTED_VALUE"""),135.93)</f>
        <v>135.93</v>
      </c>
      <c r="E426" s="1">
        <f ca="1">IFERROR(__xludf.DUMMYFUNCTION("""COMPUTED_VALUE"""),136.07)</f>
        <v>136.07</v>
      </c>
      <c r="F426" s="1">
        <f ca="1">IFERROR(__xludf.DUMMYFUNCTION("""COMPUTED_VALUE"""),15212934)</f>
        <v>15212934</v>
      </c>
    </row>
    <row r="427" spans="1:6" ht="12.6">
      <c r="A427" s="2">
        <f ca="1">IFERROR(__xludf.DUMMYFUNCTION("""COMPUTED_VALUE"""),45182.6666666666)</f>
        <v>45182.666666666599</v>
      </c>
      <c r="B427" s="1">
        <f ca="1">IFERROR(__xludf.DUMMYFUNCTION("""COMPUTED_VALUE"""),135.9)</f>
        <v>135.9</v>
      </c>
      <c r="C427" s="1">
        <f ca="1">IFERROR(__xludf.DUMMYFUNCTION("""COMPUTED_VALUE"""),137.7)</f>
        <v>137.69999999999999</v>
      </c>
      <c r="D427" s="1">
        <f ca="1">IFERROR(__xludf.DUMMYFUNCTION("""COMPUTED_VALUE"""),134.93)</f>
        <v>134.93</v>
      </c>
      <c r="E427" s="1">
        <f ca="1">IFERROR(__xludf.DUMMYFUNCTION("""COMPUTED_VALUE"""),137.5)</f>
        <v>137.5</v>
      </c>
      <c r="F427" s="1">
        <f ca="1">IFERROR(__xludf.DUMMYFUNCTION("""COMPUTED_VALUE"""),16394915)</f>
        <v>16394915</v>
      </c>
    </row>
    <row r="428" spans="1:6" ht="12.6">
      <c r="A428" s="2">
        <f ca="1">IFERROR(__xludf.DUMMYFUNCTION("""COMPUTED_VALUE"""),45183.6666666666)</f>
        <v>45183.666666666599</v>
      </c>
      <c r="B428" s="1">
        <f ca="1">IFERROR(__xludf.DUMMYFUNCTION("""COMPUTED_VALUE"""),138.39)</f>
        <v>138.38999999999999</v>
      </c>
      <c r="C428" s="1">
        <f ca="1">IFERROR(__xludf.DUMMYFUNCTION("""COMPUTED_VALUE"""),139.55)</f>
        <v>139.55000000000001</v>
      </c>
      <c r="D428" s="1">
        <f ca="1">IFERROR(__xludf.DUMMYFUNCTION("""COMPUTED_VALUE"""),137.06)</f>
        <v>137.06</v>
      </c>
      <c r="E428" s="1">
        <f ca="1">IFERROR(__xludf.DUMMYFUNCTION("""COMPUTED_VALUE"""),138.99)</f>
        <v>138.99</v>
      </c>
      <c r="F428" s="1">
        <f ca="1">IFERROR(__xludf.DUMMYFUNCTION("""COMPUTED_VALUE"""),19064607)</f>
        <v>19064607</v>
      </c>
    </row>
    <row r="429" spans="1:6" ht="12.6">
      <c r="A429" s="2">
        <f ca="1">IFERROR(__xludf.DUMMYFUNCTION("""COMPUTED_VALUE"""),45184.6666666666)</f>
        <v>45184.666666666599</v>
      </c>
      <c r="B429" s="1">
        <f ca="1">IFERROR(__xludf.DUMMYFUNCTION("""COMPUTED_VALUE"""),138.8)</f>
        <v>138.80000000000001</v>
      </c>
      <c r="C429" s="1">
        <f ca="1">IFERROR(__xludf.DUMMYFUNCTION("""COMPUTED_VALUE"""),139.36)</f>
        <v>139.36000000000001</v>
      </c>
      <c r="D429" s="1">
        <f ca="1">IFERROR(__xludf.DUMMYFUNCTION("""COMPUTED_VALUE"""),137.18)</f>
        <v>137.18</v>
      </c>
      <c r="E429" s="1">
        <f ca="1">IFERROR(__xludf.DUMMYFUNCTION("""COMPUTED_VALUE"""),138.3)</f>
        <v>138.30000000000001</v>
      </c>
      <c r="F429" s="1">
        <f ca="1">IFERROR(__xludf.DUMMYFUNCTION("""COMPUTED_VALUE"""),48958837)</f>
        <v>48958837</v>
      </c>
    </row>
    <row r="430" spans="1:6" ht="12.6">
      <c r="A430" s="2">
        <f ca="1">IFERROR(__xludf.DUMMYFUNCTION("""COMPUTED_VALUE"""),45187.6666666666)</f>
        <v>45187.666666666599</v>
      </c>
      <c r="B430" s="1">
        <f ca="1">IFERROR(__xludf.DUMMYFUNCTION("""COMPUTED_VALUE"""),137.63)</f>
        <v>137.63</v>
      </c>
      <c r="C430" s="1">
        <f ca="1">IFERROR(__xludf.DUMMYFUNCTION("""COMPUTED_VALUE"""),139.93)</f>
        <v>139.93</v>
      </c>
      <c r="D430" s="1">
        <f ca="1">IFERROR(__xludf.DUMMYFUNCTION("""COMPUTED_VALUE"""),137.63)</f>
        <v>137.63</v>
      </c>
      <c r="E430" s="1">
        <f ca="1">IFERROR(__xludf.DUMMYFUNCTION("""COMPUTED_VALUE"""),138.96)</f>
        <v>138.96</v>
      </c>
      <c r="F430" s="1">
        <f ca="1">IFERROR(__xludf.DUMMYFUNCTION("""COMPUTED_VALUE"""),16233590)</f>
        <v>16233590</v>
      </c>
    </row>
    <row r="431" spans="1:6" ht="12.6">
      <c r="A431" s="2">
        <f ca="1">IFERROR(__xludf.DUMMYFUNCTION("""COMPUTED_VALUE"""),45188.6666666666)</f>
        <v>45188.666666666599</v>
      </c>
      <c r="B431" s="1">
        <f ca="1">IFERROR(__xludf.DUMMYFUNCTION("""COMPUTED_VALUE"""),138.25)</f>
        <v>138.25</v>
      </c>
      <c r="C431" s="1">
        <f ca="1">IFERROR(__xludf.DUMMYFUNCTION("""COMPUTED_VALUE"""),139.18)</f>
        <v>139.18</v>
      </c>
      <c r="D431" s="1">
        <f ca="1">IFERROR(__xludf.DUMMYFUNCTION("""COMPUTED_VALUE"""),137.5)</f>
        <v>137.5</v>
      </c>
      <c r="E431" s="1">
        <f ca="1">IFERROR(__xludf.DUMMYFUNCTION("""COMPUTED_VALUE"""),138.83)</f>
        <v>138.83000000000001</v>
      </c>
      <c r="F431" s="1">
        <f ca="1">IFERROR(__xludf.DUMMYFUNCTION("""COMPUTED_VALUE"""),15484644)</f>
        <v>15484644</v>
      </c>
    </row>
    <row r="432" spans="1:6" ht="12.6">
      <c r="A432" s="2">
        <f ca="1">IFERROR(__xludf.DUMMYFUNCTION("""COMPUTED_VALUE"""),45189.6666666666)</f>
        <v>45189.666666666599</v>
      </c>
      <c r="B432" s="1">
        <f ca="1">IFERROR(__xludf.DUMMYFUNCTION("""COMPUTED_VALUE"""),138.83)</f>
        <v>138.83000000000001</v>
      </c>
      <c r="C432" s="1">
        <f ca="1">IFERROR(__xludf.DUMMYFUNCTION("""COMPUTED_VALUE"""),138.84)</f>
        <v>138.84</v>
      </c>
      <c r="D432" s="1">
        <f ca="1">IFERROR(__xludf.DUMMYFUNCTION("""COMPUTED_VALUE"""),134.52)</f>
        <v>134.52000000000001</v>
      </c>
      <c r="E432" s="1">
        <f ca="1">IFERROR(__xludf.DUMMYFUNCTION("""COMPUTED_VALUE"""),134.59)</f>
        <v>134.59</v>
      </c>
      <c r="F432" s="1">
        <f ca="1">IFERROR(__xludf.DUMMYFUNCTION("""COMPUTED_VALUE"""),21473533)</f>
        <v>21473533</v>
      </c>
    </row>
    <row r="433" spans="1:6" ht="12.6">
      <c r="A433" s="2">
        <f ca="1">IFERROR(__xludf.DUMMYFUNCTION("""COMPUTED_VALUE"""),45190.6666666666)</f>
        <v>45190.666666666599</v>
      </c>
      <c r="B433" s="1">
        <f ca="1">IFERROR(__xludf.DUMMYFUNCTION("""COMPUTED_VALUE"""),132.39)</f>
        <v>132.38999999999999</v>
      </c>
      <c r="C433" s="1">
        <f ca="1">IFERROR(__xludf.DUMMYFUNCTION("""COMPUTED_VALUE"""),133.19)</f>
        <v>133.19</v>
      </c>
      <c r="D433" s="1">
        <f ca="1">IFERROR(__xludf.DUMMYFUNCTION("""COMPUTED_VALUE"""),131.09)</f>
        <v>131.09</v>
      </c>
      <c r="E433" s="1">
        <f ca="1">IFERROR(__xludf.DUMMYFUNCTION("""COMPUTED_VALUE"""),131.36)</f>
        <v>131.36000000000001</v>
      </c>
      <c r="F433" s="1">
        <f ca="1">IFERROR(__xludf.DUMMYFUNCTION("""COMPUTED_VALUE"""),22058375)</f>
        <v>22058375</v>
      </c>
    </row>
    <row r="434" spans="1:6" ht="12.6">
      <c r="A434" s="2">
        <f ca="1">IFERROR(__xludf.DUMMYFUNCTION("""COMPUTED_VALUE"""),45191.6666666666)</f>
        <v>45191.666666666599</v>
      </c>
      <c r="B434" s="1">
        <f ca="1">IFERROR(__xludf.DUMMYFUNCTION("""COMPUTED_VALUE"""),131.68)</f>
        <v>131.68</v>
      </c>
      <c r="C434" s="1">
        <f ca="1">IFERROR(__xludf.DUMMYFUNCTION("""COMPUTED_VALUE"""),133.01)</f>
        <v>133.01</v>
      </c>
      <c r="D434" s="1">
        <f ca="1">IFERROR(__xludf.DUMMYFUNCTION("""COMPUTED_VALUE"""),130.51)</f>
        <v>130.51</v>
      </c>
      <c r="E434" s="1">
        <f ca="1">IFERROR(__xludf.DUMMYFUNCTION("""COMPUTED_VALUE"""),131.25)</f>
        <v>131.25</v>
      </c>
      <c r="F434" s="1">
        <f ca="1">IFERROR(__xludf.DUMMYFUNCTION("""COMPUTED_VALUE"""),17355284)</f>
        <v>17355284</v>
      </c>
    </row>
    <row r="435" spans="1:6" ht="12.6">
      <c r="A435" s="2">
        <f ca="1">IFERROR(__xludf.DUMMYFUNCTION("""COMPUTED_VALUE"""),45194.6666666666)</f>
        <v>45194.666666666599</v>
      </c>
      <c r="B435" s="1">
        <f ca="1">IFERROR(__xludf.DUMMYFUNCTION("""COMPUTED_VALUE"""),130.77)</f>
        <v>130.77000000000001</v>
      </c>
      <c r="C435" s="1">
        <f ca="1">IFERROR(__xludf.DUMMYFUNCTION("""COMPUTED_VALUE"""),132.22)</f>
        <v>132.22</v>
      </c>
      <c r="D435" s="1">
        <f ca="1">IFERROR(__xludf.DUMMYFUNCTION("""COMPUTED_VALUE"""),130.03)</f>
        <v>130.03</v>
      </c>
      <c r="E435" s="1">
        <f ca="1">IFERROR(__xludf.DUMMYFUNCTION("""COMPUTED_VALUE"""),132.17)</f>
        <v>132.16999999999999</v>
      </c>
      <c r="F435" s="1">
        <f ca="1">IFERROR(__xludf.DUMMYFUNCTION("""COMPUTED_VALUE"""),14650032)</f>
        <v>14650032</v>
      </c>
    </row>
    <row r="436" spans="1:6" ht="12.6">
      <c r="A436" s="2">
        <f ca="1">IFERROR(__xludf.DUMMYFUNCTION("""COMPUTED_VALUE"""),45195.6666666666)</f>
        <v>45195.666666666599</v>
      </c>
      <c r="B436" s="1">
        <f ca="1">IFERROR(__xludf.DUMMYFUNCTION("""COMPUTED_VALUE"""),130.91)</f>
        <v>130.91</v>
      </c>
      <c r="C436" s="1">
        <f ca="1">IFERROR(__xludf.DUMMYFUNCTION("""COMPUTED_VALUE"""),131.41)</f>
        <v>131.41</v>
      </c>
      <c r="D436" s="1">
        <f ca="1">IFERROR(__xludf.DUMMYFUNCTION("""COMPUTED_VALUE"""),128.19)</f>
        <v>128.19</v>
      </c>
      <c r="E436" s="1">
        <f ca="1">IFERROR(__xludf.DUMMYFUNCTION("""COMPUTED_VALUE"""),129.45)</f>
        <v>129.44999999999999</v>
      </c>
      <c r="F436" s="1">
        <f ca="1">IFERROR(__xludf.DUMMYFUNCTION("""COMPUTED_VALUE"""),20378789)</f>
        <v>20378789</v>
      </c>
    </row>
    <row r="437" spans="1:6" ht="12.6">
      <c r="A437" s="2">
        <f ca="1">IFERROR(__xludf.DUMMYFUNCTION("""COMPUTED_VALUE"""),45196.6666666666)</f>
        <v>45196.666666666599</v>
      </c>
      <c r="B437" s="1">
        <f ca="1">IFERROR(__xludf.DUMMYFUNCTION("""COMPUTED_VALUE"""),129.44)</f>
        <v>129.44</v>
      </c>
      <c r="C437" s="1">
        <f ca="1">IFERROR(__xludf.DUMMYFUNCTION("""COMPUTED_VALUE"""),131.72)</f>
        <v>131.72</v>
      </c>
      <c r="D437" s="1">
        <f ca="1">IFERROR(__xludf.DUMMYFUNCTION("""COMPUTED_VALUE"""),129.38)</f>
        <v>129.38</v>
      </c>
      <c r="E437" s="1">
        <f ca="1">IFERROR(__xludf.DUMMYFUNCTION("""COMPUTED_VALUE"""),131.46)</f>
        <v>131.46</v>
      </c>
      <c r="F437" s="1">
        <f ca="1">IFERROR(__xludf.DUMMYFUNCTION("""COMPUTED_VALUE"""),18764201)</f>
        <v>18764201</v>
      </c>
    </row>
    <row r="438" spans="1:6" ht="12.6">
      <c r="A438" s="2">
        <f ca="1">IFERROR(__xludf.DUMMYFUNCTION("""COMPUTED_VALUE"""),45197.6666666666)</f>
        <v>45197.666666666599</v>
      </c>
      <c r="B438" s="1">
        <f ca="1">IFERROR(__xludf.DUMMYFUNCTION("""COMPUTED_VALUE"""),130.69)</f>
        <v>130.69</v>
      </c>
      <c r="C438" s="1">
        <f ca="1">IFERROR(__xludf.DUMMYFUNCTION("""COMPUTED_VALUE"""),134.18)</f>
        <v>134.18</v>
      </c>
      <c r="D438" s="1">
        <f ca="1">IFERROR(__xludf.DUMMYFUNCTION("""COMPUTED_VALUE"""),130.69)</f>
        <v>130.69</v>
      </c>
      <c r="E438" s="1">
        <f ca="1">IFERROR(__xludf.DUMMYFUNCTION("""COMPUTED_VALUE"""),133.13)</f>
        <v>133.13</v>
      </c>
      <c r="F438" s="1">
        <f ca="1">IFERROR(__xludf.DUMMYFUNCTION("""COMPUTED_VALUE"""),18201389)</f>
        <v>18201389</v>
      </c>
    </row>
    <row r="439" spans="1:6" ht="12.6">
      <c r="A439" s="2">
        <f ca="1">IFERROR(__xludf.DUMMYFUNCTION("""COMPUTED_VALUE"""),45198.6666666666)</f>
        <v>45198.666666666599</v>
      </c>
      <c r="B439" s="1">
        <f ca="1">IFERROR(__xludf.DUMMYFUNCTION("""COMPUTED_VALUE"""),134.08)</f>
        <v>134.08000000000001</v>
      </c>
      <c r="C439" s="1">
        <f ca="1">IFERROR(__xludf.DUMMYFUNCTION("""COMPUTED_VALUE"""),134.89)</f>
        <v>134.88999999999999</v>
      </c>
      <c r="D439" s="1">
        <f ca="1">IFERROR(__xludf.DUMMYFUNCTION("""COMPUTED_VALUE"""),131.32)</f>
        <v>131.32</v>
      </c>
      <c r="E439" s="1">
        <f ca="1">IFERROR(__xludf.DUMMYFUNCTION("""COMPUTED_VALUE"""),131.85)</f>
        <v>131.85</v>
      </c>
      <c r="F439" s="1">
        <f ca="1">IFERROR(__xludf.DUMMYFUNCTION("""COMPUTED_VALUE"""),23237336)</f>
        <v>23237336</v>
      </c>
    </row>
    <row r="440" spans="1:6" ht="12.6">
      <c r="A440" s="2">
        <f ca="1">IFERROR(__xludf.DUMMYFUNCTION("""COMPUTED_VALUE"""),45201.6666666666)</f>
        <v>45201.666666666599</v>
      </c>
      <c r="B440" s="1">
        <f ca="1">IFERROR(__xludf.DUMMYFUNCTION("""COMPUTED_VALUE"""),132.16)</f>
        <v>132.16</v>
      </c>
      <c r="C440" s="1">
        <f ca="1">IFERROR(__xludf.DUMMYFUNCTION("""COMPUTED_VALUE"""),135.36)</f>
        <v>135.36000000000001</v>
      </c>
      <c r="D440" s="1">
        <f ca="1">IFERROR(__xludf.DUMMYFUNCTION("""COMPUTED_VALUE"""),132.07)</f>
        <v>132.07</v>
      </c>
      <c r="E440" s="1">
        <f ca="1">IFERROR(__xludf.DUMMYFUNCTION("""COMPUTED_VALUE"""),135.17)</f>
        <v>135.16999999999999</v>
      </c>
      <c r="F440" s="1">
        <f ca="1">IFERROR(__xludf.DUMMYFUNCTION("""COMPUTED_VALUE"""),19210394)</f>
        <v>19210394</v>
      </c>
    </row>
    <row r="441" spans="1:6" ht="12.6">
      <c r="A441" s="2">
        <f ca="1">IFERROR(__xludf.DUMMYFUNCTION("""COMPUTED_VALUE"""),45202.6666666666)</f>
        <v>45202.666666666599</v>
      </c>
      <c r="B441" s="1">
        <f ca="1">IFERROR(__xludf.DUMMYFUNCTION("""COMPUTED_VALUE"""),134.93)</f>
        <v>134.93</v>
      </c>
      <c r="C441" s="1">
        <f ca="1">IFERROR(__xludf.DUMMYFUNCTION("""COMPUTED_VALUE"""),135.24)</f>
        <v>135.24</v>
      </c>
      <c r="D441" s="1">
        <f ca="1">IFERROR(__xludf.DUMMYFUNCTION("""COMPUTED_VALUE"""),132.82)</f>
        <v>132.82</v>
      </c>
      <c r="E441" s="1">
        <f ca="1">IFERROR(__xludf.DUMMYFUNCTION("""COMPUTED_VALUE"""),133.3)</f>
        <v>133.30000000000001</v>
      </c>
      <c r="F441" s="1">
        <f ca="1">IFERROR(__xludf.DUMMYFUNCTION("""COMPUTED_VALUE"""),19628736)</f>
        <v>19628736</v>
      </c>
    </row>
    <row r="442" spans="1:6" ht="12.6">
      <c r="A442" s="2">
        <f ca="1">IFERROR(__xludf.DUMMYFUNCTION("""COMPUTED_VALUE"""),45203.6666666666)</f>
        <v>45203.666666666599</v>
      </c>
      <c r="B442" s="1">
        <f ca="1">IFERROR(__xludf.DUMMYFUNCTION("""COMPUTED_VALUE"""),133.66)</f>
        <v>133.66</v>
      </c>
      <c r="C442" s="1">
        <f ca="1">IFERROR(__xludf.DUMMYFUNCTION("""COMPUTED_VALUE"""),136.57)</f>
        <v>136.57</v>
      </c>
      <c r="D442" s="1">
        <f ca="1">IFERROR(__xludf.DUMMYFUNCTION("""COMPUTED_VALUE"""),133.43)</f>
        <v>133.43</v>
      </c>
      <c r="E442" s="1">
        <f ca="1">IFERROR(__xludf.DUMMYFUNCTION("""COMPUTED_VALUE"""),136.27)</f>
        <v>136.27000000000001</v>
      </c>
      <c r="F442" s="1">
        <f ca="1">IFERROR(__xludf.DUMMYFUNCTION("""COMPUTED_VALUE"""),22847987)</f>
        <v>22847987</v>
      </c>
    </row>
    <row r="443" spans="1:6" ht="12.6">
      <c r="A443" s="2">
        <f ca="1">IFERROR(__xludf.DUMMYFUNCTION("""COMPUTED_VALUE"""),45204.6666666666)</f>
        <v>45204.666666666599</v>
      </c>
      <c r="B443" s="1">
        <f ca="1">IFERROR(__xludf.DUMMYFUNCTION("""COMPUTED_VALUE"""),136.13)</f>
        <v>136.13</v>
      </c>
      <c r="C443" s="1">
        <f ca="1">IFERROR(__xludf.DUMMYFUNCTION("""COMPUTED_VALUE"""),136.5)</f>
        <v>136.5</v>
      </c>
      <c r="D443" s="1">
        <f ca="1">IFERROR(__xludf.DUMMYFUNCTION("""COMPUTED_VALUE"""),134.46)</f>
        <v>134.46</v>
      </c>
      <c r="E443" s="1">
        <f ca="1">IFERROR(__xludf.DUMMYFUNCTION("""COMPUTED_VALUE"""),135.99)</f>
        <v>135.99</v>
      </c>
      <c r="F443" s="1">
        <f ca="1">IFERROR(__xludf.DUMMYFUNCTION("""COMPUTED_VALUE"""),15922944)</f>
        <v>15922944</v>
      </c>
    </row>
    <row r="444" spans="1:6" ht="12.6">
      <c r="A444" s="2">
        <f ca="1">IFERROR(__xludf.DUMMYFUNCTION("""COMPUTED_VALUE"""),45205.6666666666)</f>
        <v>45205.666666666599</v>
      </c>
      <c r="B444" s="1">
        <f ca="1">IFERROR(__xludf.DUMMYFUNCTION("""COMPUTED_VALUE"""),134.94)</f>
        <v>134.94</v>
      </c>
      <c r="C444" s="1">
        <f ca="1">IFERROR(__xludf.DUMMYFUNCTION("""COMPUTED_VALUE"""),139.19)</f>
        <v>139.19</v>
      </c>
      <c r="D444" s="1">
        <f ca="1">IFERROR(__xludf.DUMMYFUNCTION("""COMPUTED_VALUE"""),134.94)</f>
        <v>134.94</v>
      </c>
      <c r="E444" s="1">
        <f ca="1">IFERROR(__xludf.DUMMYFUNCTION("""COMPUTED_VALUE"""),138.73)</f>
        <v>138.72999999999999</v>
      </c>
      <c r="F444" s="1">
        <f ca="1">IFERROR(__xludf.DUMMYFUNCTION("""COMPUTED_VALUE"""),20826683)</f>
        <v>20826683</v>
      </c>
    </row>
    <row r="445" spans="1:6" ht="12.6">
      <c r="A445" s="2">
        <f ca="1">IFERROR(__xludf.DUMMYFUNCTION("""COMPUTED_VALUE"""),45208.6666666666)</f>
        <v>45208.666666666599</v>
      </c>
      <c r="B445" s="1">
        <f ca="1">IFERROR(__xludf.DUMMYFUNCTION("""COMPUTED_VALUE"""),137.99)</f>
        <v>137.99</v>
      </c>
      <c r="C445" s="1">
        <f ca="1">IFERROR(__xludf.DUMMYFUNCTION("""COMPUTED_VALUE"""),139.97)</f>
        <v>139.97</v>
      </c>
      <c r="D445" s="1">
        <f ca="1">IFERROR(__xludf.DUMMYFUNCTION("""COMPUTED_VALUE"""),136.7)</f>
        <v>136.69999999999999</v>
      </c>
      <c r="E445" s="1">
        <f ca="1">IFERROR(__xludf.DUMMYFUNCTION("""COMPUTED_VALUE"""),139.5)</f>
        <v>139.5</v>
      </c>
      <c r="F445" s="1">
        <f ca="1">IFERROR(__xludf.DUMMYFUNCTION("""COMPUTED_VALUE"""),16599099)</f>
        <v>16599099</v>
      </c>
    </row>
    <row r="446" spans="1:6" ht="12.6">
      <c r="A446" s="2">
        <f ca="1">IFERROR(__xludf.DUMMYFUNCTION("""COMPUTED_VALUE"""),45209.6666666666)</f>
        <v>45209.666666666599</v>
      </c>
      <c r="B446" s="1">
        <f ca="1">IFERROR(__xludf.DUMMYFUNCTION("""COMPUTED_VALUE"""),139.51)</f>
        <v>139.51</v>
      </c>
      <c r="C446" s="1">
        <f ca="1">IFERROR(__xludf.DUMMYFUNCTION("""COMPUTED_VALUE"""),140.74)</f>
        <v>140.74</v>
      </c>
      <c r="D446" s="1">
        <f ca="1">IFERROR(__xludf.DUMMYFUNCTION("""COMPUTED_VALUE"""),138.43)</f>
        <v>138.43</v>
      </c>
      <c r="E446" s="1">
        <f ca="1">IFERROR(__xludf.DUMMYFUNCTION("""COMPUTED_VALUE"""),139.2)</f>
        <v>139.19999999999999</v>
      </c>
      <c r="F446" s="1">
        <f ca="1">IFERROR(__xludf.DUMMYFUNCTION("""COMPUTED_VALUE"""),19554916)</f>
        <v>19554916</v>
      </c>
    </row>
    <row r="447" spans="1:6" ht="12.6">
      <c r="A447" s="2">
        <f ca="1">IFERROR(__xludf.DUMMYFUNCTION("""COMPUTED_VALUE"""),45210.6666666666)</f>
        <v>45210.666666666599</v>
      </c>
      <c r="B447" s="1">
        <f ca="1">IFERROR(__xludf.DUMMYFUNCTION("""COMPUTED_VALUE"""),139.85)</f>
        <v>139.85</v>
      </c>
      <c r="C447" s="1">
        <f ca="1">IFERROR(__xludf.DUMMYFUNCTION("""COMPUTED_VALUE"""),142.22)</f>
        <v>142.22</v>
      </c>
      <c r="D447" s="1">
        <f ca="1">IFERROR(__xludf.DUMMYFUNCTION("""COMPUTED_VALUE"""),139.84)</f>
        <v>139.84</v>
      </c>
      <c r="E447" s="1">
        <f ca="1">IFERROR(__xludf.DUMMYFUNCTION("""COMPUTED_VALUE"""),141.7)</f>
        <v>141.69999999999999</v>
      </c>
      <c r="F447" s="1">
        <f ca="1">IFERROR(__xludf.DUMMYFUNCTION("""COMPUTED_VALUE"""),20146341)</f>
        <v>20146341</v>
      </c>
    </row>
    <row r="448" spans="1:6" ht="12.6">
      <c r="A448" s="2">
        <f ca="1">IFERROR(__xludf.DUMMYFUNCTION("""COMPUTED_VALUE"""),45211.6666666666)</f>
        <v>45211.666666666599</v>
      </c>
      <c r="B448" s="1">
        <f ca="1">IFERROR(__xludf.DUMMYFUNCTION("""COMPUTED_VALUE"""),142.16)</f>
        <v>142.16</v>
      </c>
      <c r="C448" s="1">
        <f ca="1">IFERROR(__xludf.DUMMYFUNCTION("""COMPUTED_VALUE"""),142.38)</f>
        <v>142.38</v>
      </c>
      <c r="D448" s="1">
        <f ca="1">IFERROR(__xludf.DUMMYFUNCTION("""COMPUTED_VALUE"""),139.45)</f>
        <v>139.44999999999999</v>
      </c>
      <c r="E448" s="1">
        <f ca="1">IFERROR(__xludf.DUMMYFUNCTION("""COMPUTED_VALUE"""),140.29)</f>
        <v>140.29</v>
      </c>
      <c r="F448" s="1">
        <f ca="1">IFERROR(__xludf.DUMMYFUNCTION("""COMPUTED_VALUE"""),18173107)</f>
        <v>18173107</v>
      </c>
    </row>
    <row r="449" spans="1:6" ht="12.6">
      <c r="A449" s="2">
        <f ca="1">IFERROR(__xludf.DUMMYFUNCTION("""COMPUTED_VALUE"""),45212.6666666666)</f>
        <v>45212.666666666599</v>
      </c>
      <c r="B449" s="1">
        <f ca="1">IFERROR(__xludf.DUMMYFUNCTION("""COMPUTED_VALUE"""),140.65)</f>
        <v>140.65</v>
      </c>
      <c r="C449" s="1">
        <f ca="1">IFERROR(__xludf.DUMMYFUNCTION("""COMPUTED_VALUE"""),141.34)</f>
        <v>141.34</v>
      </c>
      <c r="D449" s="1">
        <f ca="1">IFERROR(__xludf.DUMMYFUNCTION("""COMPUTED_VALUE"""),137.97)</f>
        <v>137.97</v>
      </c>
      <c r="E449" s="1">
        <f ca="1">IFERROR(__xludf.DUMMYFUNCTION("""COMPUTED_VALUE"""),138.58)</f>
        <v>138.58000000000001</v>
      </c>
      <c r="F449" s="1">
        <f ca="1">IFERROR(__xludf.DUMMYFUNCTION("""COMPUTED_VALUE"""),19447565)</f>
        <v>19447565</v>
      </c>
    </row>
    <row r="450" spans="1:6" ht="12.6">
      <c r="A450" s="2">
        <f ca="1">IFERROR(__xludf.DUMMYFUNCTION("""COMPUTED_VALUE"""),45215.6666666666)</f>
        <v>45215.666666666599</v>
      </c>
      <c r="B450" s="1">
        <f ca="1">IFERROR(__xludf.DUMMYFUNCTION("""COMPUTED_VALUE"""),139.73)</f>
        <v>139.72999999999999</v>
      </c>
      <c r="C450" s="1">
        <f ca="1">IFERROR(__xludf.DUMMYFUNCTION("""COMPUTED_VALUE"""),140.91)</f>
        <v>140.91</v>
      </c>
      <c r="D450" s="1">
        <f ca="1">IFERROR(__xludf.DUMMYFUNCTION("""COMPUTED_VALUE"""),139.32)</f>
        <v>139.32</v>
      </c>
      <c r="E450" s="1">
        <f ca="1">IFERROR(__xludf.DUMMYFUNCTION("""COMPUTED_VALUE"""),140.49)</f>
        <v>140.49</v>
      </c>
      <c r="F450" s="1">
        <f ca="1">IFERROR(__xludf.DUMMYFUNCTION("""COMPUTED_VALUE"""),17345556)</f>
        <v>17345556</v>
      </c>
    </row>
    <row r="451" spans="1:6" ht="12.6">
      <c r="A451" s="2">
        <f ca="1">IFERROR(__xludf.DUMMYFUNCTION("""COMPUTED_VALUE"""),45216.6666666666)</f>
        <v>45216.666666666599</v>
      </c>
      <c r="B451" s="1">
        <f ca="1">IFERROR(__xludf.DUMMYFUNCTION("""COMPUTED_VALUE"""),140.03)</f>
        <v>140.03</v>
      </c>
      <c r="C451" s="1">
        <f ca="1">IFERROR(__xludf.DUMMYFUNCTION("""COMPUTED_VALUE"""),141.25)</f>
        <v>141.25</v>
      </c>
      <c r="D451" s="1">
        <f ca="1">IFERROR(__xludf.DUMMYFUNCTION("""COMPUTED_VALUE"""),138.53)</f>
        <v>138.53</v>
      </c>
      <c r="E451" s="1">
        <f ca="1">IFERROR(__xludf.DUMMYFUNCTION("""COMPUTED_VALUE"""),140.99)</f>
        <v>140.99</v>
      </c>
      <c r="F451" s="1">
        <f ca="1">IFERROR(__xludf.DUMMYFUNCTION("""COMPUTED_VALUE"""),17424024)</f>
        <v>17424024</v>
      </c>
    </row>
    <row r="452" spans="1:6" ht="12.6">
      <c r="A452" s="2">
        <f ca="1">IFERROR(__xludf.DUMMYFUNCTION("""COMPUTED_VALUE"""),45217.6666666666)</f>
        <v>45217.666666666599</v>
      </c>
      <c r="B452" s="1">
        <f ca="1">IFERROR(__xludf.DUMMYFUNCTION("""COMPUTED_VALUE"""),140.75)</f>
        <v>140.75</v>
      </c>
      <c r="C452" s="1">
        <f ca="1">IFERROR(__xludf.DUMMYFUNCTION("""COMPUTED_VALUE"""),141.99)</f>
        <v>141.99</v>
      </c>
      <c r="D452" s="1">
        <f ca="1">IFERROR(__xludf.DUMMYFUNCTION("""COMPUTED_VALUE"""),138.71)</f>
        <v>138.71</v>
      </c>
      <c r="E452" s="1">
        <f ca="1">IFERROR(__xludf.DUMMYFUNCTION("""COMPUTED_VALUE"""),139.28)</f>
        <v>139.28</v>
      </c>
      <c r="F452" s="1">
        <f ca="1">IFERROR(__xludf.DUMMYFUNCTION("""COMPUTED_VALUE"""),18304869)</f>
        <v>18304869</v>
      </c>
    </row>
    <row r="453" spans="1:6" ht="12.6">
      <c r="A453" s="2">
        <f ca="1">IFERROR(__xludf.DUMMYFUNCTION("""COMPUTED_VALUE"""),45218.6666666666)</f>
        <v>45218.666666666599</v>
      </c>
      <c r="B453" s="1">
        <f ca="1">IFERROR(__xludf.DUMMYFUNCTION("""COMPUTED_VALUE"""),139.8)</f>
        <v>139.80000000000001</v>
      </c>
      <c r="C453" s="1">
        <f ca="1">IFERROR(__xludf.DUMMYFUNCTION("""COMPUTED_VALUE"""),141.01)</f>
        <v>141.01</v>
      </c>
      <c r="D453" s="1">
        <f ca="1">IFERROR(__xludf.DUMMYFUNCTION("""COMPUTED_VALUE"""),138.6)</f>
        <v>138.6</v>
      </c>
      <c r="E453" s="1">
        <f ca="1">IFERROR(__xludf.DUMMYFUNCTION("""COMPUTED_VALUE"""),138.98)</f>
        <v>138.97999999999999</v>
      </c>
      <c r="F453" s="1">
        <f ca="1">IFERROR(__xludf.DUMMYFUNCTION("""COMPUTED_VALUE"""),21831181)</f>
        <v>21831181</v>
      </c>
    </row>
    <row r="454" spans="1:6" ht="12.6">
      <c r="A454" s="2">
        <f ca="1">IFERROR(__xludf.DUMMYFUNCTION("""COMPUTED_VALUE"""),45219.6666666666)</f>
        <v>45219.666666666599</v>
      </c>
      <c r="B454" s="1">
        <f ca="1">IFERROR(__xludf.DUMMYFUNCTION("""COMPUTED_VALUE"""),138.59)</f>
        <v>138.59</v>
      </c>
      <c r="C454" s="1">
        <f ca="1">IFERROR(__xludf.DUMMYFUNCTION("""COMPUTED_VALUE"""),139.04)</f>
        <v>139.04</v>
      </c>
      <c r="D454" s="1">
        <f ca="1">IFERROR(__xludf.DUMMYFUNCTION("""COMPUTED_VALUE"""),136.25)</f>
        <v>136.25</v>
      </c>
      <c r="E454" s="1">
        <f ca="1">IFERROR(__xludf.DUMMYFUNCTION("""COMPUTED_VALUE"""),136.74)</f>
        <v>136.74</v>
      </c>
      <c r="F454" s="1">
        <f ca="1">IFERROR(__xludf.DUMMYFUNCTION("""COMPUTED_VALUE"""),24970263)</f>
        <v>24970263</v>
      </c>
    </row>
    <row r="455" spans="1:6" ht="12.6">
      <c r="A455" s="2">
        <f ca="1">IFERROR(__xludf.DUMMYFUNCTION("""COMPUTED_VALUE"""),45222.6666666666)</f>
        <v>45222.666666666599</v>
      </c>
      <c r="B455" s="1">
        <f ca="1">IFERROR(__xludf.DUMMYFUNCTION("""COMPUTED_VALUE"""),136.23)</f>
        <v>136.22999999999999</v>
      </c>
      <c r="C455" s="1">
        <f ca="1">IFERROR(__xludf.DUMMYFUNCTION("""COMPUTED_VALUE"""),139.02)</f>
        <v>139.02000000000001</v>
      </c>
      <c r="D455" s="1">
        <f ca="1">IFERROR(__xludf.DUMMYFUNCTION("""COMPUTED_VALUE"""),135.11)</f>
        <v>135.11000000000001</v>
      </c>
      <c r="E455" s="1">
        <f ca="1">IFERROR(__xludf.DUMMYFUNCTION("""COMPUTED_VALUE"""),137.9)</f>
        <v>137.9</v>
      </c>
      <c r="F455" s="1">
        <f ca="1">IFERROR(__xludf.DUMMYFUNCTION("""COMPUTED_VALUE"""),20780665)</f>
        <v>20780665</v>
      </c>
    </row>
    <row r="456" spans="1:6" ht="12.6">
      <c r="A456" s="2">
        <f ca="1">IFERROR(__xludf.DUMMYFUNCTION("""COMPUTED_VALUE"""),45223.6666666666)</f>
        <v>45223.666666666599</v>
      </c>
      <c r="B456" s="1">
        <f ca="1">IFERROR(__xludf.DUMMYFUNCTION("""COMPUTED_VALUE"""),139.16)</f>
        <v>139.16</v>
      </c>
      <c r="C456" s="1">
        <f ca="1">IFERROR(__xludf.DUMMYFUNCTION("""COMPUTED_VALUE"""),140.71)</f>
        <v>140.71</v>
      </c>
      <c r="D456" s="1">
        <f ca="1">IFERROR(__xludf.DUMMYFUNCTION("""COMPUTED_VALUE"""),138.75)</f>
        <v>138.75</v>
      </c>
      <c r="E456" s="1">
        <f ca="1">IFERROR(__xludf.DUMMYFUNCTION("""COMPUTED_VALUE"""),140.12)</f>
        <v>140.12</v>
      </c>
      <c r="F456" s="1">
        <f ca="1">IFERROR(__xludf.DUMMYFUNCTION("""COMPUTED_VALUE"""),26535198)</f>
        <v>26535198</v>
      </c>
    </row>
    <row r="457" spans="1:6" ht="12.6">
      <c r="A457" s="2">
        <f ca="1">IFERROR(__xludf.DUMMYFUNCTION("""COMPUTED_VALUE"""),45224.6666666666)</f>
        <v>45224.666666666599</v>
      </c>
      <c r="B457" s="1">
        <f ca="1">IFERROR(__xludf.DUMMYFUNCTION("""COMPUTED_VALUE"""),129.77)</f>
        <v>129.77000000000001</v>
      </c>
      <c r="C457" s="1">
        <f ca="1">IFERROR(__xludf.DUMMYFUNCTION("""COMPUTED_VALUE"""),130.1)</f>
        <v>130.1</v>
      </c>
      <c r="D457" s="1">
        <f ca="1">IFERROR(__xludf.DUMMYFUNCTION("""COMPUTED_VALUE"""),126.09)</f>
        <v>126.09</v>
      </c>
      <c r="E457" s="1">
        <f ca="1">IFERROR(__xludf.DUMMYFUNCTION("""COMPUTED_VALUE"""),126.67)</f>
        <v>126.67</v>
      </c>
      <c r="F457" s="1">
        <f ca="1">IFERROR(__xludf.DUMMYFUNCTION("""COMPUTED_VALUE"""),58796067)</f>
        <v>58796067</v>
      </c>
    </row>
    <row r="458" spans="1:6" ht="12.6">
      <c r="A458" s="2">
        <f ca="1">IFERROR(__xludf.DUMMYFUNCTION("""COMPUTED_VALUE"""),45225.6666666666)</f>
        <v>45225.666666666599</v>
      </c>
      <c r="B458" s="1">
        <f ca="1">IFERROR(__xludf.DUMMYFUNCTION("""COMPUTED_VALUE"""),124.47)</f>
        <v>124.47</v>
      </c>
      <c r="C458" s="1">
        <f ca="1">IFERROR(__xludf.DUMMYFUNCTION("""COMPUTED_VALUE"""),125.46)</f>
        <v>125.46</v>
      </c>
      <c r="D458" s="1">
        <f ca="1">IFERROR(__xludf.DUMMYFUNCTION("""COMPUTED_VALUE"""),122.32)</f>
        <v>122.32</v>
      </c>
      <c r="E458" s="1">
        <f ca="1">IFERROR(__xludf.DUMMYFUNCTION("""COMPUTED_VALUE"""),123.44)</f>
        <v>123.44</v>
      </c>
      <c r="F458" s="1">
        <f ca="1">IFERROR(__xludf.DUMMYFUNCTION("""COMPUTED_VALUE"""),33907363)</f>
        <v>33907363</v>
      </c>
    </row>
    <row r="459" spans="1:6" ht="12.6">
      <c r="A459" s="2">
        <f ca="1">IFERROR(__xludf.DUMMYFUNCTION("""COMPUTED_VALUE"""),45226.6666666666)</f>
        <v>45226.666666666599</v>
      </c>
      <c r="B459" s="1">
        <f ca="1">IFERROR(__xludf.DUMMYFUNCTION("""COMPUTED_VALUE"""),124.03)</f>
        <v>124.03</v>
      </c>
      <c r="C459" s="1">
        <f ca="1">IFERROR(__xludf.DUMMYFUNCTION("""COMPUTED_VALUE"""),124.44)</f>
        <v>124.44</v>
      </c>
      <c r="D459" s="1">
        <f ca="1">IFERROR(__xludf.DUMMYFUNCTION("""COMPUTED_VALUE"""),121.46)</f>
        <v>121.46</v>
      </c>
      <c r="E459" s="1">
        <f ca="1">IFERROR(__xludf.DUMMYFUNCTION("""COMPUTED_VALUE"""),123.4)</f>
        <v>123.4</v>
      </c>
      <c r="F459" s="1">
        <f ca="1">IFERROR(__xludf.DUMMYFUNCTION("""COMPUTED_VALUE"""),37367673)</f>
        <v>37367673</v>
      </c>
    </row>
    <row r="460" spans="1:6" ht="12.6">
      <c r="A460" s="2">
        <f ca="1">IFERROR(__xludf.DUMMYFUNCTION("""COMPUTED_VALUE"""),45229.6666666666)</f>
        <v>45229.666666666599</v>
      </c>
      <c r="B460" s="1">
        <f ca="1">IFERROR(__xludf.DUMMYFUNCTION("""COMPUTED_VALUE"""),124.46)</f>
        <v>124.46</v>
      </c>
      <c r="C460" s="1">
        <f ca="1">IFERROR(__xludf.DUMMYFUNCTION("""COMPUTED_VALUE"""),126.55)</f>
        <v>126.55</v>
      </c>
      <c r="D460" s="1">
        <f ca="1">IFERROR(__xludf.DUMMYFUNCTION("""COMPUTED_VALUE"""),123.88)</f>
        <v>123.88</v>
      </c>
      <c r="E460" s="1">
        <f ca="1">IFERROR(__xludf.DUMMYFUNCTION("""COMPUTED_VALUE"""),125.75)</f>
        <v>125.75</v>
      </c>
      <c r="F460" s="1">
        <f ca="1">IFERROR(__xludf.DUMMYFUNCTION("""COMPUTED_VALUE"""),24165631)</f>
        <v>24165631</v>
      </c>
    </row>
    <row r="461" spans="1:6" ht="12.6">
      <c r="A461" s="2">
        <f ca="1">IFERROR(__xludf.DUMMYFUNCTION("""COMPUTED_VALUE"""),45230.6666666666)</f>
        <v>45230.666666666599</v>
      </c>
      <c r="B461" s="1">
        <f ca="1">IFERROR(__xludf.DUMMYFUNCTION("""COMPUTED_VALUE"""),126.27)</f>
        <v>126.27</v>
      </c>
      <c r="C461" s="1">
        <f ca="1">IFERROR(__xludf.DUMMYFUNCTION("""COMPUTED_VALUE"""),126.56)</f>
        <v>126.56</v>
      </c>
      <c r="D461" s="1">
        <f ca="1">IFERROR(__xludf.DUMMYFUNCTION("""COMPUTED_VALUE"""),123.93)</f>
        <v>123.93</v>
      </c>
      <c r="E461" s="1">
        <f ca="1">IFERROR(__xludf.DUMMYFUNCTION("""COMPUTED_VALUE"""),125.3)</f>
        <v>125.3</v>
      </c>
      <c r="F461" s="1">
        <f ca="1">IFERROR(__xludf.DUMMYFUNCTION("""COMPUTED_VALUE"""),21123418)</f>
        <v>21123418</v>
      </c>
    </row>
    <row r="462" spans="1:6" ht="12.6">
      <c r="A462" s="2">
        <f ca="1">IFERROR(__xludf.DUMMYFUNCTION("""COMPUTED_VALUE"""),45231.6666666666)</f>
        <v>45231.666666666599</v>
      </c>
      <c r="B462" s="1">
        <f ca="1">IFERROR(__xludf.DUMMYFUNCTION("""COMPUTED_VALUE"""),125.34)</f>
        <v>125.34</v>
      </c>
      <c r="C462" s="1">
        <f ca="1">IFERROR(__xludf.DUMMYFUNCTION("""COMPUTED_VALUE"""),127.74)</f>
        <v>127.74</v>
      </c>
      <c r="D462" s="1">
        <f ca="1">IFERROR(__xludf.DUMMYFUNCTION("""COMPUTED_VALUE"""),124.93)</f>
        <v>124.93</v>
      </c>
      <c r="E462" s="1">
        <f ca="1">IFERROR(__xludf.DUMMYFUNCTION("""COMPUTED_VALUE"""),127.57)</f>
        <v>127.57</v>
      </c>
      <c r="F462" s="1">
        <f ca="1">IFERROR(__xludf.DUMMYFUNCTION("""COMPUTED_VALUE"""),26536604)</f>
        <v>26536604</v>
      </c>
    </row>
    <row r="463" spans="1:6" ht="12.6">
      <c r="A463" s="2">
        <f ca="1">IFERROR(__xludf.DUMMYFUNCTION("""COMPUTED_VALUE"""),45232.6666666666)</f>
        <v>45232.666666666599</v>
      </c>
      <c r="B463" s="1">
        <f ca="1">IFERROR(__xludf.DUMMYFUNCTION("""COMPUTED_VALUE"""),129.56)</f>
        <v>129.56</v>
      </c>
      <c r="C463" s="1">
        <f ca="1">IFERROR(__xludf.DUMMYFUNCTION("""COMPUTED_VALUE"""),130.09)</f>
        <v>130.09</v>
      </c>
      <c r="D463" s="1">
        <f ca="1">IFERROR(__xludf.DUMMYFUNCTION("""COMPUTED_VALUE"""),128.11)</f>
        <v>128.11000000000001</v>
      </c>
      <c r="E463" s="1">
        <f ca="1">IFERROR(__xludf.DUMMYFUNCTION("""COMPUTED_VALUE"""),128.58)</f>
        <v>128.58000000000001</v>
      </c>
      <c r="F463" s="1">
        <f ca="1">IFERROR(__xludf.DUMMYFUNCTION("""COMPUTED_VALUE"""),24091672)</f>
        <v>24091672</v>
      </c>
    </row>
    <row r="464" spans="1:6" ht="12.6">
      <c r="A464" s="2">
        <f ca="1">IFERROR(__xludf.DUMMYFUNCTION("""COMPUTED_VALUE"""),45233.6666666666)</f>
        <v>45233.666666666599</v>
      </c>
      <c r="B464" s="1">
        <f ca="1">IFERROR(__xludf.DUMMYFUNCTION("""COMPUTED_VALUE"""),129.09)</f>
        <v>129.09</v>
      </c>
      <c r="C464" s="1">
        <f ca="1">IFERROR(__xludf.DUMMYFUNCTION("""COMPUTED_VALUE"""),130.73)</f>
        <v>130.72999999999999</v>
      </c>
      <c r="D464" s="1">
        <f ca="1">IFERROR(__xludf.DUMMYFUNCTION("""COMPUTED_VALUE"""),129.01)</f>
        <v>129.01</v>
      </c>
      <c r="E464" s="1">
        <f ca="1">IFERROR(__xludf.DUMMYFUNCTION("""COMPUTED_VALUE"""),130.37)</f>
        <v>130.37</v>
      </c>
      <c r="F464" s="1">
        <f ca="1">IFERROR(__xludf.DUMMYFUNCTION("""COMPUTED_VALUE"""),19529448)</f>
        <v>19529448</v>
      </c>
    </row>
    <row r="465" spans="1:6" ht="12.6">
      <c r="A465" s="2">
        <f ca="1">IFERROR(__xludf.DUMMYFUNCTION("""COMPUTED_VALUE"""),45236.6666666666)</f>
        <v>45236.666666666599</v>
      </c>
      <c r="B465" s="1">
        <f ca="1">IFERROR(__xludf.DUMMYFUNCTION("""COMPUTED_VALUE"""),130.22)</f>
        <v>130.22</v>
      </c>
      <c r="C465" s="1">
        <f ca="1">IFERROR(__xludf.DUMMYFUNCTION("""COMPUTED_VALUE"""),131.56)</f>
        <v>131.56</v>
      </c>
      <c r="D465" s="1">
        <f ca="1">IFERROR(__xludf.DUMMYFUNCTION("""COMPUTED_VALUE"""),129.93)</f>
        <v>129.93</v>
      </c>
      <c r="E465" s="1">
        <f ca="1">IFERROR(__xludf.DUMMYFUNCTION("""COMPUTED_VALUE"""),131.45)</f>
        <v>131.44999999999999</v>
      </c>
      <c r="F465" s="1">
        <f ca="1">IFERROR(__xludf.DUMMYFUNCTION("""COMPUTED_VALUE"""),15360362)</f>
        <v>15360362</v>
      </c>
    </row>
    <row r="466" spans="1:6" ht="12.6">
      <c r="A466" s="2">
        <f ca="1">IFERROR(__xludf.DUMMYFUNCTION("""COMPUTED_VALUE"""),45237.6666666666)</f>
        <v>45237.666666666599</v>
      </c>
      <c r="B466" s="1">
        <f ca="1">IFERROR(__xludf.DUMMYFUNCTION("""COMPUTED_VALUE"""),131.98)</f>
        <v>131.97999999999999</v>
      </c>
      <c r="C466" s="1">
        <f ca="1">IFERROR(__xludf.DUMMYFUNCTION("""COMPUTED_VALUE"""),133.28)</f>
        <v>133.28</v>
      </c>
      <c r="D466" s="1">
        <f ca="1">IFERROR(__xludf.DUMMYFUNCTION("""COMPUTED_VALUE"""),131.14)</f>
        <v>131.13999999999999</v>
      </c>
      <c r="E466" s="1">
        <f ca="1">IFERROR(__xludf.DUMMYFUNCTION("""COMPUTED_VALUE"""),132.4)</f>
        <v>132.4</v>
      </c>
      <c r="F466" s="1">
        <f ca="1">IFERROR(__xludf.DUMMYFUNCTION("""COMPUTED_VALUE"""),19223786)</f>
        <v>19223786</v>
      </c>
    </row>
    <row r="467" spans="1:6" ht="12.6">
      <c r="A467" s="2">
        <f ca="1">IFERROR(__xludf.DUMMYFUNCTION("""COMPUTED_VALUE"""),45238.6666666666)</f>
        <v>45238.666666666599</v>
      </c>
      <c r="B467" s="1">
        <f ca="1">IFERROR(__xludf.DUMMYFUNCTION("""COMPUTED_VALUE"""),132.36)</f>
        <v>132.36000000000001</v>
      </c>
      <c r="C467" s="1">
        <f ca="1">IFERROR(__xludf.DUMMYFUNCTION("""COMPUTED_VALUE"""),133.54)</f>
        <v>133.54</v>
      </c>
      <c r="D467" s="1">
        <f ca="1">IFERROR(__xludf.DUMMYFUNCTION("""COMPUTED_VALUE"""),132.16)</f>
        <v>132.16</v>
      </c>
      <c r="E467" s="1">
        <f ca="1">IFERROR(__xludf.DUMMYFUNCTION("""COMPUTED_VALUE"""),133.26)</f>
        <v>133.26</v>
      </c>
      <c r="F467" s="1">
        <f ca="1">IFERROR(__xludf.DUMMYFUNCTION("""COMPUTED_VALUE"""),15093598)</f>
        <v>15093598</v>
      </c>
    </row>
    <row r="468" spans="1:6" ht="12.6">
      <c r="A468" s="2">
        <f ca="1">IFERROR(__xludf.DUMMYFUNCTION("""COMPUTED_VALUE"""),45239.6666666666)</f>
        <v>45239.666666666599</v>
      </c>
      <c r="B468" s="1">
        <f ca="1">IFERROR(__xludf.DUMMYFUNCTION("""COMPUTED_VALUE"""),133.36)</f>
        <v>133.36000000000001</v>
      </c>
      <c r="C468" s="1">
        <f ca="1">IFERROR(__xludf.DUMMYFUNCTION("""COMPUTED_VALUE"""),133.96)</f>
        <v>133.96</v>
      </c>
      <c r="D468" s="1">
        <f ca="1">IFERROR(__xludf.DUMMYFUNCTION("""COMPUTED_VALUE"""),131.51)</f>
        <v>131.51</v>
      </c>
      <c r="E468" s="1">
        <f ca="1">IFERROR(__xludf.DUMMYFUNCTION("""COMPUTED_VALUE"""),131.69)</f>
        <v>131.69</v>
      </c>
      <c r="F468" s="1">
        <f ca="1">IFERROR(__xludf.DUMMYFUNCTION("""COMPUTED_VALUE"""),17976533)</f>
        <v>17976533</v>
      </c>
    </row>
    <row r="469" spans="1:6" ht="12.6">
      <c r="A469" s="2">
        <f ca="1">IFERROR(__xludf.DUMMYFUNCTION("""COMPUTED_VALUE"""),45240.6666666666)</f>
        <v>45240.666666666599</v>
      </c>
      <c r="B469" s="1">
        <f ca="1">IFERROR(__xludf.DUMMYFUNCTION("""COMPUTED_VALUE"""),131.53)</f>
        <v>131.53</v>
      </c>
      <c r="C469" s="1">
        <f ca="1">IFERROR(__xludf.DUMMYFUNCTION("""COMPUTED_VALUE"""),134.27)</f>
        <v>134.27000000000001</v>
      </c>
      <c r="D469" s="1">
        <f ca="1">IFERROR(__xludf.DUMMYFUNCTION("""COMPUTED_VALUE"""),130.87)</f>
        <v>130.87</v>
      </c>
      <c r="E469" s="1">
        <f ca="1">IFERROR(__xludf.DUMMYFUNCTION("""COMPUTED_VALUE"""),134.06)</f>
        <v>134.06</v>
      </c>
      <c r="F469" s="1">
        <f ca="1">IFERROR(__xludf.DUMMYFUNCTION("""COMPUTED_VALUE"""),20879838)</f>
        <v>20879838</v>
      </c>
    </row>
    <row r="470" spans="1:6" ht="12.6">
      <c r="A470" s="2">
        <f ca="1">IFERROR(__xludf.DUMMYFUNCTION("""COMPUTED_VALUE"""),45243.6666666666)</f>
        <v>45243.666666666599</v>
      </c>
      <c r="B470" s="1">
        <f ca="1">IFERROR(__xludf.DUMMYFUNCTION("""COMPUTED_VALUE"""),133.36)</f>
        <v>133.36000000000001</v>
      </c>
      <c r="C470" s="1">
        <f ca="1">IFERROR(__xludf.DUMMYFUNCTION("""COMPUTED_VALUE"""),134.11)</f>
        <v>134.11000000000001</v>
      </c>
      <c r="D470" s="1">
        <f ca="1">IFERROR(__xludf.DUMMYFUNCTION("""COMPUTED_VALUE"""),132.77)</f>
        <v>132.77000000000001</v>
      </c>
      <c r="E470" s="1">
        <f ca="1">IFERROR(__xludf.DUMMYFUNCTION("""COMPUTED_VALUE"""),133.64)</f>
        <v>133.63999999999999</v>
      </c>
      <c r="F470" s="1">
        <f ca="1">IFERROR(__xludf.DUMMYFUNCTION("""COMPUTED_VALUE"""),16409856)</f>
        <v>16409856</v>
      </c>
    </row>
    <row r="471" spans="1:6" ht="12.6">
      <c r="A471" s="2">
        <f ca="1">IFERROR(__xludf.DUMMYFUNCTION("""COMPUTED_VALUE"""),45244.6666666666)</f>
        <v>45244.666666666599</v>
      </c>
      <c r="B471" s="1">
        <f ca="1">IFERROR(__xludf.DUMMYFUNCTION("""COMPUTED_VALUE"""),135.65)</f>
        <v>135.65</v>
      </c>
      <c r="C471" s="1">
        <f ca="1">IFERROR(__xludf.DUMMYFUNCTION("""COMPUTED_VALUE"""),137.24)</f>
        <v>137.24</v>
      </c>
      <c r="D471" s="1">
        <f ca="1">IFERROR(__xludf.DUMMYFUNCTION("""COMPUTED_VALUE"""),135.1)</f>
        <v>135.1</v>
      </c>
      <c r="E471" s="1">
        <f ca="1">IFERROR(__xludf.DUMMYFUNCTION("""COMPUTED_VALUE"""),135.43)</f>
        <v>135.43</v>
      </c>
      <c r="F471" s="1">
        <f ca="1">IFERROR(__xludf.DUMMYFUNCTION("""COMPUTED_VALUE"""),22317345)</f>
        <v>22317345</v>
      </c>
    </row>
    <row r="472" spans="1:6" ht="12.6">
      <c r="A472" s="2">
        <f ca="1">IFERROR(__xludf.DUMMYFUNCTION("""COMPUTED_VALUE"""),45245.6666666666)</f>
        <v>45245.666666666599</v>
      </c>
      <c r="B472" s="1">
        <f ca="1">IFERROR(__xludf.DUMMYFUNCTION("""COMPUTED_VALUE"""),136.64)</f>
        <v>136.63999999999999</v>
      </c>
      <c r="C472" s="1">
        <f ca="1">IFERROR(__xludf.DUMMYFUNCTION("""COMPUTED_VALUE"""),136.84)</f>
        <v>136.84</v>
      </c>
      <c r="D472" s="1">
        <f ca="1">IFERROR(__xludf.DUMMYFUNCTION("""COMPUTED_VALUE"""),135.33)</f>
        <v>135.33000000000001</v>
      </c>
      <c r="E472" s="1">
        <f ca="1">IFERROR(__xludf.DUMMYFUNCTION("""COMPUTED_VALUE"""),136.38)</f>
        <v>136.38</v>
      </c>
      <c r="F472" s="1">
        <f ca="1">IFERROR(__xludf.DUMMYFUNCTION("""COMPUTED_VALUE"""),15840883)</f>
        <v>15840883</v>
      </c>
    </row>
    <row r="473" spans="1:6" ht="12.6">
      <c r="A473" s="2">
        <f ca="1">IFERROR(__xludf.DUMMYFUNCTION("""COMPUTED_VALUE"""),45246.6666666666)</f>
        <v>45246.666666666599</v>
      </c>
      <c r="B473" s="1">
        <f ca="1">IFERROR(__xludf.DUMMYFUNCTION("""COMPUTED_VALUE"""),136.96)</f>
        <v>136.96</v>
      </c>
      <c r="C473" s="1">
        <f ca="1">IFERROR(__xludf.DUMMYFUNCTION("""COMPUTED_VALUE"""),138.88)</f>
        <v>138.88</v>
      </c>
      <c r="D473" s="1">
        <f ca="1">IFERROR(__xludf.DUMMYFUNCTION("""COMPUTED_VALUE"""),136.08)</f>
        <v>136.08000000000001</v>
      </c>
      <c r="E473" s="1">
        <f ca="1">IFERROR(__xludf.DUMMYFUNCTION("""COMPUTED_VALUE"""),138.7)</f>
        <v>138.69999999999999</v>
      </c>
      <c r="F473" s="1">
        <f ca="1">IFERROR(__xludf.DUMMYFUNCTION("""COMPUTED_VALUE"""),17615068)</f>
        <v>17615068</v>
      </c>
    </row>
    <row r="474" spans="1:6" ht="12.6">
      <c r="A474" s="2">
        <f ca="1">IFERROR(__xludf.DUMMYFUNCTION("""COMPUTED_VALUE"""),45247.6666666666)</f>
        <v>45247.666666666599</v>
      </c>
      <c r="B474" s="1">
        <f ca="1">IFERROR(__xludf.DUMMYFUNCTION("""COMPUTED_VALUE"""),137.82)</f>
        <v>137.82</v>
      </c>
      <c r="C474" s="1">
        <f ca="1">IFERROR(__xludf.DUMMYFUNCTION("""COMPUTED_VALUE"""),138)</f>
        <v>138</v>
      </c>
      <c r="D474" s="1">
        <f ca="1">IFERROR(__xludf.DUMMYFUNCTION("""COMPUTED_VALUE"""),135.48)</f>
        <v>135.47999999999999</v>
      </c>
      <c r="E474" s="1">
        <f ca="1">IFERROR(__xludf.DUMMYFUNCTION("""COMPUTED_VALUE"""),136.94)</f>
        <v>136.94</v>
      </c>
      <c r="F474" s="1">
        <f ca="1">IFERROR(__xludf.DUMMYFUNCTION("""COMPUTED_VALUE"""),25590191)</f>
        <v>25590191</v>
      </c>
    </row>
    <row r="475" spans="1:6" ht="12.6">
      <c r="A475" s="2">
        <f ca="1">IFERROR(__xludf.DUMMYFUNCTION("""COMPUTED_VALUE"""),45250.6666666666)</f>
        <v>45250.666666666599</v>
      </c>
      <c r="B475" s="1">
        <f ca="1">IFERROR(__xludf.DUMMYFUNCTION("""COMPUTED_VALUE"""),135.5)</f>
        <v>135.5</v>
      </c>
      <c r="C475" s="1">
        <f ca="1">IFERROR(__xludf.DUMMYFUNCTION("""COMPUTED_VALUE"""),138.43)</f>
        <v>138.43</v>
      </c>
      <c r="D475" s="1">
        <f ca="1">IFERROR(__xludf.DUMMYFUNCTION("""COMPUTED_VALUE"""),135.49)</f>
        <v>135.49</v>
      </c>
      <c r="E475" s="1">
        <f ca="1">IFERROR(__xludf.DUMMYFUNCTION("""COMPUTED_VALUE"""),137.92)</f>
        <v>137.91999999999999</v>
      </c>
      <c r="F475" s="1">
        <f ca="1">IFERROR(__xludf.DUMMYFUNCTION("""COMPUTED_VALUE"""),19589006)</f>
        <v>19589006</v>
      </c>
    </row>
    <row r="476" spans="1:6" ht="12.6">
      <c r="A476" s="2">
        <f ca="1">IFERROR(__xludf.DUMMYFUNCTION("""COMPUTED_VALUE"""),45251.6666666666)</f>
        <v>45251.666666666599</v>
      </c>
      <c r="B476" s="1">
        <f ca="1">IFERROR(__xludf.DUMMYFUNCTION("""COMPUTED_VALUE"""),137.94)</f>
        <v>137.94</v>
      </c>
      <c r="C476" s="1">
        <f ca="1">IFERROR(__xludf.DUMMYFUNCTION("""COMPUTED_VALUE"""),138.97)</f>
        <v>138.97</v>
      </c>
      <c r="D476" s="1">
        <f ca="1">IFERROR(__xludf.DUMMYFUNCTION("""COMPUTED_VALUE"""),137.71)</f>
        <v>137.71</v>
      </c>
      <c r="E476" s="1">
        <f ca="1">IFERROR(__xludf.DUMMYFUNCTION("""COMPUTED_VALUE"""),138.62)</f>
        <v>138.62</v>
      </c>
      <c r="F476" s="1">
        <f ca="1">IFERROR(__xludf.DUMMYFUNCTION("""COMPUTED_VALUE"""),17648067)</f>
        <v>17648067</v>
      </c>
    </row>
    <row r="477" spans="1:6" ht="12.6">
      <c r="A477" s="2">
        <f ca="1">IFERROR(__xludf.DUMMYFUNCTION("""COMPUTED_VALUE"""),45252.6666666666)</f>
        <v>45252.666666666599</v>
      </c>
      <c r="B477" s="1">
        <f ca="1">IFERROR(__xludf.DUMMYFUNCTION("""COMPUTED_VALUE"""),139.1)</f>
        <v>139.1</v>
      </c>
      <c r="C477" s="1">
        <f ca="1">IFERROR(__xludf.DUMMYFUNCTION("""COMPUTED_VALUE"""),141.1)</f>
        <v>141.1</v>
      </c>
      <c r="D477" s="1">
        <f ca="1">IFERROR(__xludf.DUMMYFUNCTION("""COMPUTED_VALUE"""),139)</f>
        <v>139</v>
      </c>
      <c r="E477" s="1">
        <f ca="1">IFERROR(__xludf.DUMMYFUNCTION("""COMPUTED_VALUE"""),140.02)</f>
        <v>140.02000000000001</v>
      </c>
      <c r="F477" s="1">
        <f ca="1">IFERROR(__xludf.DUMMYFUNCTION("""COMPUTED_VALUE"""),17310209)</f>
        <v>17310209</v>
      </c>
    </row>
    <row r="478" spans="1:6" ht="12.6">
      <c r="A478" s="2">
        <f ca="1">IFERROR(__xludf.DUMMYFUNCTION("""COMPUTED_VALUE"""),45254.5451388888)</f>
        <v>45254.545138888803</v>
      </c>
      <c r="B478" s="1">
        <f ca="1">IFERROR(__xludf.DUMMYFUNCTION("""COMPUTED_VALUE"""),139.54)</f>
        <v>139.54</v>
      </c>
      <c r="C478" s="1">
        <f ca="1">IFERROR(__xludf.DUMMYFUNCTION("""COMPUTED_VALUE"""),139.68)</f>
        <v>139.68</v>
      </c>
      <c r="D478" s="1">
        <f ca="1">IFERROR(__xludf.DUMMYFUNCTION("""COMPUTED_VALUE"""),137.47)</f>
        <v>137.47</v>
      </c>
      <c r="E478" s="1">
        <f ca="1">IFERROR(__xludf.DUMMYFUNCTION("""COMPUTED_VALUE"""),138.22)</f>
        <v>138.22</v>
      </c>
      <c r="F478" s="1">
        <f ca="1">IFERROR(__xludf.DUMMYFUNCTION("""COMPUTED_VALUE"""),8828640)</f>
        <v>8828640</v>
      </c>
    </row>
    <row r="479" spans="1:6" ht="12.6">
      <c r="A479" s="2">
        <f ca="1">IFERROR(__xludf.DUMMYFUNCTION("""COMPUTED_VALUE"""),45257.6666666666)</f>
        <v>45257.666666666599</v>
      </c>
      <c r="B479" s="1">
        <f ca="1">IFERROR(__xludf.DUMMYFUNCTION("""COMPUTED_VALUE"""),137.57)</f>
        <v>137.57</v>
      </c>
      <c r="C479" s="1">
        <f ca="1">IFERROR(__xludf.DUMMYFUNCTION("""COMPUTED_VALUE"""),139.63)</f>
        <v>139.63</v>
      </c>
      <c r="D479" s="1">
        <f ca="1">IFERROR(__xludf.DUMMYFUNCTION("""COMPUTED_VALUE"""),137.54)</f>
        <v>137.54</v>
      </c>
      <c r="E479" s="1">
        <f ca="1">IFERROR(__xludf.DUMMYFUNCTION("""COMPUTED_VALUE"""),138.05)</f>
        <v>138.05000000000001</v>
      </c>
      <c r="F479" s="1">
        <f ca="1">IFERROR(__xludf.DUMMYFUNCTION("""COMPUTED_VALUE"""),17886389)</f>
        <v>17886389</v>
      </c>
    </row>
    <row r="480" spans="1:6" ht="12.6">
      <c r="A480" s="2">
        <f ca="1">IFERROR(__xludf.DUMMYFUNCTION("""COMPUTED_VALUE"""),45258.6666666666)</f>
        <v>45258.666666666599</v>
      </c>
      <c r="B480" s="1">
        <f ca="1">IFERROR(__xludf.DUMMYFUNCTION("""COMPUTED_VALUE"""),137.63)</f>
        <v>137.63</v>
      </c>
      <c r="C480" s="1">
        <f ca="1">IFERROR(__xludf.DUMMYFUNCTION("""COMPUTED_VALUE"""),138.66)</f>
        <v>138.66</v>
      </c>
      <c r="D480" s="1">
        <f ca="1">IFERROR(__xludf.DUMMYFUNCTION("""COMPUTED_VALUE"""),137.04)</f>
        <v>137.04</v>
      </c>
      <c r="E480" s="1">
        <f ca="1">IFERROR(__xludf.DUMMYFUNCTION("""COMPUTED_VALUE"""),138.62)</f>
        <v>138.62</v>
      </c>
      <c r="F480" s="1">
        <f ca="1">IFERROR(__xludf.DUMMYFUNCTION("""COMPUTED_VALUE"""),17046868)</f>
        <v>17046868</v>
      </c>
    </row>
    <row r="481" spans="1:6" ht="12.6">
      <c r="A481" s="2">
        <f ca="1">IFERROR(__xludf.DUMMYFUNCTION("""COMPUTED_VALUE"""),45259.6666666666)</f>
        <v>45259.666666666599</v>
      </c>
      <c r="B481" s="1">
        <f ca="1">IFERROR(__xludf.DUMMYFUNCTION("""COMPUTED_VALUE"""),138.99)</f>
        <v>138.99</v>
      </c>
      <c r="C481" s="1">
        <f ca="1">IFERROR(__xludf.DUMMYFUNCTION("""COMPUTED_VALUE"""),139.67)</f>
        <v>139.66999999999999</v>
      </c>
      <c r="D481" s="1">
        <f ca="1">IFERROR(__xludf.DUMMYFUNCTION("""COMPUTED_VALUE"""),136.29)</f>
        <v>136.29</v>
      </c>
      <c r="E481" s="1">
        <f ca="1">IFERROR(__xludf.DUMMYFUNCTION("""COMPUTED_VALUE"""),136.4)</f>
        <v>136.4</v>
      </c>
      <c r="F481" s="1">
        <f ca="1">IFERROR(__xludf.DUMMYFUNCTION("""COMPUTED_VALUE"""),21014715)</f>
        <v>21014715</v>
      </c>
    </row>
    <row r="482" spans="1:6" ht="12.6">
      <c r="A482" s="2">
        <f ca="1">IFERROR(__xludf.DUMMYFUNCTION("""COMPUTED_VALUE"""),45260.6666666666)</f>
        <v>45260.666666666599</v>
      </c>
      <c r="B482" s="1">
        <f ca="1">IFERROR(__xludf.DUMMYFUNCTION("""COMPUTED_VALUE"""),136.4)</f>
        <v>136.4</v>
      </c>
      <c r="C482" s="1">
        <f ca="1">IFERROR(__xludf.DUMMYFUNCTION("""COMPUTED_VALUE"""),136.96)</f>
        <v>136.96</v>
      </c>
      <c r="D482" s="1">
        <f ca="1">IFERROR(__xludf.DUMMYFUNCTION("""COMPUTED_VALUE"""),132.79)</f>
        <v>132.79</v>
      </c>
      <c r="E482" s="1">
        <f ca="1">IFERROR(__xludf.DUMMYFUNCTION("""COMPUTED_VALUE"""),133.92)</f>
        <v>133.91999999999999</v>
      </c>
      <c r="F482" s="1">
        <f ca="1">IFERROR(__xludf.DUMMYFUNCTION("""COMPUTED_VALUE"""),29913531)</f>
        <v>29913531</v>
      </c>
    </row>
    <row r="483" spans="1:6" ht="12.6">
      <c r="A483" s="2">
        <f ca="1">IFERROR(__xludf.DUMMYFUNCTION("""COMPUTED_VALUE"""),45261.6666666666)</f>
        <v>45261.666666666599</v>
      </c>
      <c r="B483" s="1">
        <f ca="1">IFERROR(__xludf.DUMMYFUNCTION("""COMPUTED_VALUE"""),133.32)</f>
        <v>133.32</v>
      </c>
      <c r="C483" s="1">
        <f ca="1">IFERROR(__xludf.DUMMYFUNCTION("""COMPUTED_VALUE"""),133.5)</f>
        <v>133.5</v>
      </c>
      <c r="D483" s="1">
        <f ca="1">IFERROR(__xludf.DUMMYFUNCTION("""COMPUTED_VALUE"""),132.15)</f>
        <v>132.15</v>
      </c>
      <c r="E483" s="1">
        <f ca="1">IFERROR(__xludf.DUMMYFUNCTION("""COMPUTED_VALUE"""),133.32)</f>
        <v>133.32</v>
      </c>
      <c r="F483" s="1">
        <f ca="1">IFERROR(__xludf.DUMMYFUNCTION("""COMPUTED_VALUE"""),24267987)</f>
        <v>24267987</v>
      </c>
    </row>
    <row r="484" spans="1:6" ht="12.6">
      <c r="A484" s="2">
        <f ca="1">IFERROR(__xludf.DUMMYFUNCTION("""COMPUTED_VALUE"""),45264.6666666666)</f>
        <v>45264.666666666599</v>
      </c>
      <c r="B484" s="1">
        <f ca="1">IFERROR(__xludf.DUMMYFUNCTION("""COMPUTED_VALUE"""),131.29)</f>
        <v>131.29</v>
      </c>
      <c r="C484" s="1">
        <f ca="1">IFERROR(__xludf.DUMMYFUNCTION("""COMPUTED_VALUE"""),131.45)</f>
        <v>131.44999999999999</v>
      </c>
      <c r="D484" s="1">
        <f ca="1">IFERROR(__xludf.DUMMYFUNCTION("""COMPUTED_VALUE"""),129.4)</f>
        <v>129.4</v>
      </c>
      <c r="E484" s="1">
        <f ca="1">IFERROR(__xludf.DUMMYFUNCTION("""COMPUTED_VALUE"""),130.63)</f>
        <v>130.63</v>
      </c>
      <c r="F484" s="1">
        <f ca="1">IFERROR(__xludf.DUMMYFUNCTION("""COMPUTED_VALUE"""),24117083)</f>
        <v>24117083</v>
      </c>
    </row>
    <row r="485" spans="1:6" ht="12.6">
      <c r="A485" s="2">
        <f ca="1">IFERROR(__xludf.DUMMYFUNCTION("""COMPUTED_VALUE"""),45265.6666666666)</f>
        <v>45265.666666666599</v>
      </c>
      <c r="B485" s="1">
        <f ca="1">IFERROR(__xludf.DUMMYFUNCTION("""COMPUTED_VALUE"""),130.37)</f>
        <v>130.37</v>
      </c>
      <c r="C485" s="1">
        <f ca="1">IFERROR(__xludf.DUMMYFUNCTION("""COMPUTED_VALUE"""),133.54)</f>
        <v>133.54</v>
      </c>
      <c r="D485" s="1">
        <f ca="1">IFERROR(__xludf.DUMMYFUNCTION("""COMPUTED_VALUE"""),129.73)</f>
        <v>129.72999999999999</v>
      </c>
      <c r="E485" s="1">
        <f ca="1">IFERROR(__xludf.DUMMYFUNCTION("""COMPUTED_VALUE"""),132.39)</f>
        <v>132.38999999999999</v>
      </c>
      <c r="F485" s="1">
        <f ca="1">IFERROR(__xludf.DUMMYFUNCTION("""COMPUTED_VALUE"""),19235145)</f>
        <v>19235145</v>
      </c>
    </row>
    <row r="486" spans="1:6" ht="12.6">
      <c r="A486" s="2">
        <f ca="1">IFERROR(__xludf.DUMMYFUNCTION("""COMPUTED_VALUE"""),45266.6666666666)</f>
        <v>45266.666666666599</v>
      </c>
      <c r="B486" s="1">
        <f ca="1">IFERROR(__xludf.DUMMYFUNCTION("""COMPUTED_VALUE"""),132.9)</f>
        <v>132.9</v>
      </c>
      <c r="C486" s="1">
        <f ca="1">IFERROR(__xludf.DUMMYFUNCTION("""COMPUTED_VALUE"""),133.31)</f>
        <v>133.31</v>
      </c>
      <c r="D486" s="1">
        <f ca="1">IFERROR(__xludf.DUMMYFUNCTION("""COMPUTED_VALUE"""),131.31)</f>
        <v>131.31</v>
      </c>
      <c r="E486" s="1">
        <f ca="1">IFERROR(__xludf.DUMMYFUNCTION("""COMPUTED_VALUE"""),131.43)</f>
        <v>131.43</v>
      </c>
      <c r="F486" s="1">
        <f ca="1">IFERROR(__xludf.DUMMYFUNCTION("""COMPUTED_VALUE"""),16360648)</f>
        <v>16360648</v>
      </c>
    </row>
    <row r="487" spans="1:6" ht="12.6">
      <c r="A487" s="2">
        <f ca="1">IFERROR(__xludf.DUMMYFUNCTION("""COMPUTED_VALUE"""),45267.6666666666)</f>
        <v>45267.666666666599</v>
      </c>
      <c r="B487" s="1">
        <f ca="1">IFERROR(__xludf.DUMMYFUNCTION("""COMPUTED_VALUE"""),136.6)</f>
        <v>136.6</v>
      </c>
      <c r="C487" s="1">
        <f ca="1">IFERROR(__xludf.DUMMYFUNCTION("""COMPUTED_VALUE"""),140)</f>
        <v>140</v>
      </c>
      <c r="D487" s="1">
        <f ca="1">IFERROR(__xludf.DUMMYFUNCTION("""COMPUTED_VALUE"""),136.23)</f>
        <v>136.22999999999999</v>
      </c>
      <c r="E487" s="1">
        <f ca="1">IFERROR(__xludf.DUMMYFUNCTION("""COMPUTED_VALUE"""),138.45)</f>
        <v>138.44999999999999</v>
      </c>
      <c r="F487" s="1">
        <f ca="1">IFERROR(__xludf.DUMMYFUNCTION("""COMPUTED_VALUE"""),38419426)</f>
        <v>38419426</v>
      </c>
    </row>
    <row r="488" spans="1:6" ht="12.6">
      <c r="A488" s="2">
        <f ca="1">IFERROR(__xludf.DUMMYFUNCTION("""COMPUTED_VALUE"""),45268.6666666666)</f>
        <v>45268.666666666599</v>
      </c>
      <c r="B488" s="1">
        <f ca="1">IFERROR(__xludf.DUMMYFUNCTION("""COMPUTED_VALUE"""),135.66)</f>
        <v>135.66</v>
      </c>
      <c r="C488" s="1">
        <f ca="1">IFERROR(__xludf.DUMMYFUNCTION("""COMPUTED_VALUE"""),137.99)</f>
        <v>137.99</v>
      </c>
      <c r="D488" s="1">
        <f ca="1">IFERROR(__xludf.DUMMYFUNCTION("""COMPUTED_VALUE"""),135.57)</f>
        <v>135.57</v>
      </c>
      <c r="E488" s="1">
        <f ca="1">IFERROR(__xludf.DUMMYFUNCTION("""COMPUTED_VALUE"""),136.64)</f>
        <v>136.63999999999999</v>
      </c>
      <c r="F488" s="1">
        <f ca="1">IFERROR(__xludf.DUMMYFUNCTION("""COMPUTED_VALUE"""),23016139)</f>
        <v>23016139</v>
      </c>
    </row>
    <row r="489" spans="1:6" ht="12.6">
      <c r="A489" s="2">
        <f ca="1">IFERROR(__xludf.DUMMYFUNCTION("""COMPUTED_VALUE"""),45271.6666666666)</f>
        <v>45271.666666666599</v>
      </c>
      <c r="B489" s="1">
        <f ca="1">IFERROR(__xludf.DUMMYFUNCTION("""COMPUTED_VALUE"""),133.82)</f>
        <v>133.82</v>
      </c>
      <c r="C489" s="1">
        <f ca="1">IFERROR(__xludf.DUMMYFUNCTION("""COMPUTED_VALUE"""),134.79)</f>
        <v>134.79</v>
      </c>
      <c r="D489" s="1">
        <f ca="1">IFERROR(__xludf.DUMMYFUNCTION("""COMPUTED_VALUE"""),132.89)</f>
        <v>132.88999999999999</v>
      </c>
      <c r="E489" s="1">
        <f ca="1">IFERROR(__xludf.DUMMYFUNCTION("""COMPUTED_VALUE"""),134.7)</f>
        <v>134.69999999999999</v>
      </c>
      <c r="F489" s="1">
        <f ca="1">IFERROR(__xludf.DUMMYFUNCTION("""COMPUTED_VALUE"""),24502860)</f>
        <v>24502860</v>
      </c>
    </row>
    <row r="490" spans="1:6" ht="12.6">
      <c r="A490" s="2">
        <f ca="1">IFERROR(__xludf.DUMMYFUNCTION("""COMPUTED_VALUE"""),45272.6666666666)</f>
        <v>45272.666666666599</v>
      </c>
      <c r="B490" s="1">
        <f ca="1">IFERROR(__xludf.DUMMYFUNCTION("""COMPUTED_VALUE"""),133.27)</f>
        <v>133.27000000000001</v>
      </c>
      <c r="C490" s="1">
        <f ca="1">IFERROR(__xludf.DUMMYFUNCTION("""COMPUTED_VALUE"""),134.54)</f>
        <v>134.54</v>
      </c>
      <c r="D490" s="1">
        <f ca="1">IFERROR(__xludf.DUMMYFUNCTION("""COMPUTED_VALUE"""),132.83)</f>
        <v>132.83000000000001</v>
      </c>
      <c r="E490" s="1">
        <f ca="1">IFERROR(__xludf.DUMMYFUNCTION("""COMPUTED_VALUE"""),133.64)</f>
        <v>133.63999999999999</v>
      </c>
      <c r="F490" s="1">
        <f ca="1">IFERROR(__xludf.DUMMYFUNCTION("""COMPUTED_VALUE"""),26583981)</f>
        <v>26583981</v>
      </c>
    </row>
    <row r="491" spans="1:6" ht="12.6">
      <c r="A491" s="2">
        <f ca="1">IFERROR(__xludf.DUMMYFUNCTION("""COMPUTED_VALUE"""),45273.6666666666)</f>
        <v>45273.666666666599</v>
      </c>
      <c r="B491" s="1">
        <f ca="1">IFERROR(__xludf.DUMMYFUNCTION("""COMPUTED_VALUE"""),134.54)</f>
        <v>134.54</v>
      </c>
      <c r="C491" s="1">
        <f ca="1">IFERROR(__xludf.DUMMYFUNCTION("""COMPUTED_VALUE"""),134.78)</f>
        <v>134.78</v>
      </c>
      <c r="D491" s="1">
        <f ca="1">IFERROR(__xludf.DUMMYFUNCTION("""COMPUTED_VALUE"""),132.95)</f>
        <v>132.94999999999999</v>
      </c>
      <c r="E491" s="1">
        <f ca="1">IFERROR(__xludf.DUMMYFUNCTION("""COMPUTED_VALUE"""),133.97)</f>
        <v>133.97</v>
      </c>
      <c r="F491" s="1">
        <f ca="1">IFERROR(__xludf.DUMMYFUNCTION("""COMPUTED_VALUE"""),25414461)</f>
        <v>25414461</v>
      </c>
    </row>
    <row r="492" spans="1:6" ht="12.6">
      <c r="A492" s="2">
        <f ca="1">IFERROR(__xludf.DUMMYFUNCTION("""COMPUTED_VALUE"""),45274.6666666666)</f>
        <v>45274.666666666599</v>
      </c>
      <c r="B492" s="1">
        <f ca="1">IFERROR(__xludf.DUMMYFUNCTION("""COMPUTED_VALUE"""),134.77)</f>
        <v>134.77000000000001</v>
      </c>
      <c r="C492" s="1">
        <f ca="1">IFERROR(__xludf.DUMMYFUNCTION("""COMPUTED_VALUE"""),135.04)</f>
        <v>135.04</v>
      </c>
      <c r="D492" s="1">
        <f ca="1">IFERROR(__xludf.DUMMYFUNCTION("""COMPUTED_VALUE"""),131.06)</f>
        <v>131.06</v>
      </c>
      <c r="E492" s="1">
        <f ca="1">IFERROR(__xludf.DUMMYFUNCTION("""COMPUTED_VALUE"""),133.2)</f>
        <v>133.19999999999999</v>
      </c>
      <c r="F492" s="1">
        <f ca="1">IFERROR(__xludf.DUMMYFUNCTION("""COMPUTED_VALUE"""),29619098)</f>
        <v>29619098</v>
      </c>
    </row>
    <row r="493" spans="1:6" ht="12.6">
      <c r="A493" s="2">
        <f ca="1">IFERROR(__xludf.DUMMYFUNCTION("""COMPUTED_VALUE"""),45275.6666666666)</f>
        <v>45275.666666666599</v>
      </c>
      <c r="B493" s="1">
        <f ca="1">IFERROR(__xludf.DUMMYFUNCTION("""COMPUTED_VALUE"""),132.92)</f>
        <v>132.91999999999999</v>
      </c>
      <c r="C493" s="1">
        <f ca="1">IFERROR(__xludf.DUMMYFUNCTION("""COMPUTED_VALUE"""),134.83)</f>
        <v>134.83000000000001</v>
      </c>
      <c r="D493" s="1">
        <f ca="1">IFERROR(__xludf.DUMMYFUNCTION("""COMPUTED_VALUE"""),132.63)</f>
        <v>132.63</v>
      </c>
      <c r="E493" s="1">
        <f ca="1">IFERROR(__xludf.DUMMYFUNCTION("""COMPUTED_VALUE"""),133.84)</f>
        <v>133.84</v>
      </c>
      <c r="F493" s="1">
        <f ca="1">IFERROR(__xludf.DUMMYFUNCTION("""COMPUTED_VALUE"""),58594004)</f>
        <v>58594004</v>
      </c>
    </row>
    <row r="494" spans="1:6" ht="12.6">
      <c r="A494" s="2">
        <f ca="1">IFERROR(__xludf.DUMMYFUNCTION("""COMPUTED_VALUE"""),45278.6666666666)</f>
        <v>45278.666666666599</v>
      </c>
      <c r="B494" s="1">
        <f ca="1">IFERROR(__xludf.DUMMYFUNCTION("""COMPUTED_VALUE"""),133.86)</f>
        <v>133.86000000000001</v>
      </c>
      <c r="C494" s="1">
        <f ca="1">IFERROR(__xludf.DUMMYFUNCTION("""COMPUTED_VALUE"""),138.38)</f>
        <v>138.38</v>
      </c>
      <c r="D494" s="1">
        <f ca="1">IFERROR(__xludf.DUMMYFUNCTION("""COMPUTED_VALUE"""),133.77)</f>
        <v>133.77000000000001</v>
      </c>
      <c r="E494" s="1">
        <f ca="1">IFERROR(__xludf.DUMMYFUNCTION("""COMPUTED_VALUE"""),137.19)</f>
        <v>137.19</v>
      </c>
      <c r="F494" s="1">
        <f ca="1">IFERROR(__xludf.DUMMYFUNCTION("""COMPUTED_VALUE"""),25699767)</f>
        <v>25699767</v>
      </c>
    </row>
    <row r="495" spans="1:6" ht="12.6">
      <c r="A495" s="2">
        <f ca="1">IFERROR(__xludf.DUMMYFUNCTION("""COMPUTED_VALUE"""),45279.6666666666)</f>
        <v>45279.666666666599</v>
      </c>
      <c r="B495" s="1">
        <f ca="1">IFERROR(__xludf.DUMMYFUNCTION("""COMPUTED_VALUE"""),138)</f>
        <v>138</v>
      </c>
      <c r="C495" s="1">
        <f ca="1">IFERROR(__xludf.DUMMYFUNCTION("""COMPUTED_VALUE"""),138.77)</f>
        <v>138.77000000000001</v>
      </c>
      <c r="D495" s="1">
        <f ca="1">IFERROR(__xludf.DUMMYFUNCTION("""COMPUTED_VALUE"""),137.45)</f>
        <v>137.44999999999999</v>
      </c>
      <c r="E495" s="1">
        <f ca="1">IFERROR(__xludf.DUMMYFUNCTION("""COMPUTED_VALUE"""),138.1)</f>
        <v>138.1</v>
      </c>
      <c r="F495" s="1">
        <f ca="1">IFERROR(__xludf.DUMMYFUNCTION("""COMPUTED_VALUE"""),20661000)</f>
        <v>20661000</v>
      </c>
    </row>
    <row r="496" spans="1:6" ht="12.6">
      <c r="A496" s="2">
        <f ca="1">IFERROR(__xludf.DUMMYFUNCTION("""COMPUTED_VALUE"""),45280.6666666666)</f>
        <v>45280.666666666599</v>
      </c>
      <c r="B496" s="1">
        <f ca="1">IFERROR(__xludf.DUMMYFUNCTION("""COMPUTED_VALUE"""),140.33)</f>
        <v>140.33000000000001</v>
      </c>
      <c r="C496" s="1">
        <f ca="1">IFERROR(__xludf.DUMMYFUNCTION("""COMPUTED_VALUE"""),143.08)</f>
        <v>143.08000000000001</v>
      </c>
      <c r="D496" s="1">
        <f ca="1">IFERROR(__xludf.DUMMYFUNCTION("""COMPUTED_VALUE"""),139.41)</f>
        <v>139.41</v>
      </c>
      <c r="E496" s="1">
        <f ca="1">IFERROR(__xludf.DUMMYFUNCTION("""COMPUTED_VALUE"""),139.66)</f>
        <v>139.66</v>
      </c>
      <c r="F496" s="1">
        <f ca="1">IFERROR(__xludf.DUMMYFUNCTION("""COMPUTED_VALUE"""),33507342)</f>
        <v>33507342</v>
      </c>
    </row>
    <row r="497" spans="1:6" ht="12.6">
      <c r="A497" s="2">
        <f ca="1">IFERROR(__xludf.DUMMYFUNCTION("""COMPUTED_VALUE"""),45281.6666666666)</f>
        <v>45281.666666666599</v>
      </c>
      <c r="B497" s="1">
        <f ca="1">IFERROR(__xludf.DUMMYFUNCTION("""COMPUTED_VALUE"""),140.77)</f>
        <v>140.77000000000001</v>
      </c>
      <c r="C497" s="1">
        <f ca="1">IFERROR(__xludf.DUMMYFUNCTION("""COMPUTED_VALUE"""),142.03)</f>
        <v>142.03</v>
      </c>
      <c r="D497" s="1">
        <f ca="1">IFERROR(__xludf.DUMMYFUNCTION("""COMPUTED_VALUE"""),140.47)</f>
        <v>140.47</v>
      </c>
      <c r="E497" s="1">
        <f ca="1">IFERROR(__xludf.DUMMYFUNCTION("""COMPUTED_VALUE"""),141.8)</f>
        <v>141.80000000000001</v>
      </c>
      <c r="F497" s="1">
        <f ca="1">IFERROR(__xludf.DUMMYFUNCTION("""COMPUTED_VALUE"""),18101476)</f>
        <v>18101476</v>
      </c>
    </row>
    <row r="498" spans="1:6" ht="12.6">
      <c r="A498" s="2">
        <f ca="1">IFERROR(__xludf.DUMMYFUNCTION("""COMPUTED_VALUE"""),45282.6666666666)</f>
        <v>45282.666666666599</v>
      </c>
      <c r="B498" s="1">
        <f ca="1">IFERROR(__xludf.DUMMYFUNCTION("""COMPUTED_VALUE"""),142.13)</f>
        <v>142.13</v>
      </c>
      <c r="C498" s="1">
        <f ca="1">IFERROR(__xludf.DUMMYFUNCTION("""COMPUTED_VALUE"""),143.25)</f>
        <v>143.25</v>
      </c>
      <c r="D498" s="1">
        <f ca="1">IFERROR(__xludf.DUMMYFUNCTION("""COMPUTED_VALUE"""),142.06)</f>
        <v>142.06</v>
      </c>
      <c r="E498" s="1">
        <f ca="1">IFERROR(__xludf.DUMMYFUNCTION("""COMPUTED_VALUE"""),142.72)</f>
        <v>142.72</v>
      </c>
      <c r="F498" s="1">
        <f ca="1">IFERROR(__xludf.DUMMYFUNCTION("""COMPUTED_VALUE"""),18513524)</f>
        <v>18513524</v>
      </c>
    </row>
    <row r="499" spans="1:6" ht="12.6">
      <c r="A499" s="2">
        <f ca="1">IFERROR(__xludf.DUMMYFUNCTION("""COMPUTED_VALUE"""),45286.6666666666)</f>
        <v>45286.666666666599</v>
      </c>
      <c r="B499" s="1">
        <f ca="1">IFERROR(__xludf.DUMMYFUNCTION("""COMPUTED_VALUE"""),142.98)</f>
        <v>142.97999999999999</v>
      </c>
      <c r="C499" s="1">
        <f ca="1">IFERROR(__xludf.DUMMYFUNCTION("""COMPUTED_VALUE"""),143.95)</f>
        <v>143.94999999999999</v>
      </c>
      <c r="D499" s="1">
        <f ca="1">IFERROR(__xludf.DUMMYFUNCTION("""COMPUTED_VALUE"""),142.5)</f>
        <v>142.5</v>
      </c>
      <c r="E499" s="1">
        <f ca="1">IFERROR(__xludf.DUMMYFUNCTION("""COMPUTED_VALUE"""),142.82)</f>
        <v>142.82</v>
      </c>
      <c r="F499" s="1">
        <f ca="1">IFERROR(__xludf.DUMMYFUNCTION("""COMPUTED_VALUE"""),11170066)</f>
        <v>11170066</v>
      </c>
    </row>
    <row r="500" spans="1:6" ht="12.6">
      <c r="A500" s="2">
        <f ca="1">IFERROR(__xludf.DUMMYFUNCTION("""COMPUTED_VALUE"""),45287.6666666666)</f>
        <v>45287.666666666599</v>
      </c>
      <c r="B500" s="1">
        <f ca="1">IFERROR(__xludf.DUMMYFUNCTION("""COMPUTED_VALUE"""),142.83)</f>
        <v>142.83000000000001</v>
      </c>
      <c r="C500" s="1">
        <f ca="1">IFERROR(__xludf.DUMMYFUNCTION("""COMPUTED_VALUE"""),143.32)</f>
        <v>143.32</v>
      </c>
      <c r="D500" s="1">
        <f ca="1">IFERROR(__xludf.DUMMYFUNCTION("""COMPUTED_VALUE"""),141.05)</f>
        <v>141.05000000000001</v>
      </c>
      <c r="E500" s="1">
        <f ca="1">IFERROR(__xludf.DUMMYFUNCTION("""COMPUTED_VALUE"""),141.44)</f>
        <v>141.44</v>
      </c>
      <c r="F500" s="1">
        <f ca="1">IFERROR(__xludf.DUMMYFUNCTION("""COMPUTED_VALUE"""),17288358)</f>
        <v>17288358</v>
      </c>
    </row>
    <row r="501" spans="1:6" ht="12.6">
      <c r="A501" s="2">
        <f ca="1">IFERROR(__xludf.DUMMYFUNCTION("""COMPUTED_VALUE"""),45288.6666666666)</f>
        <v>45288.666666666599</v>
      </c>
      <c r="B501" s="1">
        <f ca="1">IFERROR(__xludf.DUMMYFUNCTION("""COMPUTED_VALUE"""),141.85)</f>
        <v>141.85</v>
      </c>
      <c r="C501" s="1">
        <f ca="1">IFERROR(__xludf.DUMMYFUNCTION("""COMPUTED_VALUE"""),142.27)</f>
        <v>142.27000000000001</v>
      </c>
      <c r="D501" s="1">
        <f ca="1">IFERROR(__xludf.DUMMYFUNCTION("""COMPUTED_VALUE"""),140.83)</f>
        <v>140.83000000000001</v>
      </c>
      <c r="E501" s="1">
        <f ca="1">IFERROR(__xludf.DUMMYFUNCTION("""COMPUTED_VALUE"""),141.28)</f>
        <v>141.28</v>
      </c>
      <c r="F501" s="1">
        <f ca="1">IFERROR(__xludf.DUMMYFUNCTION("""COMPUTED_VALUE"""),12192549)</f>
        <v>12192549</v>
      </c>
    </row>
    <row r="502" spans="1:6" ht="12.6">
      <c r="A502" s="2">
        <f ca="1">IFERROR(__xludf.DUMMYFUNCTION("""COMPUTED_VALUE"""),45289.6666666666)</f>
        <v>45289.666666666599</v>
      </c>
      <c r="B502" s="1">
        <f ca="1">IFERROR(__xludf.DUMMYFUNCTION("""COMPUTED_VALUE"""),140.68)</f>
        <v>140.68</v>
      </c>
      <c r="C502" s="1">
        <f ca="1">IFERROR(__xludf.DUMMYFUNCTION("""COMPUTED_VALUE"""),141.44)</f>
        <v>141.44</v>
      </c>
      <c r="D502" s="1">
        <f ca="1">IFERROR(__xludf.DUMMYFUNCTION("""COMPUTED_VALUE"""),139.9)</f>
        <v>139.9</v>
      </c>
      <c r="E502" s="1">
        <f ca="1">IFERROR(__xludf.DUMMYFUNCTION("""COMPUTED_VALUE"""),140.93)</f>
        <v>140.93</v>
      </c>
      <c r="F502" s="1">
        <f ca="1">IFERROR(__xludf.DUMMYFUNCTION("""COMPUTED_VALUE"""),14880961)</f>
        <v>14880961</v>
      </c>
    </row>
    <row r="503" spans="1:6" ht="12.6">
      <c r="A503" s="2">
        <f ca="1">IFERROR(__xludf.DUMMYFUNCTION("""COMPUTED_VALUE"""),45293.6666666666)</f>
        <v>45293.666666666599</v>
      </c>
      <c r="B503" s="1">
        <f ca="1">IFERROR(__xludf.DUMMYFUNCTION("""COMPUTED_VALUE"""),139.6)</f>
        <v>139.6</v>
      </c>
      <c r="C503" s="1">
        <f ca="1">IFERROR(__xludf.DUMMYFUNCTION("""COMPUTED_VALUE"""),140.61)</f>
        <v>140.61000000000001</v>
      </c>
      <c r="D503" s="1">
        <f ca="1">IFERROR(__xludf.DUMMYFUNCTION("""COMPUTED_VALUE"""),137.74)</f>
        <v>137.74</v>
      </c>
      <c r="E503" s="1">
        <f ca="1">IFERROR(__xludf.DUMMYFUNCTION("""COMPUTED_VALUE"""),139.56)</f>
        <v>139.56</v>
      </c>
      <c r="F503" s="1">
        <f ca="1">IFERROR(__xludf.DUMMYFUNCTION("""COMPUTED_VALUE"""),20071885)</f>
        <v>20071885</v>
      </c>
    </row>
    <row r="504" spans="1:6" ht="12.6">
      <c r="A504" s="2">
        <f ca="1">IFERROR(__xludf.DUMMYFUNCTION("""COMPUTED_VALUE"""),45294.6666666666)</f>
        <v>45294.666666666599</v>
      </c>
      <c r="B504" s="1">
        <f ca="1">IFERROR(__xludf.DUMMYFUNCTION("""COMPUTED_VALUE"""),138.6)</f>
        <v>138.6</v>
      </c>
      <c r="C504" s="1">
        <f ca="1">IFERROR(__xludf.DUMMYFUNCTION("""COMPUTED_VALUE"""),141.09)</f>
        <v>141.09</v>
      </c>
      <c r="D504" s="1">
        <f ca="1">IFERROR(__xludf.DUMMYFUNCTION("""COMPUTED_VALUE"""),138.43)</f>
        <v>138.43</v>
      </c>
      <c r="E504" s="1">
        <f ca="1">IFERROR(__xludf.DUMMYFUNCTION("""COMPUTED_VALUE"""),140.36)</f>
        <v>140.36000000000001</v>
      </c>
      <c r="F504" s="1">
        <f ca="1">IFERROR(__xludf.DUMMYFUNCTION("""COMPUTED_VALUE"""),18974308)</f>
        <v>18974308</v>
      </c>
    </row>
    <row r="505" spans="1:6" ht="12.6">
      <c r="A505" s="2">
        <f ca="1">IFERROR(__xludf.DUMMYFUNCTION("""COMPUTED_VALUE"""),45295.6666666666)</f>
        <v>45295.666666666599</v>
      </c>
      <c r="B505" s="1">
        <f ca="1">IFERROR(__xludf.DUMMYFUNCTION("""COMPUTED_VALUE"""),139.85)</f>
        <v>139.85</v>
      </c>
      <c r="C505" s="1">
        <f ca="1">IFERROR(__xludf.DUMMYFUNCTION("""COMPUTED_VALUE"""),140.64)</f>
        <v>140.63999999999999</v>
      </c>
      <c r="D505" s="1">
        <f ca="1">IFERROR(__xludf.DUMMYFUNCTION("""COMPUTED_VALUE"""),138.01)</f>
        <v>138.01</v>
      </c>
      <c r="E505" s="1">
        <f ca="1">IFERROR(__xludf.DUMMYFUNCTION("""COMPUTED_VALUE"""),138.04)</f>
        <v>138.04</v>
      </c>
      <c r="F505" s="1">
        <f ca="1">IFERROR(__xludf.DUMMYFUNCTION("""COMPUTED_VALUE"""),18253331)</f>
        <v>18253331</v>
      </c>
    </row>
    <row r="506" spans="1:6" ht="12.6">
      <c r="A506" s="2">
        <f ca="1">IFERROR(__xludf.DUMMYFUNCTION("""COMPUTED_VALUE"""),45296.6666666666)</f>
        <v>45296.666666666599</v>
      </c>
      <c r="B506" s="1">
        <f ca="1">IFERROR(__xludf.DUMMYFUNCTION("""COMPUTED_VALUE"""),138.35)</f>
        <v>138.35</v>
      </c>
      <c r="C506" s="1">
        <f ca="1">IFERROR(__xludf.DUMMYFUNCTION("""COMPUTED_VALUE"""),138.81)</f>
        <v>138.81</v>
      </c>
      <c r="D506" s="1">
        <f ca="1">IFERROR(__xludf.DUMMYFUNCTION("""COMPUTED_VALUE"""),136.85)</f>
        <v>136.85</v>
      </c>
      <c r="E506" s="1">
        <f ca="1">IFERROR(__xludf.DUMMYFUNCTION("""COMPUTED_VALUE"""),137.39)</f>
        <v>137.38999999999999</v>
      </c>
      <c r="F506" s="1">
        <f ca="1">IFERROR(__xludf.DUMMYFUNCTION("""COMPUTED_VALUE"""),15439475)</f>
        <v>15439475</v>
      </c>
    </row>
    <row r="507" spans="1:6" ht="12.6">
      <c r="A507" s="2">
        <f ca="1">IFERROR(__xludf.DUMMYFUNCTION("""COMPUTED_VALUE"""),45299.6666666666)</f>
        <v>45299.666666666599</v>
      </c>
      <c r="B507" s="1">
        <f ca="1">IFERROR(__xludf.DUMMYFUNCTION("""COMPUTED_VALUE"""),138)</f>
        <v>138</v>
      </c>
      <c r="C507" s="1">
        <f ca="1">IFERROR(__xludf.DUMMYFUNCTION("""COMPUTED_VALUE"""),140.64)</f>
        <v>140.63999999999999</v>
      </c>
      <c r="D507" s="1">
        <f ca="1">IFERROR(__xludf.DUMMYFUNCTION("""COMPUTED_VALUE"""),137.88)</f>
        <v>137.88</v>
      </c>
      <c r="E507" s="1">
        <f ca="1">IFERROR(__xludf.DUMMYFUNCTION("""COMPUTED_VALUE"""),140.53)</f>
        <v>140.53</v>
      </c>
      <c r="F507" s="1">
        <f ca="1">IFERROR(__xludf.DUMMYFUNCTION("""COMPUTED_VALUE"""),17645293)</f>
        <v>17645293</v>
      </c>
    </row>
    <row r="508" spans="1:6" ht="12.6">
      <c r="A508" s="2">
        <f ca="1">IFERROR(__xludf.DUMMYFUNCTION("""COMPUTED_VALUE"""),45300.6666666666)</f>
        <v>45300.666666666599</v>
      </c>
      <c r="B508" s="1">
        <f ca="1">IFERROR(__xludf.DUMMYFUNCTION("""COMPUTED_VALUE"""),140.06)</f>
        <v>140.06</v>
      </c>
      <c r="C508" s="1">
        <f ca="1">IFERROR(__xludf.DUMMYFUNCTION("""COMPUTED_VALUE"""),142.8)</f>
        <v>142.80000000000001</v>
      </c>
      <c r="D508" s="1">
        <f ca="1">IFERROR(__xludf.DUMMYFUNCTION("""COMPUTED_VALUE"""),139.79)</f>
        <v>139.79</v>
      </c>
      <c r="E508" s="1">
        <f ca="1">IFERROR(__xludf.DUMMYFUNCTION("""COMPUTED_VALUE"""),142.56)</f>
        <v>142.56</v>
      </c>
      <c r="F508" s="1">
        <f ca="1">IFERROR(__xludf.DUMMYFUNCTION("""COMPUTED_VALUE"""),19579667)</f>
        <v>19579667</v>
      </c>
    </row>
    <row r="509" spans="1:6" ht="12.6">
      <c r="A509" s="2">
        <f ca="1">IFERROR(__xludf.DUMMYFUNCTION("""COMPUTED_VALUE"""),45301.6666666666)</f>
        <v>45301.666666666599</v>
      </c>
      <c r="B509" s="1">
        <f ca="1">IFERROR(__xludf.DUMMYFUNCTION("""COMPUTED_VALUE"""),142.52)</f>
        <v>142.52000000000001</v>
      </c>
      <c r="C509" s="1">
        <f ca="1">IFERROR(__xludf.DUMMYFUNCTION("""COMPUTED_VALUE"""),144.53)</f>
        <v>144.53</v>
      </c>
      <c r="D509" s="1">
        <f ca="1">IFERROR(__xludf.DUMMYFUNCTION("""COMPUTED_VALUE"""),142.46)</f>
        <v>142.46</v>
      </c>
      <c r="E509" s="1">
        <f ca="1">IFERROR(__xludf.DUMMYFUNCTION("""COMPUTED_VALUE"""),143.8)</f>
        <v>143.80000000000001</v>
      </c>
      <c r="F509" s="1">
        <f ca="1">IFERROR(__xludf.DUMMYFUNCTION("""COMPUTED_VALUE"""),16641881)</f>
        <v>16641881</v>
      </c>
    </row>
    <row r="510" spans="1:6" ht="12.6">
      <c r="A510" s="2">
        <f ca="1">IFERROR(__xludf.DUMMYFUNCTION("""COMPUTED_VALUE"""),45302.6666666666)</f>
        <v>45302.666666666599</v>
      </c>
      <c r="B510" s="1">
        <f ca="1">IFERROR(__xludf.DUMMYFUNCTION("""COMPUTED_VALUE"""),144.9)</f>
        <v>144.9</v>
      </c>
      <c r="C510" s="1">
        <f ca="1">IFERROR(__xludf.DUMMYFUNCTION("""COMPUTED_VALUE"""),146.66)</f>
        <v>146.66</v>
      </c>
      <c r="D510" s="1">
        <f ca="1">IFERROR(__xludf.DUMMYFUNCTION("""COMPUTED_VALUE"""),142.22)</f>
        <v>142.22</v>
      </c>
      <c r="E510" s="1">
        <f ca="1">IFERROR(__xludf.DUMMYFUNCTION("""COMPUTED_VALUE"""),143.67)</f>
        <v>143.66999999999999</v>
      </c>
      <c r="F510" s="1">
        <f ca="1">IFERROR(__xludf.DUMMYFUNCTION("""COMPUTED_VALUE"""),17471130)</f>
        <v>17471130</v>
      </c>
    </row>
    <row r="511" spans="1:6" ht="12.6">
      <c r="A511" s="2">
        <f ca="1">IFERROR(__xludf.DUMMYFUNCTION("""COMPUTED_VALUE"""),45303.6666666666)</f>
        <v>45303.666666666599</v>
      </c>
      <c r="B511" s="1">
        <f ca="1">IFERROR(__xludf.DUMMYFUNCTION("""COMPUTED_VALUE"""),144.34)</f>
        <v>144.34</v>
      </c>
      <c r="C511" s="1">
        <f ca="1">IFERROR(__xludf.DUMMYFUNCTION("""COMPUTED_VALUE"""),144.74)</f>
        <v>144.74</v>
      </c>
      <c r="D511" s="1">
        <f ca="1">IFERROR(__xludf.DUMMYFUNCTION("""COMPUTED_VALUE"""),143.36)</f>
        <v>143.36000000000001</v>
      </c>
      <c r="E511" s="1">
        <f ca="1">IFERROR(__xludf.DUMMYFUNCTION("""COMPUTED_VALUE"""),144.24)</f>
        <v>144.24</v>
      </c>
      <c r="F511" s="1">
        <f ca="1">IFERROR(__xludf.DUMMYFUNCTION("""COMPUTED_VALUE"""),13998729)</f>
        <v>13998729</v>
      </c>
    </row>
    <row r="512" spans="1:6" ht="12.6">
      <c r="A512" s="2">
        <f ca="1">IFERROR(__xludf.DUMMYFUNCTION("""COMPUTED_VALUE"""),45307.6666666666)</f>
        <v>45307.666666666599</v>
      </c>
      <c r="B512" s="1">
        <f ca="1">IFERROR(__xludf.DUMMYFUNCTION("""COMPUTED_VALUE"""),143.43)</f>
        <v>143.43</v>
      </c>
      <c r="C512" s="1">
        <f ca="1">IFERROR(__xludf.DUMMYFUNCTION("""COMPUTED_VALUE"""),145.84)</f>
        <v>145.84</v>
      </c>
      <c r="D512" s="1">
        <f ca="1">IFERROR(__xludf.DUMMYFUNCTION("""COMPUTED_VALUE"""),143.06)</f>
        <v>143.06</v>
      </c>
      <c r="E512" s="1">
        <f ca="1">IFERROR(__xludf.DUMMYFUNCTION("""COMPUTED_VALUE"""),144.08)</f>
        <v>144.08000000000001</v>
      </c>
      <c r="F512" s="1">
        <f ca="1">IFERROR(__xludf.DUMMYFUNCTION("""COMPUTED_VALUE"""),19198939)</f>
        <v>19198939</v>
      </c>
    </row>
    <row r="513" spans="1:6" ht="12.6">
      <c r="A513" s="2">
        <f ca="1">IFERROR(__xludf.DUMMYFUNCTION("""COMPUTED_VALUE"""),45308.6666666666)</f>
        <v>45308.666666666599</v>
      </c>
      <c r="B513" s="1">
        <f ca="1">IFERROR(__xludf.DUMMYFUNCTION("""COMPUTED_VALUE"""),142.91)</f>
        <v>142.91</v>
      </c>
      <c r="C513" s="1">
        <f ca="1">IFERROR(__xludf.DUMMYFUNCTION("""COMPUTED_VALUE"""),143.41)</f>
        <v>143.41</v>
      </c>
      <c r="D513" s="1">
        <f ca="1">IFERROR(__xludf.DUMMYFUNCTION("""COMPUTED_VALUE"""),140.51)</f>
        <v>140.51</v>
      </c>
      <c r="E513" s="1">
        <f ca="1">IFERROR(__xludf.DUMMYFUNCTION("""COMPUTED_VALUE"""),142.89)</f>
        <v>142.88999999999999</v>
      </c>
      <c r="F513" s="1">
        <f ca="1">IFERROR(__xludf.DUMMYFUNCTION("""COMPUTED_VALUE"""),17884548)</f>
        <v>17884548</v>
      </c>
    </row>
    <row r="514" spans="1:6" ht="12.6">
      <c r="A514" s="2">
        <f ca="1">IFERROR(__xludf.DUMMYFUNCTION("""COMPUTED_VALUE"""),45309.6666666666)</f>
        <v>45309.666666666599</v>
      </c>
      <c r="B514" s="1">
        <f ca="1">IFERROR(__xludf.DUMMYFUNCTION("""COMPUTED_VALUE"""),143.44)</f>
        <v>143.44</v>
      </c>
      <c r="C514" s="1">
        <f ca="1">IFERROR(__xludf.DUMMYFUNCTION("""COMPUTED_VALUE"""),145.59)</f>
        <v>145.59</v>
      </c>
      <c r="D514" s="1">
        <f ca="1">IFERROR(__xludf.DUMMYFUNCTION("""COMPUTED_VALUE"""),143.35)</f>
        <v>143.35</v>
      </c>
      <c r="E514" s="1">
        <f ca="1">IFERROR(__xludf.DUMMYFUNCTION("""COMPUTED_VALUE"""),144.99)</f>
        <v>144.99</v>
      </c>
      <c r="F514" s="1">
        <f ca="1">IFERROR(__xludf.DUMMYFUNCTION("""COMPUTED_VALUE"""),18876800)</f>
        <v>18876800</v>
      </c>
    </row>
    <row r="515" spans="1:6" ht="12.6">
      <c r="A515" s="2">
        <f ca="1">IFERROR(__xludf.DUMMYFUNCTION("""COMPUTED_VALUE"""),45310.6666666666)</f>
        <v>45310.666666666599</v>
      </c>
      <c r="B515" s="1">
        <f ca="1">IFERROR(__xludf.DUMMYFUNCTION("""COMPUTED_VALUE"""),146.31)</f>
        <v>146.31</v>
      </c>
      <c r="C515" s="1">
        <f ca="1">IFERROR(__xludf.DUMMYFUNCTION("""COMPUTED_VALUE"""),148.04)</f>
        <v>148.04</v>
      </c>
      <c r="D515" s="1">
        <f ca="1">IFERROR(__xludf.DUMMYFUNCTION("""COMPUTED_VALUE"""),145.8)</f>
        <v>145.80000000000001</v>
      </c>
      <c r="E515" s="1">
        <f ca="1">IFERROR(__xludf.DUMMYFUNCTION("""COMPUTED_VALUE"""),147.97)</f>
        <v>147.97</v>
      </c>
      <c r="F515" s="1">
        <f ca="1">IFERROR(__xludf.DUMMYFUNCTION("""COMPUTED_VALUE"""),27181032)</f>
        <v>27181032</v>
      </c>
    </row>
    <row r="516" spans="1:6" ht="12.6">
      <c r="A516" s="2">
        <f ca="1">IFERROR(__xludf.DUMMYFUNCTION("""COMPUTED_VALUE"""),45313.6666666666)</f>
        <v>45313.666666666599</v>
      </c>
      <c r="B516" s="1">
        <f ca="1">IFERROR(__xludf.DUMMYFUNCTION("""COMPUTED_VALUE"""),148.71)</f>
        <v>148.71</v>
      </c>
      <c r="C516" s="1">
        <f ca="1">IFERROR(__xludf.DUMMYFUNCTION("""COMPUTED_VALUE"""),150.01)</f>
        <v>150.01</v>
      </c>
      <c r="D516" s="1">
        <f ca="1">IFERROR(__xludf.DUMMYFUNCTION("""COMPUTED_VALUE"""),147.58)</f>
        <v>147.58000000000001</v>
      </c>
      <c r="E516" s="1">
        <f ca="1">IFERROR(__xludf.DUMMYFUNCTION("""COMPUTED_VALUE"""),147.71)</f>
        <v>147.71</v>
      </c>
      <c r="F516" s="1">
        <f ca="1">IFERROR(__xludf.DUMMYFUNCTION("""COMPUTED_VALUE"""),21829232)</f>
        <v>21829232</v>
      </c>
    </row>
    <row r="517" spans="1:6" ht="12.6">
      <c r="A517" s="2">
        <f ca="1">IFERROR(__xludf.DUMMYFUNCTION("""COMPUTED_VALUE"""),45314.6666666666)</f>
        <v>45314.666666666599</v>
      </c>
      <c r="B517" s="1">
        <f ca="1">IFERROR(__xludf.DUMMYFUNCTION("""COMPUTED_VALUE"""),147.72)</f>
        <v>147.72</v>
      </c>
      <c r="C517" s="1">
        <f ca="1">IFERROR(__xludf.DUMMYFUNCTION("""COMPUTED_VALUE"""),148.86)</f>
        <v>148.86000000000001</v>
      </c>
      <c r="D517" s="1">
        <f ca="1">IFERROR(__xludf.DUMMYFUNCTION("""COMPUTED_VALUE"""),147.19)</f>
        <v>147.19</v>
      </c>
      <c r="E517" s="1">
        <f ca="1">IFERROR(__xludf.DUMMYFUNCTION("""COMPUTED_VALUE"""),148.68)</f>
        <v>148.68</v>
      </c>
      <c r="F517" s="1">
        <f ca="1">IFERROR(__xludf.DUMMYFUNCTION("""COMPUTED_VALUE"""),14113649)</f>
        <v>14113649</v>
      </c>
    </row>
    <row r="518" spans="1:6" ht="12.6">
      <c r="A518" s="2">
        <f ca="1">IFERROR(__xludf.DUMMYFUNCTION("""COMPUTED_VALUE"""),45315.6666666666)</f>
        <v>45315.666666666599</v>
      </c>
      <c r="B518" s="1">
        <f ca="1">IFERROR(__xludf.DUMMYFUNCTION("""COMPUTED_VALUE"""),150.29)</f>
        <v>150.29</v>
      </c>
      <c r="C518" s="1">
        <f ca="1">IFERROR(__xludf.DUMMYFUNCTION("""COMPUTED_VALUE"""),151.57)</f>
        <v>151.57</v>
      </c>
      <c r="D518" s="1">
        <f ca="1">IFERROR(__xludf.DUMMYFUNCTION("""COMPUTED_VALUE"""),149.84)</f>
        <v>149.84</v>
      </c>
      <c r="E518" s="1">
        <f ca="1">IFERROR(__xludf.DUMMYFUNCTION("""COMPUTED_VALUE"""),150.35)</f>
        <v>150.35</v>
      </c>
      <c r="F518" s="1">
        <f ca="1">IFERROR(__xludf.DUMMYFUNCTION("""COMPUTED_VALUE"""),19245031)</f>
        <v>19245031</v>
      </c>
    </row>
    <row r="519" spans="1:6" ht="12.6">
      <c r="A519" s="2">
        <f ca="1">IFERROR(__xludf.DUMMYFUNCTION("""COMPUTED_VALUE"""),45316.6666666666)</f>
        <v>45316.666666666599</v>
      </c>
      <c r="B519" s="1">
        <f ca="1">IFERROR(__xludf.DUMMYFUNCTION("""COMPUTED_VALUE"""),151.74)</f>
        <v>151.74</v>
      </c>
      <c r="C519" s="1">
        <f ca="1">IFERROR(__xludf.DUMMYFUNCTION("""COMPUTED_VALUE"""),154.76)</f>
        <v>154.76</v>
      </c>
      <c r="D519" s="1">
        <f ca="1">IFERROR(__xludf.DUMMYFUNCTION("""COMPUTED_VALUE"""),151.22)</f>
        <v>151.22</v>
      </c>
      <c r="E519" s="1">
        <f ca="1">IFERROR(__xludf.DUMMYFUNCTION("""COMPUTED_VALUE"""),153.64)</f>
        <v>153.63999999999999</v>
      </c>
      <c r="F519" s="1">
        <f ca="1">IFERROR(__xludf.DUMMYFUNCTION("""COMPUTED_VALUE"""),21495120)</f>
        <v>21495120</v>
      </c>
    </row>
    <row r="520" spans="1:6" ht="12.6">
      <c r="A520" s="2">
        <f ca="1">IFERROR(__xludf.DUMMYFUNCTION("""COMPUTED_VALUE"""),45317.6666666666)</f>
        <v>45317.666666666599</v>
      </c>
      <c r="B520" s="1">
        <f ca="1">IFERROR(__xludf.DUMMYFUNCTION("""COMPUTED_VALUE"""),152.87)</f>
        <v>152.87</v>
      </c>
      <c r="C520" s="1">
        <f ca="1">IFERROR(__xludf.DUMMYFUNCTION("""COMPUTED_VALUE"""),154.11)</f>
        <v>154.11000000000001</v>
      </c>
      <c r="D520" s="1">
        <f ca="1">IFERROR(__xludf.DUMMYFUNCTION("""COMPUTED_VALUE"""),152.8)</f>
        <v>152.80000000000001</v>
      </c>
      <c r="E520" s="1">
        <f ca="1">IFERROR(__xludf.DUMMYFUNCTION("""COMPUTED_VALUE"""),153.79)</f>
        <v>153.79</v>
      </c>
      <c r="F520" s="1">
        <f ca="1">IFERROR(__xludf.DUMMYFUNCTION("""COMPUTED_VALUE"""),19494488)</f>
        <v>19494488</v>
      </c>
    </row>
    <row r="521" spans="1:6" ht="12.6">
      <c r="A521" s="2">
        <f ca="1">IFERROR(__xludf.DUMMYFUNCTION("""COMPUTED_VALUE"""),45320.6666666666)</f>
        <v>45320.666666666599</v>
      </c>
      <c r="B521" s="1">
        <f ca="1">IFERROR(__xludf.DUMMYFUNCTION("""COMPUTED_VALUE"""),153.64)</f>
        <v>153.63999999999999</v>
      </c>
      <c r="C521" s="1">
        <f ca="1">IFERROR(__xludf.DUMMYFUNCTION("""COMPUTED_VALUE"""),155.2)</f>
        <v>155.19999999999999</v>
      </c>
      <c r="D521" s="1">
        <f ca="1">IFERROR(__xludf.DUMMYFUNCTION("""COMPUTED_VALUE"""),152.92)</f>
        <v>152.91999999999999</v>
      </c>
      <c r="E521" s="1">
        <f ca="1">IFERROR(__xludf.DUMMYFUNCTION("""COMPUTED_VALUE"""),154.84)</f>
        <v>154.84</v>
      </c>
      <c r="F521" s="1">
        <f ca="1">IFERROR(__xludf.DUMMYFUNCTION("""COMPUTED_VALUE"""),20909258)</f>
        <v>20909258</v>
      </c>
    </row>
    <row r="522" spans="1:6" ht="12.6">
      <c r="A522" s="2">
        <f ca="1">IFERROR(__xludf.DUMMYFUNCTION("""COMPUTED_VALUE"""),45321.6666666666)</f>
        <v>45321.666666666599</v>
      </c>
      <c r="B522" s="1">
        <f ca="1">IFERROR(__xludf.DUMMYFUNCTION("""COMPUTED_VALUE"""),154.01)</f>
        <v>154.01</v>
      </c>
      <c r="C522" s="1">
        <f ca="1">IFERROR(__xludf.DUMMYFUNCTION("""COMPUTED_VALUE"""),155.04)</f>
        <v>155.04</v>
      </c>
      <c r="D522" s="1">
        <f ca="1">IFERROR(__xludf.DUMMYFUNCTION("""COMPUTED_VALUE"""),152.78)</f>
        <v>152.78</v>
      </c>
      <c r="E522" s="1">
        <f ca="1">IFERROR(__xludf.DUMMYFUNCTION("""COMPUTED_VALUE"""),153.05)</f>
        <v>153.05000000000001</v>
      </c>
      <c r="F522" s="1">
        <f ca="1">IFERROR(__xludf.DUMMYFUNCTION("""COMPUTED_VALUE"""),26578934)</f>
        <v>26578934</v>
      </c>
    </row>
    <row r="523" spans="1:6" ht="12.6">
      <c r="A523" s="2">
        <f ca="1">IFERROR(__xludf.DUMMYFUNCTION("""COMPUTED_VALUE"""),45322.6666666666)</f>
        <v>45322.666666666599</v>
      </c>
      <c r="B523" s="1">
        <f ca="1">IFERROR(__xludf.DUMMYFUNCTION("""COMPUTED_VALUE"""),145.39)</f>
        <v>145.38999999999999</v>
      </c>
      <c r="C523" s="1">
        <f ca="1">IFERROR(__xludf.DUMMYFUNCTION("""COMPUTED_VALUE"""),145.59)</f>
        <v>145.59</v>
      </c>
      <c r="D523" s="1">
        <f ca="1">IFERROR(__xludf.DUMMYFUNCTION("""COMPUTED_VALUE"""),141.55)</f>
        <v>141.55000000000001</v>
      </c>
      <c r="E523" s="1">
        <f ca="1">IFERROR(__xludf.DUMMYFUNCTION("""COMPUTED_VALUE"""),141.8)</f>
        <v>141.80000000000001</v>
      </c>
      <c r="F523" s="1">
        <f ca="1">IFERROR(__xludf.DUMMYFUNCTION("""COMPUTED_VALUE"""),43908584)</f>
        <v>43908584</v>
      </c>
    </row>
    <row r="524" spans="1:6" ht="12.6">
      <c r="A524" s="2">
        <f ca="1">IFERROR(__xludf.DUMMYFUNCTION("""COMPUTED_VALUE"""),45323.6666666666)</f>
        <v>45323.666666666599</v>
      </c>
      <c r="B524" s="1">
        <f ca="1">IFERROR(__xludf.DUMMYFUNCTION("""COMPUTED_VALUE"""),143.69)</f>
        <v>143.69</v>
      </c>
      <c r="C524" s="1">
        <f ca="1">IFERROR(__xludf.DUMMYFUNCTION("""COMPUTED_VALUE"""),144.62)</f>
        <v>144.62</v>
      </c>
      <c r="D524" s="1">
        <f ca="1">IFERROR(__xludf.DUMMYFUNCTION("""COMPUTED_VALUE"""),142.26)</f>
        <v>142.26</v>
      </c>
      <c r="E524" s="1">
        <f ca="1">IFERROR(__xludf.DUMMYFUNCTION("""COMPUTED_VALUE"""),142.71)</f>
        <v>142.71</v>
      </c>
      <c r="F524" s="1">
        <f ca="1">IFERROR(__xludf.DUMMYFUNCTION("""COMPUTED_VALUE"""),25526855)</f>
        <v>25526855</v>
      </c>
    </row>
    <row r="525" spans="1:6" ht="12.6">
      <c r="A525" s="2">
        <f ca="1">IFERROR(__xludf.DUMMYFUNCTION("""COMPUTED_VALUE"""),45324.6666666666)</f>
        <v>45324.666666666599</v>
      </c>
      <c r="B525" s="1">
        <f ca="1">IFERROR(__xludf.DUMMYFUNCTION("""COMPUTED_VALUE"""),140.89)</f>
        <v>140.88999999999999</v>
      </c>
      <c r="C525" s="1">
        <f ca="1">IFERROR(__xludf.DUMMYFUNCTION("""COMPUTED_VALUE"""),143.88)</f>
        <v>143.88</v>
      </c>
      <c r="D525" s="1">
        <f ca="1">IFERROR(__xludf.DUMMYFUNCTION("""COMPUTED_VALUE"""),138.17)</f>
        <v>138.16999999999999</v>
      </c>
      <c r="E525" s="1">
        <f ca="1">IFERROR(__xludf.DUMMYFUNCTION("""COMPUTED_VALUE"""),143.54)</f>
        <v>143.54</v>
      </c>
      <c r="F525" s="1">
        <f ca="1">IFERROR(__xludf.DUMMYFUNCTION("""COMPUTED_VALUE"""),42136127)</f>
        <v>42136127</v>
      </c>
    </row>
    <row r="526" spans="1:6" ht="12.6">
      <c r="A526" s="2">
        <f ca="1">IFERROR(__xludf.DUMMYFUNCTION("""COMPUTED_VALUE"""),45327.6666666666)</f>
        <v>45327.666666666599</v>
      </c>
      <c r="B526" s="1">
        <f ca="1">IFERROR(__xludf.DUMMYFUNCTION("""COMPUTED_VALUE"""),144.04)</f>
        <v>144.04</v>
      </c>
      <c r="C526" s="1">
        <f ca="1">IFERROR(__xludf.DUMMYFUNCTION("""COMPUTED_VALUE"""),146.67)</f>
        <v>146.66999999999999</v>
      </c>
      <c r="D526" s="1">
        <f ca="1">IFERROR(__xludf.DUMMYFUNCTION("""COMPUTED_VALUE"""),143.91)</f>
        <v>143.91</v>
      </c>
      <c r="E526" s="1">
        <f ca="1">IFERROR(__xludf.DUMMYFUNCTION("""COMPUTED_VALUE"""),144.93)</f>
        <v>144.93</v>
      </c>
      <c r="F526" s="1">
        <f ca="1">IFERROR(__xludf.DUMMYFUNCTION("""COMPUTED_VALUE"""),29254444)</f>
        <v>29254444</v>
      </c>
    </row>
    <row r="527" spans="1:6" ht="12.6">
      <c r="A527" s="2">
        <f ca="1">IFERROR(__xludf.DUMMYFUNCTION("""COMPUTED_VALUE"""),45328.6666666666)</f>
        <v>45328.666666666599</v>
      </c>
      <c r="B527" s="1">
        <f ca="1">IFERROR(__xludf.DUMMYFUNCTION("""COMPUTED_VALUE"""),145.96)</f>
        <v>145.96</v>
      </c>
      <c r="C527" s="1">
        <f ca="1">IFERROR(__xludf.DUMMYFUNCTION("""COMPUTED_VALUE"""),146.74)</f>
        <v>146.74</v>
      </c>
      <c r="D527" s="1">
        <f ca="1">IFERROR(__xludf.DUMMYFUNCTION("""COMPUTED_VALUE"""),144.52)</f>
        <v>144.52000000000001</v>
      </c>
      <c r="E527" s="1">
        <f ca="1">IFERROR(__xludf.DUMMYFUNCTION("""COMPUTED_VALUE"""),145.41)</f>
        <v>145.41</v>
      </c>
      <c r="F527" s="1">
        <f ca="1">IFERROR(__xludf.DUMMYFUNCTION("""COMPUTED_VALUE"""),21517655)</f>
        <v>21517655</v>
      </c>
    </row>
    <row r="528" spans="1:6" ht="12.6">
      <c r="A528" s="2">
        <f ca="1">IFERROR(__xludf.DUMMYFUNCTION("""COMPUTED_VALUE"""),45329.6666666666)</f>
        <v>45329.666666666599</v>
      </c>
      <c r="B528" s="1">
        <f ca="1">IFERROR(__xludf.DUMMYFUNCTION("""COMPUTED_VALUE"""),146.12)</f>
        <v>146.12</v>
      </c>
      <c r="C528" s="1">
        <f ca="1">IFERROR(__xludf.DUMMYFUNCTION("""COMPUTED_VALUE"""),147)</f>
        <v>147</v>
      </c>
      <c r="D528" s="1">
        <f ca="1">IFERROR(__xludf.DUMMYFUNCTION("""COMPUTED_VALUE"""),145.21)</f>
        <v>145.21</v>
      </c>
      <c r="E528" s="1">
        <f ca="1">IFERROR(__xludf.DUMMYFUNCTION("""COMPUTED_VALUE"""),146.68)</f>
        <v>146.68</v>
      </c>
      <c r="F528" s="1">
        <f ca="1">IFERROR(__xludf.DUMMYFUNCTION("""COMPUTED_VALUE"""),21436126)</f>
        <v>21436126</v>
      </c>
    </row>
    <row r="529" spans="1:6" ht="12.6">
      <c r="A529" s="2">
        <f ca="1">IFERROR(__xludf.DUMMYFUNCTION("""COMPUTED_VALUE"""),45330.6666666666)</f>
        <v>45330.666666666599</v>
      </c>
      <c r="B529" s="1">
        <f ca="1">IFERROR(__xludf.DUMMYFUNCTION("""COMPUTED_VALUE"""),146.97)</f>
        <v>146.97</v>
      </c>
      <c r="C529" s="1">
        <f ca="1">IFERROR(__xludf.DUMMYFUNCTION("""COMPUTED_VALUE"""),147.61)</f>
        <v>147.61000000000001</v>
      </c>
      <c r="D529" s="1">
        <f ca="1">IFERROR(__xludf.DUMMYFUNCTION("""COMPUTED_VALUE"""),146.42)</f>
        <v>146.41999999999999</v>
      </c>
      <c r="E529" s="1">
        <f ca="1">IFERROR(__xludf.DUMMYFUNCTION("""COMPUTED_VALUE"""),147.22)</f>
        <v>147.22</v>
      </c>
      <c r="F529" s="1">
        <f ca="1">IFERROR(__xludf.DUMMYFUNCTION("""COMPUTED_VALUE"""),18241319)</f>
        <v>18241319</v>
      </c>
    </row>
    <row r="530" spans="1:6" ht="12.6">
      <c r="A530" s="2">
        <f ca="1">IFERROR(__xludf.DUMMYFUNCTION("""COMPUTED_VALUE"""),45331.6666666666)</f>
        <v>45331.666666666599</v>
      </c>
      <c r="B530" s="1">
        <f ca="1">IFERROR(__xludf.DUMMYFUNCTION("""COMPUTED_VALUE"""),147.95)</f>
        <v>147.94999999999999</v>
      </c>
      <c r="C530" s="1">
        <f ca="1">IFERROR(__xludf.DUMMYFUNCTION("""COMPUTED_VALUE"""),150.7)</f>
        <v>150.69999999999999</v>
      </c>
      <c r="D530" s="1">
        <f ca="1">IFERROR(__xludf.DUMMYFUNCTION("""COMPUTED_VALUE"""),147.43)</f>
        <v>147.43</v>
      </c>
      <c r="E530" s="1">
        <f ca="1">IFERROR(__xludf.DUMMYFUNCTION("""COMPUTED_VALUE"""),150.22)</f>
        <v>150.22</v>
      </c>
      <c r="F530" s="1">
        <f ca="1">IFERROR(__xludf.DUMMYFUNCTION("""COMPUTED_VALUE"""),21877693)</f>
        <v>21877693</v>
      </c>
    </row>
    <row r="531" spans="1:6" ht="12.6">
      <c r="A531" s="2">
        <f ca="1">IFERROR(__xludf.DUMMYFUNCTION("""COMPUTED_VALUE"""),45334.6666666666)</f>
        <v>45334.666666666599</v>
      </c>
      <c r="B531" s="1">
        <f ca="1">IFERROR(__xludf.DUMMYFUNCTION("""COMPUTED_VALUE"""),149.54)</f>
        <v>149.54</v>
      </c>
      <c r="C531" s="1">
        <f ca="1">IFERROR(__xludf.DUMMYFUNCTION("""COMPUTED_VALUE"""),150.59)</f>
        <v>150.59</v>
      </c>
      <c r="D531" s="1">
        <f ca="1">IFERROR(__xludf.DUMMYFUNCTION("""COMPUTED_VALUE"""),148.56)</f>
        <v>148.56</v>
      </c>
      <c r="E531" s="1">
        <f ca="1">IFERROR(__xludf.DUMMYFUNCTION("""COMPUTED_VALUE"""),148.73)</f>
        <v>148.72999999999999</v>
      </c>
      <c r="F531" s="1">
        <f ca="1">IFERROR(__xludf.DUMMYFUNCTION("""COMPUTED_VALUE"""),17236108)</f>
        <v>17236108</v>
      </c>
    </row>
    <row r="532" spans="1:6" ht="12.6">
      <c r="A532" s="2">
        <f ca="1">IFERROR(__xludf.DUMMYFUNCTION("""COMPUTED_VALUE"""),45335.6666666666)</f>
        <v>45335.666666666599</v>
      </c>
      <c r="B532" s="1">
        <f ca="1">IFERROR(__xludf.DUMMYFUNCTION("""COMPUTED_VALUE"""),146.07)</f>
        <v>146.07</v>
      </c>
      <c r="C532" s="1">
        <f ca="1">IFERROR(__xludf.DUMMYFUNCTION("""COMPUTED_VALUE"""),148.04)</f>
        <v>148.04</v>
      </c>
      <c r="D532" s="1">
        <f ca="1">IFERROR(__xludf.DUMMYFUNCTION("""COMPUTED_VALUE"""),145.11)</f>
        <v>145.11000000000001</v>
      </c>
      <c r="E532" s="1">
        <f ca="1">IFERROR(__xludf.DUMMYFUNCTION("""COMPUTED_VALUE"""),146.37)</f>
        <v>146.37</v>
      </c>
      <c r="F532" s="1">
        <f ca="1">IFERROR(__xludf.DUMMYFUNCTION("""COMPUTED_VALUE"""),18138482)</f>
        <v>18138482</v>
      </c>
    </row>
    <row r="533" spans="1:6" ht="12.6">
      <c r="A533" s="2">
        <f ca="1">IFERROR(__xludf.DUMMYFUNCTION("""COMPUTED_VALUE"""),45336.6666666666)</f>
        <v>45336.666666666599</v>
      </c>
      <c r="B533" s="1">
        <f ca="1">IFERROR(__xludf.DUMMYFUNCTION("""COMPUTED_VALUE"""),147.37)</f>
        <v>147.37</v>
      </c>
      <c r="C533" s="1">
        <f ca="1">IFERROR(__xludf.DUMMYFUNCTION("""COMPUTED_VALUE"""),147.83)</f>
        <v>147.83000000000001</v>
      </c>
      <c r="D533" s="1">
        <f ca="1">IFERROR(__xludf.DUMMYFUNCTION("""COMPUTED_VALUE"""),145.56)</f>
        <v>145.56</v>
      </c>
      <c r="E533" s="1">
        <f ca="1">IFERROR(__xludf.DUMMYFUNCTION("""COMPUTED_VALUE"""),147.14)</f>
        <v>147.13999999999999</v>
      </c>
      <c r="F533" s="1">
        <f ca="1">IFERROR(__xludf.DUMMYFUNCTION("""COMPUTED_VALUE"""),16651824)</f>
        <v>16651824</v>
      </c>
    </row>
    <row r="534" spans="1:6" ht="12.6">
      <c r="A534" s="2">
        <f ca="1">IFERROR(__xludf.DUMMYFUNCTION("""COMPUTED_VALUE"""),45337.6666666666)</f>
        <v>45337.666666666599</v>
      </c>
      <c r="B534" s="1">
        <f ca="1">IFERROR(__xludf.DUMMYFUNCTION("""COMPUTED_VALUE"""),144.46)</f>
        <v>144.46</v>
      </c>
      <c r="C534" s="1">
        <f ca="1">IFERROR(__xludf.DUMMYFUNCTION("""COMPUTED_VALUE"""),144.76)</f>
        <v>144.76</v>
      </c>
      <c r="D534" s="1">
        <f ca="1">IFERROR(__xludf.DUMMYFUNCTION("""COMPUTED_VALUE"""),141.88)</f>
        <v>141.88</v>
      </c>
      <c r="E534" s="1">
        <f ca="1">IFERROR(__xludf.DUMMYFUNCTION("""COMPUTED_VALUE"""),143.94)</f>
        <v>143.94</v>
      </c>
      <c r="F534" s="1">
        <f ca="1">IFERROR(__xludf.DUMMYFUNCTION("""COMPUTED_VALUE"""),26724305)</f>
        <v>26724305</v>
      </c>
    </row>
    <row r="535" spans="1:6" ht="12.6">
      <c r="A535" s="2">
        <f ca="1">IFERROR(__xludf.DUMMYFUNCTION("""COMPUTED_VALUE"""),45338.6666666666)</f>
        <v>45338.666666666599</v>
      </c>
      <c r="B535" s="1">
        <f ca="1">IFERROR(__xludf.DUMMYFUNCTION("""COMPUTED_VALUE"""),144.21)</f>
        <v>144.21</v>
      </c>
      <c r="C535" s="1">
        <f ca="1">IFERROR(__xludf.DUMMYFUNCTION("""COMPUTED_VALUE"""),144.48)</f>
        <v>144.47999999999999</v>
      </c>
      <c r="D535" s="1">
        <f ca="1">IFERROR(__xludf.DUMMYFUNCTION("""COMPUTED_VALUE"""),141.52)</f>
        <v>141.52000000000001</v>
      </c>
      <c r="E535" s="1">
        <f ca="1">IFERROR(__xludf.DUMMYFUNCTION("""COMPUTED_VALUE"""),141.76)</f>
        <v>141.76</v>
      </c>
      <c r="F535" s="1">
        <f ca="1">IFERROR(__xludf.DUMMYFUNCTION("""COMPUTED_VALUE"""),21865118)</f>
        <v>21865118</v>
      </c>
    </row>
    <row r="536" spans="1:6" ht="12.6">
      <c r="A536" s="2">
        <f ca="1">IFERROR(__xludf.DUMMYFUNCTION("""COMPUTED_VALUE"""),45342.6666666666)</f>
        <v>45342.666666666599</v>
      </c>
      <c r="B536" s="1">
        <f ca="1">IFERROR(__xludf.DUMMYFUNCTION("""COMPUTED_VALUE"""),140.94)</f>
        <v>140.94</v>
      </c>
      <c r="C536" s="1">
        <f ca="1">IFERROR(__xludf.DUMMYFUNCTION("""COMPUTED_VALUE"""),143.33)</f>
        <v>143.33000000000001</v>
      </c>
      <c r="D536" s="1">
        <f ca="1">IFERROR(__xludf.DUMMYFUNCTION("""COMPUTED_VALUE"""),140.8)</f>
        <v>140.80000000000001</v>
      </c>
      <c r="E536" s="1">
        <f ca="1">IFERROR(__xludf.DUMMYFUNCTION("""COMPUTED_VALUE"""),142.2)</f>
        <v>142.19999999999999</v>
      </c>
      <c r="F536" s="1">
        <f ca="1">IFERROR(__xludf.DUMMYFUNCTION("""COMPUTED_VALUE"""),18625589)</f>
        <v>18625589</v>
      </c>
    </row>
    <row r="537" spans="1:6" ht="12.6">
      <c r="A537" s="2">
        <f ca="1">IFERROR(__xludf.DUMMYFUNCTION("""COMPUTED_VALUE"""),45343.6666666666)</f>
        <v>45343.666666666599</v>
      </c>
      <c r="B537" s="1">
        <f ca="1">IFERROR(__xludf.DUMMYFUNCTION("""COMPUTED_VALUE"""),142.64)</f>
        <v>142.63999999999999</v>
      </c>
      <c r="C537" s="1">
        <f ca="1">IFERROR(__xludf.DUMMYFUNCTION("""COMPUTED_VALUE"""),143.98)</f>
        <v>143.97999999999999</v>
      </c>
      <c r="D537" s="1">
        <f ca="1">IFERROR(__xludf.DUMMYFUNCTION("""COMPUTED_VALUE"""),141.91)</f>
        <v>141.91</v>
      </c>
      <c r="E537" s="1">
        <f ca="1">IFERROR(__xludf.DUMMYFUNCTION("""COMPUTED_VALUE"""),143.84)</f>
        <v>143.84</v>
      </c>
      <c r="F537" s="1">
        <f ca="1">IFERROR(__xludf.DUMMYFUNCTION("""COMPUTED_VALUE"""),16499584)</f>
        <v>16499584</v>
      </c>
    </row>
    <row r="538" spans="1:6" ht="12.6">
      <c r="A538" s="2">
        <f ca="1">IFERROR(__xludf.DUMMYFUNCTION("""COMPUTED_VALUE"""),45344.6666666666)</f>
        <v>45344.666666666599</v>
      </c>
      <c r="B538" s="1">
        <f ca="1">IFERROR(__xludf.DUMMYFUNCTION("""COMPUTED_VALUE"""),146.12)</f>
        <v>146.12</v>
      </c>
      <c r="C538" s="1">
        <f ca="1">IFERROR(__xludf.DUMMYFUNCTION("""COMPUTED_VALUE"""),146.2)</f>
        <v>146.19999999999999</v>
      </c>
      <c r="D538" s="1">
        <f ca="1">IFERROR(__xludf.DUMMYFUNCTION("""COMPUTED_VALUE"""),144.01)</f>
        <v>144.01</v>
      </c>
      <c r="E538" s="1">
        <f ca="1">IFERROR(__xludf.DUMMYFUNCTION("""COMPUTED_VALUE"""),145.32)</f>
        <v>145.32</v>
      </c>
      <c r="F538" s="1">
        <f ca="1">IFERROR(__xludf.DUMMYFUNCTION("""COMPUTED_VALUE"""),23024707)</f>
        <v>23024707</v>
      </c>
    </row>
    <row r="539" spans="1:6" ht="12.6">
      <c r="A539" s="2">
        <f ca="1">IFERROR(__xludf.DUMMYFUNCTION("""COMPUTED_VALUE"""),45345.6666666666)</f>
        <v>45345.666666666599</v>
      </c>
      <c r="B539" s="1">
        <f ca="1">IFERROR(__xludf.DUMMYFUNCTION("""COMPUTED_VALUE"""),144.97)</f>
        <v>144.97</v>
      </c>
      <c r="C539" s="1">
        <f ca="1">IFERROR(__xludf.DUMMYFUNCTION("""COMPUTED_VALUE"""),145.96)</f>
        <v>145.96</v>
      </c>
      <c r="D539" s="1">
        <f ca="1">IFERROR(__xludf.DUMMYFUNCTION("""COMPUTED_VALUE"""),144.79)</f>
        <v>144.79</v>
      </c>
      <c r="E539" s="1">
        <f ca="1">IFERROR(__xludf.DUMMYFUNCTION("""COMPUTED_VALUE"""),145.29)</f>
        <v>145.29</v>
      </c>
      <c r="F539" s="1">
        <f ca="1">IFERROR(__xludf.DUMMYFUNCTION("""COMPUTED_VALUE"""),14519434)</f>
        <v>14519434</v>
      </c>
    </row>
    <row r="540" spans="1:6" ht="12.6">
      <c r="A540" s="2">
        <f ca="1">IFERROR(__xludf.DUMMYFUNCTION("""COMPUTED_VALUE"""),45348.6666666666)</f>
        <v>45348.666666666599</v>
      </c>
      <c r="B540" s="1">
        <f ca="1">IFERROR(__xludf.DUMMYFUNCTION("""COMPUTED_VALUE"""),143.45)</f>
        <v>143.44999999999999</v>
      </c>
      <c r="C540" s="1">
        <f ca="1">IFERROR(__xludf.DUMMYFUNCTION("""COMPUTED_VALUE"""),143.84)</f>
        <v>143.84</v>
      </c>
      <c r="D540" s="1">
        <f ca="1">IFERROR(__xludf.DUMMYFUNCTION("""COMPUTED_VALUE"""),138.74)</f>
        <v>138.74</v>
      </c>
      <c r="E540" s="1">
        <f ca="1">IFERROR(__xludf.DUMMYFUNCTION("""COMPUTED_VALUE"""),138.75)</f>
        <v>138.75</v>
      </c>
      <c r="F540" s="1">
        <f ca="1">IFERROR(__xludf.DUMMYFUNCTION("""COMPUTED_VALUE"""),33513011)</f>
        <v>33513011</v>
      </c>
    </row>
    <row r="541" spans="1:6" ht="12.6">
      <c r="A541" s="2">
        <f ca="1">IFERROR(__xludf.DUMMYFUNCTION("""COMPUTED_VALUE"""),45349.6666666666)</f>
        <v>45349.666666666599</v>
      </c>
      <c r="B541" s="1">
        <f ca="1">IFERROR(__xludf.DUMMYFUNCTION("""COMPUTED_VALUE"""),139.41)</f>
        <v>139.41</v>
      </c>
      <c r="C541" s="1">
        <f ca="1">IFERROR(__xludf.DUMMYFUNCTION("""COMPUTED_VALUE"""),140.49)</f>
        <v>140.49</v>
      </c>
      <c r="D541" s="1">
        <f ca="1">IFERROR(__xludf.DUMMYFUNCTION("""COMPUTED_VALUE"""),138.5)</f>
        <v>138.5</v>
      </c>
      <c r="E541" s="1">
        <f ca="1">IFERROR(__xludf.DUMMYFUNCTION("""COMPUTED_VALUE"""),140.1)</f>
        <v>140.1</v>
      </c>
      <c r="F541" s="1">
        <f ca="1">IFERROR(__xludf.DUMMYFUNCTION("""COMPUTED_VALUE"""),22363981)</f>
        <v>22363981</v>
      </c>
    </row>
    <row r="542" spans="1:6" ht="12.6">
      <c r="A542" s="2">
        <f ca="1">IFERROR(__xludf.DUMMYFUNCTION("""COMPUTED_VALUE"""),45350.6666666666)</f>
        <v>45350.666666666599</v>
      </c>
      <c r="B542" s="1">
        <f ca="1">IFERROR(__xludf.DUMMYFUNCTION("""COMPUTED_VALUE"""),139.1)</f>
        <v>139.1</v>
      </c>
      <c r="C542" s="1">
        <f ca="1">IFERROR(__xludf.DUMMYFUNCTION("""COMPUTED_VALUE"""),139.28)</f>
        <v>139.28</v>
      </c>
      <c r="D542" s="1">
        <f ca="1">IFERROR(__xludf.DUMMYFUNCTION("""COMPUTED_VALUE"""),136.64)</f>
        <v>136.63999999999999</v>
      </c>
      <c r="E542" s="1">
        <f ca="1">IFERROR(__xludf.DUMMYFUNCTION("""COMPUTED_VALUE"""),137.43)</f>
        <v>137.43</v>
      </c>
      <c r="F542" s="1">
        <f ca="1">IFERROR(__xludf.DUMMYFUNCTION("""COMPUTED_VALUE"""),30628702)</f>
        <v>30628702</v>
      </c>
    </row>
    <row r="543" spans="1:6" ht="12.6">
      <c r="A543" s="2">
        <f ca="1">IFERROR(__xludf.DUMMYFUNCTION("""COMPUTED_VALUE"""),45351.6666666666)</f>
        <v>45351.666666666599</v>
      </c>
      <c r="B543" s="1">
        <f ca="1">IFERROR(__xludf.DUMMYFUNCTION("""COMPUTED_VALUE"""),138.35)</f>
        <v>138.35</v>
      </c>
      <c r="C543" s="1">
        <f ca="1">IFERROR(__xludf.DUMMYFUNCTION("""COMPUTED_VALUE"""),139.95)</f>
        <v>139.94999999999999</v>
      </c>
      <c r="D543" s="1">
        <f ca="1">IFERROR(__xludf.DUMMYFUNCTION("""COMPUTED_VALUE"""),137.57)</f>
        <v>137.57</v>
      </c>
      <c r="E543" s="1">
        <f ca="1">IFERROR(__xludf.DUMMYFUNCTION("""COMPUTED_VALUE"""),139.78)</f>
        <v>139.78</v>
      </c>
      <c r="F543" s="1">
        <f ca="1">IFERROR(__xludf.DUMMYFUNCTION("""COMPUTED_VALUE"""),35485006)</f>
        <v>35485006</v>
      </c>
    </row>
    <row r="544" spans="1:6" ht="12.6">
      <c r="A544" s="2">
        <f ca="1">IFERROR(__xludf.DUMMYFUNCTION("""COMPUTED_VALUE"""),45352.6666666666)</f>
        <v>45352.666666666599</v>
      </c>
      <c r="B544" s="1">
        <f ca="1">IFERROR(__xludf.DUMMYFUNCTION("""COMPUTED_VALUE"""),139.61)</f>
        <v>139.61000000000001</v>
      </c>
      <c r="C544" s="1">
        <f ca="1">IFERROR(__xludf.DUMMYFUNCTION("""COMPUTED_VALUE"""),140)</f>
        <v>140</v>
      </c>
      <c r="D544" s="1">
        <f ca="1">IFERROR(__xludf.DUMMYFUNCTION("""COMPUTED_VALUE"""),137.98)</f>
        <v>137.97999999999999</v>
      </c>
      <c r="E544" s="1">
        <f ca="1">IFERROR(__xludf.DUMMYFUNCTION("""COMPUTED_VALUE"""),138.08)</f>
        <v>138.08000000000001</v>
      </c>
      <c r="F544" s="1">
        <f ca="1">IFERROR(__xludf.DUMMYFUNCTION("""COMPUTED_VALUE"""),28551525)</f>
        <v>28551525</v>
      </c>
    </row>
    <row r="545" spans="1:6" ht="12.6">
      <c r="A545" s="2">
        <f ca="1">IFERROR(__xludf.DUMMYFUNCTION("""COMPUTED_VALUE"""),45355.6666666666)</f>
        <v>45355.666666666599</v>
      </c>
      <c r="B545" s="1">
        <f ca="1">IFERROR(__xludf.DUMMYFUNCTION("""COMPUTED_VALUE"""),136.54)</f>
        <v>136.54</v>
      </c>
      <c r="C545" s="1">
        <f ca="1">IFERROR(__xludf.DUMMYFUNCTION("""COMPUTED_VALUE"""),136.63)</f>
        <v>136.63</v>
      </c>
      <c r="D545" s="1">
        <f ca="1">IFERROR(__xludf.DUMMYFUNCTION("""COMPUTED_VALUE"""),132.86)</f>
        <v>132.86000000000001</v>
      </c>
      <c r="E545" s="1">
        <f ca="1">IFERROR(__xludf.DUMMYFUNCTION("""COMPUTED_VALUE"""),134.2)</f>
        <v>134.19999999999999</v>
      </c>
      <c r="F545" s="1">
        <f ca="1">IFERROR(__xludf.DUMMYFUNCTION("""COMPUTED_VALUE"""),43571510)</f>
        <v>43571510</v>
      </c>
    </row>
    <row r="546" spans="1:6" ht="12.6">
      <c r="A546" s="2">
        <f ca="1">IFERROR(__xludf.DUMMYFUNCTION("""COMPUTED_VALUE"""),45356.6666666666)</f>
        <v>45356.666666666599</v>
      </c>
      <c r="B546" s="1">
        <f ca="1">IFERROR(__xludf.DUMMYFUNCTION("""COMPUTED_VALUE"""),132.74)</f>
        <v>132.74</v>
      </c>
      <c r="C546" s="1">
        <f ca="1">IFERROR(__xludf.DUMMYFUNCTION("""COMPUTED_VALUE"""),134.02)</f>
        <v>134.02000000000001</v>
      </c>
      <c r="D546" s="1">
        <f ca="1">IFERROR(__xludf.DUMMYFUNCTION("""COMPUTED_VALUE"""),131.55)</f>
        <v>131.55000000000001</v>
      </c>
      <c r="E546" s="1">
        <f ca="1">IFERROR(__xludf.DUMMYFUNCTION("""COMPUTED_VALUE"""),133.78)</f>
        <v>133.78</v>
      </c>
      <c r="F546" s="1">
        <f ca="1">IFERROR(__xludf.DUMMYFUNCTION("""COMPUTED_VALUE"""),28447550)</f>
        <v>28447550</v>
      </c>
    </row>
    <row r="547" spans="1:6" ht="12.6">
      <c r="A547" s="2">
        <f ca="1">IFERROR(__xludf.DUMMYFUNCTION("""COMPUTED_VALUE"""),45357.6666666666)</f>
        <v>45357.666666666599</v>
      </c>
      <c r="B547" s="1">
        <f ca="1">IFERROR(__xludf.DUMMYFUNCTION("""COMPUTED_VALUE"""),134.24)</f>
        <v>134.24</v>
      </c>
      <c r="C547" s="1">
        <f ca="1">IFERROR(__xludf.DUMMYFUNCTION("""COMPUTED_VALUE"""),134.74)</f>
        <v>134.74</v>
      </c>
      <c r="D547" s="1">
        <f ca="1">IFERROR(__xludf.DUMMYFUNCTION("""COMPUTED_VALUE"""),131.95)</f>
        <v>131.94999999999999</v>
      </c>
      <c r="E547" s="1">
        <f ca="1">IFERROR(__xludf.DUMMYFUNCTION("""COMPUTED_VALUE"""),132.56)</f>
        <v>132.56</v>
      </c>
      <c r="F547" s="1">
        <f ca="1">IFERROR(__xludf.DUMMYFUNCTION("""COMPUTED_VALUE"""),23175200)</f>
        <v>23175200</v>
      </c>
    </row>
    <row r="548" spans="1:6" ht="12.6">
      <c r="A548" s="2">
        <f ca="1">IFERROR(__xludf.DUMMYFUNCTION("""COMPUTED_VALUE"""),45358.6666666666)</f>
        <v>45358.666666666599</v>
      </c>
      <c r="B548" s="1">
        <f ca="1">IFERROR(__xludf.DUMMYFUNCTION("""COMPUTED_VALUE"""),133.89)</f>
        <v>133.88999999999999</v>
      </c>
      <c r="C548" s="1">
        <f ca="1">IFERROR(__xludf.DUMMYFUNCTION("""COMPUTED_VALUE"""),135.82)</f>
        <v>135.82</v>
      </c>
      <c r="D548" s="1">
        <f ca="1">IFERROR(__xludf.DUMMYFUNCTION("""COMPUTED_VALUE"""),132.66)</f>
        <v>132.66</v>
      </c>
      <c r="E548" s="1">
        <f ca="1">IFERROR(__xludf.DUMMYFUNCTION("""COMPUTED_VALUE"""),135.24)</f>
        <v>135.24</v>
      </c>
      <c r="F548" s="1">
        <f ca="1">IFERROR(__xludf.DUMMYFUNCTION("""COMPUTED_VALUE"""),24107282)</f>
        <v>24107282</v>
      </c>
    </row>
    <row r="549" spans="1:6" ht="12.6">
      <c r="A549" s="2">
        <f ca="1">IFERROR(__xludf.DUMMYFUNCTION("""COMPUTED_VALUE"""),45359.6666666666)</f>
        <v>45359.666666666599</v>
      </c>
      <c r="B549" s="1">
        <f ca="1">IFERROR(__xludf.DUMMYFUNCTION("""COMPUTED_VALUE"""),135.04)</f>
        <v>135.04</v>
      </c>
      <c r="C549" s="1">
        <f ca="1">IFERROR(__xludf.DUMMYFUNCTION("""COMPUTED_VALUE"""),138.99)</f>
        <v>138.99</v>
      </c>
      <c r="D549" s="1">
        <f ca="1">IFERROR(__xludf.DUMMYFUNCTION("""COMPUTED_VALUE"""),134.8)</f>
        <v>134.80000000000001</v>
      </c>
      <c r="E549" s="1">
        <f ca="1">IFERROR(__xludf.DUMMYFUNCTION("""COMPUTED_VALUE"""),136.29)</f>
        <v>136.29</v>
      </c>
      <c r="F549" s="1">
        <f ca="1">IFERROR(__xludf.DUMMYFUNCTION("""COMPUTED_VALUE"""),26495160)</f>
        <v>26495160</v>
      </c>
    </row>
    <row r="550" spans="1:6" ht="12.6">
      <c r="A550" s="2">
        <f ca="1">IFERROR(__xludf.DUMMYFUNCTION("""COMPUTED_VALUE"""),45362.6666666666)</f>
        <v>45362.666666666599</v>
      </c>
      <c r="B550" s="1">
        <f ca="1">IFERROR(__xludf.DUMMYFUNCTION("""COMPUTED_VALUE"""),137.07)</f>
        <v>137.07</v>
      </c>
      <c r="C550" s="1">
        <f ca="1">IFERROR(__xludf.DUMMYFUNCTION("""COMPUTED_VALUE"""),139.98)</f>
        <v>139.97999999999999</v>
      </c>
      <c r="D550" s="1">
        <f ca="1">IFERROR(__xludf.DUMMYFUNCTION("""COMPUTED_VALUE"""),137.07)</f>
        <v>137.07</v>
      </c>
      <c r="E550" s="1">
        <f ca="1">IFERROR(__xludf.DUMMYFUNCTION("""COMPUTED_VALUE"""),138.94)</f>
        <v>138.94</v>
      </c>
      <c r="F550" s="1">
        <f ca="1">IFERROR(__xludf.DUMMYFUNCTION("""COMPUTED_VALUE"""),22536365)</f>
        <v>22536365</v>
      </c>
    </row>
    <row r="551" spans="1:6" ht="12.6">
      <c r="A551" s="2">
        <f ca="1">IFERROR(__xludf.DUMMYFUNCTION("""COMPUTED_VALUE"""),45363.6666666666)</f>
        <v>45363.666666666599</v>
      </c>
      <c r="B551" s="1">
        <f ca="1">IFERROR(__xludf.DUMMYFUNCTION("""COMPUTED_VALUE"""),138.25)</f>
        <v>138.25</v>
      </c>
      <c r="C551" s="1">
        <f ca="1">IFERROR(__xludf.DUMMYFUNCTION("""COMPUTED_VALUE"""),140.28)</f>
        <v>140.28</v>
      </c>
      <c r="D551" s="1">
        <f ca="1">IFERROR(__xludf.DUMMYFUNCTION("""COMPUTED_VALUE"""),138.21)</f>
        <v>138.21</v>
      </c>
      <c r="E551" s="1">
        <f ca="1">IFERROR(__xludf.DUMMYFUNCTION("""COMPUTED_VALUE"""),139.62)</f>
        <v>139.62</v>
      </c>
      <c r="F551" s="1">
        <f ca="1">IFERROR(__xludf.DUMMYFUNCTION("""COMPUTED_VALUE"""),19019696)</f>
        <v>19019696</v>
      </c>
    </row>
    <row r="552" spans="1:6" ht="12.6">
      <c r="A552" s="2">
        <f ca="1">IFERROR(__xludf.DUMMYFUNCTION("""COMPUTED_VALUE"""),45364.6666666666)</f>
        <v>45364.666666666599</v>
      </c>
      <c r="B552" s="1">
        <f ca="1">IFERROR(__xludf.DUMMYFUNCTION("""COMPUTED_VALUE"""),140.06)</f>
        <v>140.06</v>
      </c>
      <c r="C552" s="1">
        <f ca="1">IFERROR(__xludf.DUMMYFUNCTION("""COMPUTED_VALUE"""),142.19)</f>
        <v>142.19</v>
      </c>
      <c r="D552" s="1">
        <f ca="1">IFERROR(__xludf.DUMMYFUNCTION("""COMPUTED_VALUE"""),140.01)</f>
        <v>140.01</v>
      </c>
      <c r="E552" s="1">
        <f ca="1">IFERROR(__xludf.DUMMYFUNCTION("""COMPUTED_VALUE"""),140.77)</f>
        <v>140.77000000000001</v>
      </c>
      <c r="F552" s="1">
        <f ca="1">IFERROR(__xludf.DUMMYFUNCTION("""COMPUTED_VALUE"""),19636999)</f>
        <v>19636999</v>
      </c>
    </row>
    <row r="553" spans="1:6" ht="12.6">
      <c r="A553" s="2">
        <f ca="1">IFERROR(__xludf.DUMMYFUNCTION("""COMPUTED_VALUE"""),45365.6666666666)</f>
        <v>45365.666666666599</v>
      </c>
      <c r="B553" s="1">
        <f ca="1">IFERROR(__xludf.DUMMYFUNCTION("""COMPUTED_VALUE"""),142.3)</f>
        <v>142.30000000000001</v>
      </c>
      <c r="C553" s="1">
        <f ca="1">IFERROR(__xludf.DUMMYFUNCTION("""COMPUTED_VALUE"""),144.73)</f>
        <v>144.72999999999999</v>
      </c>
      <c r="D553" s="1">
        <f ca="1">IFERROR(__xludf.DUMMYFUNCTION("""COMPUTED_VALUE"""),141.49)</f>
        <v>141.49</v>
      </c>
      <c r="E553" s="1">
        <f ca="1">IFERROR(__xludf.DUMMYFUNCTION("""COMPUTED_VALUE"""),144.34)</f>
        <v>144.34</v>
      </c>
      <c r="F553" s="1">
        <f ca="1">IFERROR(__xludf.DUMMYFUNCTION("""COMPUTED_VALUE"""),36117913)</f>
        <v>36117913</v>
      </c>
    </row>
    <row r="554" spans="1:6" ht="12.6">
      <c r="A554" s="2">
        <f ca="1">IFERROR(__xludf.DUMMYFUNCTION("""COMPUTED_VALUE"""),45366.6666666666)</f>
        <v>45366.666666666599</v>
      </c>
      <c r="B554" s="1">
        <f ca="1">IFERROR(__xludf.DUMMYFUNCTION("""COMPUTED_VALUE"""),143.41)</f>
        <v>143.41</v>
      </c>
      <c r="C554" s="1">
        <f ca="1">IFERROR(__xludf.DUMMYFUNCTION("""COMPUTED_VALUE"""),144.34)</f>
        <v>144.34</v>
      </c>
      <c r="D554" s="1">
        <f ca="1">IFERROR(__xludf.DUMMYFUNCTION("""COMPUTED_VALUE"""),141.13)</f>
        <v>141.13</v>
      </c>
      <c r="E554" s="1">
        <f ca="1">IFERROR(__xludf.DUMMYFUNCTION("""COMPUTED_VALUE"""),142.17)</f>
        <v>142.16999999999999</v>
      </c>
      <c r="F554" s="1">
        <f ca="1">IFERROR(__xludf.DUMMYFUNCTION("""COMPUTED_VALUE"""),41039494)</f>
        <v>41039494</v>
      </c>
    </row>
    <row r="555" spans="1:6" ht="12.6">
      <c r="A555" s="2">
        <f ca="1">IFERROR(__xludf.DUMMYFUNCTION("""COMPUTED_VALUE"""),45369.6666666666)</f>
        <v>45369.666666666599</v>
      </c>
      <c r="B555" s="1">
        <f ca="1">IFERROR(__xludf.DUMMYFUNCTION("""COMPUTED_VALUE"""),149.37)</f>
        <v>149.37</v>
      </c>
      <c r="C555" s="1">
        <f ca="1">IFERROR(__xludf.DUMMYFUNCTION("""COMPUTED_VALUE"""),152.93)</f>
        <v>152.93</v>
      </c>
      <c r="D555" s="1">
        <f ca="1">IFERROR(__xludf.DUMMYFUNCTION("""COMPUTED_VALUE"""),148.14)</f>
        <v>148.13999999999999</v>
      </c>
      <c r="E555" s="1">
        <f ca="1">IFERROR(__xludf.DUMMYFUNCTION("""COMPUTED_VALUE"""),148.48)</f>
        <v>148.47999999999999</v>
      </c>
      <c r="F555" s="1">
        <f ca="1">IFERROR(__xludf.DUMMYFUNCTION("""COMPUTED_VALUE"""),47676689)</f>
        <v>47676689</v>
      </c>
    </row>
    <row r="556" spans="1:6" ht="12.6">
      <c r="A556" s="2">
        <f ca="1">IFERROR(__xludf.DUMMYFUNCTION("""COMPUTED_VALUE"""),45370.6666666666)</f>
        <v>45370.666666666599</v>
      </c>
      <c r="B556" s="1">
        <f ca="1">IFERROR(__xludf.DUMMYFUNCTION("""COMPUTED_VALUE"""),148.98)</f>
        <v>148.97999999999999</v>
      </c>
      <c r="C556" s="1">
        <f ca="1">IFERROR(__xludf.DUMMYFUNCTION("""COMPUTED_VALUE"""),149.62)</f>
        <v>149.62</v>
      </c>
      <c r="D556" s="1">
        <f ca="1">IFERROR(__xludf.DUMMYFUNCTION("""COMPUTED_VALUE"""),147.01)</f>
        <v>147.01</v>
      </c>
      <c r="E556" s="1">
        <f ca="1">IFERROR(__xludf.DUMMYFUNCTION("""COMPUTED_VALUE"""),147.92)</f>
        <v>147.91999999999999</v>
      </c>
      <c r="F556" s="1">
        <f ca="1">IFERROR(__xludf.DUMMYFUNCTION("""COMPUTED_VALUE"""),17748367)</f>
        <v>17748367</v>
      </c>
    </row>
    <row r="557" spans="1:6" ht="12.6">
      <c r="A557" s="2">
        <f ca="1">IFERROR(__xludf.DUMMYFUNCTION("""COMPUTED_VALUE"""),45371.6666666666)</f>
        <v>45371.666666666599</v>
      </c>
      <c r="B557" s="1">
        <f ca="1">IFERROR(__xludf.DUMMYFUNCTION("""COMPUTED_VALUE"""),148.79)</f>
        <v>148.79</v>
      </c>
      <c r="C557" s="1">
        <f ca="1">IFERROR(__xludf.DUMMYFUNCTION("""COMPUTED_VALUE"""),149.76)</f>
        <v>149.76</v>
      </c>
      <c r="D557" s="1">
        <f ca="1">IFERROR(__xludf.DUMMYFUNCTION("""COMPUTED_VALUE"""),147.67)</f>
        <v>147.66999999999999</v>
      </c>
      <c r="E557" s="1">
        <f ca="1">IFERROR(__xludf.DUMMYFUNCTION("""COMPUTED_VALUE"""),149.68)</f>
        <v>149.68</v>
      </c>
      <c r="F557" s="1">
        <f ca="1">IFERROR(__xludf.DUMMYFUNCTION("""COMPUTED_VALUE"""),17729996)</f>
        <v>17729996</v>
      </c>
    </row>
    <row r="558" spans="1:6" ht="12.6">
      <c r="A558" s="2">
        <f ca="1">IFERROR(__xludf.DUMMYFUNCTION("""COMPUTED_VALUE"""),45372.6666666666)</f>
        <v>45372.666666666599</v>
      </c>
      <c r="B558" s="1">
        <f ca="1">IFERROR(__xludf.DUMMYFUNCTION("""COMPUTED_VALUE"""),150.32)</f>
        <v>150.32</v>
      </c>
      <c r="C558" s="1">
        <f ca="1">IFERROR(__xludf.DUMMYFUNCTION("""COMPUTED_VALUE"""),151.31)</f>
        <v>151.31</v>
      </c>
      <c r="D558" s="1">
        <f ca="1">IFERROR(__xludf.DUMMYFUNCTION("""COMPUTED_VALUE"""),148.01)</f>
        <v>148.01</v>
      </c>
      <c r="E558" s="1">
        <f ca="1">IFERROR(__xludf.DUMMYFUNCTION("""COMPUTED_VALUE"""),148.74)</f>
        <v>148.74</v>
      </c>
      <c r="F558" s="1">
        <f ca="1">IFERROR(__xludf.DUMMYFUNCTION("""COMPUTED_VALUE"""),19843915)</f>
        <v>19843915</v>
      </c>
    </row>
    <row r="559" spans="1:6" ht="12.6">
      <c r="A559" s="2">
        <f ca="1">IFERROR(__xludf.DUMMYFUNCTION("""COMPUTED_VALUE"""),45373.6666666666)</f>
        <v>45373.666666666599</v>
      </c>
      <c r="B559" s="1">
        <f ca="1">IFERROR(__xludf.DUMMYFUNCTION("""COMPUTED_VALUE"""),150.24)</f>
        <v>150.24</v>
      </c>
      <c r="C559" s="1">
        <f ca="1">IFERROR(__xludf.DUMMYFUNCTION("""COMPUTED_VALUE"""),152.56)</f>
        <v>152.56</v>
      </c>
      <c r="D559" s="1">
        <f ca="1">IFERROR(__xludf.DUMMYFUNCTION("""COMPUTED_VALUE"""),150.09)</f>
        <v>150.09</v>
      </c>
      <c r="E559" s="1">
        <f ca="1">IFERROR(__xludf.DUMMYFUNCTION("""COMPUTED_VALUE"""),151.77)</f>
        <v>151.77000000000001</v>
      </c>
      <c r="F559" s="1">
        <f ca="1">IFERROR(__xludf.DUMMYFUNCTION("""COMPUTED_VALUE"""),19252925)</f>
        <v>19252925</v>
      </c>
    </row>
    <row r="560" spans="1:6" ht="12.6">
      <c r="A560" s="2">
        <f ca="1">IFERROR(__xludf.DUMMYFUNCTION("""COMPUTED_VALUE"""),45376.6666666666)</f>
        <v>45376.666666666599</v>
      </c>
      <c r="B560" s="1">
        <f ca="1">IFERROR(__xludf.DUMMYFUNCTION("""COMPUTED_VALUE"""),150.95)</f>
        <v>150.94999999999999</v>
      </c>
      <c r="C560" s="1">
        <f ca="1">IFERROR(__xludf.DUMMYFUNCTION("""COMPUTED_VALUE"""),151.46)</f>
        <v>151.46</v>
      </c>
      <c r="D560" s="1">
        <f ca="1">IFERROR(__xludf.DUMMYFUNCTION("""COMPUTED_VALUE"""),148.8)</f>
        <v>148.80000000000001</v>
      </c>
      <c r="E560" s="1">
        <f ca="1">IFERROR(__xludf.DUMMYFUNCTION("""COMPUTED_VALUE"""),151.15)</f>
        <v>151.15</v>
      </c>
      <c r="F560" s="1">
        <f ca="1">IFERROR(__xludf.DUMMYFUNCTION("""COMPUTED_VALUE"""),15114728)</f>
        <v>15114728</v>
      </c>
    </row>
    <row r="561" spans="1:6" ht="12.6">
      <c r="A561" s="2">
        <f ca="1">IFERROR(__xludf.DUMMYFUNCTION("""COMPUTED_VALUE"""),45377.6666666666)</f>
        <v>45377.666666666599</v>
      </c>
      <c r="B561" s="1">
        <f ca="1">IFERROR(__xludf.DUMMYFUNCTION("""COMPUTED_VALUE"""),151.24)</f>
        <v>151.24</v>
      </c>
      <c r="C561" s="1">
        <f ca="1">IFERROR(__xludf.DUMMYFUNCTION("""COMPUTED_VALUE"""),153.2)</f>
        <v>153.19999999999999</v>
      </c>
      <c r="D561" s="1">
        <f ca="1">IFERROR(__xludf.DUMMYFUNCTION("""COMPUTED_VALUE"""),151.03)</f>
        <v>151.03</v>
      </c>
      <c r="E561" s="1">
        <f ca="1">IFERROR(__xludf.DUMMYFUNCTION("""COMPUTED_VALUE"""),151.7)</f>
        <v>151.69999999999999</v>
      </c>
      <c r="F561" s="1">
        <f ca="1">IFERROR(__xludf.DUMMYFUNCTION("""COMPUTED_VALUE"""),19312694)</f>
        <v>19312694</v>
      </c>
    </row>
    <row r="562" spans="1:6" ht="12.6">
      <c r="A562" s="2">
        <f ca="1">IFERROR(__xludf.DUMMYFUNCTION("""COMPUTED_VALUE"""),45378.6666666666)</f>
        <v>45378.666666666599</v>
      </c>
      <c r="B562" s="1">
        <f ca="1">IFERROR(__xludf.DUMMYFUNCTION("""COMPUTED_VALUE"""),152.15)</f>
        <v>152.15</v>
      </c>
      <c r="C562" s="1">
        <f ca="1">IFERROR(__xludf.DUMMYFUNCTION("""COMPUTED_VALUE"""),152.69)</f>
        <v>152.69</v>
      </c>
      <c r="D562" s="1">
        <f ca="1">IFERROR(__xludf.DUMMYFUNCTION("""COMPUTED_VALUE"""),150.13)</f>
        <v>150.13</v>
      </c>
      <c r="E562" s="1">
        <f ca="1">IFERROR(__xludf.DUMMYFUNCTION("""COMPUTED_VALUE"""),151.94)</f>
        <v>151.94</v>
      </c>
      <c r="F562" s="1">
        <f ca="1">IFERROR(__xludf.DUMMYFUNCTION("""COMPUTED_VALUE"""),16621964)</f>
        <v>16621964</v>
      </c>
    </row>
    <row r="563" spans="1:6" ht="12.6">
      <c r="A563" s="2">
        <f ca="1">IFERROR(__xludf.DUMMYFUNCTION("""COMPUTED_VALUE"""),45379.6666666666)</f>
        <v>45379.666666666599</v>
      </c>
      <c r="B563" s="1">
        <f ca="1">IFERROR(__xludf.DUMMYFUNCTION("""COMPUTED_VALUE"""),152)</f>
        <v>152</v>
      </c>
      <c r="C563" s="1">
        <f ca="1">IFERROR(__xludf.DUMMYFUNCTION("""COMPUTED_VALUE"""),152.67)</f>
        <v>152.66999999999999</v>
      </c>
      <c r="D563" s="1">
        <f ca="1">IFERROR(__xludf.DUMMYFUNCTION("""COMPUTED_VALUE"""),151.33)</f>
        <v>151.33000000000001</v>
      </c>
      <c r="E563" s="1">
        <f ca="1">IFERROR(__xludf.DUMMYFUNCTION("""COMPUTED_VALUE"""),152.26)</f>
        <v>152.26</v>
      </c>
      <c r="F563" s="1">
        <f ca="1">IFERROR(__xludf.DUMMYFUNCTION("""COMPUTED_VALUE"""),21105628)</f>
        <v>21105628</v>
      </c>
    </row>
    <row r="564" spans="1:6" ht="12.6">
      <c r="A564" s="2">
        <f ca="1">IFERROR(__xludf.DUMMYFUNCTION("""COMPUTED_VALUE"""),45383.6666666666)</f>
        <v>45383.666666666599</v>
      </c>
      <c r="B564" s="1">
        <f ca="1">IFERROR(__xludf.DUMMYFUNCTION("""COMPUTED_VALUE"""),151.83)</f>
        <v>151.83000000000001</v>
      </c>
      <c r="C564" s="1">
        <f ca="1">IFERROR(__xludf.DUMMYFUNCTION("""COMPUTED_VALUE"""),157)</f>
        <v>157</v>
      </c>
      <c r="D564" s="1">
        <f ca="1">IFERROR(__xludf.DUMMYFUNCTION("""COMPUTED_VALUE"""),151.65)</f>
        <v>151.65</v>
      </c>
      <c r="E564" s="1">
        <f ca="1">IFERROR(__xludf.DUMMYFUNCTION("""COMPUTED_VALUE"""),156.5)</f>
        <v>156.5</v>
      </c>
      <c r="F564" s="1">
        <f ca="1">IFERROR(__xludf.DUMMYFUNCTION("""COMPUTED_VALUE"""),24469815)</f>
        <v>24469815</v>
      </c>
    </row>
    <row r="565" spans="1:6" ht="12.6">
      <c r="A565" s="2">
        <f ca="1">IFERROR(__xludf.DUMMYFUNCTION("""COMPUTED_VALUE"""),45384.6666666666)</f>
        <v>45384.666666666599</v>
      </c>
      <c r="B565" s="1">
        <f ca="1">IFERROR(__xludf.DUMMYFUNCTION("""COMPUTED_VALUE"""),154.75)</f>
        <v>154.75</v>
      </c>
      <c r="C565" s="1">
        <f ca="1">IFERROR(__xludf.DUMMYFUNCTION("""COMPUTED_VALUE"""),155.99)</f>
        <v>155.99</v>
      </c>
      <c r="D565" s="1">
        <f ca="1">IFERROR(__xludf.DUMMYFUNCTION("""COMPUTED_VALUE"""),153.46)</f>
        <v>153.46</v>
      </c>
      <c r="E565" s="1">
        <f ca="1">IFERROR(__xludf.DUMMYFUNCTION("""COMPUTED_VALUE"""),155.87)</f>
        <v>155.87</v>
      </c>
      <c r="F565" s="1">
        <f ca="1">IFERROR(__xludf.DUMMYFUNCTION("""COMPUTED_VALUE"""),17598064)</f>
        <v>17598064</v>
      </c>
    </row>
    <row r="566" spans="1:6" ht="12.6">
      <c r="A566" s="2">
        <f ca="1">IFERROR(__xludf.DUMMYFUNCTION("""COMPUTED_VALUE"""),45385.6666666666)</f>
        <v>45385.666666666599</v>
      </c>
      <c r="B566" s="1">
        <f ca="1">IFERROR(__xludf.DUMMYFUNCTION("""COMPUTED_VALUE"""),154.92)</f>
        <v>154.91999999999999</v>
      </c>
      <c r="C566" s="1">
        <f ca="1">IFERROR(__xludf.DUMMYFUNCTION("""COMPUTED_VALUE"""),156.55)</f>
        <v>156.55000000000001</v>
      </c>
      <c r="D566" s="1">
        <f ca="1">IFERROR(__xludf.DUMMYFUNCTION("""COMPUTED_VALUE"""),154.13)</f>
        <v>154.13</v>
      </c>
      <c r="E566" s="1">
        <f ca="1">IFERROR(__xludf.DUMMYFUNCTION("""COMPUTED_VALUE"""),156.37)</f>
        <v>156.37</v>
      </c>
      <c r="F566" s="1">
        <f ca="1">IFERROR(__xludf.DUMMYFUNCTION("""COMPUTED_VALUE"""),17266175)</f>
        <v>17266175</v>
      </c>
    </row>
    <row r="567" spans="1:6" ht="12.6">
      <c r="A567" s="2">
        <f ca="1">IFERROR(__xludf.DUMMYFUNCTION("""COMPUTED_VALUE"""),45386.6666666666)</f>
        <v>45386.666666666599</v>
      </c>
      <c r="B567" s="1">
        <f ca="1">IFERROR(__xludf.DUMMYFUNCTION("""COMPUTED_VALUE"""),155.08)</f>
        <v>155.08000000000001</v>
      </c>
      <c r="C567" s="1">
        <f ca="1">IFERROR(__xludf.DUMMYFUNCTION("""COMPUTED_VALUE"""),156.18)</f>
        <v>156.18</v>
      </c>
      <c r="D567" s="1">
        <f ca="1">IFERROR(__xludf.DUMMYFUNCTION("""COMPUTED_VALUE"""),151.88)</f>
        <v>151.88</v>
      </c>
      <c r="E567" s="1">
        <f ca="1">IFERROR(__xludf.DUMMYFUNCTION("""COMPUTED_VALUE"""),151.94)</f>
        <v>151.94</v>
      </c>
      <c r="F567" s="1">
        <f ca="1">IFERROR(__xludf.DUMMYFUNCTION("""COMPUTED_VALUE"""),24184842)</f>
        <v>24184842</v>
      </c>
    </row>
    <row r="568" spans="1:6" ht="12.6">
      <c r="A568" s="2">
        <f ca="1">IFERROR(__xludf.DUMMYFUNCTION("""COMPUTED_VALUE"""),45387.6666666666)</f>
        <v>45387.666666666599</v>
      </c>
      <c r="B568" s="1">
        <f ca="1">IFERROR(__xludf.DUMMYFUNCTION("""COMPUTED_VALUE"""),151.68)</f>
        <v>151.68</v>
      </c>
      <c r="C568" s="1">
        <f ca="1">IFERROR(__xludf.DUMMYFUNCTION("""COMPUTED_VALUE"""),154.84)</f>
        <v>154.84</v>
      </c>
      <c r="D568" s="1">
        <f ca="1">IFERROR(__xludf.DUMMYFUNCTION("""COMPUTED_VALUE"""),151.08)</f>
        <v>151.08000000000001</v>
      </c>
      <c r="E568" s="1">
        <f ca="1">IFERROR(__xludf.DUMMYFUNCTION("""COMPUTED_VALUE"""),153.94)</f>
        <v>153.94</v>
      </c>
      <c r="F568" s="1">
        <f ca="1">IFERROR(__xludf.DUMMYFUNCTION("""COMPUTED_VALUE"""),16297319)</f>
        <v>16297319</v>
      </c>
    </row>
    <row r="569" spans="1:6" ht="12.6">
      <c r="A569" s="2">
        <f ca="1">IFERROR(__xludf.DUMMYFUNCTION("""COMPUTED_VALUE"""),45390.6666666666)</f>
        <v>45390.666666666599</v>
      </c>
      <c r="B569" s="1">
        <f ca="1">IFERROR(__xludf.DUMMYFUNCTION("""COMPUTED_VALUE"""),154.01)</f>
        <v>154.01</v>
      </c>
      <c r="C569" s="1">
        <f ca="1">IFERROR(__xludf.DUMMYFUNCTION("""COMPUTED_VALUE"""),156.66)</f>
        <v>156.66</v>
      </c>
      <c r="D569" s="1">
        <f ca="1">IFERROR(__xludf.DUMMYFUNCTION("""COMPUTED_VALUE"""),153.99)</f>
        <v>153.99</v>
      </c>
      <c r="E569" s="1">
        <f ca="1">IFERROR(__xludf.DUMMYFUNCTION("""COMPUTED_VALUE"""),156.14)</f>
        <v>156.13999999999999</v>
      </c>
      <c r="F569" s="1">
        <f ca="1">IFERROR(__xludf.DUMMYFUNCTION("""COMPUTED_VALUE"""),16641530)</f>
        <v>16641530</v>
      </c>
    </row>
    <row r="570" spans="1:6" ht="12.6">
      <c r="A570" s="2">
        <f ca="1">IFERROR(__xludf.DUMMYFUNCTION("""COMPUTED_VALUE"""),45391.6666666666)</f>
        <v>45391.666666666599</v>
      </c>
      <c r="B570" s="1">
        <f ca="1">IFERROR(__xludf.DUMMYFUNCTION("""COMPUTED_VALUE"""),157.35)</f>
        <v>157.35</v>
      </c>
      <c r="C570" s="1">
        <f ca="1">IFERROR(__xludf.DUMMYFUNCTION("""COMPUTED_VALUE"""),159.89)</f>
        <v>159.88999999999999</v>
      </c>
      <c r="D570" s="1">
        <f ca="1">IFERROR(__xludf.DUMMYFUNCTION("""COMPUTED_VALUE"""),156.64)</f>
        <v>156.63999999999999</v>
      </c>
      <c r="E570" s="1">
        <f ca="1">IFERROR(__xludf.DUMMYFUNCTION("""COMPUTED_VALUE"""),158.14)</f>
        <v>158.13999999999999</v>
      </c>
      <c r="F570" s="1">
        <f ca="1">IFERROR(__xludf.DUMMYFUNCTION("""COMPUTED_VALUE"""),21538140)</f>
        <v>21538140</v>
      </c>
    </row>
    <row r="571" spans="1:6" ht="12.6">
      <c r="A571" s="2">
        <f ca="1">IFERROR(__xludf.DUMMYFUNCTION("""COMPUTED_VALUE"""),45392.6666666666)</f>
        <v>45392.666666666599</v>
      </c>
      <c r="B571" s="1">
        <f ca="1">IFERROR(__xludf.DUMMYFUNCTION("""COMPUTED_VALUE"""),157.88)</f>
        <v>157.88</v>
      </c>
      <c r="C571" s="1">
        <f ca="1">IFERROR(__xludf.DUMMYFUNCTION("""COMPUTED_VALUE"""),158.16)</f>
        <v>158.16</v>
      </c>
      <c r="D571" s="1">
        <f ca="1">IFERROR(__xludf.DUMMYFUNCTION("""COMPUTED_VALUE"""),156.2)</f>
        <v>156.19999999999999</v>
      </c>
      <c r="E571" s="1">
        <f ca="1">IFERROR(__xludf.DUMMYFUNCTION("""COMPUTED_VALUE"""),157.66)</f>
        <v>157.66</v>
      </c>
      <c r="F571" s="1">
        <f ca="1">IFERROR(__xludf.DUMMYFUNCTION("""COMPUTED_VALUE"""),16339174)</f>
        <v>16339174</v>
      </c>
    </row>
    <row r="572" spans="1:6" ht="12.6">
      <c r="A572" s="2">
        <f ca="1">IFERROR(__xludf.DUMMYFUNCTION("""COMPUTED_VALUE"""),45393.6666666666)</f>
        <v>45393.666666666599</v>
      </c>
      <c r="B572" s="1">
        <f ca="1">IFERROR(__xludf.DUMMYFUNCTION("""COMPUTED_VALUE"""),158.34)</f>
        <v>158.34</v>
      </c>
      <c r="C572" s="1">
        <f ca="1">IFERROR(__xludf.DUMMYFUNCTION("""COMPUTED_VALUE"""),161.12)</f>
        <v>161.12</v>
      </c>
      <c r="D572" s="1">
        <f ca="1">IFERROR(__xludf.DUMMYFUNCTION("""COMPUTED_VALUE"""),157.93)</f>
        <v>157.93</v>
      </c>
      <c r="E572" s="1">
        <f ca="1">IFERROR(__xludf.DUMMYFUNCTION("""COMPUTED_VALUE"""),160.79)</f>
        <v>160.79</v>
      </c>
      <c r="F572" s="1">
        <f ca="1">IFERROR(__xludf.DUMMYFUNCTION("""COMPUTED_VALUE"""),17841703)</f>
        <v>17841703</v>
      </c>
    </row>
    <row r="573" spans="1:6" ht="12.6">
      <c r="A573" s="2">
        <f ca="1">IFERROR(__xludf.DUMMYFUNCTION("""COMPUTED_VALUE"""),45394.6666666666)</f>
        <v>45394.666666666599</v>
      </c>
      <c r="B573" s="1">
        <f ca="1">IFERROR(__xludf.DUMMYFUNCTION("""COMPUTED_VALUE"""),159.41)</f>
        <v>159.41</v>
      </c>
      <c r="C573" s="1">
        <f ca="1">IFERROR(__xludf.DUMMYFUNCTION("""COMPUTED_VALUE"""),161.7)</f>
        <v>161.69999999999999</v>
      </c>
      <c r="D573" s="1">
        <f ca="1">IFERROR(__xludf.DUMMYFUNCTION("""COMPUTED_VALUE"""),158.6)</f>
        <v>158.6</v>
      </c>
      <c r="E573" s="1">
        <f ca="1">IFERROR(__xludf.DUMMYFUNCTION("""COMPUTED_VALUE"""),159.19)</f>
        <v>159.19</v>
      </c>
      <c r="F573" s="1">
        <f ca="1">IFERROR(__xludf.DUMMYFUNCTION("""COMPUTED_VALUE"""),16989765)</f>
        <v>16989765</v>
      </c>
    </row>
    <row r="574" spans="1:6" ht="12.6">
      <c r="A574" s="2">
        <f ca="1">IFERROR(__xludf.DUMMYFUNCTION("""COMPUTED_VALUE"""),45397.6666666666)</f>
        <v>45397.666666666599</v>
      </c>
      <c r="B574" s="1">
        <f ca="1">IFERROR(__xludf.DUMMYFUNCTION("""COMPUTED_VALUE"""),160.28)</f>
        <v>160.28</v>
      </c>
      <c r="C574" s="1">
        <f ca="1">IFERROR(__xludf.DUMMYFUNCTION("""COMPUTED_VALUE"""),160.83)</f>
        <v>160.83000000000001</v>
      </c>
      <c r="D574" s="1">
        <f ca="1">IFERROR(__xludf.DUMMYFUNCTION("""COMPUTED_VALUE"""),156.15)</f>
        <v>156.15</v>
      </c>
      <c r="E574" s="1">
        <f ca="1">IFERROR(__xludf.DUMMYFUNCTION("""COMPUTED_VALUE"""),156.33)</f>
        <v>156.33000000000001</v>
      </c>
      <c r="F574" s="1">
        <f ca="1">IFERROR(__xludf.DUMMYFUNCTION("""COMPUTED_VALUE"""),21140948)</f>
        <v>21140948</v>
      </c>
    </row>
    <row r="575" spans="1:6" ht="12.6">
      <c r="A575" s="2">
        <f ca="1">IFERROR(__xludf.DUMMYFUNCTION("""COMPUTED_VALUE"""),45398.6666666666)</f>
        <v>45398.666666666599</v>
      </c>
      <c r="B575" s="1">
        <f ca="1">IFERROR(__xludf.DUMMYFUNCTION("""COMPUTED_VALUE"""),155.64)</f>
        <v>155.63999999999999</v>
      </c>
      <c r="C575" s="1">
        <f ca="1">IFERROR(__xludf.DUMMYFUNCTION("""COMPUTED_VALUE"""),157.23)</f>
        <v>157.22999999999999</v>
      </c>
      <c r="D575" s="1">
        <f ca="1">IFERROR(__xludf.DUMMYFUNCTION("""COMPUTED_VALUE"""),155.05)</f>
        <v>155.05000000000001</v>
      </c>
      <c r="E575" s="1">
        <f ca="1">IFERROR(__xludf.DUMMYFUNCTION("""COMPUTED_VALUE"""),156)</f>
        <v>156</v>
      </c>
      <c r="F575" s="1">
        <f ca="1">IFERROR(__xludf.DUMMYFUNCTION("""COMPUTED_VALUE"""),15413201)</f>
        <v>15413201</v>
      </c>
    </row>
    <row r="576" spans="1:6" ht="12.6">
      <c r="A576" s="2">
        <f ca="1">IFERROR(__xludf.DUMMYFUNCTION("""COMPUTED_VALUE"""),45399.6666666666)</f>
        <v>45399.666666666599</v>
      </c>
      <c r="B576" s="1">
        <f ca="1">IFERROR(__xludf.DUMMYFUNCTION("""COMPUTED_VALUE"""),157.19)</f>
        <v>157.19</v>
      </c>
      <c r="C576" s="1">
        <f ca="1">IFERROR(__xludf.DUMMYFUNCTION("""COMPUTED_VALUE"""),158.68)</f>
        <v>158.68</v>
      </c>
      <c r="D576" s="1">
        <f ca="1">IFERROR(__xludf.DUMMYFUNCTION("""COMPUTED_VALUE"""),156.14)</f>
        <v>156.13999999999999</v>
      </c>
      <c r="E576" s="1">
        <f ca="1">IFERROR(__xludf.DUMMYFUNCTION("""COMPUTED_VALUE"""),156.88)</f>
        <v>156.88</v>
      </c>
      <c r="F576" s="1">
        <f ca="1">IFERROR(__xludf.DUMMYFUNCTION("""COMPUTED_VALUE"""),16237752)</f>
        <v>16237752</v>
      </c>
    </row>
    <row r="577" spans="1:6" ht="12.6">
      <c r="A577" s="2">
        <f ca="1">IFERROR(__xludf.DUMMYFUNCTION("""COMPUTED_VALUE"""),45400.6666666666)</f>
        <v>45400.666666666599</v>
      </c>
      <c r="B577" s="1">
        <f ca="1">IFERROR(__xludf.DUMMYFUNCTION("""COMPUTED_VALUE"""),156.93)</f>
        <v>156.93</v>
      </c>
      <c r="C577" s="1">
        <f ca="1">IFERROR(__xludf.DUMMYFUNCTION("""COMPUTED_VALUE"""),158.49)</f>
        <v>158.49</v>
      </c>
      <c r="D577" s="1">
        <f ca="1">IFERROR(__xludf.DUMMYFUNCTION("""COMPUTED_VALUE"""),156.21)</f>
        <v>156.21</v>
      </c>
      <c r="E577" s="1">
        <f ca="1">IFERROR(__xludf.DUMMYFUNCTION("""COMPUTED_VALUE"""),157.46)</f>
        <v>157.46</v>
      </c>
      <c r="F577" s="1">
        <f ca="1">IFERROR(__xludf.DUMMYFUNCTION("""COMPUTED_VALUE"""),14016065)</f>
        <v>14016065</v>
      </c>
    </row>
    <row r="578" spans="1:6" ht="12.6">
      <c r="A578" s="2">
        <f ca="1">IFERROR(__xludf.DUMMYFUNCTION("""COMPUTED_VALUE"""),45401.6666666666)</f>
        <v>45401.666666666599</v>
      </c>
      <c r="B578" s="1">
        <f ca="1">IFERROR(__xludf.DUMMYFUNCTION("""COMPUTED_VALUE"""),157.75)</f>
        <v>157.75</v>
      </c>
      <c r="C578" s="1">
        <f ca="1">IFERROR(__xludf.DUMMYFUNCTION("""COMPUTED_VALUE"""),157.99)</f>
        <v>157.99</v>
      </c>
      <c r="D578" s="1">
        <f ca="1">IFERROR(__xludf.DUMMYFUNCTION("""COMPUTED_VALUE"""),153.91)</f>
        <v>153.91</v>
      </c>
      <c r="E578" s="1">
        <f ca="1">IFERROR(__xludf.DUMMYFUNCTION("""COMPUTED_VALUE"""),155.72)</f>
        <v>155.72</v>
      </c>
      <c r="F578" s="1">
        <f ca="1">IFERROR(__xludf.DUMMYFUNCTION("""COMPUTED_VALUE"""),21479881)</f>
        <v>21479881</v>
      </c>
    </row>
    <row r="579" spans="1:6" ht="12.6">
      <c r="A579" s="2">
        <f ca="1">IFERROR(__xludf.DUMMYFUNCTION("""COMPUTED_VALUE"""),45404.6666666666)</f>
        <v>45404.666666666599</v>
      </c>
      <c r="B579" s="1">
        <f ca="1">IFERROR(__xludf.DUMMYFUNCTION("""COMPUTED_VALUE"""),156.01)</f>
        <v>156.01</v>
      </c>
      <c r="C579" s="1">
        <f ca="1">IFERROR(__xludf.DUMMYFUNCTION("""COMPUTED_VALUE"""),159.19)</f>
        <v>159.19</v>
      </c>
      <c r="D579" s="1">
        <f ca="1">IFERROR(__xludf.DUMMYFUNCTION("""COMPUTED_VALUE"""),155.66)</f>
        <v>155.66</v>
      </c>
      <c r="E579" s="1">
        <f ca="1">IFERROR(__xludf.DUMMYFUNCTION("""COMPUTED_VALUE"""),157.95)</f>
        <v>157.94999999999999</v>
      </c>
      <c r="F579" s="1">
        <f ca="1">IFERROR(__xludf.DUMMYFUNCTION("""COMPUTED_VALUE"""),17243870)</f>
        <v>17243870</v>
      </c>
    </row>
    <row r="580" spans="1:6" ht="12.6">
      <c r="A580" s="2">
        <f ca="1">IFERROR(__xludf.DUMMYFUNCTION("""COMPUTED_VALUE"""),45405.6666666666)</f>
        <v>45405.666666666599</v>
      </c>
      <c r="B580" s="1">
        <f ca="1">IFERROR(__xludf.DUMMYFUNCTION("""COMPUTED_VALUE"""),158.59)</f>
        <v>158.59</v>
      </c>
      <c r="C580" s="1">
        <f ca="1">IFERROR(__xludf.DUMMYFUNCTION("""COMPUTED_VALUE"""),160.48)</f>
        <v>160.47999999999999</v>
      </c>
      <c r="D580" s="1">
        <f ca="1">IFERROR(__xludf.DUMMYFUNCTION("""COMPUTED_VALUE"""),157.97)</f>
        <v>157.97</v>
      </c>
      <c r="E580" s="1">
        <f ca="1">IFERROR(__xludf.DUMMYFUNCTION("""COMPUTED_VALUE"""),159.92)</f>
        <v>159.91999999999999</v>
      </c>
      <c r="F580" s="1">
        <f ca="1">IFERROR(__xludf.DUMMYFUNCTION("""COMPUTED_VALUE"""),16115408)</f>
        <v>16115408</v>
      </c>
    </row>
    <row r="581" spans="1:6" ht="12.6">
      <c r="A581" s="2">
        <f ca="1">IFERROR(__xludf.DUMMYFUNCTION("""COMPUTED_VALUE"""),45406.6666666666)</f>
        <v>45406.666666666599</v>
      </c>
      <c r="B581" s="1">
        <f ca="1">IFERROR(__xludf.DUMMYFUNCTION("""COMPUTED_VALUE"""),159.09)</f>
        <v>159.09</v>
      </c>
      <c r="C581" s="1">
        <f ca="1">IFERROR(__xludf.DUMMYFUNCTION("""COMPUTED_VALUE"""),161.39)</f>
        <v>161.38999999999999</v>
      </c>
      <c r="D581" s="1">
        <f ca="1">IFERROR(__xludf.DUMMYFUNCTION("""COMPUTED_VALUE"""),158.82)</f>
        <v>158.82</v>
      </c>
      <c r="E581" s="1">
        <f ca="1">IFERROR(__xludf.DUMMYFUNCTION("""COMPUTED_VALUE"""),161.1)</f>
        <v>161.1</v>
      </c>
      <c r="F581" s="1">
        <f ca="1">IFERROR(__xludf.DUMMYFUNCTION("""COMPUTED_VALUE"""),19485694)</f>
        <v>19485694</v>
      </c>
    </row>
    <row r="582" spans="1:6" ht="12.6">
      <c r="A582" s="2">
        <f ca="1">IFERROR(__xludf.DUMMYFUNCTION("""COMPUTED_VALUE"""),45407.6666666666)</f>
        <v>45407.666666666599</v>
      </c>
      <c r="B582" s="1">
        <f ca="1">IFERROR(__xludf.DUMMYFUNCTION("""COMPUTED_VALUE"""),153.36)</f>
        <v>153.36000000000001</v>
      </c>
      <c r="C582" s="1">
        <f ca="1">IFERROR(__xludf.DUMMYFUNCTION("""COMPUTED_VALUE"""),158.28)</f>
        <v>158.28</v>
      </c>
      <c r="D582" s="1">
        <f ca="1">IFERROR(__xludf.DUMMYFUNCTION("""COMPUTED_VALUE"""),152.77)</f>
        <v>152.77000000000001</v>
      </c>
      <c r="E582" s="1">
        <f ca="1">IFERROR(__xludf.DUMMYFUNCTION("""COMPUTED_VALUE"""),157.95)</f>
        <v>157.94999999999999</v>
      </c>
      <c r="F582" s="1">
        <f ca="1">IFERROR(__xludf.DUMMYFUNCTION("""COMPUTED_VALUE"""),36197789)</f>
        <v>36197789</v>
      </c>
    </row>
    <row r="583" spans="1:6" ht="12.6">
      <c r="A583" s="2">
        <f ca="1">IFERROR(__xludf.DUMMYFUNCTION("""COMPUTED_VALUE"""),45408.6666666666)</f>
        <v>45408.666666666599</v>
      </c>
      <c r="B583" s="1">
        <f ca="1">IFERROR(__xludf.DUMMYFUNCTION("""COMPUTED_VALUE"""),175.99)</f>
        <v>175.99</v>
      </c>
      <c r="C583" s="1">
        <f ca="1">IFERROR(__xludf.DUMMYFUNCTION("""COMPUTED_VALUE"""),176.42)</f>
        <v>176.42</v>
      </c>
      <c r="D583" s="1">
        <f ca="1">IFERROR(__xludf.DUMMYFUNCTION("""COMPUTED_VALUE"""),171.4)</f>
        <v>171.4</v>
      </c>
      <c r="E583" s="1">
        <f ca="1">IFERROR(__xludf.DUMMYFUNCTION("""COMPUTED_VALUE"""),173.69)</f>
        <v>173.69</v>
      </c>
      <c r="F583" s="1">
        <f ca="1">IFERROR(__xludf.DUMMYFUNCTION("""COMPUTED_VALUE"""),56500787)</f>
        <v>56500787</v>
      </c>
    </row>
    <row r="584" spans="1:6" ht="12.6">
      <c r="A584" s="2">
        <f ca="1">IFERROR(__xludf.DUMMYFUNCTION("""COMPUTED_VALUE"""),45411.6666666666)</f>
        <v>45411.666666666599</v>
      </c>
      <c r="B584" s="1">
        <f ca="1">IFERROR(__xludf.DUMMYFUNCTION("""COMPUTED_VALUE"""),170.77)</f>
        <v>170.77</v>
      </c>
      <c r="C584" s="1">
        <f ca="1">IFERROR(__xludf.DUMMYFUNCTION("""COMPUTED_VALUE"""),171.38)</f>
        <v>171.38</v>
      </c>
      <c r="D584" s="1">
        <f ca="1">IFERROR(__xludf.DUMMYFUNCTION("""COMPUTED_VALUE"""),167.06)</f>
        <v>167.06</v>
      </c>
      <c r="E584" s="1">
        <f ca="1">IFERROR(__xludf.DUMMYFUNCTION("""COMPUTED_VALUE"""),167.9)</f>
        <v>167.9</v>
      </c>
      <c r="F584" s="1">
        <f ca="1">IFERROR(__xludf.DUMMYFUNCTION("""COMPUTED_VALUE"""),35914561)</f>
        <v>35914561</v>
      </c>
    </row>
    <row r="585" spans="1:6" ht="12.6">
      <c r="A585" s="2">
        <f ca="1">IFERROR(__xludf.DUMMYFUNCTION("""COMPUTED_VALUE"""),45412.6666666666)</f>
        <v>45412.666666666599</v>
      </c>
      <c r="B585" s="1">
        <f ca="1">IFERROR(__xludf.DUMMYFUNCTION("""COMPUTED_VALUE"""),167.38)</f>
        <v>167.38</v>
      </c>
      <c r="C585" s="1">
        <f ca="1">IFERROR(__xludf.DUMMYFUNCTION("""COMPUTED_VALUE"""),169.87)</f>
        <v>169.87</v>
      </c>
      <c r="D585" s="1">
        <f ca="1">IFERROR(__xludf.DUMMYFUNCTION("""COMPUTED_VALUE"""),164.5)</f>
        <v>164.5</v>
      </c>
      <c r="E585" s="1">
        <f ca="1">IFERROR(__xludf.DUMMYFUNCTION("""COMPUTED_VALUE"""),164.64)</f>
        <v>164.64</v>
      </c>
      <c r="F585" s="1">
        <f ca="1">IFERROR(__xludf.DUMMYFUNCTION("""COMPUTED_VALUE"""),29420755)</f>
        <v>29420755</v>
      </c>
    </row>
    <row r="586" spans="1:6" ht="12.6">
      <c r="A586" s="2">
        <f ca="1">IFERROR(__xludf.DUMMYFUNCTION("""COMPUTED_VALUE"""),45413.6666666666)</f>
        <v>45413.666666666599</v>
      </c>
      <c r="B586" s="1">
        <f ca="1">IFERROR(__xludf.DUMMYFUNCTION("""COMPUTED_VALUE"""),166.18)</f>
        <v>166.18</v>
      </c>
      <c r="C586" s="1">
        <f ca="1">IFERROR(__xludf.DUMMYFUNCTION("""COMPUTED_VALUE"""),168.81)</f>
        <v>168.81</v>
      </c>
      <c r="D586" s="1">
        <f ca="1">IFERROR(__xludf.DUMMYFUNCTION("""COMPUTED_VALUE"""),164.9)</f>
        <v>164.9</v>
      </c>
      <c r="E586" s="1">
        <f ca="1">IFERROR(__xludf.DUMMYFUNCTION("""COMPUTED_VALUE"""),165.57)</f>
        <v>165.57</v>
      </c>
      <c r="F586" s="1">
        <f ca="1">IFERROR(__xludf.DUMMYFUNCTION("""COMPUTED_VALUE"""),25223245)</f>
        <v>25223245</v>
      </c>
    </row>
    <row r="587" spans="1:6" ht="12.6">
      <c r="A587" s="2">
        <f ca="1">IFERROR(__xludf.DUMMYFUNCTION("""COMPUTED_VALUE"""),45414.6666666666)</f>
        <v>45414.666666666599</v>
      </c>
      <c r="B587" s="1">
        <f ca="1">IFERROR(__xludf.DUMMYFUNCTION("""COMPUTED_VALUE"""),166.67)</f>
        <v>166.67</v>
      </c>
      <c r="C587" s="1">
        <f ca="1">IFERROR(__xludf.DUMMYFUNCTION("""COMPUTED_VALUE"""),168.53)</f>
        <v>168.53</v>
      </c>
      <c r="D587" s="1">
        <f ca="1">IFERROR(__xludf.DUMMYFUNCTION("""COMPUTED_VALUE"""),165.69)</f>
        <v>165.69</v>
      </c>
      <c r="E587" s="1">
        <f ca="1">IFERROR(__xludf.DUMMYFUNCTION("""COMPUTED_VALUE"""),168.46)</f>
        <v>168.46</v>
      </c>
      <c r="F587" s="1">
        <f ca="1">IFERROR(__xludf.DUMMYFUNCTION("""COMPUTED_VALUE"""),17041119)</f>
        <v>17041119</v>
      </c>
    </row>
    <row r="588" spans="1:6" ht="12.6">
      <c r="A588" s="2">
        <f ca="1">IFERROR(__xludf.DUMMYFUNCTION("""COMPUTED_VALUE"""),45415.6666666666)</f>
        <v>45415.666666666599</v>
      </c>
      <c r="B588" s="1">
        <f ca="1">IFERROR(__xludf.DUMMYFUNCTION("""COMPUTED_VALUE"""),169.54)</f>
        <v>169.54</v>
      </c>
      <c r="C588" s="1">
        <f ca="1">IFERROR(__xludf.DUMMYFUNCTION("""COMPUTED_VALUE"""),169.85)</f>
        <v>169.85</v>
      </c>
      <c r="D588" s="1">
        <f ca="1">IFERROR(__xludf.DUMMYFUNCTION("""COMPUTED_VALUE"""),164.98)</f>
        <v>164.98</v>
      </c>
      <c r="E588" s="1">
        <f ca="1">IFERROR(__xludf.DUMMYFUNCTION("""COMPUTED_VALUE"""),168.99)</f>
        <v>168.99</v>
      </c>
      <c r="F588" s="1">
        <f ca="1">IFERROR(__xludf.DUMMYFUNCTION("""COMPUTED_VALUE"""),22767056)</f>
        <v>22767056</v>
      </c>
    </row>
    <row r="589" spans="1:6" ht="12.6">
      <c r="A589" s="2">
        <f ca="1">IFERROR(__xludf.DUMMYFUNCTION("""COMPUTED_VALUE"""),45418.6666666666)</f>
        <v>45418.666666666599</v>
      </c>
      <c r="B589" s="1">
        <f ca="1">IFERROR(__xludf.DUMMYFUNCTION("""COMPUTED_VALUE"""),169.22)</f>
        <v>169.22</v>
      </c>
      <c r="C589" s="1">
        <f ca="1">IFERROR(__xludf.DUMMYFUNCTION("""COMPUTED_VALUE"""),169.9)</f>
        <v>169.9</v>
      </c>
      <c r="D589" s="1">
        <f ca="1">IFERROR(__xludf.DUMMYFUNCTION("""COMPUTED_VALUE"""),167.89)</f>
        <v>167.89</v>
      </c>
      <c r="E589" s="1">
        <f ca="1">IFERROR(__xludf.DUMMYFUNCTION("""COMPUTED_VALUE"""),169.83)</f>
        <v>169.83</v>
      </c>
      <c r="F589" s="1">
        <f ca="1">IFERROR(__xludf.DUMMYFUNCTION("""COMPUTED_VALUE"""),15147906)</f>
        <v>15147906</v>
      </c>
    </row>
    <row r="590" spans="1:6" ht="12.6">
      <c r="A590" s="2">
        <f ca="1">IFERROR(__xludf.DUMMYFUNCTION("""COMPUTED_VALUE"""),45419.6666666666)</f>
        <v>45419.666666666599</v>
      </c>
      <c r="B590" s="1">
        <f ca="1">IFERROR(__xludf.DUMMYFUNCTION("""COMPUTED_VALUE"""),170.12)</f>
        <v>170.12</v>
      </c>
      <c r="C590" s="1">
        <f ca="1">IFERROR(__xludf.DUMMYFUNCTION("""COMPUTED_VALUE"""),173.47)</f>
        <v>173.47</v>
      </c>
      <c r="D590" s="1">
        <f ca="1">IFERROR(__xludf.DUMMYFUNCTION("""COMPUTED_VALUE"""),170)</f>
        <v>170</v>
      </c>
      <c r="E590" s="1">
        <f ca="1">IFERROR(__xludf.DUMMYFUNCTION("""COMPUTED_VALUE"""),172.98)</f>
        <v>172.98</v>
      </c>
      <c r="F590" s="1">
        <f ca="1">IFERROR(__xludf.DUMMYFUNCTION("""COMPUTED_VALUE"""),21102434)</f>
        <v>21102434</v>
      </c>
    </row>
    <row r="591" spans="1:6" ht="12.6">
      <c r="A591" s="2">
        <f ca="1">IFERROR(__xludf.DUMMYFUNCTION("""COMPUTED_VALUE"""),45420.6666666666)</f>
        <v>45420.666666666599</v>
      </c>
      <c r="B591" s="1">
        <f ca="1">IFERROR(__xludf.DUMMYFUNCTION("""COMPUTED_VALUE"""),170.75)</f>
        <v>170.75</v>
      </c>
      <c r="C591" s="1">
        <f ca="1">IFERROR(__xludf.DUMMYFUNCTION("""COMPUTED_VALUE"""),171.91)</f>
        <v>171.91</v>
      </c>
      <c r="D591" s="1">
        <f ca="1">IFERROR(__xludf.DUMMYFUNCTION("""COMPUTED_VALUE"""),170.52)</f>
        <v>170.52</v>
      </c>
      <c r="E591" s="1">
        <f ca="1">IFERROR(__xludf.DUMMYFUNCTION("""COMPUTED_VALUE"""),171.16)</f>
        <v>171.16</v>
      </c>
      <c r="F591" s="1">
        <f ca="1">IFERROR(__xludf.DUMMYFUNCTION("""COMPUTED_VALUE"""),14569858)</f>
        <v>14569858</v>
      </c>
    </row>
    <row r="592" spans="1:6" ht="12.6">
      <c r="A592" s="2">
        <f ca="1">IFERROR(__xludf.DUMMYFUNCTION("""COMPUTED_VALUE"""),45421.6666666666)</f>
        <v>45421.666666666599</v>
      </c>
      <c r="B592" s="1">
        <f ca="1">IFERROR(__xludf.DUMMYFUNCTION("""COMPUTED_VALUE"""),171.15)</f>
        <v>171.15</v>
      </c>
      <c r="C592" s="1">
        <f ca="1">IFERROR(__xludf.DUMMYFUNCTION("""COMPUTED_VALUE"""),172.44)</f>
        <v>172.44</v>
      </c>
      <c r="D592" s="1">
        <f ca="1">IFERROR(__xludf.DUMMYFUNCTION("""COMPUTED_VALUE"""),169.93)</f>
        <v>169.93</v>
      </c>
      <c r="E592" s="1">
        <f ca="1">IFERROR(__xludf.DUMMYFUNCTION("""COMPUTED_VALUE"""),171.58)</f>
        <v>171.58</v>
      </c>
      <c r="F592" s="1">
        <f ca="1">IFERROR(__xludf.DUMMYFUNCTION("""COMPUTED_VALUE"""),11937704)</f>
        <v>11937704</v>
      </c>
    </row>
    <row r="593" spans="1:6" ht="12.6">
      <c r="A593" s="2">
        <f ca="1">IFERROR(__xludf.DUMMYFUNCTION("""COMPUTED_VALUE"""),45422.6666666666)</f>
        <v>45422.666666666599</v>
      </c>
      <c r="B593" s="1">
        <f ca="1">IFERROR(__xludf.DUMMYFUNCTION("""COMPUTED_VALUE"""),169.69)</f>
        <v>169.69</v>
      </c>
      <c r="C593" s="1">
        <f ca="1">IFERROR(__xludf.DUMMYFUNCTION("""COMPUTED_VALUE"""),171.34)</f>
        <v>171.34</v>
      </c>
      <c r="D593" s="1">
        <f ca="1">IFERROR(__xludf.DUMMYFUNCTION("""COMPUTED_VALUE"""),167.91)</f>
        <v>167.91</v>
      </c>
      <c r="E593" s="1">
        <f ca="1">IFERROR(__xludf.DUMMYFUNCTION("""COMPUTED_VALUE"""),170.29)</f>
        <v>170.29</v>
      </c>
      <c r="F593" s="1">
        <f ca="1">IFERROR(__xludf.DUMMYFUNCTION("""COMPUTED_VALUE"""),18740458)</f>
        <v>18740458</v>
      </c>
    </row>
    <row r="594" spans="1:6" ht="12.6">
      <c r="A594" s="2">
        <f ca="1">IFERROR(__xludf.DUMMYFUNCTION("""COMPUTED_VALUE"""),45425.6666666666)</f>
        <v>45425.666666666599</v>
      </c>
      <c r="B594" s="1">
        <f ca="1">IFERROR(__xludf.DUMMYFUNCTION("""COMPUTED_VALUE"""),165.85)</f>
        <v>165.85</v>
      </c>
      <c r="C594" s="1">
        <f ca="1">IFERROR(__xludf.DUMMYFUNCTION("""COMPUTED_VALUE"""),170.95)</f>
        <v>170.95</v>
      </c>
      <c r="D594" s="1">
        <f ca="1">IFERROR(__xludf.DUMMYFUNCTION("""COMPUTED_VALUE"""),165.76)</f>
        <v>165.76</v>
      </c>
      <c r="E594" s="1">
        <f ca="1">IFERROR(__xludf.DUMMYFUNCTION("""COMPUTED_VALUE"""),170.9)</f>
        <v>170.9</v>
      </c>
      <c r="F594" s="1">
        <f ca="1">IFERROR(__xludf.DUMMYFUNCTION("""COMPUTED_VALUE"""),19648585)</f>
        <v>19648585</v>
      </c>
    </row>
    <row r="595" spans="1:6" ht="12.6">
      <c r="A595" s="2">
        <f ca="1">IFERROR(__xludf.DUMMYFUNCTION("""COMPUTED_VALUE"""),45426.6666666666)</f>
        <v>45426.666666666599</v>
      </c>
      <c r="B595" s="1">
        <f ca="1">IFERROR(__xludf.DUMMYFUNCTION("""COMPUTED_VALUE"""),171.59)</f>
        <v>171.59</v>
      </c>
      <c r="C595" s="1">
        <f ca="1">IFERROR(__xludf.DUMMYFUNCTION("""COMPUTED_VALUE"""),172.78)</f>
        <v>172.78</v>
      </c>
      <c r="D595" s="1">
        <f ca="1">IFERROR(__xludf.DUMMYFUNCTION("""COMPUTED_VALUE"""),170.42)</f>
        <v>170.42</v>
      </c>
      <c r="E595" s="1">
        <f ca="1">IFERROR(__xludf.DUMMYFUNCTION("""COMPUTED_VALUE"""),171.93)</f>
        <v>171.93</v>
      </c>
      <c r="F595" s="1">
        <f ca="1">IFERROR(__xludf.DUMMYFUNCTION("""COMPUTED_VALUE"""),18729463)</f>
        <v>18729463</v>
      </c>
    </row>
    <row r="596" spans="1:6" ht="12.6">
      <c r="A596" s="2">
        <f ca="1">IFERROR(__xludf.DUMMYFUNCTION("""COMPUTED_VALUE"""),45427.6666666666)</f>
        <v>45427.666666666599</v>
      </c>
      <c r="B596" s="1">
        <f ca="1">IFERROR(__xludf.DUMMYFUNCTION("""COMPUTED_VALUE"""),172.3)</f>
        <v>172.3</v>
      </c>
      <c r="C596" s="1">
        <f ca="1">IFERROR(__xludf.DUMMYFUNCTION("""COMPUTED_VALUE"""),174.05)</f>
        <v>174.05</v>
      </c>
      <c r="D596" s="1">
        <f ca="1">IFERROR(__xludf.DUMMYFUNCTION("""COMPUTED_VALUE"""),172.03)</f>
        <v>172.03</v>
      </c>
      <c r="E596" s="1">
        <f ca="1">IFERROR(__xludf.DUMMYFUNCTION("""COMPUTED_VALUE"""),173.88)</f>
        <v>173.88</v>
      </c>
      <c r="F596" s="1">
        <f ca="1">IFERROR(__xludf.DUMMYFUNCTION("""COMPUTED_VALUE"""),20958245)</f>
        <v>20958245</v>
      </c>
    </row>
    <row r="597" spans="1:6" ht="12.6">
      <c r="A597" s="2">
        <f ca="1">IFERROR(__xludf.DUMMYFUNCTION("""COMPUTED_VALUE"""),45428.6666666666)</f>
        <v>45428.666666666599</v>
      </c>
      <c r="B597" s="1">
        <f ca="1">IFERROR(__xludf.DUMMYFUNCTION("""COMPUTED_VALUE"""),174.6)</f>
        <v>174.6</v>
      </c>
      <c r="C597" s="1">
        <f ca="1">IFERROR(__xludf.DUMMYFUNCTION("""COMPUTED_VALUE"""),176.34)</f>
        <v>176.34</v>
      </c>
      <c r="D597" s="1">
        <f ca="1">IFERROR(__xludf.DUMMYFUNCTION("""COMPUTED_VALUE"""),174.05)</f>
        <v>174.05</v>
      </c>
      <c r="E597" s="1">
        <f ca="1">IFERROR(__xludf.DUMMYFUNCTION("""COMPUTED_VALUE"""),175.43)</f>
        <v>175.43</v>
      </c>
      <c r="F597" s="1">
        <f ca="1">IFERROR(__xludf.DUMMYFUNCTION("""COMPUTED_VALUE"""),17247311)</f>
        <v>17247311</v>
      </c>
    </row>
    <row r="598" spans="1:6" ht="12.6">
      <c r="A598" s="2">
        <f ca="1">IFERROR(__xludf.DUMMYFUNCTION("""COMPUTED_VALUE"""),45429.6666666666)</f>
        <v>45429.666666666599</v>
      </c>
      <c r="B598" s="1">
        <f ca="1">IFERROR(__xludf.DUMMYFUNCTION("""COMPUTED_VALUE"""),175.55)</f>
        <v>175.55</v>
      </c>
      <c r="C598" s="1">
        <f ca="1">IFERROR(__xludf.DUMMYFUNCTION("""COMPUTED_VALUE"""),177.5)</f>
        <v>177.5</v>
      </c>
      <c r="D598" s="1">
        <f ca="1">IFERROR(__xludf.DUMMYFUNCTION("""COMPUTED_VALUE"""),174.98)</f>
        <v>174.98</v>
      </c>
      <c r="E598" s="1">
        <f ca="1">IFERROR(__xludf.DUMMYFUNCTION("""COMPUTED_VALUE"""),177.29)</f>
        <v>177.29</v>
      </c>
      <c r="F598" s="1">
        <f ca="1">IFERROR(__xludf.DUMMYFUNCTION("""COMPUTED_VALUE"""),16546353)</f>
        <v>16546353</v>
      </c>
    </row>
    <row r="599" spans="1:6" ht="12.6">
      <c r="A599" s="2">
        <f ca="1">IFERROR(__xludf.DUMMYFUNCTION("""COMPUTED_VALUE"""),45432.6666666666)</f>
        <v>45432.666666666599</v>
      </c>
      <c r="B599" s="1">
        <f ca="1">IFERROR(__xludf.DUMMYFUNCTION("""COMPUTED_VALUE"""),177.31)</f>
        <v>177.31</v>
      </c>
      <c r="C599" s="1">
        <f ca="1">IFERROR(__xludf.DUMMYFUNCTION("""COMPUTED_VALUE"""),179.95)</f>
        <v>179.95</v>
      </c>
      <c r="D599" s="1">
        <f ca="1">IFERROR(__xludf.DUMMYFUNCTION("""COMPUTED_VALUE"""),177.23)</f>
        <v>177.23</v>
      </c>
      <c r="E599" s="1">
        <f ca="1">IFERROR(__xludf.DUMMYFUNCTION("""COMPUTED_VALUE"""),178.46)</f>
        <v>178.46</v>
      </c>
      <c r="F599" s="1">
        <f ca="1">IFERROR(__xludf.DUMMYFUNCTION("""COMPUTED_VALUE"""),17495122)</f>
        <v>17495122</v>
      </c>
    </row>
    <row r="600" spans="1:6" ht="12.6">
      <c r="A600" s="2">
        <f ca="1">IFERROR(__xludf.DUMMYFUNCTION("""COMPUTED_VALUE"""),45433.6666666666)</f>
        <v>45433.666666666599</v>
      </c>
      <c r="B600" s="1">
        <f ca="1">IFERROR(__xludf.DUMMYFUNCTION("""COMPUTED_VALUE"""),178.4)</f>
        <v>178.4</v>
      </c>
      <c r="C600" s="1">
        <f ca="1">IFERROR(__xludf.DUMMYFUNCTION("""COMPUTED_VALUE"""),179.82)</f>
        <v>179.82</v>
      </c>
      <c r="D600" s="1">
        <f ca="1">IFERROR(__xludf.DUMMYFUNCTION("""COMPUTED_VALUE"""),177.31)</f>
        <v>177.31</v>
      </c>
      <c r="E600" s="1">
        <f ca="1">IFERROR(__xludf.DUMMYFUNCTION("""COMPUTED_VALUE"""),179.54)</f>
        <v>179.54</v>
      </c>
      <c r="F600" s="1">
        <f ca="1">IFERROR(__xludf.DUMMYFUNCTION("""COMPUTED_VALUE"""),14706021)</f>
        <v>14706021</v>
      </c>
    </row>
    <row r="601" spans="1:6" ht="12.6">
      <c r="A601" s="2">
        <f ca="1">IFERROR(__xludf.DUMMYFUNCTION("""COMPUTED_VALUE"""),45434.6666666666)</f>
        <v>45434.666666666599</v>
      </c>
      <c r="B601" s="1">
        <f ca="1">IFERROR(__xludf.DUMMYFUNCTION("""COMPUTED_VALUE"""),178.4)</f>
        <v>178.4</v>
      </c>
      <c r="C601" s="1">
        <f ca="1">IFERROR(__xludf.DUMMYFUNCTION("""COMPUTED_VALUE"""),178.85)</f>
        <v>178.85</v>
      </c>
      <c r="D601" s="1">
        <f ca="1">IFERROR(__xludf.DUMMYFUNCTION("""COMPUTED_VALUE"""),176.78)</f>
        <v>176.78</v>
      </c>
      <c r="E601" s="1">
        <f ca="1">IFERROR(__xludf.DUMMYFUNCTION("""COMPUTED_VALUE"""),178)</f>
        <v>178</v>
      </c>
      <c r="F601" s="1">
        <f ca="1">IFERROR(__xludf.DUMMYFUNCTION("""COMPUTED_VALUE"""),16189404)</f>
        <v>16189404</v>
      </c>
    </row>
    <row r="602" spans="1:6" ht="12.6">
      <c r="A602" s="2">
        <f ca="1">IFERROR(__xludf.DUMMYFUNCTION("""COMPUTED_VALUE"""),45435.6666666666)</f>
        <v>45435.666666666599</v>
      </c>
      <c r="B602" s="1">
        <f ca="1">IFERROR(__xludf.DUMMYFUNCTION("""COMPUTED_VALUE"""),178.78)</f>
        <v>178.78</v>
      </c>
      <c r="C602" s="1">
        <f ca="1">IFERROR(__xludf.DUMMYFUNCTION("""COMPUTED_VALUE"""),179.91)</f>
        <v>179.91</v>
      </c>
      <c r="D602" s="1">
        <f ca="1">IFERROR(__xludf.DUMMYFUNCTION("""COMPUTED_VALUE"""),174.54)</f>
        <v>174.54</v>
      </c>
      <c r="E602" s="1">
        <f ca="1">IFERROR(__xludf.DUMMYFUNCTION("""COMPUTED_VALUE"""),175.06)</f>
        <v>175.06</v>
      </c>
      <c r="F602" s="1">
        <f ca="1">IFERROR(__xludf.DUMMYFUNCTION("""COMPUTED_VALUE"""),14928363)</f>
        <v>14928363</v>
      </c>
    </row>
    <row r="603" spans="1:6" ht="12.6">
      <c r="A603" s="2">
        <f ca="1">IFERROR(__xludf.DUMMYFUNCTION("""COMPUTED_VALUE"""),45436.6666666666)</f>
        <v>45436.666666666599</v>
      </c>
      <c r="B603" s="1">
        <f ca="1">IFERROR(__xludf.DUMMYFUNCTION("""COMPUTED_VALUE"""),176.52)</f>
        <v>176.52</v>
      </c>
      <c r="C603" s="1">
        <f ca="1">IFERROR(__xludf.DUMMYFUNCTION("""COMPUTED_VALUE"""),177.3)</f>
        <v>177.3</v>
      </c>
      <c r="D603" s="1">
        <f ca="1">IFERROR(__xludf.DUMMYFUNCTION("""COMPUTED_VALUE"""),175.2)</f>
        <v>175.2</v>
      </c>
      <c r="E603" s="1">
        <f ca="1">IFERROR(__xludf.DUMMYFUNCTION("""COMPUTED_VALUE"""),176.33)</f>
        <v>176.33</v>
      </c>
      <c r="F603" s="1">
        <f ca="1">IFERROR(__xludf.DUMMYFUNCTION("""COMPUTED_VALUE"""),11403560)</f>
        <v>11403560</v>
      </c>
    </row>
    <row r="604" spans="1:6" ht="12.6">
      <c r="A604" s="2">
        <f ca="1">IFERROR(__xludf.DUMMYFUNCTION("""COMPUTED_VALUE"""),45440.6666666666)</f>
        <v>45440.666666666599</v>
      </c>
      <c r="B604" s="1">
        <f ca="1">IFERROR(__xludf.DUMMYFUNCTION("""COMPUTED_VALUE"""),175.74)</f>
        <v>175.74</v>
      </c>
      <c r="C604" s="1">
        <f ca="1">IFERROR(__xludf.DUMMYFUNCTION("""COMPUTED_VALUE"""),178.51)</f>
        <v>178.51</v>
      </c>
      <c r="D604" s="1">
        <f ca="1">IFERROR(__xludf.DUMMYFUNCTION("""COMPUTED_VALUE"""),175.68)</f>
        <v>175.68</v>
      </c>
      <c r="E604" s="1">
        <f ca="1">IFERROR(__xludf.DUMMYFUNCTION("""COMPUTED_VALUE"""),178.02)</f>
        <v>178.02</v>
      </c>
      <c r="F604" s="1">
        <f ca="1">IFERROR(__xludf.DUMMYFUNCTION("""COMPUTED_VALUE"""),15655340)</f>
        <v>15655340</v>
      </c>
    </row>
    <row r="605" spans="1:6" ht="12.6">
      <c r="A605" s="2">
        <f ca="1">IFERROR(__xludf.DUMMYFUNCTION("""COMPUTED_VALUE"""),45441.6666666666)</f>
        <v>45441.666666666599</v>
      </c>
      <c r="B605" s="1">
        <f ca="1">IFERROR(__xludf.DUMMYFUNCTION("""COMPUTED_VALUE"""),176.81)</f>
        <v>176.81</v>
      </c>
      <c r="C605" s="1">
        <f ca="1">IFERROR(__xludf.DUMMYFUNCTION("""COMPUTED_VALUE"""),178.23)</f>
        <v>178.23</v>
      </c>
      <c r="D605" s="1">
        <f ca="1">IFERROR(__xludf.DUMMYFUNCTION("""COMPUTED_VALUE"""),176.26)</f>
        <v>176.26</v>
      </c>
      <c r="E605" s="1">
        <f ca="1">IFERROR(__xludf.DUMMYFUNCTION("""COMPUTED_VALUE"""),177.4)</f>
        <v>177.4</v>
      </c>
      <c r="F605" s="1">
        <f ca="1">IFERROR(__xludf.DUMMYFUNCTION("""COMPUTED_VALUE"""),15023847)</f>
        <v>15023847</v>
      </c>
    </row>
    <row r="606" spans="1:6" ht="12.6">
      <c r="A606" s="2">
        <f ca="1">IFERROR(__xludf.DUMMYFUNCTION("""COMPUTED_VALUE"""),45442.6666666666)</f>
        <v>45442.666666666599</v>
      </c>
      <c r="B606" s="1">
        <f ca="1">IFERROR(__xludf.DUMMYFUNCTION("""COMPUTED_VALUE"""),176.69)</f>
        <v>176.69</v>
      </c>
      <c r="C606" s="1">
        <f ca="1">IFERROR(__xludf.DUMMYFUNCTION("""COMPUTED_VALUE"""),176.69)</f>
        <v>176.69</v>
      </c>
      <c r="D606" s="1">
        <f ca="1">IFERROR(__xludf.DUMMYFUNCTION("""COMPUTED_VALUE"""),173.23)</f>
        <v>173.23</v>
      </c>
      <c r="E606" s="1">
        <f ca="1">IFERROR(__xludf.DUMMYFUNCTION("""COMPUTED_VALUE"""),173.56)</f>
        <v>173.56</v>
      </c>
      <c r="F606" s="1">
        <f ca="1">IFERROR(__xludf.DUMMYFUNCTION("""COMPUTED_VALUE"""),18844036)</f>
        <v>18844036</v>
      </c>
    </row>
    <row r="607" spans="1:6" ht="12.6">
      <c r="A607" s="2">
        <f ca="1">IFERROR(__xludf.DUMMYFUNCTION("""COMPUTED_VALUE"""),45443.6666666666)</f>
        <v>45443.666666666599</v>
      </c>
      <c r="B607" s="1">
        <f ca="1">IFERROR(__xludf.DUMMYFUNCTION("""COMPUTED_VALUE"""),173.4)</f>
        <v>173.4</v>
      </c>
      <c r="C607" s="1">
        <f ca="1">IFERROR(__xludf.DUMMYFUNCTION("""COMPUTED_VALUE"""),174.42)</f>
        <v>174.42</v>
      </c>
      <c r="D607" s="1">
        <f ca="1">IFERROR(__xludf.DUMMYFUNCTION("""COMPUTED_VALUE"""),170.97)</f>
        <v>170.97</v>
      </c>
      <c r="E607" s="1">
        <f ca="1">IFERROR(__xludf.DUMMYFUNCTION("""COMPUTED_VALUE"""),173.96)</f>
        <v>173.96</v>
      </c>
      <c r="F607" s="1">
        <f ca="1">IFERROR(__xludf.DUMMYFUNCTION("""COMPUTED_VALUE"""),28085151)</f>
        <v>28085151</v>
      </c>
    </row>
    <row r="608" spans="1:6" ht="12.6">
      <c r="A608" s="2">
        <f ca="1">IFERROR(__xludf.DUMMYFUNCTION("""COMPUTED_VALUE"""),45446.6666666666)</f>
        <v>45446.666666666599</v>
      </c>
      <c r="B608" s="1">
        <f ca="1">IFERROR(__xludf.DUMMYFUNCTION("""COMPUTED_VALUE"""),173.88)</f>
        <v>173.88</v>
      </c>
      <c r="C608" s="1">
        <f ca="1">IFERROR(__xludf.DUMMYFUNCTION("""COMPUTED_VALUE"""),175.86)</f>
        <v>175.86</v>
      </c>
      <c r="D608" s="1">
        <f ca="1">IFERROR(__xludf.DUMMYFUNCTION("""COMPUTED_VALUE"""),172.45)</f>
        <v>172.45</v>
      </c>
      <c r="E608" s="1">
        <f ca="1">IFERROR(__xludf.DUMMYFUNCTION("""COMPUTED_VALUE"""),174.42)</f>
        <v>174.42</v>
      </c>
      <c r="F608" s="1">
        <f ca="1">IFERROR(__xludf.DUMMYFUNCTION("""COMPUTED_VALUE"""),20742798)</f>
        <v>20742798</v>
      </c>
    </row>
    <row r="609" spans="1:6" ht="12.6">
      <c r="A609" s="2">
        <f ca="1">IFERROR(__xludf.DUMMYFUNCTION("""COMPUTED_VALUE"""),45447.6666666666)</f>
        <v>45447.666666666599</v>
      </c>
      <c r="B609" s="1">
        <f ca="1">IFERROR(__xludf.DUMMYFUNCTION("""COMPUTED_VALUE"""),174.45)</f>
        <v>174.45</v>
      </c>
      <c r="C609" s="1">
        <f ca="1">IFERROR(__xludf.DUMMYFUNCTION("""COMPUTED_VALUE"""),175.19)</f>
        <v>175.19</v>
      </c>
      <c r="D609" s="1">
        <f ca="1">IFERROR(__xludf.DUMMYFUNCTION("""COMPUTED_VALUE"""),173.22)</f>
        <v>173.22</v>
      </c>
      <c r="E609" s="1">
        <f ca="1">IFERROR(__xludf.DUMMYFUNCTION("""COMPUTED_VALUE"""),175.13)</f>
        <v>175.13</v>
      </c>
      <c r="F609" s="1">
        <f ca="1">IFERROR(__xludf.DUMMYFUNCTION("""COMPUTED_VALUE"""),14066602)</f>
        <v>14066602</v>
      </c>
    </row>
    <row r="610" spans="1:6" ht="12.6">
      <c r="A610" s="2">
        <f ca="1">IFERROR(__xludf.DUMMYFUNCTION("""COMPUTED_VALUE"""),45448.6666666666)</f>
        <v>45448.666666666599</v>
      </c>
      <c r="B610" s="1">
        <f ca="1">IFERROR(__xludf.DUMMYFUNCTION("""COMPUTED_VALUE"""),176.54)</f>
        <v>176.54</v>
      </c>
      <c r="C610" s="1">
        <f ca="1">IFERROR(__xludf.DUMMYFUNCTION("""COMPUTED_VALUE"""),177.97)</f>
        <v>177.97</v>
      </c>
      <c r="D610" s="1">
        <f ca="1">IFERROR(__xludf.DUMMYFUNCTION("""COMPUTED_VALUE"""),175.29)</f>
        <v>175.29</v>
      </c>
      <c r="E610" s="1">
        <f ca="1">IFERROR(__xludf.DUMMYFUNCTION("""COMPUTED_VALUE"""),177.07)</f>
        <v>177.07</v>
      </c>
      <c r="F610" s="1">
        <f ca="1">IFERROR(__xludf.DUMMYFUNCTION("""COMPUTED_VALUE"""),15233861)</f>
        <v>15233861</v>
      </c>
    </row>
    <row r="611" spans="1:6" ht="12.6">
      <c r="A611" s="2">
        <f ca="1">IFERROR(__xludf.DUMMYFUNCTION("""COMPUTED_VALUE"""),45449.6666666666)</f>
        <v>45449.666666666599</v>
      </c>
      <c r="B611" s="1">
        <f ca="1">IFERROR(__xludf.DUMMYFUNCTION("""COMPUTED_VALUE"""),177.43)</f>
        <v>177.43</v>
      </c>
      <c r="C611" s="1">
        <f ca="1">IFERROR(__xludf.DUMMYFUNCTION("""COMPUTED_VALUE"""),178.71)</f>
        <v>178.71</v>
      </c>
      <c r="D611" s="1">
        <f ca="1">IFERROR(__xludf.DUMMYFUNCTION("""COMPUTED_VALUE"""),177.21)</f>
        <v>177.21</v>
      </c>
      <c r="E611" s="1">
        <f ca="1">IFERROR(__xludf.DUMMYFUNCTION("""COMPUTED_VALUE"""),178.35)</f>
        <v>178.35</v>
      </c>
      <c r="F611" s="1">
        <f ca="1">IFERROR(__xludf.DUMMYFUNCTION("""COMPUTED_VALUE"""),14255818)</f>
        <v>14255818</v>
      </c>
    </row>
    <row r="612" spans="1:6" ht="12.6">
      <c r="A612" s="2">
        <f ca="1">IFERROR(__xludf.DUMMYFUNCTION("""COMPUTED_VALUE"""),45450.6666666666)</f>
        <v>45450.666666666599</v>
      </c>
      <c r="B612" s="1">
        <f ca="1">IFERROR(__xludf.DUMMYFUNCTION("""COMPUTED_VALUE"""),178.46)</f>
        <v>178.46</v>
      </c>
      <c r="C612" s="1">
        <f ca="1">IFERROR(__xludf.DUMMYFUNCTION("""COMPUTED_VALUE"""),179.42)</f>
        <v>179.42</v>
      </c>
      <c r="D612" s="1">
        <f ca="1">IFERROR(__xludf.DUMMYFUNCTION("""COMPUTED_VALUE"""),175.79)</f>
        <v>175.79</v>
      </c>
      <c r="E612" s="1">
        <f ca="1">IFERROR(__xludf.DUMMYFUNCTION("""COMPUTED_VALUE"""),175.95)</f>
        <v>175.95</v>
      </c>
      <c r="F612" s="1">
        <f ca="1">IFERROR(__xludf.DUMMYFUNCTION("""COMPUTED_VALUE"""),14716270)</f>
        <v>14716270</v>
      </c>
    </row>
    <row r="613" spans="1:6" ht="12.6">
      <c r="A613" s="2">
        <f ca="1">IFERROR(__xludf.DUMMYFUNCTION("""COMPUTED_VALUE"""),45453.6666666666)</f>
        <v>45453.666666666599</v>
      </c>
      <c r="B613" s="1">
        <f ca="1">IFERROR(__xludf.DUMMYFUNCTION("""COMPUTED_VALUE"""),176.45)</f>
        <v>176.45</v>
      </c>
      <c r="C613" s="1">
        <f ca="1">IFERROR(__xludf.DUMMYFUNCTION("""COMPUTED_VALUE"""),178.47)</f>
        <v>178.47</v>
      </c>
      <c r="D613" s="1">
        <f ca="1">IFERROR(__xludf.DUMMYFUNCTION("""COMPUTED_VALUE"""),174.38)</f>
        <v>174.38</v>
      </c>
      <c r="E613" s="1">
        <f ca="1">IFERROR(__xludf.DUMMYFUNCTION("""COMPUTED_VALUE"""),176.63)</f>
        <v>176.63</v>
      </c>
      <c r="F613" s="1">
        <f ca="1">IFERROR(__xludf.DUMMYFUNCTION("""COMPUTED_VALUE"""),17122247)</f>
        <v>17122247</v>
      </c>
    </row>
    <row r="614" spans="1:6" ht="12.6">
      <c r="A614" s="2">
        <f ca="1">IFERROR(__xludf.DUMMYFUNCTION("""COMPUTED_VALUE"""),45454.6666666666)</f>
        <v>45454.666666666599</v>
      </c>
      <c r="B614" s="1">
        <f ca="1">IFERROR(__xludf.DUMMYFUNCTION("""COMPUTED_VALUE"""),177.72)</f>
        <v>177.72</v>
      </c>
      <c r="C614" s="1">
        <f ca="1">IFERROR(__xludf.DUMMYFUNCTION("""COMPUTED_VALUE"""),178.39)</f>
        <v>178.39</v>
      </c>
      <c r="D614" s="1">
        <f ca="1">IFERROR(__xludf.DUMMYFUNCTION("""COMPUTED_VALUE"""),175.44)</f>
        <v>175.44</v>
      </c>
      <c r="E614" s="1">
        <f ca="1">IFERROR(__xludf.DUMMYFUNCTION("""COMPUTED_VALUE"""),178.19)</f>
        <v>178.19</v>
      </c>
      <c r="F614" s="1">
        <f ca="1">IFERROR(__xludf.DUMMYFUNCTION("""COMPUTED_VALUE"""),14402401)</f>
        <v>14402401</v>
      </c>
    </row>
    <row r="615" spans="1:6" ht="12.6">
      <c r="A615" s="2">
        <f ca="1">IFERROR(__xludf.DUMMYFUNCTION("""COMPUTED_VALUE"""),45455.6666666666)</f>
        <v>45455.666666666599</v>
      </c>
      <c r="B615" s="1">
        <f ca="1">IFERROR(__xludf.DUMMYFUNCTION("""COMPUTED_VALUE"""),179.75)</f>
        <v>179.75</v>
      </c>
      <c r="C615" s="1">
        <f ca="1">IFERROR(__xludf.DUMMYFUNCTION("""COMPUTED_VALUE"""),182.08)</f>
        <v>182.08</v>
      </c>
      <c r="D615" s="1">
        <f ca="1">IFERROR(__xludf.DUMMYFUNCTION("""COMPUTED_VALUE"""),177.78)</f>
        <v>177.78</v>
      </c>
      <c r="E615" s="1">
        <f ca="1">IFERROR(__xludf.DUMMYFUNCTION("""COMPUTED_VALUE"""),179.56)</f>
        <v>179.56</v>
      </c>
      <c r="F615" s="1">
        <f ca="1">IFERROR(__xludf.DUMMYFUNCTION("""COMPUTED_VALUE"""),18600421)</f>
        <v>18600421</v>
      </c>
    </row>
    <row r="616" spans="1:6" ht="12.6">
      <c r="A616" s="2">
        <f ca="1">IFERROR(__xludf.DUMMYFUNCTION("""COMPUTED_VALUE"""),45456.6666666666)</f>
        <v>45456.666666666599</v>
      </c>
      <c r="B616" s="1">
        <f ca="1">IFERROR(__xludf.DUMMYFUNCTION("""COMPUTED_VALUE"""),177.84)</f>
        <v>177.84</v>
      </c>
      <c r="C616" s="1">
        <f ca="1">IFERROR(__xludf.DUMMYFUNCTION("""COMPUTED_VALUE"""),178.51)</f>
        <v>178.51</v>
      </c>
      <c r="D616" s="1">
        <f ca="1">IFERROR(__xludf.DUMMYFUNCTION("""COMPUTED_VALUE"""),176.66)</f>
        <v>176.66</v>
      </c>
      <c r="E616" s="1">
        <f ca="1">IFERROR(__xludf.DUMMYFUNCTION("""COMPUTED_VALUE"""),176.74)</f>
        <v>176.74</v>
      </c>
      <c r="F616" s="1">
        <f ca="1">IFERROR(__xludf.DUMMYFUNCTION("""COMPUTED_VALUE"""),15956941)</f>
        <v>15956941</v>
      </c>
    </row>
    <row r="617" spans="1:6" ht="12.6">
      <c r="A617" s="2">
        <f ca="1">IFERROR(__xludf.DUMMYFUNCTION("""COMPUTED_VALUE"""),45457.6666666666)</f>
        <v>45457.666666666599</v>
      </c>
      <c r="B617" s="1">
        <f ca="1">IFERROR(__xludf.DUMMYFUNCTION("""COMPUTED_VALUE"""),175.85)</f>
        <v>175.85</v>
      </c>
      <c r="C617" s="1">
        <f ca="1">IFERROR(__xludf.DUMMYFUNCTION("""COMPUTED_VALUE"""),178.73)</f>
        <v>178.73</v>
      </c>
      <c r="D617" s="1">
        <f ca="1">IFERROR(__xludf.DUMMYFUNCTION("""COMPUTED_VALUE"""),175.85)</f>
        <v>175.85</v>
      </c>
      <c r="E617" s="1">
        <f ca="1">IFERROR(__xludf.DUMMYFUNCTION("""COMPUTED_VALUE"""),178.37)</f>
        <v>178.37</v>
      </c>
      <c r="F617" s="1">
        <f ca="1">IFERROR(__xludf.DUMMYFUNCTION("""COMPUTED_VALUE"""),12361571)</f>
        <v>12361571</v>
      </c>
    </row>
    <row r="618" spans="1:6" ht="12.6">
      <c r="A618" s="2">
        <f ca="1">IFERROR(__xludf.DUMMYFUNCTION("""COMPUTED_VALUE"""),45460.6666666666)</f>
        <v>45460.666666666599</v>
      </c>
      <c r="B618" s="1">
        <f ca="1">IFERROR(__xludf.DUMMYFUNCTION("""COMPUTED_VALUE"""),176.98)</f>
        <v>176.98</v>
      </c>
      <c r="C618" s="1">
        <f ca="1">IFERROR(__xludf.DUMMYFUNCTION("""COMPUTED_VALUE"""),179.92)</f>
        <v>179.92</v>
      </c>
      <c r="D618" s="1">
        <f ca="1">IFERROR(__xludf.DUMMYFUNCTION("""COMPUTED_VALUE"""),176.49)</f>
        <v>176.49</v>
      </c>
      <c r="E618" s="1">
        <f ca="1">IFERROR(__xludf.DUMMYFUNCTION("""COMPUTED_VALUE"""),178.78)</f>
        <v>178.78</v>
      </c>
      <c r="F618" s="1">
        <f ca="1">IFERROR(__xludf.DUMMYFUNCTION("""COMPUTED_VALUE"""),15272864)</f>
        <v>15272864</v>
      </c>
    </row>
    <row r="619" spans="1:6" ht="12.6">
      <c r="A619" s="2">
        <f ca="1">IFERROR(__xludf.DUMMYFUNCTION("""COMPUTED_VALUE"""),45461.6666666666)</f>
        <v>45461.666666666599</v>
      </c>
      <c r="B619" s="1">
        <f ca="1">IFERROR(__xludf.DUMMYFUNCTION("""COMPUTED_VALUE"""),178.79)</f>
        <v>178.79</v>
      </c>
      <c r="C619" s="1">
        <f ca="1">IFERROR(__xludf.DUMMYFUNCTION("""COMPUTED_VALUE"""),178.91)</f>
        <v>178.91</v>
      </c>
      <c r="D619" s="1">
        <f ca="1">IFERROR(__xludf.DUMMYFUNCTION("""COMPUTED_VALUE"""),175.62)</f>
        <v>175.62</v>
      </c>
      <c r="E619" s="1">
        <f ca="1">IFERROR(__xludf.DUMMYFUNCTION("""COMPUTED_VALUE"""),176.45)</f>
        <v>176.45</v>
      </c>
      <c r="F619" s="1">
        <f ca="1">IFERROR(__xludf.DUMMYFUNCTION("""COMPUTED_VALUE"""),15640257)</f>
        <v>15640257</v>
      </c>
    </row>
    <row r="620" spans="1:6" ht="12.6">
      <c r="A620" s="2">
        <f ca="1">IFERROR(__xludf.DUMMYFUNCTION("""COMPUTED_VALUE"""),45463.6666666666)</f>
        <v>45463.666666666599</v>
      </c>
      <c r="B620" s="1">
        <f ca="1">IFERROR(__xludf.DUMMYFUNCTION("""COMPUTED_VALUE"""),176.71)</f>
        <v>176.71</v>
      </c>
      <c r="C620" s="1">
        <f ca="1">IFERROR(__xludf.DUMMYFUNCTION("""COMPUTED_VALUE"""),178.74)</f>
        <v>178.74</v>
      </c>
      <c r="D620" s="1">
        <f ca="1">IFERROR(__xludf.DUMMYFUNCTION("""COMPUTED_VALUE"""),176.46)</f>
        <v>176.46</v>
      </c>
      <c r="E620" s="1">
        <f ca="1">IFERROR(__xludf.DUMMYFUNCTION("""COMPUTED_VALUE"""),177.71)</f>
        <v>177.71</v>
      </c>
      <c r="F620" s="1">
        <f ca="1">IFERROR(__xludf.DUMMYFUNCTION("""COMPUTED_VALUE"""),16753166)</f>
        <v>16753166</v>
      </c>
    </row>
    <row r="621" spans="1:6" ht="12.6">
      <c r="A621" s="2">
        <f ca="1">IFERROR(__xludf.DUMMYFUNCTION("""COMPUTED_VALUE"""),45464.6666666666)</f>
        <v>45464.666666666599</v>
      </c>
      <c r="B621" s="1">
        <f ca="1">IFERROR(__xludf.DUMMYFUNCTION("""COMPUTED_VALUE"""),178.49)</f>
        <v>178.49</v>
      </c>
      <c r="C621" s="1">
        <f ca="1">IFERROR(__xludf.DUMMYFUNCTION("""COMPUTED_VALUE"""),182.51)</f>
        <v>182.51</v>
      </c>
      <c r="D621" s="1">
        <f ca="1">IFERROR(__xludf.DUMMYFUNCTION("""COMPUTED_VALUE"""),178.06)</f>
        <v>178.06</v>
      </c>
      <c r="E621" s="1">
        <f ca="1">IFERROR(__xludf.DUMMYFUNCTION("""COMPUTED_VALUE"""),180.26)</f>
        <v>180.26</v>
      </c>
      <c r="F621" s="1">
        <f ca="1">IFERROR(__xludf.DUMMYFUNCTION("""COMPUTED_VALUE"""),59728019)</f>
        <v>59728019</v>
      </c>
    </row>
    <row r="622" spans="1:6" ht="12.6">
      <c r="A622" s="2">
        <f ca="1">IFERROR(__xludf.DUMMYFUNCTION("""COMPUTED_VALUE"""),45467.6666666666)</f>
        <v>45467.666666666599</v>
      </c>
      <c r="B622" s="1">
        <f ca="1">IFERROR(__xludf.DUMMYFUNCTION("""COMPUTED_VALUE"""),181.28)</f>
        <v>181.28</v>
      </c>
      <c r="C622" s="1">
        <f ca="1">IFERROR(__xludf.DUMMYFUNCTION("""COMPUTED_VALUE"""),182.08)</f>
        <v>182.08</v>
      </c>
      <c r="D622" s="1">
        <f ca="1">IFERROR(__xludf.DUMMYFUNCTION("""COMPUTED_VALUE"""),180.23)</f>
        <v>180.23</v>
      </c>
      <c r="E622" s="1">
        <f ca="1">IFERROR(__xludf.DUMMYFUNCTION("""COMPUTED_VALUE"""),180.79)</f>
        <v>180.79</v>
      </c>
      <c r="F622" s="1">
        <f ca="1">IFERROR(__xludf.DUMMYFUNCTION("""COMPUTED_VALUE"""),18198282)</f>
        <v>18198282</v>
      </c>
    </row>
    <row r="623" spans="1:6" ht="12.6">
      <c r="A623" s="2">
        <f ca="1">IFERROR(__xludf.DUMMYFUNCTION("""COMPUTED_VALUE"""),45468.6666666666)</f>
        <v>45468.666666666599</v>
      </c>
      <c r="B623" s="1">
        <f ca="1">IFERROR(__xludf.DUMMYFUNCTION("""COMPUTED_VALUE"""),181.15)</f>
        <v>181.15</v>
      </c>
      <c r="C623" s="1">
        <f ca="1">IFERROR(__xludf.DUMMYFUNCTION("""COMPUTED_VALUE"""),185.75)</f>
        <v>185.75</v>
      </c>
      <c r="D623" s="1">
        <f ca="1">IFERROR(__xludf.DUMMYFUNCTION("""COMPUTED_VALUE"""),181.11)</f>
        <v>181.11</v>
      </c>
      <c r="E623" s="1">
        <f ca="1">IFERROR(__xludf.DUMMYFUNCTION("""COMPUTED_VALUE"""),185.58)</f>
        <v>185.58</v>
      </c>
      <c r="F623" s="1">
        <f ca="1">IFERROR(__xludf.DUMMYFUNCTION("""COMPUTED_VALUE"""),18917734)</f>
        <v>18917734</v>
      </c>
    </row>
    <row r="624" spans="1:6" ht="12.6">
      <c r="A624" s="2">
        <f ca="1">IFERROR(__xludf.DUMMYFUNCTION("""COMPUTED_VALUE"""),45469.6666666666)</f>
        <v>45469.666666666599</v>
      </c>
      <c r="B624" s="1">
        <f ca="1">IFERROR(__xludf.DUMMYFUNCTION("""COMPUTED_VALUE"""),184.2)</f>
        <v>184.2</v>
      </c>
      <c r="C624" s="1">
        <f ca="1">IFERROR(__xludf.DUMMYFUNCTION("""COMPUTED_VALUE"""),185.93)</f>
        <v>185.93</v>
      </c>
      <c r="D624" s="1">
        <f ca="1">IFERROR(__xludf.DUMMYFUNCTION("""COMPUTED_VALUE"""),183.99)</f>
        <v>183.99</v>
      </c>
      <c r="E624" s="1">
        <f ca="1">IFERROR(__xludf.DUMMYFUNCTION("""COMPUTED_VALUE"""),185.37)</f>
        <v>185.37</v>
      </c>
      <c r="F624" s="1">
        <f ca="1">IFERROR(__xludf.DUMMYFUNCTION("""COMPUTED_VALUE"""),13375715)</f>
        <v>13375715</v>
      </c>
    </row>
    <row r="625" spans="1:6" ht="12.6">
      <c r="A625" s="2">
        <f ca="1">IFERROR(__xludf.DUMMYFUNCTION("""COMPUTED_VALUE"""),45470.6666666666)</f>
        <v>45470.666666666599</v>
      </c>
      <c r="B625" s="1">
        <f ca="1">IFERROR(__xludf.DUMMYFUNCTION("""COMPUTED_VALUE"""),185.65)</f>
        <v>185.65</v>
      </c>
      <c r="C625" s="1">
        <f ca="1">IFERROR(__xludf.DUMMYFUNCTION("""COMPUTED_VALUE"""),187.5)</f>
        <v>187.5</v>
      </c>
      <c r="D625" s="1">
        <f ca="1">IFERROR(__xludf.DUMMYFUNCTION("""COMPUTED_VALUE"""),185.45)</f>
        <v>185.45</v>
      </c>
      <c r="E625" s="1">
        <f ca="1">IFERROR(__xludf.DUMMYFUNCTION("""COMPUTED_VALUE"""),186.86)</f>
        <v>186.86</v>
      </c>
      <c r="F625" s="1">
        <f ca="1">IFERROR(__xludf.DUMMYFUNCTION("""COMPUTED_VALUE"""),13025656)</f>
        <v>13025656</v>
      </c>
    </row>
    <row r="626" spans="1:6" ht="12.6">
      <c r="A626" s="2">
        <f ca="1">IFERROR(__xludf.DUMMYFUNCTION("""COMPUTED_VALUE"""),45471.6666666666)</f>
        <v>45471.666666666599</v>
      </c>
      <c r="B626" s="1">
        <f ca="1">IFERROR(__xludf.DUMMYFUNCTION("""COMPUTED_VALUE"""),185.72)</f>
        <v>185.72</v>
      </c>
      <c r="C626" s="1">
        <f ca="1">IFERROR(__xludf.DUMMYFUNCTION("""COMPUTED_VALUE"""),186.58)</f>
        <v>186.58</v>
      </c>
      <c r="D626" s="1">
        <f ca="1">IFERROR(__xludf.DUMMYFUNCTION("""COMPUTED_VALUE"""),183.33)</f>
        <v>183.33</v>
      </c>
      <c r="E626" s="1">
        <f ca="1">IFERROR(__xludf.DUMMYFUNCTION("""COMPUTED_VALUE"""),183.42)</f>
        <v>183.42</v>
      </c>
      <c r="F626" s="1">
        <f ca="1">IFERROR(__xludf.DUMMYFUNCTION("""COMPUTED_VALUE"""),23032362)</f>
        <v>23032362</v>
      </c>
    </row>
    <row r="627" spans="1:6" ht="12.6">
      <c r="A627" s="2">
        <f ca="1">IFERROR(__xludf.DUMMYFUNCTION("""COMPUTED_VALUE"""),45474.6666666666)</f>
        <v>45474.666666666599</v>
      </c>
      <c r="B627" s="1">
        <f ca="1">IFERROR(__xludf.DUMMYFUNCTION("""COMPUTED_VALUE"""),184.48)</f>
        <v>184.48</v>
      </c>
      <c r="C627" s="1">
        <f ca="1">IFERROR(__xludf.DUMMYFUNCTION("""COMPUTED_VALUE"""),185.34)</f>
        <v>185.34</v>
      </c>
      <c r="D627" s="1">
        <f ca="1">IFERROR(__xludf.DUMMYFUNCTION("""COMPUTED_VALUE"""),182.73)</f>
        <v>182.73</v>
      </c>
      <c r="E627" s="1">
        <f ca="1">IFERROR(__xludf.DUMMYFUNCTION("""COMPUTED_VALUE"""),184.49)</f>
        <v>184.49</v>
      </c>
      <c r="F627" s="1">
        <f ca="1">IFERROR(__xludf.DUMMYFUNCTION("""COMPUTED_VALUE"""),11815862)</f>
        <v>11815862</v>
      </c>
    </row>
    <row r="628" spans="1:6" ht="12.6">
      <c r="A628" s="2">
        <f ca="1">IFERROR(__xludf.DUMMYFUNCTION("""COMPUTED_VALUE"""),45475.6666666666)</f>
        <v>45475.666666666599</v>
      </c>
      <c r="B628" s="1">
        <f ca="1">IFERROR(__xludf.DUMMYFUNCTION("""COMPUTED_VALUE"""),183.47)</f>
        <v>183.47</v>
      </c>
      <c r="C628" s="1">
        <f ca="1">IFERROR(__xludf.DUMMYFUNCTION("""COMPUTED_VALUE"""),186.95)</f>
        <v>186.95</v>
      </c>
      <c r="D628" s="1">
        <f ca="1">IFERROR(__xludf.DUMMYFUNCTION("""COMPUTED_VALUE"""),183.06)</f>
        <v>183.06</v>
      </c>
      <c r="E628" s="1">
        <f ca="1">IFERROR(__xludf.DUMMYFUNCTION("""COMPUTED_VALUE"""),186.61)</f>
        <v>186.61</v>
      </c>
      <c r="F628" s="1">
        <f ca="1">IFERROR(__xludf.DUMMYFUNCTION("""COMPUTED_VALUE"""),12555545)</f>
        <v>12555545</v>
      </c>
    </row>
    <row r="629" spans="1:6" ht="12.6">
      <c r="A629" s="2">
        <f ca="1">IFERROR(__xludf.DUMMYFUNCTION("""COMPUTED_VALUE"""),45476.5451388888)</f>
        <v>45476.545138888803</v>
      </c>
      <c r="B629" s="1">
        <f ca="1">IFERROR(__xludf.DUMMYFUNCTION("""COMPUTED_VALUE"""),186.3)</f>
        <v>186.3</v>
      </c>
      <c r="C629" s="1">
        <f ca="1">IFERROR(__xludf.DUMMYFUNCTION("""COMPUTED_VALUE"""),187.62)</f>
        <v>187.62</v>
      </c>
      <c r="D629" s="1">
        <f ca="1">IFERROR(__xludf.DUMMYFUNCTION("""COMPUTED_VALUE"""),185.39)</f>
        <v>185.39</v>
      </c>
      <c r="E629" s="1">
        <f ca="1">IFERROR(__xludf.DUMMYFUNCTION("""COMPUTED_VALUE"""),187.39)</f>
        <v>187.39</v>
      </c>
      <c r="F629" s="1">
        <f ca="1">IFERROR(__xludf.DUMMYFUNCTION("""COMPUTED_VALUE"""),7409106)</f>
        <v>7409106</v>
      </c>
    </row>
    <row r="630" spans="1:6" ht="12.6">
      <c r="A630" s="2">
        <f ca="1">IFERROR(__xludf.DUMMYFUNCTION("""COMPUTED_VALUE"""),45478.6666666666)</f>
        <v>45478.666666666599</v>
      </c>
      <c r="B630" s="1">
        <f ca="1">IFERROR(__xludf.DUMMYFUNCTION("""COMPUTED_VALUE"""),187.32)</f>
        <v>187.32</v>
      </c>
      <c r="C630" s="1">
        <f ca="1">IFERROR(__xludf.DUMMYFUNCTION("""COMPUTED_VALUE"""),192.26)</f>
        <v>192.26</v>
      </c>
      <c r="D630" s="1">
        <f ca="1">IFERROR(__xludf.DUMMYFUNCTION("""COMPUTED_VALUE"""),187.32)</f>
        <v>187.32</v>
      </c>
      <c r="E630" s="1">
        <f ca="1">IFERROR(__xludf.DUMMYFUNCTION("""COMPUTED_VALUE"""),191.96)</f>
        <v>191.96</v>
      </c>
      <c r="F630" s="1">
        <f ca="1">IFERROR(__xludf.DUMMYFUNCTION("""COMPUTED_VALUE"""),14303361)</f>
        <v>14303361</v>
      </c>
    </row>
    <row r="631" spans="1:6" ht="12.6">
      <c r="A631" s="2">
        <f ca="1">IFERROR(__xludf.DUMMYFUNCTION("""COMPUTED_VALUE"""),45481.6666666666)</f>
        <v>45481.666666666599</v>
      </c>
      <c r="B631" s="1">
        <f ca="1">IFERROR(__xludf.DUMMYFUNCTION("""COMPUTED_VALUE"""),191.37)</f>
        <v>191.37</v>
      </c>
      <c r="C631" s="1">
        <f ca="1">IFERROR(__xludf.DUMMYFUNCTION("""COMPUTED_VALUE"""),191.68)</f>
        <v>191.68</v>
      </c>
      <c r="D631" s="1">
        <f ca="1">IFERROR(__xludf.DUMMYFUNCTION("""COMPUTED_VALUE"""),189.32)</f>
        <v>189.32</v>
      </c>
      <c r="E631" s="1">
        <f ca="1">IFERROR(__xludf.DUMMYFUNCTION("""COMPUTED_VALUE"""),190.48)</f>
        <v>190.48</v>
      </c>
      <c r="F631" s="1">
        <f ca="1">IFERROR(__xludf.DUMMYFUNCTION("""COMPUTED_VALUE"""),12097611)</f>
        <v>12097611</v>
      </c>
    </row>
    <row r="632" spans="1:6" ht="12.6">
      <c r="A632" s="2">
        <f ca="1">IFERROR(__xludf.DUMMYFUNCTION("""COMPUTED_VALUE"""),45482.6666666666)</f>
        <v>45482.666666666599</v>
      </c>
      <c r="B632" s="1">
        <f ca="1">IFERROR(__xludf.DUMMYFUNCTION("""COMPUTED_VALUE"""),191.75)</f>
        <v>191.75</v>
      </c>
      <c r="C632" s="1">
        <f ca="1">IFERROR(__xludf.DUMMYFUNCTION("""COMPUTED_VALUE"""),192.86)</f>
        <v>192.86</v>
      </c>
      <c r="D632" s="1">
        <f ca="1">IFERROR(__xludf.DUMMYFUNCTION("""COMPUTED_VALUE"""),190.23)</f>
        <v>190.23</v>
      </c>
      <c r="E632" s="1">
        <f ca="1">IFERROR(__xludf.DUMMYFUNCTION("""COMPUTED_VALUE"""),190.44)</f>
        <v>190.44</v>
      </c>
      <c r="F632" s="1">
        <f ca="1">IFERROR(__xludf.DUMMYFUNCTION("""COMPUTED_VALUE"""),10224925)</f>
        <v>10224925</v>
      </c>
    </row>
    <row r="633" spans="1:6" ht="12.6">
      <c r="A633" s="2">
        <f ca="1">IFERROR(__xludf.DUMMYFUNCTION("""COMPUTED_VALUE"""),45483.6666666666)</f>
        <v>45483.666666666599</v>
      </c>
      <c r="B633" s="1">
        <f ca="1">IFERROR(__xludf.DUMMYFUNCTION("""COMPUTED_VALUE"""),190.75)</f>
        <v>190.75</v>
      </c>
      <c r="C633" s="1">
        <f ca="1">IFERROR(__xludf.DUMMYFUNCTION("""COMPUTED_VALUE"""),193.31)</f>
        <v>193.31</v>
      </c>
      <c r="D633" s="1">
        <f ca="1">IFERROR(__xludf.DUMMYFUNCTION("""COMPUTED_VALUE"""),190.62)</f>
        <v>190.62</v>
      </c>
      <c r="E633" s="1">
        <f ca="1">IFERROR(__xludf.DUMMYFUNCTION("""COMPUTED_VALUE"""),192.66)</f>
        <v>192.66</v>
      </c>
      <c r="F633" s="1">
        <f ca="1">IFERROR(__xludf.DUMMYFUNCTION("""COMPUTED_VALUE"""),12052906)</f>
        <v>12052906</v>
      </c>
    </row>
    <row r="634" spans="1:6" ht="12.6">
      <c r="A634" s="2">
        <f ca="1">IFERROR(__xludf.DUMMYFUNCTION("""COMPUTED_VALUE"""),45484.6666666666)</f>
        <v>45484.666666666599</v>
      </c>
      <c r="B634" s="1">
        <f ca="1">IFERROR(__xludf.DUMMYFUNCTION("""COMPUTED_VALUE"""),191.34)</f>
        <v>191.34</v>
      </c>
      <c r="C634" s="1">
        <f ca="1">IFERROR(__xludf.DUMMYFUNCTION("""COMPUTED_VALUE"""),192.41)</f>
        <v>192.41</v>
      </c>
      <c r="D634" s="1">
        <f ca="1">IFERROR(__xludf.DUMMYFUNCTION("""COMPUTED_VALUE"""),186.82)</f>
        <v>186.82</v>
      </c>
      <c r="E634" s="1">
        <f ca="1">IFERROR(__xludf.DUMMYFUNCTION("""COMPUTED_VALUE"""),187.3)</f>
        <v>187.3</v>
      </c>
      <c r="F634" s="1">
        <f ca="1">IFERROR(__xludf.DUMMYFUNCTION("""COMPUTED_VALUE"""),16451981)</f>
        <v>16451981</v>
      </c>
    </row>
    <row r="635" spans="1:6" ht="12.6">
      <c r="A635" s="2">
        <f ca="1">IFERROR(__xludf.DUMMYFUNCTION("""COMPUTED_VALUE"""),45485.6666666666)</f>
        <v>45485.666666666599</v>
      </c>
      <c r="B635" s="1">
        <f ca="1">IFERROR(__xludf.DUMMYFUNCTION("""COMPUTED_VALUE"""),186.92)</f>
        <v>186.92</v>
      </c>
      <c r="C635" s="1">
        <f ca="1">IFERROR(__xludf.DUMMYFUNCTION("""COMPUTED_VALUE"""),188.69)</f>
        <v>188.69</v>
      </c>
      <c r="D635" s="1">
        <f ca="1">IFERROR(__xludf.DUMMYFUNCTION("""COMPUTED_VALUE"""),186.14)</f>
        <v>186.14</v>
      </c>
      <c r="E635" s="1">
        <f ca="1">IFERROR(__xludf.DUMMYFUNCTION("""COMPUTED_VALUE"""),186.78)</f>
        <v>186.78</v>
      </c>
      <c r="F635" s="1">
        <f ca="1">IFERROR(__xludf.DUMMYFUNCTION("""COMPUTED_VALUE"""),14449113)</f>
        <v>14449113</v>
      </c>
    </row>
    <row r="636" spans="1:6" ht="12.6">
      <c r="A636" s="2">
        <f ca="1">IFERROR(__xludf.DUMMYFUNCTION("""COMPUTED_VALUE"""),45488.6666666666)</f>
        <v>45488.666666666599</v>
      </c>
      <c r="B636" s="1">
        <f ca="1">IFERROR(__xludf.DUMMYFUNCTION("""COMPUTED_VALUE"""),186.49)</f>
        <v>186.49</v>
      </c>
      <c r="C636" s="1">
        <f ca="1">IFERROR(__xludf.DUMMYFUNCTION("""COMPUTED_VALUE"""),189.9)</f>
        <v>189.9</v>
      </c>
      <c r="D636" s="1">
        <f ca="1">IFERROR(__xludf.DUMMYFUNCTION("""COMPUTED_VALUE"""),186.49)</f>
        <v>186.49</v>
      </c>
      <c r="E636" s="1">
        <f ca="1">IFERROR(__xludf.DUMMYFUNCTION("""COMPUTED_VALUE"""),188.19)</f>
        <v>188.19</v>
      </c>
      <c r="F636" s="1">
        <f ca="1">IFERROR(__xludf.DUMMYFUNCTION("""COMPUTED_VALUE"""),12186015)</f>
        <v>12186015</v>
      </c>
    </row>
    <row r="637" spans="1:6" ht="12.6">
      <c r="A637" s="2">
        <f ca="1">IFERROR(__xludf.DUMMYFUNCTION("""COMPUTED_VALUE"""),45489.6666666666)</f>
        <v>45489.666666666599</v>
      </c>
      <c r="B637" s="1">
        <f ca="1">IFERROR(__xludf.DUMMYFUNCTION("""COMPUTED_VALUE"""),188.96)</f>
        <v>188.96</v>
      </c>
      <c r="C637" s="1">
        <f ca="1">IFERROR(__xludf.DUMMYFUNCTION("""COMPUTED_VALUE"""),190.34)</f>
        <v>190.34</v>
      </c>
      <c r="D637" s="1">
        <f ca="1">IFERROR(__xludf.DUMMYFUNCTION("""COMPUTED_VALUE"""),185.12)</f>
        <v>185.12</v>
      </c>
      <c r="E637" s="1">
        <f ca="1">IFERROR(__xludf.DUMMYFUNCTION("""COMPUTED_VALUE"""),185.5)</f>
        <v>185.5</v>
      </c>
      <c r="F637" s="1">
        <f ca="1">IFERROR(__xludf.DUMMYFUNCTION("""COMPUTED_VALUE"""),12760102)</f>
        <v>12760102</v>
      </c>
    </row>
    <row r="638" spans="1:6" ht="12.6">
      <c r="A638" s="2">
        <f ca="1">IFERROR(__xludf.DUMMYFUNCTION("""COMPUTED_VALUE"""),45490.6666666666)</f>
        <v>45490.666666666599</v>
      </c>
      <c r="B638" s="1">
        <f ca="1">IFERROR(__xludf.DUMMYFUNCTION("""COMPUTED_VALUE"""),184.68)</f>
        <v>184.68</v>
      </c>
      <c r="C638" s="1">
        <f ca="1">IFERROR(__xludf.DUMMYFUNCTION("""COMPUTED_VALUE"""),185.23)</f>
        <v>185.23</v>
      </c>
      <c r="D638" s="1">
        <f ca="1">IFERROR(__xludf.DUMMYFUNCTION("""COMPUTED_VALUE"""),181.62)</f>
        <v>181.62</v>
      </c>
      <c r="E638" s="1">
        <f ca="1">IFERROR(__xludf.DUMMYFUNCTION("""COMPUTED_VALUE"""),182.62)</f>
        <v>182.62</v>
      </c>
      <c r="F638" s="1">
        <f ca="1">IFERROR(__xludf.DUMMYFUNCTION("""COMPUTED_VALUE"""),17376563)</f>
        <v>17376563</v>
      </c>
    </row>
    <row r="639" spans="1:6" ht="12.6">
      <c r="A639" s="2">
        <f ca="1">IFERROR(__xludf.DUMMYFUNCTION("""COMPUTED_VALUE"""),45491.6666666666)</f>
        <v>45491.666666666599</v>
      </c>
      <c r="B639" s="1">
        <f ca="1">IFERROR(__xludf.DUMMYFUNCTION("""COMPUTED_VALUE"""),183.54)</f>
        <v>183.54</v>
      </c>
      <c r="C639" s="1">
        <f ca="1">IFERROR(__xludf.DUMMYFUNCTION("""COMPUTED_VALUE"""),184.05)</f>
        <v>184.05</v>
      </c>
      <c r="D639" s="1">
        <f ca="1">IFERROR(__xludf.DUMMYFUNCTION("""COMPUTED_VALUE"""),178.21)</f>
        <v>178.21</v>
      </c>
      <c r="E639" s="1">
        <f ca="1">IFERROR(__xludf.DUMMYFUNCTION("""COMPUTED_VALUE"""),179.22)</f>
        <v>179.22</v>
      </c>
      <c r="F639" s="1">
        <f ca="1">IFERROR(__xludf.DUMMYFUNCTION("""COMPUTED_VALUE"""),17877197)</f>
        <v>17877197</v>
      </c>
    </row>
    <row r="640" spans="1:6" ht="12.6">
      <c r="A640" s="2">
        <f ca="1">IFERROR(__xludf.DUMMYFUNCTION("""COMPUTED_VALUE"""),45492.6666666666)</f>
        <v>45492.666666666599</v>
      </c>
      <c r="B640" s="1">
        <f ca="1">IFERROR(__xludf.DUMMYFUNCTION("""COMPUTED_VALUE"""),180.37)</f>
        <v>180.37</v>
      </c>
      <c r="C640" s="1">
        <f ca="1">IFERROR(__xludf.DUMMYFUNCTION("""COMPUTED_VALUE"""),181.97)</f>
        <v>181.97</v>
      </c>
      <c r="D640" s="1">
        <f ca="1">IFERROR(__xludf.DUMMYFUNCTION("""COMPUTED_VALUE"""),178.86)</f>
        <v>178.86</v>
      </c>
      <c r="E640" s="1">
        <f ca="1">IFERROR(__xludf.DUMMYFUNCTION("""COMPUTED_VALUE"""),179.39)</f>
        <v>179.39</v>
      </c>
      <c r="F640" s="1">
        <f ca="1">IFERROR(__xludf.DUMMYFUNCTION("""COMPUTED_VALUE"""),14485899)</f>
        <v>14485899</v>
      </c>
    </row>
    <row r="641" spans="1:6" ht="12.6">
      <c r="A641" s="2">
        <f ca="1">IFERROR(__xludf.DUMMYFUNCTION("""COMPUTED_VALUE"""),45495.6666666666)</f>
        <v>45495.666666666599</v>
      </c>
      <c r="B641" s="1">
        <f ca="1">IFERROR(__xludf.DUMMYFUNCTION("""COMPUTED_VALUE"""),182.35)</f>
        <v>182.35</v>
      </c>
      <c r="C641" s="1">
        <f ca="1">IFERROR(__xludf.DUMMYFUNCTION("""COMPUTED_VALUE"""),184.3)</f>
        <v>184.3</v>
      </c>
      <c r="D641" s="1">
        <f ca="1">IFERROR(__xludf.DUMMYFUNCTION("""COMPUTED_VALUE"""),181.9)</f>
        <v>181.9</v>
      </c>
      <c r="E641" s="1">
        <f ca="1">IFERROR(__xludf.DUMMYFUNCTION("""COMPUTED_VALUE"""),183.35)</f>
        <v>183.35</v>
      </c>
      <c r="F641" s="1">
        <f ca="1">IFERROR(__xludf.DUMMYFUNCTION("""COMPUTED_VALUE"""),16303896)</f>
        <v>16303896</v>
      </c>
    </row>
    <row r="642" spans="1:6" ht="12.6">
      <c r="A642" s="2">
        <f ca="1">IFERROR(__xludf.DUMMYFUNCTION("""COMPUTED_VALUE"""),45496.6666666666)</f>
        <v>45496.666666666599</v>
      </c>
      <c r="B642" s="1">
        <f ca="1">IFERROR(__xludf.DUMMYFUNCTION("""COMPUTED_VALUE"""),183.84)</f>
        <v>183.84</v>
      </c>
      <c r="C642" s="1">
        <f ca="1">IFERROR(__xludf.DUMMYFUNCTION("""COMPUTED_VALUE"""),185.22)</f>
        <v>185.22</v>
      </c>
      <c r="D642" s="1">
        <f ca="1">IFERROR(__xludf.DUMMYFUNCTION("""COMPUTED_VALUE"""),183.33)</f>
        <v>183.33</v>
      </c>
      <c r="E642" s="1">
        <f ca="1">IFERROR(__xludf.DUMMYFUNCTION("""COMPUTED_VALUE"""),183.6)</f>
        <v>183.6</v>
      </c>
      <c r="F642" s="1">
        <f ca="1">IFERROR(__xludf.DUMMYFUNCTION("""COMPUTED_VALUE"""),23772602)</f>
        <v>23772602</v>
      </c>
    </row>
    <row r="643" spans="1:6" ht="12.6">
      <c r="A643" s="2">
        <f ca="1">IFERROR(__xludf.DUMMYFUNCTION("""COMPUTED_VALUE"""),45497.6666666666)</f>
        <v>45497.666666666599</v>
      </c>
      <c r="B643" s="1">
        <f ca="1">IFERROR(__xludf.DUMMYFUNCTION("""COMPUTED_VALUE"""),175.39)</f>
        <v>175.39</v>
      </c>
      <c r="C643" s="1">
        <f ca="1">IFERROR(__xludf.DUMMYFUNCTION("""COMPUTED_VALUE"""),177.95)</f>
        <v>177.95</v>
      </c>
      <c r="D643" s="1">
        <f ca="1">IFERROR(__xludf.DUMMYFUNCTION("""COMPUTED_VALUE"""),173.57)</f>
        <v>173.57</v>
      </c>
      <c r="E643" s="1">
        <f ca="1">IFERROR(__xludf.DUMMYFUNCTION("""COMPUTED_VALUE"""),174.37)</f>
        <v>174.37</v>
      </c>
      <c r="F643" s="1">
        <f ca="1">IFERROR(__xludf.DUMMYFUNCTION("""COMPUTED_VALUE"""),31250683)</f>
        <v>31250683</v>
      </c>
    </row>
    <row r="644" spans="1:6" ht="12.6">
      <c r="A644" s="2">
        <f ca="1">IFERROR(__xludf.DUMMYFUNCTION("""COMPUTED_VALUE"""),45498.6666666666)</f>
        <v>45498.666666666599</v>
      </c>
      <c r="B644" s="1">
        <f ca="1">IFERROR(__xludf.DUMMYFUNCTION("""COMPUTED_VALUE"""),174.25)</f>
        <v>174.25</v>
      </c>
      <c r="C644" s="1">
        <f ca="1">IFERROR(__xludf.DUMMYFUNCTION("""COMPUTED_VALUE"""),175.2)</f>
        <v>175.2</v>
      </c>
      <c r="D644" s="1">
        <f ca="1">IFERROR(__xludf.DUMMYFUNCTION("""COMPUTED_VALUE"""),169.05)</f>
        <v>169.05</v>
      </c>
      <c r="E644" s="1">
        <f ca="1">IFERROR(__xludf.DUMMYFUNCTION("""COMPUTED_VALUE"""),169.16)</f>
        <v>169.16</v>
      </c>
      <c r="F644" s="1">
        <f ca="1">IFERROR(__xludf.DUMMYFUNCTION("""COMPUTED_VALUE"""),28967880)</f>
        <v>28967880</v>
      </c>
    </row>
    <row r="645" spans="1:6" ht="12.6">
      <c r="A645" s="2">
        <f ca="1">IFERROR(__xludf.DUMMYFUNCTION("""COMPUTED_VALUE"""),45499.6666666666)</f>
        <v>45499.666666666599</v>
      </c>
      <c r="B645" s="1">
        <f ca="1">IFERROR(__xludf.DUMMYFUNCTION("""COMPUTED_VALUE"""),168.77)</f>
        <v>168.77</v>
      </c>
      <c r="C645" s="1">
        <f ca="1">IFERROR(__xludf.DUMMYFUNCTION("""COMPUTED_VALUE"""),169.84)</f>
        <v>169.84</v>
      </c>
      <c r="D645" s="1">
        <f ca="1">IFERROR(__xludf.DUMMYFUNCTION("""COMPUTED_VALUE"""),165.87)</f>
        <v>165.87</v>
      </c>
      <c r="E645" s="1">
        <f ca="1">IFERROR(__xludf.DUMMYFUNCTION("""COMPUTED_VALUE"""),168.68)</f>
        <v>168.68</v>
      </c>
      <c r="F645" s="1">
        <f ca="1">IFERROR(__xludf.DUMMYFUNCTION("""COMPUTED_VALUE"""),25150116)</f>
        <v>25150116</v>
      </c>
    </row>
    <row r="646" spans="1:6" ht="12.6">
      <c r="A646" s="2">
        <f ca="1">IFERROR(__xludf.DUMMYFUNCTION("""COMPUTED_VALUE"""),45502.6666666666)</f>
        <v>45502.666666666599</v>
      </c>
      <c r="B646" s="1">
        <f ca="1">IFERROR(__xludf.DUMMYFUNCTION("""COMPUTED_VALUE"""),170.5)</f>
        <v>170.5</v>
      </c>
      <c r="C646" s="1">
        <f ca="1">IFERROR(__xludf.DUMMYFUNCTION("""COMPUTED_VALUE"""),172.16)</f>
        <v>172.16</v>
      </c>
      <c r="D646" s="1">
        <f ca="1">IFERROR(__xludf.DUMMYFUNCTION("""COMPUTED_VALUE"""),169.72)</f>
        <v>169.72</v>
      </c>
      <c r="E646" s="1">
        <f ca="1">IFERROR(__xludf.DUMMYFUNCTION("""COMPUTED_VALUE"""),171.13)</f>
        <v>171.13</v>
      </c>
      <c r="F646" s="1">
        <f ca="1">IFERROR(__xludf.DUMMYFUNCTION("""COMPUTED_VALUE"""),13768931)</f>
        <v>13768931</v>
      </c>
    </row>
    <row r="647" spans="1:6" ht="12.6">
      <c r="A647" s="2">
        <f ca="1">IFERROR(__xludf.DUMMYFUNCTION("""COMPUTED_VALUE"""),45503.6666666666)</f>
        <v>45503.666666666599</v>
      </c>
      <c r="B647" s="1">
        <f ca="1">IFERROR(__xludf.DUMMYFUNCTION("""COMPUTED_VALUE"""),171.83)</f>
        <v>171.83</v>
      </c>
      <c r="C647" s="1">
        <f ca="1">IFERROR(__xludf.DUMMYFUNCTION("""COMPUTED_VALUE"""),172.95)</f>
        <v>172.95</v>
      </c>
      <c r="D647" s="1">
        <f ca="1">IFERROR(__xludf.DUMMYFUNCTION("""COMPUTED_VALUE"""),170.12)</f>
        <v>170.12</v>
      </c>
      <c r="E647" s="1">
        <f ca="1">IFERROR(__xludf.DUMMYFUNCTION("""COMPUTED_VALUE"""),171.86)</f>
        <v>171.86</v>
      </c>
      <c r="F647" s="1">
        <f ca="1">IFERROR(__xludf.DUMMYFUNCTION("""COMPUTED_VALUE"""),13681418)</f>
        <v>13681418</v>
      </c>
    </row>
    <row r="648" spans="1:6" ht="12.6">
      <c r="A648" s="2">
        <f ca="1">IFERROR(__xludf.DUMMYFUNCTION("""COMPUTED_VALUE"""),45504.6666666666)</f>
        <v>45504.666666666599</v>
      </c>
      <c r="B648" s="1">
        <f ca="1">IFERROR(__xludf.DUMMYFUNCTION("""COMPUTED_VALUE"""),174.92)</f>
        <v>174.92</v>
      </c>
      <c r="C648" s="1">
        <f ca="1">IFERROR(__xludf.DUMMYFUNCTION("""COMPUTED_VALUE"""),175.91)</f>
        <v>175.91</v>
      </c>
      <c r="D648" s="1">
        <f ca="1">IFERROR(__xludf.DUMMYFUNCTION("""COMPUTED_VALUE"""),171.72)</f>
        <v>171.72</v>
      </c>
      <c r="E648" s="1">
        <f ca="1">IFERROR(__xludf.DUMMYFUNCTION("""COMPUTED_VALUE"""),173.15)</f>
        <v>173.15</v>
      </c>
      <c r="F648" s="1">
        <f ca="1">IFERROR(__xludf.DUMMYFUNCTION("""COMPUTED_VALUE"""),15650154)</f>
        <v>15650154</v>
      </c>
    </row>
    <row r="649" spans="1:6" ht="12.6">
      <c r="A649" s="2">
        <f ca="1">IFERROR(__xludf.DUMMYFUNCTION("""COMPUTED_VALUE"""),45505.6666666666)</f>
        <v>45505.666666666599</v>
      </c>
      <c r="B649" s="1">
        <f ca="1">IFERROR(__xludf.DUMMYFUNCTION("""COMPUTED_VALUE"""),171.98)</f>
        <v>171.98</v>
      </c>
      <c r="C649" s="1">
        <f ca="1">IFERROR(__xludf.DUMMYFUNCTION("""COMPUTED_VALUE"""),175.68)</f>
        <v>175.68</v>
      </c>
      <c r="D649" s="1">
        <f ca="1">IFERROR(__xludf.DUMMYFUNCTION("""COMPUTED_VALUE"""),170.51)</f>
        <v>170.51</v>
      </c>
      <c r="E649" s="1">
        <f ca="1">IFERROR(__xludf.DUMMYFUNCTION("""COMPUTED_VALUE"""),172.45)</f>
        <v>172.45</v>
      </c>
      <c r="F649" s="1">
        <f ca="1">IFERROR(__xludf.DUMMYFUNCTION("""COMPUTED_VALUE"""),17177833)</f>
        <v>17177833</v>
      </c>
    </row>
    <row r="650" spans="1:6" ht="12.6">
      <c r="A650" s="2">
        <f ca="1">IFERROR(__xludf.DUMMYFUNCTION("""COMPUTED_VALUE"""),45506.6666666666)</f>
        <v>45506.666666666599</v>
      </c>
      <c r="B650" s="1">
        <f ca="1">IFERROR(__xludf.DUMMYFUNCTION("""COMPUTED_VALUE"""),168.19)</f>
        <v>168.19</v>
      </c>
      <c r="C650" s="1">
        <f ca="1">IFERROR(__xludf.DUMMYFUNCTION("""COMPUTED_VALUE"""),170.21)</f>
        <v>170.21</v>
      </c>
      <c r="D650" s="1">
        <f ca="1">IFERROR(__xludf.DUMMYFUNCTION("""COMPUTED_VALUE"""),166.39)</f>
        <v>166.39</v>
      </c>
      <c r="E650" s="1">
        <f ca="1">IFERROR(__xludf.DUMMYFUNCTION("""COMPUTED_VALUE"""),168.4)</f>
        <v>168.4</v>
      </c>
      <c r="F650" s="1">
        <f ca="1">IFERROR(__xludf.DUMMYFUNCTION("""COMPUTED_VALUE"""),18907773)</f>
        <v>18907773</v>
      </c>
    </row>
    <row r="651" spans="1:6" ht="12.6">
      <c r="A651" s="2">
        <f ca="1">IFERROR(__xludf.DUMMYFUNCTION("""COMPUTED_VALUE"""),45509.6666666666)</f>
        <v>45509.666666666599</v>
      </c>
      <c r="B651" s="1">
        <f ca="1">IFERROR(__xludf.DUMMYFUNCTION("""COMPUTED_VALUE"""),157.37)</f>
        <v>157.37</v>
      </c>
      <c r="C651" s="1">
        <f ca="1">IFERROR(__xludf.DUMMYFUNCTION("""COMPUTED_VALUE"""),165.94)</f>
        <v>165.94</v>
      </c>
      <c r="D651" s="1">
        <f ca="1">IFERROR(__xludf.DUMMYFUNCTION("""COMPUTED_VALUE"""),156.6)</f>
        <v>156.6</v>
      </c>
      <c r="E651" s="1">
        <f ca="1">IFERROR(__xludf.DUMMYFUNCTION("""COMPUTED_VALUE"""),160.64)</f>
        <v>160.63999999999999</v>
      </c>
      <c r="F651" s="1">
        <f ca="1">IFERROR(__xludf.DUMMYFUNCTION("""COMPUTED_VALUE"""),34907815)</f>
        <v>34907815</v>
      </c>
    </row>
    <row r="652" spans="1:6" ht="12.6">
      <c r="A652" s="2">
        <f ca="1">IFERROR(__xludf.DUMMYFUNCTION("""COMPUTED_VALUE"""),45510.6666666666)</f>
        <v>45510.666666666599</v>
      </c>
      <c r="B652" s="1">
        <f ca="1">IFERROR(__xludf.DUMMYFUNCTION("""COMPUTED_VALUE"""),160.95)</f>
        <v>160.94999999999999</v>
      </c>
      <c r="C652" s="1">
        <f ca="1">IFERROR(__xludf.DUMMYFUNCTION("""COMPUTED_VALUE"""),162.35)</f>
        <v>162.35</v>
      </c>
      <c r="D652" s="1">
        <f ca="1">IFERROR(__xludf.DUMMYFUNCTION("""COMPUTED_VALUE"""),158.13)</f>
        <v>158.13</v>
      </c>
      <c r="E652" s="1">
        <f ca="1">IFERROR(__xludf.DUMMYFUNCTION("""COMPUTED_VALUE"""),160.54)</f>
        <v>160.54</v>
      </c>
      <c r="F652" s="1">
        <f ca="1">IFERROR(__xludf.DUMMYFUNCTION("""COMPUTED_VALUE"""),36146541)</f>
        <v>36146541</v>
      </c>
    </row>
    <row r="653" spans="1:6" ht="12.6">
      <c r="A653" s="2">
        <f ca="1">IFERROR(__xludf.DUMMYFUNCTION("""COMPUTED_VALUE"""),45511.6666666666)</f>
        <v>45511.666666666599</v>
      </c>
      <c r="B653" s="1">
        <f ca="1">IFERROR(__xludf.DUMMYFUNCTION("""COMPUTED_VALUE"""),163.24)</f>
        <v>163.24</v>
      </c>
      <c r="C653" s="1">
        <f ca="1">IFERROR(__xludf.DUMMYFUNCTION("""COMPUTED_VALUE"""),164.79)</f>
        <v>164.79</v>
      </c>
      <c r="D653" s="1">
        <f ca="1">IFERROR(__xludf.DUMMYFUNCTION("""COMPUTED_VALUE"""),160.24)</f>
        <v>160.24</v>
      </c>
      <c r="E653" s="1">
        <f ca="1">IFERROR(__xludf.DUMMYFUNCTION("""COMPUTED_VALUE"""),160.75)</f>
        <v>160.75</v>
      </c>
      <c r="F653" s="1">
        <f ca="1">IFERROR(__xludf.DUMMYFUNCTION("""COMPUTED_VALUE"""),19334246)</f>
        <v>19334246</v>
      </c>
    </row>
    <row r="654" spans="1:6" ht="12.6">
      <c r="A654" s="2">
        <f ca="1">IFERROR(__xludf.DUMMYFUNCTION("""COMPUTED_VALUE"""),45512.6666666666)</f>
        <v>45512.666666666599</v>
      </c>
      <c r="B654" s="1">
        <f ca="1">IFERROR(__xludf.DUMMYFUNCTION("""COMPUTED_VALUE"""),162.34)</f>
        <v>162.34</v>
      </c>
      <c r="C654" s="1">
        <f ca="1">IFERROR(__xludf.DUMMYFUNCTION("""COMPUTED_VALUE"""),165.5)</f>
        <v>165.5</v>
      </c>
      <c r="D654" s="1">
        <f ca="1">IFERROR(__xludf.DUMMYFUNCTION("""COMPUTED_VALUE"""),162.03)</f>
        <v>162.03</v>
      </c>
      <c r="E654" s="1">
        <f ca="1">IFERROR(__xludf.DUMMYFUNCTION("""COMPUTED_VALUE"""),163.84)</f>
        <v>163.84</v>
      </c>
      <c r="F654" s="1">
        <f ca="1">IFERROR(__xludf.DUMMYFUNCTION("""COMPUTED_VALUE"""),15733612)</f>
        <v>15733612</v>
      </c>
    </row>
    <row r="655" spans="1:6" ht="12.6">
      <c r="A655" s="2">
        <f ca="1">IFERROR(__xludf.DUMMYFUNCTION("""COMPUTED_VALUE"""),45513.6666666666)</f>
        <v>45513.666666666599</v>
      </c>
      <c r="B655" s="1">
        <f ca="1">IFERROR(__xludf.DUMMYFUNCTION("""COMPUTED_VALUE"""),161.65)</f>
        <v>161.65</v>
      </c>
      <c r="C655" s="1">
        <f ca="1">IFERROR(__xludf.DUMMYFUNCTION("""COMPUTED_VALUE"""),165.52)</f>
        <v>165.52</v>
      </c>
      <c r="D655" s="1">
        <f ca="1">IFERROR(__xludf.DUMMYFUNCTION("""COMPUTED_VALUE"""),160.93)</f>
        <v>160.93</v>
      </c>
      <c r="E655" s="1">
        <f ca="1">IFERROR(__xludf.DUMMYFUNCTION("""COMPUTED_VALUE"""),165.39)</f>
        <v>165.39</v>
      </c>
      <c r="F655" s="1">
        <f ca="1">IFERROR(__xludf.DUMMYFUNCTION("""COMPUTED_VALUE"""),13549230)</f>
        <v>13549230</v>
      </c>
    </row>
    <row r="656" spans="1:6" ht="12.6">
      <c r="A656" s="2">
        <f ca="1">IFERROR(__xludf.DUMMYFUNCTION("""COMPUTED_VALUE"""),45516.6666666666)</f>
        <v>45516.666666666599</v>
      </c>
      <c r="B656" s="1">
        <f ca="1">IFERROR(__xludf.DUMMYFUNCTION("""COMPUTED_VALUE"""),166)</f>
        <v>166</v>
      </c>
      <c r="C656" s="1">
        <f ca="1">IFERROR(__xludf.DUMMYFUNCTION("""COMPUTED_VALUE"""),166.7)</f>
        <v>166.7</v>
      </c>
      <c r="D656" s="1">
        <f ca="1">IFERROR(__xludf.DUMMYFUNCTION("""COMPUTED_VALUE"""),163.55)</f>
        <v>163.55000000000001</v>
      </c>
      <c r="E656" s="1">
        <f ca="1">IFERROR(__xludf.DUMMYFUNCTION("""COMPUTED_VALUE"""),163.95)</f>
        <v>163.95</v>
      </c>
      <c r="F656" s="1">
        <f ca="1">IFERROR(__xludf.DUMMYFUNCTION("""COMPUTED_VALUE"""),12434969)</f>
        <v>12434969</v>
      </c>
    </row>
    <row r="657" spans="1:6" ht="12.6">
      <c r="A657" s="2">
        <f ca="1">IFERROR(__xludf.DUMMYFUNCTION("""COMPUTED_VALUE"""),45517.6666666666)</f>
        <v>45517.666666666599</v>
      </c>
      <c r="B657" s="1">
        <f ca="1">IFERROR(__xludf.DUMMYFUNCTION("""COMPUTED_VALUE"""),165.19)</f>
        <v>165.19</v>
      </c>
      <c r="C657" s="1">
        <f ca="1">IFERROR(__xludf.DUMMYFUNCTION("""COMPUTED_VALUE"""),166.54)</f>
        <v>166.54</v>
      </c>
      <c r="D657" s="1">
        <f ca="1">IFERROR(__xludf.DUMMYFUNCTION("""COMPUTED_VALUE"""),164.77)</f>
        <v>164.77</v>
      </c>
      <c r="E657" s="1">
        <f ca="1">IFERROR(__xludf.DUMMYFUNCTION("""COMPUTED_VALUE"""),165.93)</f>
        <v>165.93</v>
      </c>
      <c r="F657" s="1">
        <f ca="1">IFERROR(__xludf.DUMMYFUNCTION("""COMPUTED_VALUE"""),12717628)</f>
        <v>12717628</v>
      </c>
    </row>
    <row r="658" spans="1:6" ht="12.6">
      <c r="A658" s="2">
        <f ca="1">IFERROR(__xludf.DUMMYFUNCTION("""COMPUTED_VALUE"""),45518.6666666666)</f>
        <v>45518.666666666599</v>
      </c>
      <c r="B658" s="1">
        <f ca="1">IFERROR(__xludf.DUMMYFUNCTION("""COMPUTED_VALUE"""),164.21)</f>
        <v>164.21</v>
      </c>
      <c r="C658" s="1">
        <f ca="1">IFERROR(__xludf.DUMMYFUNCTION("""COMPUTED_VALUE"""),164.96)</f>
        <v>164.96</v>
      </c>
      <c r="D658" s="1">
        <f ca="1">IFERROR(__xludf.DUMMYFUNCTION("""COMPUTED_VALUE"""),159.53)</f>
        <v>159.53</v>
      </c>
      <c r="E658" s="1">
        <f ca="1">IFERROR(__xludf.DUMMYFUNCTION("""COMPUTED_VALUE"""),162.03)</f>
        <v>162.03</v>
      </c>
      <c r="F658" s="1">
        <f ca="1">IFERROR(__xludf.DUMMYFUNCTION("""COMPUTED_VALUE"""),22515895)</f>
        <v>22515895</v>
      </c>
    </row>
    <row r="659" spans="1:6" ht="12.6">
      <c r="A659" s="2">
        <f ca="1">IFERROR(__xludf.DUMMYFUNCTION("""COMPUTED_VALUE"""),45519.6666666666)</f>
        <v>45519.666666666599</v>
      </c>
      <c r="B659" s="1">
        <f ca="1">IFERROR(__xludf.DUMMYFUNCTION("""COMPUTED_VALUE"""),162.21)</f>
        <v>162.21</v>
      </c>
      <c r="C659" s="1">
        <f ca="1">IFERROR(__xludf.DUMMYFUNCTION("""COMPUTED_VALUE"""),163.52)</f>
        <v>163.52000000000001</v>
      </c>
      <c r="D659" s="1">
        <f ca="1">IFERROR(__xludf.DUMMYFUNCTION("""COMPUTED_VALUE"""),161.49)</f>
        <v>161.49</v>
      </c>
      <c r="E659" s="1">
        <f ca="1">IFERROR(__xludf.DUMMYFUNCTION("""COMPUTED_VALUE"""),163.17)</f>
        <v>163.16999999999999</v>
      </c>
      <c r="F659" s="1">
        <f ca="1">IFERROR(__xludf.DUMMYFUNCTION("""COMPUTED_VALUE"""),18392452)</f>
        <v>18392452</v>
      </c>
    </row>
    <row r="660" spans="1:6" ht="12.6">
      <c r="A660" s="2">
        <f ca="1">IFERROR(__xludf.DUMMYFUNCTION("""COMPUTED_VALUE"""),45520.6666666666)</f>
        <v>45520.666666666599</v>
      </c>
      <c r="B660" s="1">
        <f ca="1">IFERROR(__xludf.DUMMYFUNCTION("""COMPUTED_VALUE"""),163.41)</f>
        <v>163.41</v>
      </c>
      <c r="C660" s="1">
        <f ca="1">IFERROR(__xludf.DUMMYFUNCTION("""COMPUTED_VALUE"""),166.95)</f>
        <v>166.95</v>
      </c>
      <c r="D660" s="1">
        <f ca="1">IFERROR(__xludf.DUMMYFUNCTION("""COMPUTED_VALUE"""),163.08)</f>
        <v>163.08000000000001</v>
      </c>
      <c r="E660" s="1">
        <f ca="1">IFERROR(__xludf.DUMMYFUNCTION("""COMPUTED_VALUE"""),164.74)</f>
        <v>164.74</v>
      </c>
      <c r="F660" s="1">
        <f ca="1">IFERROR(__xludf.DUMMYFUNCTION("""COMPUTED_VALUE"""),16853137)</f>
        <v>16853137</v>
      </c>
    </row>
    <row r="661" spans="1:6" ht="12.6">
      <c r="A661" s="2">
        <f ca="1">IFERROR(__xludf.DUMMYFUNCTION("""COMPUTED_VALUE"""),45523.6666666666)</f>
        <v>45523.666666666599</v>
      </c>
      <c r="B661" s="1">
        <f ca="1">IFERROR(__xludf.DUMMYFUNCTION("""COMPUTED_VALUE"""),167)</f>
        <v>167</v>
      </c>
      <c r="C661" s="1">
        <f ca="1">IFERROR(__xludf.DUMMYFUNCTION("""COMPUTED_VALUE"""),168.47)</f>
        <v>168.47</v>
      </c>
      <c r="D661" s="1">
        <f ca="1">IFERROR(__xludf.DUMMYFUNCTION("""COMPUTED_VALUE"""),166.09)</f>
        <v>166.09</v>
      </c>
      <c r="E661" s="1">
        <f ca="1">IFERROR(__xludf.DUMMYFUNCTION("""COMPUTED_VALUE"""),168.4)</f>
        <v>168.4</v>
      </c>
      <c r="F661" s="1">
        <f ca="1">IFERROR(__xludf.DUMMYFUNCTION("""COMPUTED_VALUE"""),13100762)</f>
        <v>13100762</v>
      </c>
    </row>
    <row r="662" spans="1:6" ht="12.6">
      <c r="A662" s="2">
        <f ca="1">IFERROR(__xludf.DUMMYFUNCTION("""COMPUTED_VALUE"""),45524.6666666666)</f>
        <v>45524.666666666599</v>
      </c>
      <c r="B662" s="1">
        <f ca="1">IFERROR(__xludf.DUMMYFUNCTION("""COMPUTED_VALUE"""),168.74)</f>
        <v>168.74</v>
      </c>
      <c r="C662" s="1">
        <f ca="1">IFERROR(__xludf.DUMMYFUNCTION("""COMPUTED_VALUE"""),170.41)</f>
        <v>170.41</v>
      </c>
      <c r="D662" s="1">
        <f ca="1">IFERROR(__xludf.DUMMYFUNCTION("""COMPUTED_VALUE"""),168.66)</f>
        <v>168.66</v>
      </c>
      <c r="E662" s="1">
        <f ca="1">IFERROR(__xludf.DUMMYFUNCTION("""COMPUTED_VALUE"""),168.96)</f>
        <v>168.96</v>
      </c>
      <c r="F662" s="1">
        <f ca="1">IFERROR(__xludf.DUMMYFUNCTION("""COMPUTED_VALUE"""),12622523)</f>
        <v>12622523</v>
      </c>
    </row>
    <row r="663" spans="1:6" ht="12.6">
      <c r="A663" s="2">
        <f ca="1">IFERROR(__xludf.DUMMYFUNCTION("""COMPUTED_VALUE"""),45525.6666666666)</f>
        <v>45525.666666666599</v>
      </c>
      <c r="B663" s="1">
        <f ca="1">IFERROR(__xludf.DUMMYFUNCTION("""COMPUTED_VALUE"""),166.99)</f>
        <v>166.99</v>
      </c>
      <c r="C663" s="1">
        <f ca="1">IFERROR(__xludf.DUMMYFUNCTION("""COMPUTED_VALUE"""),168.64)</f>
        <v>168.64</v>
      </c>
      <c r="D663" s="1">
        <f ca="1">IFERROR(__xludf.DUMMYFUNCTION("""COMPUTED_VALUE"""),166.57)</f>
        <v>166.57</v>
      </c>
      <c r="E663" s="1">
        <f ca="1">IFERROR(__xludf.DUMMYFUNCTION("""COMPUTED_VALUE"""),167.63)</f>
        <v>167.63</v>
      </c>
      <c r="F663" s="1">
        <f ca="1">IFERROR(__xludf.DUMMYFUNCTION("""COMPUTED_VALUE"""),15269550)</f>
        <v>15269550</v>
      </c>
    </row>
    <row r="664" spans="1:6" ht="12.6">
      <c r="A664" s="2">
        <f ca="1">IFERROR(__xludf.DUMMYFUNCTION("""COMPUTED_VALUE"""),45526.6666666666)</f>
        <v>45526.666666666599</v>
      </c>
      <c r="B664" s="1">
        <f ca="1">IFERROR(__xludf.DUMMYFUNCTION("""COMPUTED_VALUE"""),169.04)</f>
        <v>169.04</v>
      </c>
      <c r="C664" s="1">
        <f ca="1">IFERROR(__xludf.DUMMYFUNCTION("""COMPUTED_VALUE"""),169.42)</f>
        <v>169.42</v>
      </c>
      <c r="D664" s="1">
        <f ca="1">IFERROR(__xludf.DUMMYFUNCTION("""COMPUTED_VALUE"""),165.03)</f>
        <v>165.03</v>
      </c>
      <c r="E664" s="1">
        <f ca="1">IFERROR(__xludf.DUMMYFUNCTION("""COMPUTED_VALUE"""),165.49)</f>
        <v>165.49</v>
      </c>
      <c r="F664" s="1">
        <f ca="1">IFERROR(__xludf.DUMMYFUNCTION("""COMPUTED_VALUE"""),19123778)</f>
        <v>19123778</v>
      </c>
    </row>
    <row r="665" spans="1:6" ht="12.6">
      <c r="A665" s="2">
        <f ca="1">IFERROR(__xludf.DUMMYFUNCTION("""COMPUTED_VALUE"""),45527.6666666666)</f>
        <v>45527.666666666599</v>
      </c>
      <c r="B665" s="1">
        <f ca="1">IFERROR(__xludf.DUMMYFUNCTION("""COMPUTED_VALUE"""),166.55)</f>
        <v>166.55</v>
      </c>
      <c r="C665" s="1">
        <f ca="1">IFERROR(__xludf.DUMMYFUNCTION("""COMPUTED_VALUE"""),167.95)</f>
        <v>167.95</v>
      </c>
      <c r="D665" s="1">
        <f ca="1">IFERROR(__xludf.DUMMYFUNCTION("""COMPUTED_VALUE"""),165.66)</f>
        <v>165.66</v>
      </c>
      <c r="E665" s="1">
        <f ca="1">IFERROR(__xludf.DUMMYFUNCTION("""COMPUTED_VALUE"""),167.43)</f>
        <v>167.43</v>
      </c>
      <c r="F665" s="1">
        <f ca="1">IFERROR(__xludf.DUMMYFUNCTION("""COMPUTED_VALUE"""),14281621)</f>
        <v>14281621</v>
      </c>
    </row>
    <row r="666" spans="1:6" ht="12.6">
      <c r="A666" s="2">
        <f ca="1">IFERROR(__xludf.DUMMYFUNCTION("""COMPUTED_VALUE"""),45530.6666666666)</f>
        <v>45530.666666666599</v>
      </c>
      <c r="B666" s="1">
        <f ca="1">IFERROR(__xludf.DUMMYFUNCTION("""COMPUTED_VALUE"""),168.16)</f>
        <v>168.16</v>
      </c>
      <c r="C666" s="1">
        <f ca="1">IFERROR(__xludf.DUMMYFUNCTION("""COMPUTED_VALUE"""),169.38)</f>
        <v>169.38</v>
      </c>
      <c r="D666" s="1">
        <f ca="1">IFERROR(__xludf.DUMMYFUNCTION("""COMPUTED_VALUE"""),166.32)</f>
        <v>166.32</v>
      </c>
      <c r="E666" s="1">
        <f ca="1">IFERROR(__xludf.DUMMYFUNCTION("""COMPUTED_VALUE"""),167.93)</f>
        <v>167.93</v>
      </c>
      <c r="F666" s="1">
        <f ca="1">IFERROR(__xludf.DUMMYFUNCTION("""COMPUTED_VALUE"""),11990305)</f>
        <v>11990305</v>
      </c>
    </row>
    <row r="667" spans="1:6" ht="12.6">
      <c r="A667" s="2">
        <f ca="1">IFERROR(__xludf.DUMMYFUNCTION("""COMPUTED_VALUE"""),45531.6666666666)</f>
        <v>45531.666666666599</v>
      </c>
      <c r="B667" s="1">
        <f ca="1">IFERROR(__xludf.DUMMYFUNCTION("""COMPUTED_VALUE"""),167.61)</f>
        <v>167.61</v>
      </c>
      <c r="C667" s="1">
        <f ca="1">IFERROR(__xludf.DUMMYFUNCTION("""COMPUTED_VALUE"""),168.25)</f>
        <v>168.25</v>
      </c>
      <c r="D667" s="1">
        <f ca="1">IFERROR(__xludf.DUMMYFUNCTION("""COMPUTED_VALUE"""),166.16)</f>
        <v>166.16</v>
      </c>
      <c r="E667" s="1">
        <f ca="1">IFERROR(__xludf.DUMMYFUNCTION("""COMPUTED_VALUE"""),166.38)</f>
        <v>166.38</v>
      </c>
      <c r="F667" s="1">
        <f ca="1">IFERROR(__xludf.DUMMYFUNCTION("""COMPUTED_VALUE"""),13718162)</f>
        <v>13718162</v>
      </c>
    </row>
    <row r="668" spans="1:6" ht="12.6">
      <c r="A668" s="2">
        <f ca="1">IFERROR(__xludf.DUMMYFUNCTION("""COMPUTED_VALUE"""),45532.6666666666)</f>
        <v>45532.666666666599</v>
      </c>
      <c r="B668" s="1">
        <f ca="1">IFERROR(__xludf.DUMMYFUNCTION("""COMPUTED_VALUE"""),166.78)</f>
        <v>166.78</v>
      </c>
      <c r="C668" s="1">
        <f ca="1">IFERROR(__xludf.DUMMYFUNCTION("""COMPUTED_VALUE"""),167.39)</f>
        <v>167.39</v>
      </c>
      <c r="D668" s="1">
        <f ca="1">IFERROR(__xludf.DUMMYFUNCTION("""COMPUTED_VALUE"""),163.28)</f>
        <v>163.28</v>
      </c>
      <c r="E668" s="1">
        <f ca="1">IFERROR(__xludf.DUMMYFUNCTION("""COMPUTED_VALUE"""),164.5)</f>
        <v>164.5</v>
      </c>
      <c r="F668" s="1">
        <f ca="1">IFERROR(__xludf.DUMMYFUNCTION("""COMPUTED_VALUE"""),15208736)</f>
        <v>15208736</v>
      </c>
    </row>
    <row r="669" spans="1:6" ht="12.6">
      <c r="A669" s="2">
        <f ca="1">IFERROR(__xludf.DUMMYFUNCTION("""COMPUTED_VALUE"""),45533.6666666666)</f>
        <v>45533.666666666599</v>
      </c>
      <c r="B669" s="1">
        <f ca="1">IFERROR(__xludf.DUMMYFUNCTION("""COMPUTED_VALUE"""),166.06)</f>
        <v>166.06</v>
      </c>
      <c r="C669" s="1">
        <f ca="1">IFERROR(__xludf.DUMMYFUNCTION("""COMPUTED_VALUE"""),167.63)</f>
        <v>167.63</v>
      </c>
      <c r="D669" s="1">
        <f ca="1">IFERROR(__xludf.DUMMYFUNCTION("""COMPUTED_VALUE"""),161.98)</f>
        <v>161.97999999999999</v>
      </c>
      <c r="E669" s="1">
        <f ca="1">IFERROR(__xludf.DUMMYFUNCTION("""COMPUTED_VALUE"""),163.4)</f>
        <v>163.4</v>
      </c>
      <c r="F669" s="1">
        <f ca="1">IFERROR(__xludf.DUMMYFUNCTION("""COMPUTED_VALUE"""),17133830)</f>
        <v>17133830</v>
      </c>
    </row>
    <row r="670" spans="1:6" ht="12.6">
      <c r="A670" s="2">
        <f ca="1">IFERROR(__xludf.DUMMYFUNCTION("""COMPUTED_VALUE"""),45534.6666666666)</f>
        <v>45534.666666666599</v>
      </c>
      <c r="B670" s="1">
        <f ca="1">IFERROR(__xludf.DUMMYFUNCTION("""COMPUTED_VALUE"""),164.22)</f>
        <v>164.22</v>
      </c>
      <c r="C670" s="1">
        <f ca="1">IFERROR(__xludf.DUMMYFUNCTION("""COMPUTED_VALUE"""),165.28)</f>
        <v>165.28</v>
      </c>
      <c r="D670" s="1">
        <f ca="1">IFERROR(__xludf.DUMMYFUNCTION("""COMPUTED_VALUE"""),163.41)</f>
        <v>163.41</v>
      </c>
      <c r="E670" s="1">
        <f ca="1">IFERROR(__xludf.DUMMYFUNCTION("""COMPUTED_VALUE"""),165.11)</f>
        <v>165.11</v>
      </c>
      <c r="F670" s="1">
        <f ca="1">IFERROR(__xludf.DUMMYFUNCTION("""COMPUTED_VALUE"""),18498777)</f>
        <v>18498777</v>
      </c>
    </row>
    <row r="671" spans="1:6" ht="12.6">
      <c r="A671" s="2">
        <f ca="1">IFERROR(__xludf.DUMMYFUNCTION("""COMPUTED_VALUE"""),45538.6666666666)</f>
        <v>45538.666666666599</v>
      </c>
      <c r="B671" s="1">
        <f ca="1">IFERROR(__xludf.DUMMYFUNCTION("""COMPUTED_VALUE"""),163.32)</f>
        <v>163.32</v>
      </c>
      <c r="C671" s="1">
        <f ca="1">IFERROR(__xludf.DUMMYFUNCTION("""COMPUTED_VALUE"""),163.38)</f>
        <v>163.38</v>
      </c>
      <c r="D671" s="1">
        <f ca="1">IFERROR(__xludf.DUMMYFUNCTION("""COMPUTED_VALUE"""),157.85)</f>
        <v>157.85</v>
      </c>
      <c r="E671" s="1">
        <f ca="1">IFERROR(__xludf.DUMMYFUNCTION("""COMPUTED_VALUE"""),158.61)</f>
        <v>158.61000000000001</v>
      </c>
      <c r="F671" s="1">
        <f ca="1">IFERROR(__xludf.DUMMYFUNCTION("""COMPUTED_VALUE"""),26533110)</f>
        <v>26533110</v>
      </c>
    </row>
    <row r="672" spans="1:6" ht="12.6">
      <c r="A672" s="2">
        <f ca="1">IFERROR(__xludf.DUMMYFUNCTION("""COMPUTED_VALUE"""),45539.6666666666)</f>
        <v>45539.666666666599</v>
      </c>
      <c r="B672" s="1">
        <f ca="1">IFERROR(__xludf.DUMMYFUNCTION("""COMPUTED_VALUE"""),158.07)</f>
        <v>158.07</v>
      </c>
      <c r="C672" s="1">
        <f ca="1">IFERROR(__xludf.DUMMYFUNCTION("""COMPUTED_VALUE"""),160.4)</f>
        <v>160.4</v>
      </c>
      <c r="D672" s="1">
        <f ca="1">IFERROR(__xludf.DUMMYFUNCTION("""COMPUTED_VALUE"""),157.44)</f>
        <v>157.44</v>
      </c>
      <c r="E672" s="1">
        <f ca="1">IFERROR(__xludf.DUMMYFUNCTION("""COMPUTED_VALUE"""),157.81)</f>
        <v>157.81</v>
      </c>
      <c r="F672" s="1">
        <f ca="1">IFERROR(__xludf.DUMMYFUNCTION("""COMPUTED_VALUE"""),17410652)</f>
        <v>17410652</v>
      </c>
    </row>
    <row r="673" spans="1:6" ht="12.6">
      <c r="A673" s="2">
        <f ca="1">IFERROR(__xludf.DUMMYFUNCTION("""COMPUTED_VALUE"""),45540.6666666666)</f>
        <v>45540.666666666599</v>
      </c>
      <c r="B673" s="1">
        <f ca="1">IFERROR(__xludf.DUMMYFUNCTION("""COMPUTED_VALUE"""),157.78)</f>
        <v>157.78</v>
      </c>
      <c r="C673" s="1">
        <f ca="1">IFERROR(__xludf.DUMMYFUNCTION("""COMPUTED_VALUE"""),161.01)</f>
        <v>161.01</v>
      </c>
      <c r="D673" s="1">
        <f ca="1">IFERROR(__xludf.DUMMYFUNCTION("""COMPUTED_VALUE"""),157.52)</f>
        <v>157.52000000000001</v>
      </c>
      <c r="E673" s="1">
        <f ca="1">IFERROR(__xludf.DUMMYFUNCTION("""COMPUTED_VALUE"""),158.6)</f>
        <v>158.6</v>
      </c>
      <c r="F673" s="1">
        <f ca="1">IFERROR(__xludf.DUMMYFUNCTION("""COMPUTED_VALUE"""),14139501)</f>
        <v>14139501</v>
      </c>
    </row>
    <row r="674" spans="1:6" ht="12.6">
      <c r="A674" s="2">
        <f ca="1">IFERROR(__xludf.DUMMYFUNCTION("""COMPUTED_VALUE"""),45541.6666666666)</f>
        <v>45541.666666666599</v>
      </c>
      <c r="B674" s="1">
        <f ca="1">IFERROR(__xludf.DUMMYFUNCTION("""COMPUTED_VALUE"""),158.69)</f>
        <v>158.69</v>
      </c>
      <c r="C674" s="1">
        <f ca="1">IFERROR(__xludf.DUMMYFUNCTION("""COMPUTED_VALUE"""),159.22)</f>
        <v>159.22</v>
      </c>
      <c r="D674" s="1">
        <f ca="1">IFERROR(__xludf.DUMMYFUNCTION("""COMPUTED_VALUE"""),151.94)</f>
        <v>151.94</v>
      </c>
      <c r="E674" s="1">
        <f ca="1">IFERROR(__xludf.DUMMYFUNCTION("""COMPUTED_VALUE"""),152.13)</f>
        <v>152.13</v>
      </c>
      <c r="F674" s="1">
        <f ca="1">IFERROR(__xludf.DUMMYFUNCTION("""COMPUTED_VALUE"""),24999062)</f>
        <v>24999062</v>
      </c>
    </row>
    <row r="675" spans="1:6" ht="12.6">
      <c r="A675" s="2">
        <f ca="1">IFERROR(__xludf.DUMMYFUNCTION("""COMPUTED_VALUE"""),45544.6666666666)</f>
        <v>45544.666666666599</v>
      </c>
      <c r="B675" s="1">
        <f ca="1">IFERROR(__xludf.DUMMYFUNCTION("""COMPUTED_VALUE"""),153.63)</f>
        <v>153.63</v>
      </c>
      <c r="C675" s="1">
        <f ca="1">IFERROR(__xludf.DUMMYFUNCTION("""COMPUTED_VALUE"""),154.64)</f>
        <v>154.63999999999999</v>
      </c>
      <c r="D675" s="1">
        <f ca="1">IFERROR(__xludf.DUMMYFUNCTION("""COMPUTED_VALUE"""),148.2)</f>
        <v>148.19999999999999</v>
      </c>
      <c r="E675" s="1">
        <f ca="1">IFERROR(__xludf.DUMMYFUNCTION("""COMPUTED_VALUE"""),149.54)</f>
        <v>149.54</v>
      </c>
      <c r="F675" s="1">
        <f ca="1">IFERROR(__xludf.DUMMYFUNCTION("""COMPUTED_VALUE"""),28057746)</f>
        <v>28057746</v>
      </c>
    </row>
    <row r="676" spans="1:6" ht="12.6">
      <c r="A676" s="2">
        <f ca="1">IFERROR(__xludf.DUMMYFUNCTION("""COMPUTED_VALUE"""),45545.6666666666)</f>
        <v>45545.666666666599</v>
      </c>
      <c r="B676" s="1">
        <f ca="1">IFERROR(__xludf.DUMMYFUNCTION("""COMPUTED_VALUE"""),151.45)</f>
        <v>151.44999999999999</v>
      </c>
      <c r="C676" s="1">
        <f ca="1">IFERROR(__xludf.DUMMYFUNCTION("""COMPUTED_VALUE"""),152.3)</f>
        <v>152.30000000000001</v>
      </c>
      <c r="D676" s="1">
        <f ca="1">IFERROR(__xludf.DUMMYFUNCTION("""COMPUTED_VALUE"""),149.54)</f>
        <v>149.54</v>
      </c>
      <c r="E676" s="1">
        <f ca="1">IFERROR(__xludf.DUMMYFUNCTION("""COMPUTED_VALUE"""),150.01)</f>
        <v>150.01</v>
      </c>
      <c r="F676" s="1">
        <f ca="1">IFERROR(__xludf.DUMMYFUNCTION("""COMPUTED_VALUE"""),20401774)</f>
        <v>20401774</v>
      </c>
    </row>
    <row r="677" spans="1:6" ht="12.6">
      <c r="A677" s="2">
        <f ca="1">IFERROR(__xludf.DUMMYFUNCTION("""COMPUTED_VALUE"""),45546.6666666666)</f>
        <v>45546.666666666599</v>
      </c>
      <c r="B677" s="1">
        <f ca="1">IFERROR(__xludf.DUMMYFUNCTION("""COMPUTED_VALUE"""),151.09)</f>
        <v>151.09</v>
      </c>
      <c r="C677" s="1">
        <f ca="1">IFERROR(__xludf.DUMMYFUNCTION("""COMPUTED_VALUE"""),152.48)</f>
        <v>152.47999999999999</v>
      </c>
      <c r="D677" s="1">
        <f ca="1">IFERROR(__xludf.DUMMYFUNCTION("""COMPUTED_VALUE"""),148.7)</f>
        <v>148.69999999999999</v>
      </c>
      <c r="E677" s="1">
        <f ca="1">IFERROR(__xludf.DUMMYFUNCTION("""COMPUTED_VALUE"""),152.15)</f>
        <v>152.15</v>
      </c>
      <c r="F677" s="1">
        <f ca="1">IFERROR(__xludf.DUMMYFUNCTION("""COMPUTED_VALUE"""),18991486)</f>
        <v>18991486</v>
      </c>
    </row>
    <row r="678" spans="1:6" ht="12.6">
      <c r="A678" s="2">
        <f ca="1">IFERROR(__xludf.DUMMYFUNCTION("""COMPUTED_VALUE"""),45547.6666666666)</f>
        <v>45547.666666666599</v>
      </c>
      <c r="B678" s="1">
        <f ca="1">IFERROR(__xludf.DUMMYFUNCTION("""COMPUTED_VALUE"""),154.81)</f>
        <v>154.81</v>
      </c>
      <c r="C678" s="1">
        <f ca="1">IFERROR(__xludf.DUMMYFUNCTION("""COMPUTED_VALUE"""),155.61)</f>
        <v>155.61000000000001</v>
      </c>
      <c r="D678" s="1">
        <f ca="1">IFERROR(__xludf.DUMMYFUNCTION("""COMPUTED_VALUE"""),153.5)</f>
        <v>153.5</v>
      </c>
      <c r="E678" s="1">
        <f ca="1">IFERROR(__xludf.DUMMYFUNCTION("""COMPUTED_VALUE"""),155.54)</f>
        <v>155.54</v>
      </c>
      <c r="F678" s="1">
        <f ca="1">IFERROR(__xludf.DUMMYFUNCTION("""COMPUTED_VALUE"""),21024062)</f>
        <v>21024062</v>
      </c>
    </row>
    <row r="679" spans="1:6" ht="12.6">
      <c r="A679" s="2">
        <f ca="1">IFERROR(__xludf.DUMMYFUNCTION("""COMPUTED_VALUE"""),45548.6666666666)</f>
        <v>45548.666666666599</v>
      </c>
      <c r="B679" s="1">
        <f ca="1">IFERROR(__xludf.DUMMYFUNCTION("""COMPUTED_VALUE"""),156.36)</f>
        <v>156.36000000000001</v>
      </c>
      <c r="C679" s="1">
        <f ca="1">IFERROR(__xludf.DUMMYFUNCTION("""COMPUTED_VALUE"""),159.28)</f>
        <v>159.28</v>
      </c>
      <c r="D679" s="1">
        <f ca="1">IFERROR(__xludf.DUMMYFUNCTION("""COMPUTED_VALUE"""),156.11)</f>
        <v>156.11000000000001</v>
      </c>
      <c r="E679" s="1">
        <f ca="1">IFERROR(__xludf.DUMMYFUNCTION("""COMPUTED_VALUE"""),158.37)</f>
        <v>158.37</v>
      </c>
      <c r="F679" s="1">
        <f ca="1">IFERROR(__xludf.DUMMYFUNCTION("""COMPUTED_VALUE"""),16733908)</f>
        <v>16733908</v>
      </c>
    </row>
    <row r="680" spans="1:6" ht="12.6">
      <c r="A680" s="2">
        <f ca="1">IFERROR(__xludf.DUMMYFUNCTION("""COMPUTED_VALUE"""),45551.6666666666)</f>
        <v>45551.666666666599</v>
      </c>
      <c r="B680" s="1">
        <f ca="1">IFERROR(__xludf.DUMMYFUNCTION("""COMPUTED_VALUE"""),158.33)</f>
        <v>158.33000000000001</v>
      </c>
      <c r="C680" s="1">
        <f ca="1">IFERROR(__xludf.DUMMYFUNCTION("""COMPUTED_VALUE"""),159.24)</f>
        <v>159.24</v>
      </c>
      <c r="D680" s="1">
        <f ca="1">IFERROR(__xludf.DUMMYFUNCTION("""COMPUTED_VALUE"""),157.61)</f>
        <v>157.61000000000001</v>
      </c>
      <c r="E680" s="1">
        <f ca="1">IFERROR(__xludf.DUMMYFUNCTION("""COMPUTED_VALUE"""),158.99)</f>
        <v>158.99</v>
      </c>
      <c r="F680" s="1">
        <f ca="1">IFERROR(__xludf.DUMMYFUNCTION("""COMPUTED_VALUE"""),14157614)</f>
        <v>14157614</v>
      </c>
    </row>
    <row r="681" spans="1:6" ht="12.6">
      <c r="A681" s="2">
        <f ca="1">IFERROR(__xludf.DUMMYFUNCTION("""COMPUTED_VALUE"""),45552.6666666666)</f>
        <v>45552.666666666599</v>
      </c>
      <c r="B681" s="1">
        <f ca="1">IFERROR(__xludf.DUMMYFUNCTION("""COMPUTED_VALUE"""),160.09)</f>
        <v>160.09</v>
      </c>
      <c r="C681" s="1">
        <f ca="1">IFERROR(__xludf.DUMMYFUNCTION("""COMPUTED_VALUE"""),161.59)</f>
        <v>161.59</v>
      </c>
      <c r="D681" s="1">
        <f ca="1">IFERROR(__xludf.DUMMYFUNCTION("""COMPUTED_VALUE"""),159.41)</f>
        <v>159.41</v>
      </c>
      <c r="E681" s="1">
        <f ca="1">IFERROR(__xludf.DUMMYFUNCTION("""COMPUTED_VALUE"""),160.28)</f>
        <v>160.28</v>
      </c>
      <c r="F681" s="1">
        <f ca="1">IFERROR(__xludf.DUMMYFUNCTION("""COMPUTED_VALUE"""),12064790)</f>
        <v>12064790</v>
      </c>
    </row>
    <row r="682" spans="1:6" ht="12.6">
      <c r="A682" s="2">
        <f ca="1">IFERROR(__xludf.DUMMYFUNCTION("""COMPUTED_VALUE"""),45553.6666666666)</f>
        <v>45553.666666666599</v>
      </c>
      <c r="B682" s="1">
        <f ca="1">IFERROR(__xludf.DUMMYFUNCTION("""COMPUTED_VALUE"""),160.85)</f>
        <v>160.85</v>
      </c>
      <c r="C682" s="1">
        <f ca="1">IFERROR(__xludf.DUMMYFUNCTION("""COMPUTED_VALUE"""),161.63)</f>
        <v>161.63</v>
      </c>
      <c r="D682" s="1">
        <f ca="1">IFERROR(__xludf.DUMMYFUNCTION("""COMPUTED_VALUE"""),159.66)</f>
        <v>159.66</v>
      </c>
      <c r="E682" s="1">
        <f ca="1">IFERROR(__xludf.DUMMYFUNCTION("""COMPUTED_VALUE"""),160.81)</f>
        <v>160.81</v>
      </c>
      <c r="F682" s="1">
        <f ca="1">IFERROR(__xludf.DUMMYFUNCTION("""COMPUTED_VALUE"""),16756450)</f>
        <v>16756450</v>
      </c>
    </row>
    <row r="683" spans="1:6" ht="12.6">
      <c r="A683" s="2">
        <f ca="1">IFERROR(__xludf.DUMMYFUNCTION("""COMPUTED_VALUE"""),45554.6666666666)</f>
        <v>45554.666666666599</v>
      </c>
      <c r="B683" s="1">
        <f ca="1">IFERROR(__xludf.DUMMYFUNCTION("""COMPUTED_VALUE"""),164.82)</f>
        <v>164.82</v>
      </c>
      <c r="C683" s="1">
        <f ca="1">IFERROR(__xludf.DUMMYFUNCTION("""COMPUTED_VALUE"""),164.99)</f>
        <v>164.99</v>
      </c>
      <c r="D683" s="1">
        <f ca="1">IFERROR(__xludf.DUMMYFUNCTION("""COMPUTED_VALUE"""),162.52)</f>
        <v>162.52000000000001</v>
      </c>
      <c r="E683" s="1">
        <f ca="1">IFERROR(__xludf.DUMMYFUNCTION("""COMPUTED_VALUE"""),163.24)</f>
        <v>163.24</v>
      </c>
      <c r="F683" s="1">
        <f ca="1">IFERROR(__xludf.DUMMYFUNCTION("""COMPUTED_VALUE"""),17548190)</f>
        <v>17548190</v>
      </c>
    </row>
    <row r="684" spans="1:6" ht="12.6">
      <c r="A684" s="2">
        <f ca="1">IFERROR(__xludf.DUMMYFUNCTION("""COMPUTED_VALUE"""),45555.6666666666)</f>
        <v>45555.666666666599</v>
      </c>
      <c r="B684" s="1">
        <f ca="1">IFERROR(__xludf.DUMMYFUNCTION("""COMPUTED_VALUE"""),164.52)</f>
        <v>164.52</v>
      </c>
      <c r="C684" s="1">
        <f ca="1">IFERROR(__xludf.DUMMYFUNCTION("""COMPUTED_VALUE"""),164.75)</f>
        <v>164.75</v>
      </c>
      <c r="D684" s="1">
        <f ca="1">IFERROR(__xludf.DUMMYFUNCTION("""COMPUTED_VALUE"""),163.18)</f>
        <v>163.18</v>
      </c>
      <c r="E684" s="1">
        <f ca="1">IFERROR(__xludf.DUMMYFUNCTION("""COMPUTED_VALUE"""),164.64)</f>
        <v>164.64</v>
      </c>
      <c r="F684" s="1">
        <f ca="1">IFERROR(__xludf.DUMMYFUNCTION("""COMPUTED_VALUE"""),46362673)</f>
        <v>46362673</v>
      </c>
    </row>
    <row r="685" spans="1:6" ht="12.6">
      <c r="A685" s="2">
        <f ca="1">IFERROR(__xludf.DUMMYFUNCTION("""COMPUTED_VALUE"""),45558.6666666666)</f>
        <v>45558.666666666599</v>
      </c>
      <c r="B685" s="1">
        <f ca="1">IFERROR(__xludf.DUMMYFUNCTION("""COMPUTED_VALUE"""),165.34)</f>
        <v>165.34</v>
      </c>
      <c r="C685" s="1">
        <f ca="1">IFERROR(__xludf.DUMMYFUNCTION("""COMPUTED_VALUE"""),166.61)</f>
        <v>166.61</v>
      </c>
      <c r="D685" s="1">
        <f ca="1">IFERROR(__xludf.DUMMYFUNCTION("""COMPUTED_VALUE"""),162.95)</f>
        <v>162.94999999999999</v>
      </c>
      <c r="E685" s="1">
        <f ca="1">IFERROR(__xludf.DUMMYFUNCTION("""COMPUTED_VALUE"""),163.07)</f>
        <v>163.07</v>
      </c>
      <c r="F685" s="1">
        <f ca="1">IFERROR(__xludf.DUMMYFUNCTION("""COMPUTED_VALUE"""),15648446)</f>
        <v>15648446</v>
      </c>
    </row>
    <row r="686" spans="1:6" ht="12.6">
      <c r="A686" s="2">
        <f ca="1">IFERROR(__xludf.DUMMYFUNCTION("""COMPUTED_VALUE"""),45559.6666666666)</f>
        <v>45559.666666666599</v>
      </c>
      <c r="B686" s="1">
        <f ca="1">IFERROR(__xludf.DUMMYFUNCTION("""COMPUTED_VALUE"""),164.25)</f>
        <v>164.25</v>
      </c>
      <c r="C686" s="1">
        <f ca="1">IFERROR(__xludf.DUMMYFUNCTION("""COMPUTED_VALUE"""),164.55)</f>
        <v>164.55</v>
      </c>
      <c r="D686" s="1">
        <f ca="1">IFERROR(__xludf.DUMMYFUNCTION("""COMPUTED_VALUE"""),162.03)</f>
        <v>162.03</v>
      </c>
      <c r="E686" s="1">
        <f ca="1">IFERROR(__xludf.DUMMYFUNCTION("""COMPUTED_VALUE"""),163.64)</f>
        <v>163.63999999999999</v>
      </c>
      <c r="F686" s="1">
        <f ca="1">IFERROR(__xludf.DUMMYFUNCTION("""COMPUTED_VALUE"""),18774056)</f>
        <v>18774056</v>
      </c>
    </row>
    <row r="687" spans="1:6" ht="12.6">
      <c r="A687" s="2">
        <f ca="1">IFERROR(__xludf.DUMMYFUNCTION("""COMPUTED_VALUE"""),45560.6666666666)</f>
        <v>45560.666666666599</v>
      </c>
      <c r="B687" s="1">
        <f ca="1">IFERROR(__xludf.DUMMYFUNCTION("""COMPUTED_VALUE"""),162.97)</f>
        <v>162.97</v>
      </c>
      <c r="C687" s="1">
        <f ca="1">IFERROR(__xludf.DUMMYFUNCTION("""COMPUTED_VALUE"""),164.22)</f>
        <v>164.22</v>
      </c>
      <c r="D687" s="1">
        <f ca="1">IFERROR(__xludf.DUMMYFUNCTION("""COMPUTED_VALUE"""),162.78)</f>
        <v>162.78</v>
      </c>
      <c r="E687" s="1">
        <f ca="1">IFERROR(__xludf.DUMMYFUNCTION("""COMPUTED_VALUE"""),162.99)</f>
        <v>162.99</v>
      </c>
      <c r="F687" s="1">
        <f ca="1">IFERROR(__xludf.DUMMYFUNCTION("""COMPUTED_VALUE"""),13607892)</f>
        <v>13607892</v>
      </c>
    </row>
    <row r="688" spans="1:6" ht="12.6">
      <c r="A688" s="2">
        <f ca="1">IFERROR(__xludf.DUMMYFUNCTION("""COMPUTED_VALUE"""),45561.6666666666)</f>
        <v>45561.666666666599</v>
      </c>
      <c r="B688" s="1">
        <f ca="1">IFERROR(__xludf.DUMMYFUNCTION("""COMPUTED_VALUE"""),165.03)</f>
        <v>165.03</v>
      </c>
      <c r="C688" s="1">
        <f ca="1">IFERROR(__xludf.DUMMYFUNCTION("""COMPUTED_VALUE"""),165.5)</f>
        <v>165.5</v>
      </c>
      <c r="D688" s="1">
        <f ca="1">IFERROR(__xludf.DUMMYFUNCTION("""COMPUTED_VALUE"""),163.5)</f>
        <v>163.5</v>
      </c>
      <c r="E688" s="1">
        <f ca="1">IFERROR(__xludf.DUMMYFUNCTION("""COMPUTED_VALUE"""),163.83)</f>
        <v>163.83000000000001</v>
      </c>
      <c r="F688" s="1">
        <f ca="1">IFERROR(__xludf.DUMMYFUNCTION("""COMPUTED_VALUE"""),18234497)</f>
        <v>18234497</v>
      </c>
    </row>
    <row r="689" spans="1:6" ht="12.6">
      <c r="A689" s="2">
        <f ca="1">IFERROR(__xludf.DUMMYFUNCTION("""COMPUTED_VALUE"""),45562.6666666666)</f>
        <v>45562.666666666599</v>
      </c>
      <c r="B689" s="1">
        <f ca="1">IFERROR(__xludf.DUMMYFUNCTION("""COMPUTED_VALUE"""),163.91)</f>
        <v>163.91</v>
      </c>
      <c r="C689" s="1">
        <f ca="1">IFERROR(__xludf.DUMMYFUNCTION("""COMPUTED_VALUE"""),166.97)</f>
        <v>166.97</v>
      </c>
      <c r="D689" s="1">
        <f ca="1">IFERROR(__xludf.DUMMYFUNCTION("""COMPUTED_VALUE"""),163.83)</f>
        <v>163.83000000000001</v>
      </c>
      <c r="E689" s="1">
        <f ca="1">IFERROR(__xludf.DUMMYFUNCTION("""COMPUTED_VALUE"""),165.29)</f>
        <v>165.29</v>
      </c>
      <c r="F689" s="1">
        <f ca="1">IFERROR(__xludf.DUMMYFUNCTION("""COMPUTED_VALUE"""),13604261)</f>
        <v>13604261</v>
      </c>
    </row>
    <row r="690" spans="1:6" ht="12.6">
      <c r="A690" s="2">
        <f ca="1">IFERROR(__xludf.DUMMYFUNCTION("""COMPUTED_VALUE"""),45565.6666666666)</f>
        <v>45565.666666666599</v>
      </c>
      <c r="B690" s="1">
        <f ca="1">IFERROR(__xludf.DUMMYFUNCTION("""COMPUTED_VALUE"""),164.78)</f>
        <v>164.78</v>
      </c>
      <c r="C690" s="1">
        <f ca="1">IFERROR(__xludf.DUMMYFUNCTION("""COMPUTED_VALUE"""),167.36)</f>
        <v>167.36</v>
      </c>
      <c r="D690" s="1">
        <f ca="1">IFERROR(__xludf.DUMMYFUNCTION("""COMPUTED_VALUE"""),164.64)</f>
        <v>164.64</v>
      </c>
      <c r="E690" s="1">
        <f ca="1">IFERROR(__xludf.DUMMYFUNCTION("""COMPUTED_VALUE"""),167.19)</f>
        <v>167.19</v>
      </c>
      <c r="F690" s="1">
        <f ca="1">IFERROR(__xludf.DUMMYFUNCTION("""COMPUTED_VALUE"""),14083451)</f>
        <v>14083451</v>
      </c>
    </row>
    <row r="691" spans="1:6" ht="12.6">
      <c r="A691" s="2">
        <f ca="1">IFERROR(__xludf.DUMMYFUNCTION("""COMPUTED_VALUE"""),45566.6666666666)</f>
        <v>45566.666666666599</v>
      </c>
      <c r="B691" s="1">
        <f ca="1">IFERROR(__xludf.DUMMYFUNCTION("""COMPUTED_VALUE"""),168.86)</f>
        <v>168.86</v>
      </c>
      <c r="C691" s="1">
        <f ca="1">IFERROR(__xludf.DUMMYFUNCTION("""COMPUTED_VALUE"""),170.44)</f>
        <v>170.44</v>
      </c>
      <c r="D691" s="1">
        <f ca="1">IFERROR(__xludf.DUMMYFUNCTION("""COMPUTED_VALUE"""),165.9)</f>
        <v>165.9</v>
      </c>
      <c r="E691" s="1">
        <f ca="1">IFERROR(__xludf.DUMMYFUNCTION("""COMPUTED_VALUE"""),168.42)</f>
        <v>168.42</v>
      </c>
      <c r="F691" s="1">
        <f ca="1">IFERROR(__xludf.DUMMYFUNCTION("""COMPUTED_VALUE"""),18629506)</f>
        <v>18629506</v>
      </c>
    </row>
    <row r="692" spans="1:6" ht="12.6">
      <c r="A692" s="2">
        <f ca="1">IFERROR(__xludf.DUMMYFUNCTION("""COMPUTED_VALUE"""),45567.6666666666)</f>
        <v>45567.666666666599</v>
      </c>
      <c r="B692" s="1">
        <f ca="1">IFERROR(__xludf.DUMMYFUNCTION("""COMPUTED_VALUE"""),167.76)</f>
        <v>167.76</v>
      </c>
      <c r="C692" s="1">
        <f ca="1">IFERROR(__xludf.DUMMYFUNCTION("""COMPUTED_VALUE"""),168.88)</f>
        <v>168.88</v>
      </c>
      <c r="D692" s="1">
        <f ca="1">IFERROR(__xludf.DUMMYFUNCTION("""COMPUTED_VALUE"""),166.25)</f>
        <v>166.25</v>
      </c>
      <c r="E692" s="1">
        <f ca="1">IFERROR(__xludf.DUMMYFUNCTION("""COMPUTED_VALUE"""),167.31)</f>
        <v>167.31</v>
      </c>
      <c r="F692" s="1">
        <f ca="1">IFERROR(__xludf.DUMMYFUNCTION("""COMPUTED_VALUE"""),12744975)</f>
        <v>12744975</v>
      </c>
    </row>
    <row r="693" spans="1:6" ht="12.6">
      <c r="A693" s="2">
        <f ca="1">IFERROR(__xludf.DUMMYFUNCTION("""COMPUTED_VALUE"""),45568.6666666666)</f>
        <v>45568.666666666599</v>
      </c>
      <c r="B693" s="1">
        <f ca="1">IFERROR(__xludf.DUMMYFUNCTION("""COMPUTED_VALUE"""),165.82)</f>
        <v>165.82</v>
      </c>
      <c r="C693" s="1">
        <f ca="1">IFERROR(__xludf.DUMMYFUNCTION("""COMPUTED_VALUE"""),167.91)</f>
        <v>167.91</v>
      </c>
      <c r="D693" s="1">
        <f ca="1">IFERROR(__xludf.DUMMYFUNCTION("""COMPUTED_VALUE"""),165.37)</f>
        <v>165.37</v>
      </c>
      <c r="E693" s="1">
        <f ca="1">IFERROR(__xludf.DUMMYFUNCTION("""COMPUTED_VALUE"""),167.21)</f>
        <v>167.21</v>
      </c>
      <c r="F693" s="1">
        <f ca="1">IFERROR(__xludf.DUMMYFUNCTION("""COMPUTED_VALUE"""),11004333)</f>
        <v>11004333</v>
      </c>
    </row>
    <row r="694" spans="1:6" ht="12.6">
      <c r="A694" s="2">
        <f ca="1">IFERROR(__xludf.DUMMYFUNCTION("""COMPUTED_VALUE"""),45569.6666666666)</f>
        <v>45569.666666666599</v>
      </c>
      <c r="B694" s="1">
        <f ca="1">IFERROR(__xludf.DUMMYFUNCTION("""COMPUTED_VALUE"""),169.34)</f>
        <v>169.34</v>
      </c>
      <c r="C694" s="1">
        <f ca="1">IFERROR(__xludf.DUMMYFUNCTION("""COMPUTED_VALUE"""),169.55)</f>
        <v>169.55</v>
      </c>
      <c r="D694" s="1">
        <f ca="1">IFERROR(__xludf.DUMMYFUNCTION("""COMPUTED_VALUE"""),166.96)</f>
        <v>166.96</v>
      </c>
      <c r="E694" s="1">
        <f ca="1">IFERROR(__xludf.DUMMYFUNCTION("""COMPUTED_VALUE"""),168.56)</f>
        <v>168.56</v>
      </c>
      <c r="F694" s="1">
        <f ca="1">IFERROR(__xludf.DUMMYFUNCTION("""COMPUTED_VALUE"""),11435318)</f>
        <v>11435318</v>
      </c>
    </row>
    <row r="695" spans="1:6" ht="12.6">
      <c r="A695" s="2">
        <f ca="1">IFERROR(__xludf.DUMMYFUNCTION("""COMPUTED_VALUE"""),45572.6666666666)</f>
        <v>45572.666666666599</v>
      </c>
      <c r="B695" s="1">
        <f ca="1">IFERROR(__xludf.DUMMYFUNCTION("""COMPUTED_VALUE"""),169.14)</f>
        <v>169.14</v>
      </c>
      <c r="C695" s="1">
        <f ca="1">IFERROR(__xludf.DUMMYFUNCTION("""COMPUTED_VALUE"""),169.9)</f>
        <v>169.9</v>
      </c>
      <c r="D695" s="1">
        <f ca="1">IFERROR(__xludf.DUMMYFUNCTION("""COMPUTED_VALUE"""),164.13)</f>
        <v>164.13</v>
      </c>
      <c r="E695" s="1">
        <f ca="1">IFERROR(__xludf.DUMMYFUNCTION("""COMPUTED_VALUE"""),164.39)</f>
        <v>164.39</v>
      </c>
      <c r="F695" s="1">
        <f ca="1">IFERROR(__xludf.DUMMYFUNCTION("""COMPUTED_VALUE"""),14034722)</f>
        <v>14034722</v>
      </c>
    </row>
    <row r="696" spans="1:6" ht="12.6">
      <c r="A696" s="2">
        <f ca="1">IFERROR(__xludf.DUMMYFUNCTION("""COMPUTED_VALUE"""),45573.6666666666)</f>
        <v>45573.666666666599</v>
      </c>
      <c r="B696" s="1">
        <f ca="1">IFERROR(__xludf.DUMMYFUNCTION("""COMPUTED_VALUE"""),165.43)</f>
        <v>165.43</v>
      </c>
      <c r="C696" s="1">
        <f ca="1">IFERROR(__xludf.DUMMYFUNCTION("""COMPUTED_VALUE"""),166.1)</f>
        <v>166.1</v>
      </c>
      <c r="D696" s="1">
        <f ca="1">IFERROR(__xludf.DUMMYFUNCTION("""COMPUTED_VALUE"""),164.31)</f>
        <v>164.31</v>
      </c>
      <c r="E696" s="1">
        <f ca="1">IFERROR(__xludf.DUMMYFUNCTION("""COMPUTED_VALUE"""),165.7)</f>
        <v>165.7</v>
      </c>
      <c r="F696" s="1">
        <f ca="1">IFERROR(__xludf.DUMMYFUNCTION("""COMPUTED_VALUE"""),11723885)</f>
        <v>11723885</v>
      </c>
    </row>
    <row r="697" spans="1:6" ht="12.6">
      <c r="A697" s="2">
        <f ca="1">IFERROR(__xludf.DUMMYFUNCTION("""COMPUTED_VALUE"""),45574.6666666666)</f>
        <v>45574.666666666599</v>
      </c>
      <c r="B697" s="1">
        <f ca="1">IFERROR(__xludf.DUMMYFUNCTION("""COMPUTED_VALUE"""),164.86)</f>
        <v>164.86</v>
      </c>
      <c r="C697" s="1">
        <f ca="1">IFERROR(__xludf.DUMMYFUNCTION("""COMPUTED_VALUE"""),166.26)</f>
        <v>166.26</v>
      </c>
      <c r="D697" s="1">
        <f ca="1">IFERROR(__xludf.DUMMYFUNCTION("""COMPUTED_VALUE"""),161.12)</f>
        <v>161.12</v>
      </c>
      <c r="E697" s="1">
        <f ca="1">IFERROR(__xludf.DUMMYFUNCTION("""COMPUTED_VALUE"""),163.06)</f>
        <v>163.06</v>
      </c>
      <c r="F697" s="1">
        <f ca="1">IFERROR(__xludf.DUMMYFUNCTION("""COMPUTED_VALUE"""),19666411)</f>
        <v>19666411</v>
      </c>
    </row>
    <row r="698" spans="1:6" ht="12.6">
      <c r="A698" s="2">
        <f ca="1">IFERROR(__xludf.DUMMYFUNCTION("""COMPUTED_VALUE"""),45575.6666666666)</f>
        <v>45575.666666666599</v>
      </c>
      <c r="B698" s="1">
        <f ca="1">IFERROR(__xludf.DUMMYFUNCTION("""COMPUTED_VALUE"""),162.11)</f>
        <v>162.11000000000001</v>
      </c>
      <c r="C698" s="1">
        <f ca="1">IFERROR(__xludf.DUMMYFUNCTION("""COMPUTED_VALUE"""),164.31)</f>
        <v>164.31</v>
      </c>
      <c r="D698" s="1">
        <f ca="1">IFERROR(__xludf.DUMMYFUNCTION("""COMPUTED_VALUE"""),161.64)</f>
        <v>161.63999999999999</v>
      </c>
      <c r="E698" s="1">
        <f ca="1">IFERROR(__xludf.DUMMYFUNCTION("""COMPUTED_VALUE"""),163.18)</f>
        <v>163.18</v>
      </c>
      <c r="F698" s="1">
        <f ca="1">IFERROR(__xludf.DUMMYFUNCTION("""COMPUTED_VALUE"""),12900492)</f>
        <v>12900492</v>
      </c>
    </row>
    <row r="699" spans="1:6" ht="12.6">
      <c r="A699" s="2">
        <f ca="1">IFERROR(__xludf.DUMMYFUNCTION("""COMPUTED_VALUE"""),45576.6666666666)</f>
        <v>45576.666666666599</v>
      </c>
      <c r="B699" s="1">
        <f ca="1">IFERROR(__xludf.DUMMYFUNCTION("""COMPUTED_VALUE"""),163.33)</f>
        <v>163.33000000000001</v>
      </c>
      <c r="C699" s="1">
        <f ca="1">IFERROR(__xludf.DUMMYFUNCTION("""COMPUTED_VALUE"""),165.27)</f>
        <v>165.27</v>
      </c>
      <c r="D699" s="1">
        <f ca="1">IFERROR(__xludf.DUMMYFUNCTION("""COMPUTED_VALUE"""),162.5)</f>
        <v>162.5</v>
      </c>
      <c r="E699" s="1">
        <f ca="1">IFERROR(__xludf.DUMMYFUNCTION("""COMPUTED_VALUE"""),164.52)</f>
        <v>164.52</v>
      </c>
      <c r="F699" s="1">
        <f ca="1">IFERROR(__xludf.DUMMYFUNCTION("""COMPUTED_VALUE"""),10945971)</f>
        <v>10945971</v>
      </c>
    </row>
    <row r="700" spans="1:6" ht="12.6">
      <c r="A700" s="2">
        <f ca="1">IFERROR(__xludf.DUMMYFUNCTION("""COMPUTED_VALUE"""),45579.6666666666)</f>
        <v>45579.666666666599</v>
      </c>
      <c r="B700" s="1">
        <f ca="1">IFERROR(__xludf.DUMMYFUNCTION("""COMPUTED_VALUE"""),164.91)</f>
        <v>164.91</v>
      </c>
      <c r="C700" s="1">
        <f ca="1">IFERROR(__xludf.DUMMYFUNCTION("""COMPUTED_VALUE"""),167.62)</f>
        <v>167.62</v>
      </c>
      <c r="D700" s="1">
        <f ca="1">IFERROR(__xludf.DUMMYFUNCTION("""COMPUTED_VALUE"""),164.78)</f>
        <v>164.78</v>
      </c>
      <c r="E700" s="1">
        <f ca="1">IFERROR(__xludf.DUMMYFUNCTION("""COMPUTED_VALUE"""),166.35)</f>
        <v>166.35</v>
      </c>
      <c r="F700" s="1">
        <f ca="1">IFERROR(__xludf.DUMMYFUNCTION("""COMPUTED_VALUE"""),9981765)</f>
        <v>9981765</v>
      </c>
    </row>
    <row r="701" spans="1:6" ht="12.6">
      <c r="A701" s="2">
        <f ca="1">IFERROR(__xludf.DUMMYFUNCTION("""COMPUTED_VALUE"""),45580.6666666666)</f>
        <v>45580.666666666599</v>
      </c>
      <c r="B701" s="1">
        <f ca="1">IFERROR(__xludf.DUMMYFUNCTION("""COMPUTED_VALUE"""),164.91)</f>
        <v>164.91</v>
      </c>
      <c r="C701" s="1">
        <f ca="1">IFERROR(__xludf.DUMMYFUNCTION("""COMPUTED_VALUE"""),167.62)</f>
        <v>167.62</v>
      </c>
      <c r="D701" s="1">
        <f ca="1">IFERROR(__xludf.DUMMYFUNCTION("""COMPUTED_VALUE"""),164.78)</f>
        <v>164.78</v>
      </c>
      <c r="E701" s="1">
        <f ca="1">IFERROR(__xludf.DUMMYFUNCTION("""COMPUTED_VALUE"""),166.35)</f>
        <v>166.35</v>
      </c>
      <c r="F701" s="1">
        <f ca="1">IFERROR(__xludf.DUMMYFUNCTION("""COMPUTED_VALUE"""),164087)</f>
        <v>164087</v>
      </c>
    </row>
    <row r="702" spans="1:6" ht="12.6">
      <c r="A702" s="2">
        <f ca="1">IFERROR(__xludf.DUMMYFUNCTION("""COMPUTED_VALUE"""),45581.6666666666)</f>
        <v>45581.666666666599</v>
      </c>
      <c r="B702" s="1">
        <f ca="1">IFERROR(__xludf.DUMMYFUNCTION("""COMPUTED_VALUE"""),166.03)</f>
        <v>166.03</v>
      </c>
      <c r="C702" s="1">
        <f ca="1">IFERROR(__xludf.DUMMYFUNCTION("""COMPUTED_VALUE"""),167.28)</f>
        <v>167.28</v>
      </c>
      <c r="D702" s="1">
        <f ca="1">IFERROR(__xludf.DUMMYFUNCTION("""COMPUTED_VALUE"""),165.22)</f>
        <v>165.22</v>
      </c>
      <c r="E702" s="1">
        <f ca="1">IFERROR(__xludf.DUMMYFUNCTION("""COMPUTED_VALUE"""),166.74)</f>
        <v>166.74</v>
      </c>
      <c r="F702" s="1">
        <f ca="1">IFERROR(__xludf.DUMMYFUNCTION("""COMPUTED_VALUE"""),9968474)</f>
        <v>9968474</v>
      </c>
    </row>
    <row r="703" spans="1:6" ht="12.6">
      <c r="A703" s="2">
        <f ca="1">IFERROR(__xludf.DUMMYFUNCTION("""COMPUTED_VALUE"""),45582.6666666666)</f>
        <v>45582.666666666599</v>
      </c>
      <c r="B703" s="1">
        <f ca="1">IFERROR(__xludf.DUMMYFUNCTION("""COMPUTED_VALUE"""),167.38)</f>
        <v>167.38</v>
      </c>
      <c r="C703" s="1">
        <f ca="1">IFERROR(__xludf.DUMMYFUNCTION("""COMPUTED_VALUE"""),167.93)</f>
        <v>167.93</v>
      </c>
      <c r="D703" s="1">
        <f ca="1">IFERROR(__xludf.DUMMYFUNCTION("""COMPUTED_VALUE"""),164.37)</f>
        <v>164.37</v>
      </c>
      <c r="E703" s="1">
        <f ca="1">IFERROR(__xludf.DUMMYFUNCTION("""COMPUTED_VALUE"""),164.51)</f>
        <v>164.51</v>
      </c>
      <c r="F703" s="1">
        <f ca="1">IFERROR(__xludf.DUMMYFUNCTION("""COMPUTED_VALUE"""),15113356)</f>
        <v>15113356</v>
      </c>
    </row>
    <row r="704" spans="1:6" ht="12.6">
      <c r="A704" s="2">
        <f ca="1">IFERROR(__xludf.DUMMYFUNCTION("""COMPUTED_VALUE"""),45583.6666666666)</f>
        <v>45583.666666666599</v>
      </c>
      <c r="B704" s="1">
        <f ca="1">IFERROR(__xludf.DUMMYFUNCTION("""COMPUTED_VALUE"""),164.87)</f>
        <v>164.87</v>
      </c>
      <c r="C704" s="1">
        <f ca="1">IFERROR(__xludf.DUMMYFUNCTION("""COMPUTED_VALUE"""),166.37)</f>
        <v>166.37</v>
      </c>
      <c r="D704" s="1">
        <f ca="1">IFERROR(__xludf.DUMMYFUNCTION("""COMPUTED_VALUE"""),164.75)</f>
        <v>164.75</v>
      </c>
      <c r="E704" s="1">
        <f ca="1">IFERROR(__xludf.DUMMYFUNCTION("""COMPUTED_VALUE"""),165.05)</f>
        <v>165.05</v>
      </c>
      <c r="F704" s="1">
        <f ca="1">IFERROR(__xludf.DUMMYFUNCTION("""COMPUTED_VALUE"""),13091267)</f>
        <v>13091267</v>
      </c>
    </row>
    <row r="705" spans="1:6" ht="12.6">
      <c r="A705" s="2">
        <f ca="1">IFERROR(__xludf.DUMMYFUNCTION("""COMPUTED_VALUE"""),45586.6666666666)</f>
        <v>45586.666666666599</v>
      </c>
      <c r="B705" s="1">
        <f ca="1">IFERROR(__xludf.DUMMYFUNCTION("""COMPUTED_VALUE"""),164.58)</f>
        <v>164.58</v>
      </c>
      <c r="C705" s="1">
        <f ca="1">IFERROR(__xludf.DUMMYFUNCTION("""COMPUTED_VALUE"""),166.22)</f>
        <v>166.22</v>
      </c>
      <c r="D705" s="1">
        <f ca="1">IFERROR(__xludf.DUMMYFUNCTION("""COMPUTED_VALUE"""),164.31)</f>
        <v>164.31</v>
      </c>
      <c r="E705" s="1">
        <f ca="1">IFERROR(__xludf.DUMMYFUNCTION("""COMPUTED_VALUE"""),165.8)</f>
        <v>165.8</v>
      </c>
      <c r="F705" s="1">
        <f ca="1">IFERROR(__xludf.DUMMYFUNCTION("""COMPUTED_VALUE"""),11384047)</f>
        <v>11384047</v>
      </c>
    </row>
    <row r="706" spans="1:6" ht="12.6">
      <c r="A706" s="2">
        <f ca="1">IFERROR(__xludf.DUMMYFUNCTION("""COMPUTED_VALUE"""),45587.6666666666)</f>
        <v>45587.666666666599</v>
      </c>
      <c r="B706" s="1">
        <f ca="1">IFERROR(__xludf.DUMMYFUNCTION("""COMPUTED_VALUE"""),164.7)</f>
        <v>164.7</v>
      </c>
      <c r="C706" s="1">
        <f ca="1">IFERROR(__xludf.DUMMYFUNCTION("""COMPUTED_VALUE"""),167.47)</f>
        <v>167.47</v>
      </c>
      <c r="D706" s="1">
        <f ca="1">IFERROR(__xludf.DUMMYFUNCTION("""COMPUTED_VALUE"""),164.67)</f>
        <v>164.67</v>
      </c>
      <c r="E706" s="1">
        <f ca="1">IFERROR(__xludf.DUMMYFUNCTION("""COMPUTED_VALUE"""),166.82)</f>
        <v>166.82</v>
      </c>
      <c r="F706" s="1">
        <f ca="1">IFERROR(__xludf.DUMMYFUNCTION("""COMPUTED_VALUE"""),11958617)</f>
        <v>11958617</v>
      </c>
    </row>
    <row r="707" spans="1:6" ht="12.6">
      <c r="A707" s="2">
        <f ca="1">IFERROR(__xludf.DUMMYFUNCTION("""COMPUTED_VALUE"""),45588.6666666666)</f>
        <v>45588.666666666599</v>
      </c>
      <c r="B707" s="1">
        <f ca="1">IFERROR(__xludf.DUMMYFUNCTION("""COMPUTED_VALUE"""),166.43)</f>
        <v>166.43</v>
      </c>
      <c r="C707" s="1">
        <f ca="1">IFERROR(__xludf.DUMMYFUNCTION("""COMPUTED_VALUE"""),167.6)</f>
        <v>167.6</v>
      </c>
      <c r="D707" s="1">
        <f ca="1">IFERROR(__xludf.DUMMYFUNCTION("""COMPUTED_VALUE"""),163.63)</f>
        <v>163.63</v>
      </c>
      <c r="E707" s="1">
        <f ca="1">IFERROR(__xludf.DUMMYFUNCTION("""COMPUTED_VALUE"""),164.48)</f>
        <v>164.48</v>
      </c>
      <c r="F707" s="1">
        <f ca="1">IFERROR(__xludf.DUMMYFUNCTION("""COMPUTED_VALUE"""),12754283)</f>
        <v>12754283</v>
      </c>
    </row>
    <row r="708" spans="1:6" ht="12.6">
      <c r="A708" s="2">
        <f ca="1">IFERROR(__xludf.DUMMYFUNCTION("""COMPUTED_VALUE"""),45589.6666666666)</f>
        <v>45589.666666666599</v>
      </c>
      <c r="B708" s="1">
        <f ca="1">IFERROR(__xludf.DUMMYFUNCTION("""COMPUTED_VALUE"""),164.59)</f>
        <v>164.59</v>
      </c>
      <c r="C708" s="1">
        <f ca="1">IFERROR(__xludf.DUMMYFUNCTION("""COMPUTED_VALUE"""),165.05)</f>
        <v>165.05</v>
      </c>
      <c r="D708" s="1">
        <f ca="1">IFERROR(__xludf.DUMMYFUNCTION("""COMPUTED_VALUE"""),162.77)</f>
        <v>162.77000000000001</v>
      </c>
      <c r="E708" s="1">
        <f ca="1">IFERROR(__xludf.DUMMYFUNCTION("""COMPUTED_VALUE"""),164.53)</f>
        <v>164.53</v>
      </c>
      <c r="F708" s="1">
        <f ca="1">IFERROR(__xludf.DUMMYFUNCTION("""COMPUTED_VALUE"""),12764430)</f>
        <v>12764430</v>
      </c>
    </row>
    <row r="709" spans="1:6" ht="12.6">
      <c r="A709" s="2">
        <f ca="1">IFERROR(__xludf.DUMMYFUNCTION("""COMPUTED_VALUE"""),45590.6666666666)</f>
        <v>45590.666666666599</v>
      </c>
      <c r="B709" s="1">
        <f ca="1">IFERROR(__xludf.DUMMYFUNCTION("""COMPUTED_VALUE"""),165.37)</f>
        <v>165.37</v>
      </c>
      <c r="C709" s="1">
        <f ca="1">IFERROR(__xludf.DUMMYFUNCTION("""COMPUTED_VALUE"""),167.4)</f>
        <v>167.4</v>
      </c>
      <c r="D709" s="1">
        <f ca="1">IFERROR(__xludf.DUMMYFUNCTION("""COMPUTED_VALUE"""),165.23)</f>
        <v>165.23</v>
      </c>
      <c r="E709" s="1">
        <f ca="1">IFERROR(__xludf.DUMMYFUNCTION("""COMPUTED_VALUE"""),166.99)</f>
        <v>166.99</v>
      </c>
      <c r="F709" s="1">
        <f ca="1">IFERROR(__xludf.DUMMYFUNCTION("""COMPUTED_VALUE"""),14566410)</f>
        <v>14566410</v>
      </c>
    </row>
    <row r="710" spans="1:6" ht="12.6">
      <c r="A710" s="2">
        <f ca="1">IFERROR(__xludf.DUMMYFUNCTION("""COMPUTED_VALUE"""),45593.6666666666)</f>
        <v>45593.666666666599</v>
      </c>
      <c r="B710" s="1">
        <f ca="1">IFERROR(__xludf.DUMMYFUNCTION("""COMPUTED_VALUE"""),170.59)</f>
        <v>170.59</v>
      </c>
      <c r="C710" s="1">
        <f ca="1">IFERROR(__xludf.DUMMYFUNCTION("""COMPUTED_VALUE"""),170.61)</f>
        <v>170.61</v>
      </c>
      <c r="D710" s="1">
        <f ca="1">IFERROR(__xludf.DUMMYFUNCTION("""COMPUTED_VALUE"""),165.79)</f>
        <v>165.79</v>
      </c>
      <c r="E710" s="1">
        <f ca="1">IFERROR(__xludf.DUMMYFUNCTION("""COMPUTED_VALUE"""),168.34)</f>
        <v>168.34</v>
      </c>
      <c r="F710" s="1">
        <f ca="1">IFERROR(__xludf.DUMMYFUNCTION("""COMPUTED_VALUE"""),20858254)</f>
        <v>20858254</v>
      </c>
    </row>
    <row r="711" spans="1:6" ht="12.6">
      <c r="A711" s="2">
        <f ca="1">IFERROR(__xludf.DUMMYFUNCTION("""COMPUTED_VALUE"""),45595.6666666666)</f>
        <v>45595.666666666599</v>
      </c>
      <c r="B711" s="1">
        <f ca="1">IFERROR(__xludf.DUMMYFUNCTION("""COMPUTED_VALUE"""),182.41)</f>
        <v>182.41</v>
      </c>
      <c r="C711" s="1">
        <f ca="1">IFERROR(__xludf.DUMMYFUNCTION("""COMPUTED_VALUE"""),183.79)</f>
        <v>183.79</v>
      </c>
      <c r="D711" s="1">
        <f ca="1">IFERROR(__xludf.DUMMYFUNCTION("""COMPUTED_VALUE"""),175.75)</f>
        <v>175.75</v>
      </c>
      <c r="E711" s="1">
        <f ca="1">IFERROR(__xludf.DUMMYFUNCTION("""COMPUTED_VALUE"""),176.14)</f>
        <v>176.14</v>
      </c>
      <c r="F711" s="1">
        <f ca="1">IFERROR(__xludf.DUMMYFUNCTION("""COMPUTED_VALUE"""),49698313)</f>
        <v>49698313</v>
      </c>
    </row>
    <row r="712" spans="1:6" ht="12.6">
      <c r="A712" s="2">
        <f ca="1">IFERROR(__xludf.DUMMYFUNCTION("""COMPUTED_VALUE"""),45596.6666666666)</f>
        <v>45596.666666666599</v>
      </c>
      <c r="B712" s="1">
        <f ca="1">IFERROR(__xludf.DUMMYFUNCTION("""COMPUTED_VALUE"""),174.72)</f>
        <v>174.72</v>
      </c>
      <c r="C712" s="1">
        <f ca="1">IFERROR(__xludf.DUMMYFUNCTION("""COMPUTED_VALUE"""),178.42)</f>
        <v>178.42</v>
      </c>
      <c r="D712" s="1">
        <f ca="1">IFERROR(__xludf.DUMMYFUNCTION("""COMPUTED_VALUE"""),172.56)</f>
        <v>172.56</v>
      </c>
      <c r="E712" s="1">
        <f ca="1">IFERROR(__xludf.DUMMYFUNCTION("""COMPUTED_VALUE"""),172.69)</f>
        <v>172.69</v>
      </c>
      <c r="F712" s="1">
        <f ca="1">IFERROR(__xludf.DUMMYFUNCTION("""COMPUTED_VALUE"""),32801898)</f>
        <v>32801898</v>
      </c>
    </row>
    <row r="713" spans="1:6" ht="12.6">
      <c r="A713" s="2">
        <f ca="1">IFERROR(__xludf.DUMMYFUNCTION("""COMPUTED_VALUE"""),45597.6666666666)</f>
        <v>45597.666666666599</v>
      </c>
      <c r="B713" s="1">
        <f ca="1">IFERROR(__xludf.DUMMYFUNCTION("""COMPUTED_VALUE"""),171.54)</f>
        <v>171.54</v>
      </c>
      <c r="C713" s="1">
        <f ca="1">IFERROR(__xludf.DUMMYFUNCTION("""COMPUTED_VALUE"""),173.82)</f>
        <v>173.82</v>
      </c>
      <c r="D713" s="1">
        <f ca="1">IFERROR(__xludf.DUMMYFUNCTION("""COMPUTED_VALUE"""),170.31)</f>
        <v>170.31</v>
      </c>
      <c r="E713" s="1">
        <f ca="1">IFERROR(__xludf.DUMMYFUNCTION("""COMPUTED_VALUE"""),172.65)</f>
        <v>172.65</v>
      </c>
      <c r="F713" s="1">
        <f ca="1">IFERROR(__xludf.DUMMYFUNCTION("""COMPUTED_VALUE"""),21752859)</f>
        <v>21752859</v>
      </c>
    </row>
    <row r="714" spans="1:6" ht="12.6">
      <c r="A714" s="2">
        <f ca="1">IFERROR(__xludf.DUMMYFUNCTION("""COMPUTED_VALUE"""),45600.6666666666)</f>
        <v>45600.666666666599</v>
      </c>
      <c r="B714" s="1">
        <f ca="1">IFERROR(__xludf.DUMMYFUNCTION("""COMPUTED_VALUE"""),171.24)</f>
        <v>171.24</v>
      </c>
      <c r="C714" s="1">
        <f ca="1">IFERROR(__xludf.DUMMYFUNCTION("""COMPUTED_VALUE"""),171.92)</f>
        <v>171.92</v>
      </c>
      <c r="D714" s="1">
        <f ca="1">IFERROR(__xludf.DUMMYFUNCTION("""COMPUTED_VALUE"""),169.49)</f>
        <v>169.49</v>
      </c>
      <c r="E714" s="1">
        <f ca="1">IFERROR(__xludf.DUMMYFUNCTION("""COMPUTED_VALUE"""),170.68)</f>
        <v>170.68</v>
      </c>
      <c r="F714" s="1">
        <f ca="1">IFERROR(__xludf.DUMMYFUNCTION("""COMPUTED_VALUE"""),16193994)</f>
        <v>16193994</v>
      </c>
    </row>
    <row r="715" spans="1:6" ht="12.6">
      <c r="A715" s="2">
        <f ca="1">IFERROR(__xludf.DUMMYFUNCTION("""COMPUTED_VALUE"""),45601.6666666666)</f>
        <v>45601.666666666599</v>
      </c>
      <c r="B715" s="1">
        <f ca="1">IFERROR(__xludf.DUMMYFUNCTION("""COMPUTED_VALUE"""),170.83)</f>
        <v>170.83</v>
      </c>
      <c r="C715" s="1">
        <f ca="1">IFERROR(__xludf.DUMMYFUNCTION("""COMPUTED_VALUE"""),172.1)</f>
        <v>172.1</v>
      </c>
      <c r="D715" s="1">
        <f ca="1">IFERROR(__xludf.DUMMYFUNCTION("""COMPUTED_VALUE"""),170.37)</f>
        <v>170.37</v>
      </c>
      <c r="E715" s="1">
        <f ca="1">IFERROR(__xludf.DUMMYFUNCTION("""COMPUTED_VALUE"""),171.41)</f>
        <v>171.41</v>
      </c>
      <c r="F715" s="1">
        <f ca="1">IFERROR(__xludf.DUMMYFUNCTION("""COMPUTED_VALUE"""),12518282)</f>
        <v>12518282</v>
      </c>
    </row>
    <row r="716" spans="1:6" ht="12.6">
      <c r="A716" s="2">
        <f ca="1">IFERROR(__xludf.DUMMYFUNCTION("""COMPUTED_VALUE"""),45602.6666666666)</f>
        <v>45602.666666666599</v>
      </c>
      <c r="B716" s="1">
        <f ca="1">IFERROR(__xludf.DUMMYFUNCTION("""COMPUTED_VALUE"""),175.35)</f>
        <v>175.35</v>
      </c>
      <c r="C716" s="1">
        <f ca="1">IFERROR(__xludf.DUMMYFUNCTION("""COMPUTED_VALUE"""),178.64)</f>
        <v>178.64</v>
      </c>
      <c r="D716" s="1">
        <f ca="1">IFERROR(__xludf.DUMMYFUNCTION("""COMPUTED_VALUE"""),175.04)</f>
        <v>175.04</v>
      </c>
      <c r="E716" s="1">
        <f ca="1">IFERROR(__xludf.DUMMYFUNCTION("""COMPUTED_VALUE"""),178.33)</f>
        <v>178.33</v>
      </c>
      <c r="F716" s="1">
        <f ca="1">IFERROR(__xludf.DUMMYFUNCTION("""COMPUTED_VALUE"""),27061510)</f>
        <v>27061510</v>
      </c>
    </row>
    <row r="717" spans="1:6" ht="12.6">
      <c r="A717" s="2">
        <f ca="1">IFERROR(__xludf.DUMMYFUNCTION("""COMPUTED_VALUE"""),45603.6666666666)</f>
        <v>45603.666666666599</v>
      </c>
      <c r="B717" s="1">
        <f ca="1">IFERROR(__xludf.DUMMYFUNCTION("""COMPUTED_VALUE"""),179.11)</f>
        <v>179.11</v>
      </c>
      <c r="C717" s="1">
        <f ca="1">IFERROR(__xludf.DUMMYFUNCTION("""COMPUTED_VALUE"""),182.58)</f>
        <v>182.58</v>
      </c>
      <c r="D717" s="1">
        <f ca="1">IFERROR(__xludf.DUMMYFUNCTION("""COMPUTED_VALUE"""),178.89)</f>
        <v>178.89</v>
      </c>
      <c r="E717" s="1">
        <f ca="1">IFERROR(__xludf.DUMMYFUNCTION("""COMPUTED_VALUE"""),182.28)</f>
        <v>182.28</v>
      </c>
      <c r="F717" s="1">
        <f ca="1">IFERROR(__xludf.DUMMYFUNCTION("""COMPUTED_VALUE"""),16730407)</f>
        <v>16730407</v>
      </c>
    </row>
    <row r="718" spans="1:6" ht="12.6">
      <c r="A718" s="2">
        <f ca="1">IFERROR(__xludf.DUMMYFUNCTION("""COMPUTED_VALUE"""),45604.6666666666)</f>
        <v>45604.666666666599</v>
      </c>
      <c r="B718" s="1">
        <f ca="1">IFERROR(__xludf.DUMMYFUNCTION("""COMPUTED_VALUE"""),182)</f>
        <v>182</v>
      </c>
      <c r="C718" s="1">
        <f ca="1">IFERROR(__xludf.DUMMYFUNCTION("""COMPUTED_VALUE"""),182.35)</f>
        <v>182.35</v>
      </c>
      <c r="D718" s="1">
        <f ca="1">IFERROR(__xludf.DUMMYFUNCTION("""COMPUTED_VALUE"""),179.57)</f>
        <v>179.57</v>
      </c>
      <c r="E718" s="1">
        <f ca="1">IFERROR(__xludf.DUMMYFUNCTION("""COMPUTED_VALUE"""),179.86)</f>
        <v>179.86</v>
      </c>
      <c r="F718" s="1">
        <f ca="1">IFERROR(__xludf.DUMMYFUNCTION("""COMPUTED_VALUE"""),15021549)</f>
        <v>15021549</v>
      </c>
    </row>
    <row r="719" spans="1:6" ht="12.6">
      <c r="A719" s="2">
        <f ca="1">IFERROR(__xludf.DUMMYFUNCTION("""COMPUTED_VALUE"""),45607.6666666666)</f>
        <v>45607.666666666599</v>
      </c>
      <c r="B719" s="1">
        <f ca="1">IFERROR(__xludf.DUMMYFUNCTION("""COMPUTED_VALUE"""),180.07)</f>
        <v>180.07</v>
      </c>
      <c r="C719" s="1">
        <f ca="1">IFERROR(__xludf.DUMMYFUNCTION("""COMPUTED_VALUE"""),182.09)</f>
        <v>182.09</v>
      </c>
      <c r="D719" s="1">
        <f ca="1">IFERROR(__xludf.DUMMYFUNCTION("""COMPUTED_VALUE"""),179.99)</f>
        <v>179.99</v>
      </c>
      <c r="E719" s="1">
        <f ca="1">IFERROR(__xludf.DUMMYFUNCTION("""COMPUTED_VALUE"""),181.97)</f>
        <v>181.97</v>
      </c>
      <c r="F719" s="1">
        <f ca="1">IFERROR(__xludf.DUMMYFUNCTION("""COMPUTED_VALUE"""),12503422)</f>
        <v>12503422</v>
      </c>
    </row>
    <row r="720" spans="1:6" ht="12.6">
      <c r="A720" s="2">
        <f ca="1">IFERROR(__xludf.DUMMYFUNCTION("""COMPUTED_VALUE"""),45608.6666666666)</f>
        <v>45608.666666666599</v>
      </c>
      <c r="B720" s="1">
        <f ca="1">IFERROR(__xludf.DUMMYFUNCTION("""COMPUTED_VALUE"""),181.38)</f>
        <v>181.38</v>
      </c>
      <c r="C720" s="1">
        <f ca="1">IFERROR(__xludf.DUMMYFUNCTION("""COMPUTED_VALUE"""),184.03)</f>
        <v>184.03</v>
      </c>
      <c r="D720" s="1">
        <f ca="1">IFERROR(__xludf.DUMMYFUNCTION("""COMPUTED_VALUE"""),180.99)</f>
        <v>180.99</v>
      </c>
      <c r="E720" s="1">
        <f ca="1">IFERROR(__xludf.DUMMYFUNCTION("""COMPUTED_VALUE"""),183.32)</f>
        <v>183.32</v>
      </c>
      <c r="F720" s="1">
        <f ca="1">IFERROR(__xludf.DUMMYFUNCTION("""COMPUTED_VALUE"""),14065845)</f>
        <v>14065845</v>
      </c>
    </row>
    <row r="721" spans="1:6" ht="12.6">
      <c r="A721" s="2">
        <f ca="1">IFERROR(__xludf.DUMMYFUNCTION("""COMPUTED_VALUE"""),45609.6666666666)</f>
        <v>45609.666666666599</v>
      </c>
      <c r="B721" s="1">
        <f ca="1">IFERROR(__xludf.DUMMYFUNCTION("""COMPUTED_VALUE"""),182.15)</f>
        <v>182.15</v>
      </c>
      <c r="C721" s="1">
        <f ca="1">IFERROR(__xludf.DUMMYFUNCTION("""COMPUTED_VALUE"""),182.62)</f>
        <v>182.62</v>
      </c>
      <c r="D721" s="1">
        <f ca="1">IFERROR(__xludf.DUMMYFUNCTION("""COMPUTED_VALUE"""),180.12)</f>
        <v>180.12</v>
      </c>
      <c r="E721" s="1">
        <f ca="1">IFERROR(__xludf.DUMMYFUNCTION("""COMPUTED_VALUE"""),180.49)</f>
        <v>180.49</v>
      </c>
      <c r="F721" s="1">
        <f ca="1">IFERROR(__xludf.DUMMYFUNCTION("""COMPUTED_VALUE"""),13969709)</f>
        <v>13969709</v>
      </c>
    </row>
    <row r="722" spans="1:6" ht="12.6">
      <c r="A722" s="2">
        <f ca="1">IFERROR(__xludf.DUMMYFUNCTION("""COMPUTED_VALUE"""),45610.6666666666)</f>
        <v>45610.666666666599</v>
      </c>
      <c r="B722" s="1">
        <f ca="1">IFERROR(__xludf.DUMMYFUNCTION("""COMPUTED_VALUE"""),179.75)</f>
        <v>179.75</v>
      </c>
      <c r="C722" s="1">
        <f ca="1">IFERROR(__xludf.DUMMYFUNCTION("""COMPUTED_VALUE"""),180.45)</f>
        <v>180.45</v>
      </c>
      <c r="D722" s="1">
        <f ca="1">IFERROR(__xludf.DUMMYFUNCTION("""COMPUTED_VALUE"""),176.03)</f>
        <v>176.03</v>
      </c>
      <c r="E722" s="1">
        <f ca="1">IFERROR(__xludf.DUMMYFUNCTION("""COMPUTED_VALUE"""),177.35)</f>
        <v>177.35</v>
      </c>
      <c r="F722" s="1">
        <f ca="1">IFERROR(__xludf.DUMMYFUNCTION("""COMPUTED_VALUE"""),17925763)</f>
        <v>17925763</v>
      </c>
    </row>
    <row r="723" spans="1:6" ht="12.6">
      <c r="A723" s="2">
        <f ca="1">IFERROR(__xludf.DUMMYFUNCTION("""COMPUTED_VALUE"""),45611.6666666666)</f>
        <v>45611.666666666599</v>
      </c>
      <c r="B723" s="1">
        <f ca="1">IFERROR(__xludf.DUMMYFUNCTION("""COMPUTED_VALUE"""),175.64)</f>
        <v>175.64</v>
      </c>
      <c r="C723" s="1">
        <f ca="1">IFERROR(__xludf.DUMMYFUNCTION("""COMPUTED_VALUE"""),175.88)</f>
        <v>175.88</v>
      </c>
      <c r="D723" s="1">
        <f ca="1">IFERROR(__xludf.DUMMYFUNCTION("""COMPUTED_VALUE"""),172.75)</f>
        <v>172.75</v>
      </c>
      <c r="E723" s="1">
        <f ca="1">IFERROR(__xludf.DUMMYFUNCTION("""COMPUTED_VALUE"""),173.89)</f>
        <v>173.89</v>
      </c>
      <c r="F723" s="1">
        <f ca="1">IFERROR(__xludf.DUMMYFUNCTION("""COMPUTED_VALUE"""),21708870)</f>
        <v>21708870</v>
      </c>
    </row>
    <row r="724" spans="1:6" ht="12.6">
      <c r="A724" s="2">
        <f ca="1">IFERROR(__xludf.DUMMYFUNCTION("""COMPUTED_VALUE"""),45614.6666666666)</f>
        <v>45614.666666666599</v>
      </c>
      <c r="B724" s="1">
        <f ca="1">IFERROR(__xludf.DUMMYFUNCTION("""COMPUTED_VALUE"""),174.96)</f>
        <v>174.96</v>
      </c>
      <c r="C724" s="1">
        <f ca="1">IFERROR(__xludf.DUMMYFUNCTION("""COMPUTED_VALUE"""),176.91)</f>
        <v>176.91</v>
      </c>
      <c r="D724" s="1">
        <f ca="1">IFERROR(__xludf.DUMMYFUNCTION("""COMPUTED_VALUE"""),174.42)</f>
        <v>174.42</v>
      </c>
      <c r="E724" s="1">
        <f ca="1">IFERROR(__xludf.DUMMYFUNCTION("""COMPUTED_VALUE"""),176.8)</f>
        <v>176.8</v>
      </c>
      <c r="F724" s="1">
        <f ca="1">IFERROR(__xludf.DUMMYFUNCTION("""COMPUTED_VALUE"""),18725422)</f>
        <v>18725422</v>
      </c>
    </row>
    <row r="725" spans="1:6" ht="12.6">
      <c r="A725" s="2">
        <f ca="1">IFERROR(__xludf.DUMMYFUNCTION("""COMPUTED_VALUE"""),45615.6666666666)</f>
        <v>45615.666666666599</v>
      </c>
      <c r="B725" s="1">
        <f ca="1">IFERROR(__xludf.DUMMYFUNCTION("""COMPUTED_VALUE"""),175.24)</f>
        <v>175.24</v>
      </c>
      <c r="C725" s="1">
        <f ca="1">IFERROR(__xludf.DUMMYFUNCTION("""COMPUTED_VALUE"""),180.17)</f>
        <v>180.17</v>
      </c>
      <c r="D725" s="1">
        <f ca="1">IFERROR(__xludf.DUMMYFUNCTION("""COMPUTED_VALUE"""),175.12)</f>
        <v>175.12</v>
      </c>
      <c r="E725" s="1">
        <f ca="1">IFERROR(__xludf.DUMMYFUNCTION("""COMPUTED_VALUE"""),179.58)</f>
        <v>179.58</v>
      </c>
      <c r="F725" s="1">
        <f ca="1">IFERROR(__xludf.DUMMYFUNCTION("""COMPUTED_VALUE"""),15392866)</f>
        <v>15392866</v>
      </c>
    </row>
    <row r="726" spans="1:6" ht="12.6">
      <c r="A726" s="2">
        <f ca="1">IFERROR(__xludf.DUMMYFUNCTION("""COMPUTED_VALUE"""),45616.6666666666)</f>
        <v>45616.666666666599</v>
      </c>
      <c r="B726" s="1">
        <f ca="1">IFERROR(__xludf.DUMMYFUNCTION("""COMPUTED_VALUE"""),178.83)</f>
        <v>178.83</v>
      </c>
      <c r="C726" s="1">
        <f ca="1">IFERROR(__xludf.DUMMYFUNCTION("""COMPUTED_VALUE"""),179.11)</f>
        <v>179.11</v>
      </c>
      <c r="D726" s="1">
        <f ca="1">IFERROR(__xludf.DUMMYFUNCTION("""COMPUTED_VALUE"""),175.33)</f>
        <v>175.33</v>
      </c>
      <c r="E726" s="1">
        <f ca="1">IFERROR(__xludf.DUMMYFUNCTION("""COMPUTED_VALUE"""),177.33)</f>
        <v>177.33</v>
      </c>
      <c r="F726" s="1">
        <f ca="1">IFERROR(__xludf.DUMMYFUNCTION("""COMPUTED_VALUE"""),15729806)</f>
        <v>15729806</v>
      </c>
    </row>
    <row r="727" spans="1:6" ht="12.6">
      <c r="A727" s="2">
        <f ca="1">IFERROR(__xludf.DUMMYFUNCTION("""COMPUTED_VALUE"""),45617.6666666666)</f>
        <v>45617.666666666599</v>
      </c>
      <c r="B727" s="1">
        <f ca="1">IFERROR(__xludf.DUMMYFUNCTION("""COMPUTED_VALUE"""),175.46)</f>
        <v>175.46</v>
      </c>
      <c r="C727" s="1">
        <f ca="1">IFERROR(__xludf.DUMMYFUNCTION("""COMPUTED_VALUE"""),175.58)</f>
        <v>175.58</v>
      </c>
      <c r="D727" s="1">
        <f ca="1">IFERROR(__xludf.DUMMYFUNCTION("""COMPUTED_VALUE"""),165.31)</f>
        <v>165.31</v>
      </c>
      <c r="E727" s="1">
        <f ca="1">IFERROR(__xludf.DUMMYFUNCTION("""COMPUTED_VALUE"""),169.24)</f>
        <v>169.24</v>
      </c>
      <c r="F727" s="1">
        <f ca="1">IFERROR(__xludf.DUMMYFUNCTION("""COMPUTED_VALUE"""),38839431)</f>
        <v>38839431</v>
      </c>
    </row>
    <row r="728" spans="1:6" ht="12.6">
      <c r="A728" s="2">
        <f ca="1">IFERROR(__xludf.DUMMYFUNCTION("""COMPUTED_VALUE"""),45618.6666666666)</f>
        <v>45618.666666666599</v>
      </c>
      <c r="B728" s="1">
        <f ca="1">IFERROR(__xludf.DUMMYFUNCTION("""COMPUTED_VALUE"""),167.16)</f>
        <v>167.16</v>
      </c>
      <c r="C728" s="1">
        <f ca="1">IFERROR(__xludf.DUMMYFUNCTION("""COMPUTED_VALUE"""),168.26)</f>
        <v>168.26</v>
      </c>
      <c r="D728" s="1">
        <f ca="1">IFERROR(__xludf.DUMMYFUNCTION("""COMPUTED_VALUE"""),165.71)</f>
        <v>165.71</v>
      </c>
      <c r="E728" s="1">
        <f ca="1">IFERROR(__xludf.DUMMYFUNCTION("""COMPUTED_VALUE"""),166.57)</f>
        <v>166.57</v>
      </c>
      <c r="F728" s="1">
        <f ca="1">IFERROR(__xludf.DUMMYFUNCTION("""COMPUTED_VALUE"""),24497042)</f>
        <v>24497042</v>
      </c>
    </row>
    <row r="729" spans="1:6" ht="12.6">
      <c r="A729" s="2">
        <f ca="1">IFERROR(__xludf.DUMMYFUNCTION("""COMPUTED_VALUE"""),45621.6666666666)</f>
        <v>45621.666666666599</v>
      </c>
      <c r="B729" s="1">
        <f ca="1">IFERROR(__xludf.DUMMYFUNCTION("""COMPUTED_VALUE"""),167.99)</f>
        <v>167.99</v>
      </c>
      <c r="C729" s="1">
        <f ca="1">IFERROR(__xludf.DUMMYFUNCTION("""COMPUTED_VALUE"""),170.46)</f>
        <v>170.46</v>
      </c>
      <c r="D729" s="1">
        <f ca="1">IFERROR(__xludf.DUMMYFUNCTION("""COMPUTED_VALUE"""),167.4)</f>
        <v>167.4</v>
      </c>
      <c r="E729" s="1">
        <f ca="1">IFERROR(__xludf.DUMMYFUNCTION("""COMPUTED_VALUE"""),169.43)</f>
        <v>169.43</v>
      </c>
      <c r="F729" s="1">
        <f ca="1">IFERROR(__xludf.DUMMYFUNCTION("""COMPUTED_VALUE"""),21395652)</f>
        <v>21395652</v>
      </c>
    </row>
    <row r="730" spans="1:6" ht="12.6">
      <c r="A730" s="2">
        <f ca="1">IFERROR(__xludf.DUMMYFUNCTION("""COMPUTED_VALUE"""),45622.6666666666)</f>
        <v>45622.666666666599</v>
      </c>
      <c r="B730" s="1">
        <f ca="1">IFERROR(__xludf.DUMMYFUNCTION("""COMPUTED_VALUE"""),169.49)</f>
        <v>169.49</v>
      </c>
      <c r="C730" s="1">
        <f ca="1">IFERROR(__xludf.DUMMYFUNCTION("""COMPUTED_VALUE"""),171.5)</f>
        <v>171.5</v>
      </c>
      <c r="D730" s="1">
        <f ca="1">IFERROR(__xludf.DUMMYFUNCTION("""COMPUTED_VALUE"""),169.43)</f>
        <v>169.43</v>
      </c>
      <c r="E730" s="1">
        <f ca="1">IFERROR(__xludf.DUMMYFUNCTION("""COMPUTED_VALUE"""),170.62)</f>
        <v>170.62</v>
      </c>
      <c r="F730" s="1">
        <f ca="1">IFERROR(__xludf.DUMMYFUNCTION("""COMPUTED_VALUE"""),14937478)</f>
        <v>14937478</v>
      </c>
    </row>
    <row r="731" spans="1:6" ht="12.6">
      <c r="A731" s="2">
        <f ca="1">IFERROR(__xludf.DUMMYFUNCTION("""COMPUTED_VALUE"""),45623.6666666666)</f>
        <v>45623.666666666599</v>
      </c>
      <c r="B731" s="1">
        <f ca="1">IFERROR(__xludf.DUMMYFUNCTION("""COMPUTED_VALUE"""),170.68)</f>
        <v>170.68</v>
      </c>
      <c r="C731" s="1">
        <f ca="1">IFERROR(__xludf.DUMMYFUNCTION("""COMPUTED_VALUE"""),171.14)</f>
        <v>171.14</v>
      </c>
      <c r="D731" s="1">
        <f ca="1">IFERROR(__xludf.DUMMYFUNCTION("""COMPUTED_VALUE"""),169.67)</f>
        <v>169.67</v>
      </c>
      <c r="E731" s="1">
        <f ca="1">IFERROR(__xludf.DUMMYFUNCTION("""COMPUTED_VALUE"""),170.82)</f>
        <v>170.82</v>
      </c>
      <c r="F731" s="1">
        <f ca="1">IFERROR(__xludf.DUMMYFUNCTION("""COMPUTED_VALUE"""),12433371)</f>
        <v>12433371</v>
      </c>
    </row>
    <row r="732" spans="1:6" ht="12.6">
      <c r="A732" s="2">
        <f ca="1">IFERROR(__xludf.DUMMYFUNCTION("""COMPUTED_VALUE"""),45625.5451388888)</f>
        <v>45625.545138888803</v>
      </c>
      <c r="B732" s="1">
        <f ca="1">IFERROR(__xludf.DUMMYFUNCTION("""COMPUTED_VALUE"""),170.06)</f>
        <v>170.06</v>
      </c>
      <c r="C732" s="1">
        <f ca="1">IFERROR(__xludf.DUMMYFUNCTION("""COMPUTED_VALUE"""),170.87)</f>
        <v>170.87</v>
      </c>
      <c r="D732" s="1">
        <f ca="1">IFERROR(__xludf.DUMMYFUNCTION("""COMPUTED_VALUE"""),168.75)</f>
        <v>168.75</v>
      </c>
      <c r="E732" s="1">
        <f ca="1">IFERROR(__xludf.DUMMYFUNCTION("""COMPUTED_VALUE"""),170.49)</f>
        <v>170.49</v>
      </c>
      <c r="F732" s="1">
        <f ca="1">IFERROR(__xludf.DUMMYFUNCTION("""COMPUTED_VALUE"""),9250712)</f>
        <v>9250712</v>
      </c>
    </row>
    <row r="733" spans="1:6" ht="12.6">
      <c r="A733" s="2">
        <f ca="1">IFERROR(__xludf.DUMMYFUNCTION("""COMPUTED_VALUE"""),45628.6666666666)</f>
        <v>45628.666666666599</v>
      </c>
      <c r="B733" s="1">
        <f ca="1">IFERROR(__xludf.DUMMYFUNCTION("""COMPUTED_VALUE"""),170.32)</f>
        <v>170.32</v>
      </c>
      <c r="C733" s="1">
        <f ca="1">IFERROR(__xludf.DUMMYFUNCTION("""COMPUTED_VALUE"""),173.6)</f>
        <v>173.6</v>
      </c>
      <c r="D733" s="1">
        <f ca="1">IFERROR(__xludf.DUMMYFUNCTION("""COMPUTED_VALUE"""),170.27)</f>
        <v>170.27</v>
      </c>
      <c r="E733" s="1">
        <f ca="1">IFERROR(__xludf.DUMMYFUNCTION("""COMPUTED_VALUE"""),172.98)</f>
        <v>172.98</v>
      </c>
      <c r="F733" s="1">
        <f ca="1">IFERROR(__xludf.DUMMYFUNCTION("""COMPUTED_VALUE"""),16593444)</f>
        <v>16593444</v>
      </c>
    </row>
    <row r="734" spans="1:6" ht="12.6">
      <c r="A734" s="2">
        <f ca="1">IFERROR(__xludf.DUMMYFUNCTION("""COMPUTED_VALUE"""),45629.6666666666)</f>
        <v>45629.666666666599</v>
      </c>
      <c r="B734" s="1">
        <f ca="1">IFERROR(__xludf.DUMMYFUNCTION("""COMPUTED_VALUE"""),173.12)</f>
        <v>173.12</v>
      </c>
      <c r="C734" s="1">
        <f ca="1">IFERROR(__xludf.DUMMYFUNCTION("""COMPUTED_VALUE"""),174.32)</f>
        <v>174.32</v>
      </c>
      <c r="D734" s="1">
        <f ca="1">IFERROR(__xludf.DUMMYFUNCTION("""COMPUTED_VALUE"""),172.51)</f>
        <v>172.51</v>
      </c>
      <c r="E734" s="1">
        <f ca="1">IFERROR(__xludf.DUMMYFUNCTION("""COMPUTED_VALUE"""),173.02)</f>
        <v>173.02</v>
      </c>
      <c r="F734" s="1">
        <f ca="1">IFERROR(__xludf.DUMMYFUNCTION("""COMPUTED_VALUE"""),15721483)</f>
        <v>15721483</v>
      </c>
    </row>
    <row r="735" spans="1:6" ht="12.6">
      <c r="A735" s="2">
        <f ca="1">IFERROR(__xludf.DUMMYFUNCTION("""COMPUTED_VALUE"""),45630.6666666666)</f>
        <v>45630.666666666599</v>
      </c>
      <c r="B735" s="1">
        <f ca="1">IFERROR(__xludf.DUMMYFUNCTION("""COMPUTED_VALUE"""),172.78)</f>
        <v>172.78</v>
      </c>
      <c r="C735" s="1">
        <f ca="1">IFERROR(__xludf.DUMMYFUNCTION("""COMPUTED_VALUE"""),176.43)</f>
        <v>176.43</v>
      </c>
      <c r="D735" s="1">
        <f ca="1">IFERROR(__xludf.DUMMYFUNCTION("""COMPUTED_VALUE"""),172.75)</f>
        <v>172.75</v>
      </c>
      <c r="E735" s="1">
        <f ca="1">IFERROR(__xludf.DUMMYFUNCTION("""COMPUTED_VALUE"""),176.09)</f>
        <v>176.09</v>
      </c>
      <c r="F735" s="1">
        <f ca="1">IFERROR(__xludf.DUMMYFUNCTION("""COMPUTED_VALUE"""),18239842)</f>
        <v>18239842</v>
      </c>
    </row>
    <row r="736" spans="1:6" ht="12.6">
      <c r="A736" s="2">
        <f ca="1">IFERROR(__xludf.DUMMYFUNCTION("""COMPUTED_VALUE"""),45631.6666666666)</f>
        <v>45631.666666666599</v>
      </c>
      <c r="B736" s="1">
        <f ca="1">IFERROR(__xludf.DUMMYFUNCTION("""COMPUTED_VALUE"""),177.32)</f>
        <v>177.32</v>
      </c>
      <c r="C736" s="1">
        <f ca="1">IFERROR(__xludf.DUMMYFUNCTION("""COMPUTED_VALUE"""),177.71)</f>
        <v>177.71</v>
      </c>
      <c r="D736" s="1">
        <f ca="1">IFERROR(__xludf.DUMMYFUNCTION("""COMPUTED_VALUE"""),174.01)</f>
        <v>174.01</v>
      </c>
      <c r="E736" s="1">
        <f ca="1">IFERROR(__xludf.DUMMYFUNCTION("""COMPUTED_VALUE"""),174.31)</f>
        <v>174.31</v>
      </c>
      <c r="F736" s="1">
        <f ca="1">IFERROR(__xludf.DUMMYFUNCTION("""COMPUTED_VALUE"""),16145520)</f>
        <v>16145520</v>
      </c>
    </row>
    <row r="737" spans="1:6" ht="12.6">
      <c r="A737" s="2">
        <f ca="1">IFERROR(__xludf.DUMMYFUNCTION("""COMPUTED_VALUE"""),45632.6666666666)</f>
        <v>45632.666666666599</v>
      </c>
      <c r="B737" s="1">
        <f ca="1">IFERROR(__xludf.DUMMYFUNCTION("""COMPUTED_VALUE"""),173.88)</f>
        <v>173.88</v>
      </c>
      <c r="C737" s="1">
        <f ca="1">IFERROR(__xludf.DUMMYFUNCTION("""COMPUTED_VALUE"""),176.84)</f>
        <v>176.84</v>
      </c>
      <c r="D737" s="1">
        <f ca="1">IFERROR(__xludf.DUMMYFUNCTION("""COMPUTED_VALUE"""),173.55)</f>
        <v>173.55</v>
      </c>
      <c r="E737" s="1">
        <f ca="1">IFERROR(__xludf.DUMMYFUNCTION("""COMPUTED_VALUE"""),176.49)</f>
        <v>176.49</v>
      </c>
      <c r="F737" s="1">
        <f ca="1">IFERROR(__xludf.DUMMYFUNCTION("""COMPUTED_VALUE"""),13319549)</f>
        <v>13319549</v>
      </c>
    </row>
    <row r="738" spans="1:6" ht="12.6">
      <c r="A738" s="2">
        <f ca="1">IFERROR(__xludf.DUMMYFUNCTION("""COMPUTED_VALUE"""),45635.6666666666)</f>
        <v>45635.666666666599</v>
      </c>
      <c r="B738" s="1">
        <f ca="1">IFERROR(__xludf.DUMMYFUNCTION("""COMPUTED_VALUE"""),175.72)</f>
        <v>175.72</v>
      </c>
      <c r="C738" s="1">
        <f ca="1">IFERROR(__xludf.DUMMYFUNCTION("""COMPUTED_VALUE"""),178.04)</f>
        <v>178.04</v>
      </c>
      <c r="D738" s="1">
        <f ca="1">IFERROR(__xludf.DUMMYFUNCTION("""COMPUTED_VALUE"""),175.4)</f>
        <v>175.4</v>
      </c>
      <c r="E738" s="1">
        <f ca="1">IFERROR(__xludf.DUMMYFUNCTION("""COMPUTED_VALUE"""),177.1)</f>
        <v>177.1</v>
      </c>
      <c r="F738" s="1">
        <f ca="1">IFERROR(__xludf.DUMMYFUNCTION("""COMPUTED_VALUE"""),19887786)</f>
        <v>19887786</v>
      </c>
    </row>
    <row r="739" spans="1:6" ht="12.6">
      <c r="A739" s="2">
        <f ca="1">IFERROR(__xludf.DUMMYFUNCTION("""COMPUTED_VALUE"""),45636.6666666666)</f>
        <v>45636.666666666599</v>
      </c>
      <c r="B739" s="1">
        <f ca="1">IFERROR(__xludf.DUMMYFUNCTION("""COMPUTED_VALUE"""),184.54)</f>
        <v>184.54</v>
      </c>
      <c r="C739" s="1">
        <f ca="1">IFERROR(__xludf.DUMMYFUNCTION("""COMPUTED_VALUE"""),188.03)</f>
        <v>188.03</v>
      </c>
      <c r="D739" s="1">
        <f ca="1">IFERROR(__xludf.DUMMYFUNCTION("""COMPUTED_VALUE"""),182.67)</f>
        <v>182.67</v>
      </c>
      <c r="E739" s="1">
        <f ca="1">IFERROR(__xludf.DUMMYFUNCTION("""COMPUTED_VALUE"""),186.53)</f>
        <v>186.53</v>
      </c>
      <c r="F739" s="1">
        <f ca="1">IFERROR(__xludf.DUMMYFUNCTION("""COMPUTED_VALUE"""),34317438)</f>
        <v>34317438</v>
      </c>
    </row>
    <row r="740" spans="1:6" ht="12.6">
      <c r="A740" s="2">
        <f ca="1">IFERROR(__xludf.DUMMYFUNCTION("""COMPUTED_VALUE"""),45637.6666666666)</f>
        <v>45637.666666666599</v>
      </c>
      <c r="B740" s="1">
        <f ca="1">IFERROR(__xludf.DUMMYFUNCTION("""COMPUTED_VALUE"""),186.7)</f>
        <v>186.7</v>
      </c>
      <c r="C740" s="1">
        <f ca="1">IFERROR(__xludf.DUMMYFUNCTION("""COMPUTED_VALUE"""),196.89)</f>
        <v>196.89</v>
      </c>
      <c r="D740" s="1">
        <f ca="1">IFERROR(__xludf.DUMMYFUNCTION("""COMPUTED_VALUE"""),186.26)</f>
        <v>186.26</v>
      </c>
      <c r="E740" s="1">
        <f ca="1">IFERROR(__xludf.DUMMYFUNCTION("""COMPUTED_VALUE"""),196.71)</f>
        <v>196.71</v>
      </c>
      <c r="F740" s="1">
        <f ca="1">IFERROR(__xludf.DUMMYFUNCTION("""COMPUTED_VALUE"""),41664489)</f>
        <v>41664489</v>
      </c>
    </row>
    <row r="741" spans="1:6" ht="12.6">
      <c r="A741" s="2">
        <f ca="1">IFERROR(__xludf.DUMMYFUNCTION("""COMPUTED_VALUE"""),45638.6666666666)</f>
        <v>45638.666666666599</v>
      </c>
      <c r="B741" s="1">
        <f ca="1">IFERROR(__xludf.DUMMYFUNCTION("""COMPUTED_VALUE"""),196.3)</f>
        <v>196.3</v>
      </c>
      <c r="C741" s="1">
        <f ca="1">IFERROR(__xludf.DUMMYFUNCTION("""COMPUTED_VALUE"""),196.71)</f>
        <v>196.71</v>
      </c>
      <c r="D741" s="1">
        <f ca="1">IFERROR(__xludf.DUMMYFUNCTION("""COMPUTED_VALUE"""),193.28)</f>
        <v>193.28</v>
      </c>
      <c r="E741" s="1">
        <f ca="1">IFERROR(__xludf.DUMMYFUNCTION("""COMPUTED_VALUE"""),193.63)</f>
        <v>193.63</v>
      </c>
      <c r="F741" s="1">
        <f ca="1">IFERROR(__xludf.DUMMYFUNCTION("""COMPUTED_VALUE"""),25197757)</f>
        <v>25197757</v>
      </c>
    </row>
    <row r="742" spans="1:6" ht="12.6">
      <c r="A742" s="2">
        <f ca="1">IFERROR(__xludf.DUMMYFUNCTION("""COMPUTED_VALUE"""),45639.6666666666)</f>
        <v>45639.666666666599</v>
      </c>
      <c r="B742" s="1">
        <f ca="1">IFERROR(__xludf.DUMMYFUNCTION("""COMPUTED_VALUE"""),192.71)</f>
        <v>192.71</v>
      </c>
      <c r="C742" s="1">
        <f ca="1">IFERROR(__xludf.DUMMYFUNCTION("""COMPUTED_VALUE"""),194.34)</f>
        <v>194.34</v>
      </c>
      <c r="D742" s="1">
        <f ca="1">IFERROR(__xludf.DUMMYFUNCTION("""COMPUTED_VALUE"""),191.26)</f>
        <v>191.26</v>
      </c>
      <c r="E742" s="1">
        <f ca="1">IFERROR(__xludf.DUMMYFUNCTION("""COMPUTED_VALUE"""),191.38)</f>
        <v>191.38</v>
      </c>
      <c r="F742" s="1">
        <f ca="1">IFERROR(__xludf.DUMMYFUNCTION("""COMPUTED_VALUE"""),18883217)</f>
        <v>18883217</v>
      </c>
    </row>
    <row r="743" spans="1:6" ht="12.6">
      <c r="A743" s="2">
        <f ca="1">IFERROR(__xludf.DUMMYFUNCTION("""COMPUTED_VALUE"""),45642.6666666666)</f>
        <v>45642.666666666599</v>
      </c>
      <c r="B743" s="1">
        <f ca="1">IFERROR(__xludf.DUMMYFUNCTION("""COMPUTED_VALUE"""),194.37)</f>
        <v>194.37</v>
      </c>
      <c r="C743" s="1">
        <f ca="1">IFERROR(__xludf.DUMMYFUNCTION("""COMPUTED_VALUE"""),200.64)</f>
        <v>200.64</v>
      </c>
      <c r="D743" s="1">
        <f ca="1">IFERROR(__xludf.DUMMYFUNCTION("""COMPUTED_VALUE"""),194.11)</f>
        <v>194.11</v>
      </c>
      <c r="E743" s="1">
        <f ca="1">IFERROR(__xludf.DUMMYFUNCTION("""COMPUTED_VALUE"""),198.16)</f>
        <v>198.16</v>
      </c>
      <c r="F743" s="1">
        <f ca="1">IFERROR(__xludf.DUMMYFUNCTION("""COMPUTED_VALUE"""),32248640)</f>
        <v>32248640</v>
      </c>
    </row>
    <row r="744" spans="1:6" ht="12.6">
      <c r="A744" s="2">
        <f ca="1">IFERROR(__xludf.DUMMYFUNCTION("""COMPUTED_VALUE"""),45643.6666666666)</f>
        <v>45643.666666666599</v>
      </c>
      <c r="B744" s="1">
        <f ca="1">IFERROR(__xludf.DUMMYFUNCTION("""COMPUTED_VALUE"""),198.53)</f>
        <v>198.53</v>
      </c>
      <c r="C744" s="1">
        <f ca="1">IFERROR(__xludf.DUMMYFUNCTION("""COMPUTED_VALUE"""),202.88)</f>
        <v>202.88</v>
      </c>
      <c r="D744" s="1">
        <f ca="1">IFERROR(__xludf.DUMMYFUNCTION("""COMPUTED_VALUE"""),196.69)</f>
        <v>196.69</v>
      </c>
      <c r="E744" s="1">
        <f ca="1">IFERROR(__xludf.DUMMYFUNCTION("""COMPUTED_VALUE"""),197.12)</f>
        <v>197.12</v>
      </c>
      <c r="F744" s="1">
        <f ca="1">IFERROR(__xludf.DUMMYFUNCTION("""COMPUTED_VALUE"""),24129481)</f>
        <v>24129481</v>
      </c>
    </row>
    <row r="745" spans="1:6" ht="12.6">
      <c r="A745" s="2">
        <f ca="1">IFERROR(__xludf.DUMMYFUNCTION("""COMPUTED_VALUE"""),45644.6666666666)</f>
        <v>45644.666666666599</v>
      </c>
      <c r="B745" s="1">
        <f ca="1">IFERROR(__xludf.DUMMYFUNCTION("""COMPUTED_VALUE"""),196.83)</f>
        <v>196.83</v>
      </c>
      <c r="C745" s="1">
        <f ca="1">IFERROR(__xludf.DUMMYFUNCTION("""COMPUTED_VALUE"""),198.69)</f>
        <v>198.69</v>
      </c>
      <c r="D745" s="1">
        <f ca="1">IFERROR(__xludf.DUMMYFUNCTION("""COMPUTED_VALUE"""),189.28)</f>
        <v>189.28</v>
      </c>
      <c r="E745" s="1">
        <f ca="1">IFERROR(__xludf.DUMMYFUNCTION("""COMPUTED_VALUE"""),190.15)</f>
        <v>190.15</v>
      </c>
      <c r="F745" s="1">
        <f ca="1">IFERROR(__xludf.DUMMYFUNCTION("""COMPUTED_VALUE"""),27638416)</f>
        <v>27638416</v>
      </c>
    </row>
    <row r="746" spans="1:6" ht="12.6">
      <c r="A746" s="2">
        <f ca="1">IFERROR(__xludf.DUMMYFUNCTION("""COMPUTED_VALUE"""),45645.6666666666)</f>
        <v>45645.666666666599</v>
      </c>
      <c r="B746" s="1">
        <f ca="1">IFERROR(__xludf.DUMMYFUNCTION("""COMPUTED_VALUE"""),193.28)</f>
        <v>193.28</v>
      </c>
      <c r="C746" s="1">
        <f ca="1">IFERROR(__xludf.DUMMYFUNCTION("""COMPUTED_VALUE"""),194.6)</f>
        <v>194.6</v>
      </c>
      <c r="D746" s="1">
        <f ca="1">IFERROR(__xludf.DUMMYFUNCTION("""COMPUTED_VALUE"""),189.52)</f>
        <v>189.52</v>
      </c>
      <c r="E746" s="1">
        <f ca="1">IFERROR(__xludf.DUMMYFUNCTION("""COMPUTED_VALUE"""),189.7)</f>
        <v>189.7</v>
      </c>
      <c r="F746" s="1">
        <f ca="1">IFERROR(__xludf.DUMMYFUNCTION("""COMPUTED_VALUE"""),26981196)</f>
        <v>26981196</v>
      </c>
    </row>
    <row r="747" spans="1:6" ht="12.6">
      <c r="A747" s="2">
        <f ca="1">IFERROR(__xludf.DUMMYFUNCTION("""COMPUTED_VALUE"""),45646.6666666666)</f>
        <v>45646.666666666599</v>
      </c>
      <c r="B747" s="1">
        <f ca="1">IFERROR(__xludf.DUMMYFUNCTION("""COMPUTED_VALUE"""),187.01)</f>
        <v>187.01</v>
      </c>
      <c r="C747" s="1">
        <f ca="1">IFERROR(__xludf.DUMMYFUNCTION("""COMPUTED_VALUE"""),194.14)</f>
        <v>194.14</v>
      </c>
      <c r="D747" s="1">
        <f ca="1">IFERROR(__xludf.DUMMYFUNCTION("""COMPUTED_VALUE"""),186.37)</f>
        <v>186.37</v>
      </c>
      <c r="E747" s="1">
        <f ca="1">IFERROR(__xludf.DUMMYFUNCTION("""COMPUTED_VALUE"""),192.96)</f>
        <v>192.96</v>
      </c>
      <c r="F747" s="1">
        <f ca="1">IFERROR(__xludf.DUMMYFUNCTION("""COMPUTED_VALUE"""),45319703)</f>
        <v>45319703</v>
      </c>
    </row>
    <row r="748" spans="1:6" ht="12.6">
      <c r="A748" s="2">
        <f ca="1">IFERROR(__xludf.DUMMYFUNCTION("""COMPUTED_VALUE"""),45649.6666666666)</f>
        <v>45649.666666666599</v>
      </c>
      <c r="B748" s="1">
        <f ca="1">IFERROR(__xludf.DUMMYFUNCTION("""COMPUTED_VALUE"""),194.03)</f>
        <v>194.03</v>
      </c>
      <c r="C748" s="1">
        <f ca="1">IFERROR(__xludf.DUMMYFUNCTION("""COMPUTED_VALUE"""),196.49)</f>
        <v>196.49</v>
      </c>
      <c r="D748" s="1">
        <f ca="1">IFERROR(__xludf.DUMMYFUNCTION("""COMPUTED_VALUE"""),191.63)</f>
        <v>191.63</v>
      </c>
      <c r="E748" s="1">
        <f ca="1">IFERROR(__xludf.DUMMYFUNCTION("""COMPUTED_VALUE"""),195.99)</f>
        <v>195.99</v>
      </c>
      <c r="F748" s="1">
        <f ca="1">IFERROR(__xludf.DUMMYFUNCTION("""COMPUTED_VALUE"""),15235942)</f>
        <v>15235942</v>
      </c>
    </row>
    <row r="749" spans="1:6" ht="12.6">
      <c r="A749" s="2">
        <f ca="1">IFERROR(__xludf.DUMMYFUNCTION("""COMPUTED_VALUE"""),45650.5451388888)</f>
        <v>45650.545138888803</v>
      </c>
      <c r="B749" s="1">
        <f ca="1">IFERROR(__xludf.DUMMYFUNCTION("""COMPUTED_VALUE"""),196.17)</f>
        <v>196.17</v>
      </c>
      <c r="C749" s="1">
        <f ca="1">IFERROR(__xludf.DUMMYFUNCTION("""COMPUTED_VALUE"""),197.67)</f>
        <v>197.67</v>
      </c>
      <c r="D749" s="1">
        <f ca="1">IFERROR(__xludf.DUMMYFUNCTION("""COMPUTED_VALUE"""),195.2)</f>
        <v>195.2</v>
      </c>
      <c r="E749" s="1">
        <f ca="1">IFERROR(__xludf.DUMMYFUNCTION("""COMPUTED_VALUE"""),197.57)</f>
        <v>197.57</v>
      </c>
      <c r="F749" s="1">
        <f ca="1">IFERROR(__xludf.DUMMYFUNCTION("""COMPUTED_VALUE"""),6809823)</f>
        <v>6809823</v>
      </c>
    </row>
    <row r="750" spans="1:6" ht="12.6">
      <c r="A750" s="2">
        <f ca="1">IFERROR(__xludf.DUMMYFUNCTION("""COMPUTED_VALUE"""),45652.6666666666)</f>
        <v>45652.666666666599</v>
      </c>
      <c r="B750" s="1">
        <f ca="1">IFERROR(__xludf.DUMMYFUNCTION("""COMPUTED_VALUE"""),196.74)</f>
        <v>196.74</v>
      </c>
      <c r="C750" s="1">
        <f ca="1">IFERROR(__xludf.DUMMYFUNCTION("""COMPUTED_VALUE"""),198.16)</f>
        <v>198.16</v>
      </c>
      <c r="D750" s="1">
        <f ca="1">IFERROR(__xludf.DUMMYFUNCTION("""COMPUTED_VALUE"""),195.87)</f>
        <v>195.87</v>
      </c>
      <c r="E750" s="1">
        <f ca="1">IFERROR(__xludf.DUMMYFUNCTION("""COMPUTED_VALUE"""),197.1)</f>
        <v>197.1</v>
      </c>
      <c r="F750" s="1">
        <f ca="1">IFERROR(__xludf.DUMMYFUNCTION("""COMPUTED_VALUE"""),7918434)</f>
        <v>7918434</v>
      </c>
    </row>
    <row r="751" spans="1:6" ht="12.6">
      <c r="A751" s="2">
        <f ca="1">IFERROR(__xludf.DUMMYFUNCTION("""COMPUTED_VALUE"""),45653.6666666666)</f>
        <v>45653.666666666599</v>
      </c>
      <c r="B751" s="1">
        <f ca="1">IFERROR(__xludf.DUMMYFUNCTION("""COMPUTED_VALUE"""),196.47)</f>
        <v>196.47</v>
      </c>
      <c r="C751" s="1">
        <f ca="1">IFERROR(__xludf.DUMMYFUNCTION("""COMPUTED_VALUE"""),196.8)</f>
        <v>196.8</v>
      </c>
      <c r="D751" s="1">
        <f ca="1">IFERROR(__xludf.DUMMYFUNCTION("""COMPUTED_VALUE"""),191.97)</f>
        <v>191.97</v>
      </c>
      <c r="E751" s="1">
        <f ca="1">IFERROR(__xludf.DUMMYFUNCTION("""COMPUTED_VALUE"""),194.04)</f>
        <v>194.04</v>
      </c>
      <c r="F751" s="1">
        <f ca="1">IFERROR(__xludf.DUMMYFUNCTION("""COMPUTED_VALUE"""),14692994)</f>
        <v>14692994</v>
      </c>
    </row>
    <row r="752" spans="1:6" ht="12.6">
      <c r="A752" s="2">
        <f ca="1">IFERROR(__xludf.DUMMYFUNCTION("""COMPUTED_VALUE"""),45656.6666666666)</f>
        <v>45656.666666666599</v>
      </c>
      <c r="B752" s="1">
        <f ca="1">IFERROR(__xludf.DUMMYFUNCTION("""COMPUTED_VALUE"""),190.87)</f>
        <v>190.87</v>
      </c>
      <c r="C752" s="1">
        <f ca="1">IFERROR(__xludf.DUMMYFUNCTION("""COMPUTED_VALUE"""),193.78)</f>
        <v>193.78</v>
      </c>
      <c r="D752" s="1">
        <f ca="1">IFERROR(__xludf.DUMMYFUNCTION("""COMPUTED_VALUE"""),190.36)</f>
        <v>190.36</v>
      </c>
      <c r="E752" s="1">
        <f ca="1">IFERROR(__xludf.DUMMYFUNCTION("""COMPUTED_VALUE"""),192.69)</f>
        <v>192.69</v>
      </c>
      <c r="F752" s="1">
        <f ca="1">IFERROR(__xludf.DUMMYFUNCTION("""COMPUTED_VALUE"""),12209534)</f>
        <v>12209534</v>
      </c>
    </row>
    <row r="753" spans="1:6" ht="12.6">
      <c r="A753" s="2">
        <f ca="1">IFERROR(__xludf.DUMMYFUNCTION("""COMPUTED_VALUE"""),45657.6666666666)</f>
        <v>45657.666666666599</v>
      </c>
      <c r="B753" s="1">
        <f ca="1">IFERROR(__xludf.DUMMYFUNCTION("""COMPUTED_VALUE"""),192.45)</f>
        <v>192.45</v>
      </c>
      <c r="C753" s="1">
        <f ca="1">IFERROR(__xludf.DUMMYFUNCTION("""COMPUTED_VALUE"""),193.25)</f>
        <v>193.25</v>
      </c>
      <c r="D753" s="1">
        <f ca="1">IFERROR(__xludf.DUMMYFUNCTION("""COMPUTED_VALUE"""),189.58)</f>
        <v>189.58</v>
      </c>
      <c r="E753" s="1">
        <f ca="1">IFERROR(__xludf.DUMMYFUNCTION("""COMPUTED_VALUE"""),190.44)</f>
        <v>190.44</v>
      </c>
      <c r="F753" s="1">
        <f ca="1">IFERROR(__xludf.DUMMYFUNCTION("""COMPUTED_VALUE"""),14355221)</f>
        <v>14355221</v>
      </c>
    </row>
    <row r="754" spans="1:6" ht="12.6">
      <c r="A754" s="2">
        <f ca="1">IFERROR(__xludf.DUMMYFUNCTION("""COMPUTED_VALUE"""),45659.6666666666)</f>
        <v>45659.666666666599</v>
      </c>
      <c r="B754" s="1">
        <f ca="1">IFERROR(__xludf.DUMMYFUNCTION("""COMPUTED_VALUE"""),191.49)</f>
        <v>191.49</v>
      </c>
      <c r="C754" s="1">
        <f ca="1">IFERROR(__xludf.DUMMYFUNCTION("""COMPUTED_VALUE"""),193.2)</f>
        <v>193.2</v>
      </c>
      <c r="D754" s="1">
        <f ca="1">IFERROR(__xludf.DUMMYFUNCTION("""COMPUTED_VALUE"""),188.71)</f>
        <v>188.71</v>
      </c>
      <c r="E754" s="1">
        <f ca="1">IFERROR(__xludf.DUMMYFUNCTION("""COMPUTED_VALUE"""),190.63)</f>
        <v>190.63</v>
      </c>
      <c r="F754" s="1">
        <f ca="1">IFERROR(__xludf.DUMMYFUNCTION("""COMPUTED_VALUE"""),17545162)</f>
        <v>17545162</v>
      </c>
    </row>
    <row r="755" spans="1:6" ht="12.6">
      <c r="A755" s="2">
        <f ca="1">IFERROR(__xludf.DUMMYFUNCTION("""COMPUTED_VALUE"""),45660.6666666666)</f>
        <v>45660.666666666599</v>
      </c>
      <c r="B755" s="1">
        <f ca="1">IFERROR(__xludf.DUMMYFUNCTION("""COMPUTED_VALUE"""),192.73)</f>
        <v>192.73</v>
      </c>
      <c r="C755" s="1">
        <f ca="1">IFERROR(__xludf.DUMMYFUNCTION("""COMPUTED_VALUE"""),194.5)</f>
        <v>194.5</v>
      </c>
      <c r="D755" s="1">
        <f ca="1">IFERROR(__xludf.DUMMYFUNCTION("""COMPUTED_VALUE"""),191.35)</f>
        <v>191.35</v>
      </c>
      <c r="E755" s="1">
        <f ca="1">IFERROR(__xludf.DUMMYFUNCTION("""COMPUTED_VALUE"""),193.13)</f>
        <v>193.13</v>
      </c>
      <c r="F755" s="1">
        <f ca="1">IFERROR(__xludf.DUMMYFUNCTION("""COMPUTED_VALUE"""),12874957)</f>
        <v>12874957</v>
      </c>
    </row>
    <row r="756" spans="1:6" ht="12.6">
      <c r="A756" s="2">
        <f ca="1">IFERROR(__xludf.DUMMYFUNCTION("""COMPUTED_VALUE"""),45663.6666666666)</f>
        <v>45663.666666666599</v>
      </c>
      <c r="B756" s="1">
        <f ca="1">IFERROR(__xludf.DUMMYFUNCTION("""COMPUTED_VALUE"""),195.15)</f>
        <v>195.15</v>
      </c>
      <c r="C756" s="1">
        <f ca="1">IFERROR(__xludf.DUMMYFUNCTION("""COMPUTED_VALUE"""),199.56)</f>
        <v>199.56</v>
      </c>
      <c r="D756" s="1">
        <f ca="1">IFERROR(__xludf.DUMMYFUNCTION("""COMPUTED_VALUE"""),195.06)</f>
        <v>195.06</v>
      </c>
      <c r="E756" s="1">
        <f ca="1">IFERROR(__xludf.DUMMYFUNCTION("""COMPUTED_VALUE"""),197.96)</f>
        <v>197.96</v>
      </c>
      <c r="F756" s="1">
        <f ca="1">IFERROR(__xludf.DUMMYFUNCTION("""COMPUTED_VALUE"""),19483323)</f>
        <v>19483323</v>
      </c>
    </row>
    <row r="757" spans="1:6" ht="12.6">
      <c r="A757" s="2">
        <f ca="1">IFERROR(__xludf.DUMMYFUNCTION("""COMPUTED_VALUE"""),45664.6666666666)</f>
        <v>45664.666666666599</v>
      </c>
      <c r="B757" s="1">
        <f ca="1">IFERROR(__xludf.DUMMYFUNCTION("""COMPUTED_VALUE"""),198.27)</f>
        <v>198.27</v>
      </c>
      <c r="C757" s="1">
        <f ca="1">IFERROR(__xludf.DUMMYFUNCTION("""COMPUTED_VALUE"""),202.14)</f>
        <v>202.14</v>
      </c>
      <c r="D757" s="1">
        <f ca="1">IFERROR(__xludf.DUMMYFUNCTION("""COMPUTED_VALUE"""),195.94)</f>
        <v>195.94</v>
      </c>
      <c r="E757" s="1">
        <f ca="1">IFERROR(__xludf.DUMMYFUNCTION("""COMPUTED_VALUE"""),196.71)</f>
        <v>196.71</v>
      </c>
      <c r="F757" s="1">
        <f ca="1">IFERROR(__xludf.DUMMYFUNCTION("""COMPUTED_VALUE"""),16966760)</f>
        <v>16966760</v>
      </c>
    </row>
    <row r="758" spans="1:6" ht="12.6">
      <c r="A758" s="2">
        <f ca="1">IFERROR(__xludf.DUMMYFUNCTION("""COMPUTED_VALUE"""),45665.6666666666)</f>
        <v>45665.666666666599</v>
      </c>
      <c r="B758" s="1">
        <f ca="1">IFERROR(__xludf.DUMMYFUNCTION("""COMPUTED_VALUE"""),193.95)</f>
        <v>193.95</v>
      </c>
      <c r="C758" s="1">
        <f ca="1">IFERROR(__xludf.DUMMYFUNCTION("""COMPUTED_VALUE"""),197.64)</f>
        <v>197.64</v>
      </c>
      <c r="D758" s="1">
        <f ca="1">IFERROR(__xludf.DUMMYFUNCTION("""COMPUTED_VALUE"""),193.75)</f>
        <v>193.75</v>
      </c>
      <c r="E758" s="1">
        <f ca="1">IFERROR(__xludf.DUMMYFUNCTION("""COMPUTED_VALUE"""),195.39)</f>
        <v>195.39</v>
      </c>
      <c r="F758" s="1">
        <f ca="1">IFERROR(__xludf.DUMMYFUNCTION("""COMPUTED_VALUE"""),14335341)</f>
        <v>14335341</v>
      </c>
    </row>
    <row r="759" spans="1:6" ht="12.6">
      <c r="A759" s="2">
        <f ca="1">IFERROR(__xludf.DUMMYFUNCTION("""COMPUTED_VALUE"""),45667.6666666666)</f>
        <v>45667.666666666599</v>
      </c>
      <c r="B759" s="1">
        <f ca="1">IFERROR(__xludf.DUMMYFUNCTION("""COMPUTED_VALUE"""),195.42)</f>
        <v>195.42</v>
      </c>
      <c r="C759" s="1">
        <f ca="1">IFERROR(__xludf.DUMMYFUNCTION("""COMPUTED_VALUE"""),197.62)</f>
        <v>197.62</v>
      </c>
      <c r="D759" s="1">
        <f ca="1">IFERROR(__xludf.DUMMYFUNCTION("""COMPUTED_VALUE"""),191.6)</f>
        <v>191.6</v>
      </c>
      <c r="E759" s="1">
        <f ca="1">IFERROR(__xludf.DUMMYFUNCTION("""COMPUTED_VALUE"""),193.17)</f>
        <v>193.17</v>
      </c>
      <c r="F759" s="1">
        <f ca="1">IFERROR(__xludf.DUMMYFUNCTION("""COMPUTED_VALUE"""),20753794)</f>
        <v>20753794</v>
      </c>
    </row>
    <row r="760" spans="1:6" ht="12.6">
      <c r="A760" s="2">
        <f ca="1">IFERROR(__xludf.DUMMYFUNCTION("""COMPUTED_VALUE"""),45670.6666666666)</f>
        <v>45670.666666666599</v>
      </c>
      <c r="B760" s="1">
        <f ca="1">IFERROR(__xludf.DUMMYFUNCTION("""COMPUTED_VALUE"""),191.35)</f>
        <v>191.35</v>
      </c>
      <c r="C760" s="1">
        <f ca="1">IFERROR(__xludf.DUMMYFUNCTION("""COMPUTED_VALUE"""),192.49)</f>
        <v>192.49</v>
      </c>
      <c r="D760" s="1">
        <f ca="1">IFERROR(__xludf.DUMMYFUNCTION("""COMPUTED_VALUE"""),188.66)</f>
        <v>188.66</v>
      </c>
      <c r="E760" s="1">
        <f ca="1">IFERROR(__xludf.DUMMYFUNCTION("""COMPUTED_VALUE"""),192.29)</f>
        <v>192.29</v>
      </c>
      <c r="F760" s="1">
        <f ca="1">IFERROR(__xludf.DUMMYFUNCTION("""COMPUTED_VALUE"""),13169060)</f>
        <v>13169060</v>
      </c>
    </row>
    <row r="761" spans="1:6" ht="12.6">
      <c r="A761" s="2">
        <f ca="1">IFERROR(__xludf.DUMMYFUNCTION("""COMPUTED_VALUE"""),45671.6666666666)</f>
        <v>45671.666666666599</v>
      </c>
      <c r="B761" s="1">
        <f ca="1">IFERROR(__xludf.DUMMYFUNCTION("""COMPUTED_VALUE"""),192.5)</f>
        <v>192.5</v>
      </c>
      <c r="C761" s="1">
        <f ca="1">IFERROR(__xludf.DUMMYFUNCTION("""COMPUTED_VALUE"""),193.27)</f>
        <v>193.27</v>
      </c>
      <c r="D761" s="1">
        <f ca="1">IFERROR(__xludf.DUMMYFUNCTION("""COMPUTED_VALUE"""),189.64)</f>
        <v>189.64</v>
      </c>
      <c r="E761" s="1">
        <f ca="1">IFERROR(__xludf.DUMMYFUNCTION("""COMPUTED_VALUE"""),191.05)</f>
        <v>191.05</v>
      </c>
      <c r="F761" s="1">
        <f ca="1">IFERROR(__xludf.DUMMYFUNCTION("""COMPUTED_VALUE"""),13651183)</f>
        <v>13651183</v>
      </c>
    </row>
    <row r="762" spans="1:6" ht="12.6">
      <c r="A762" s="2">
        <f ca="1">IFERROR(__xludf.DUMMYFUNCTION("""COMPUTED_VALUE"""),45672.6666666666)</f>
        <v>45672.666666666599</v>
      </c>
      <c r="B762" s="1">
        <f ca="1">IFERROR(__xludf.DUMMYFUNCTION("""COMPUTED_VALUE"""),194.35)</f>
        <v>194.35</v>
      </c>
      <c r="C762" s="1">
        <f ca="1">IFERROR(__xludf.DUMMYFUNCTION("""COMPUTED_VALUE"""),197.8)</f>
        <v>197.8</v>
      </c>
      <c r="D762" s="1">
        <f ca="1">IFERROR(__xludf.DUMMYFUNCTION("""COMPUTED_VALUE"""),193.33)</f>
        <v>193.33</v>
      </c>
      <c r="E762" s="1">
        <f ca="1">IFERROR(__xludf.DUMMYFUNCTION("""COMPUTED_VALUE"""),196.98)</f>
        <v>196.98</v>
      </c>
      <c r="F762" s="1">
        <f ca="1">IFERROR(__xludf.DUMMYFUNCTION("""COMPUTED_VALUE"""),12894875)</f>
        <v>12894875</v>
      </c>
    </row>
    <row r="763" spans="1:6" ht="12.6">
      <c r="A763" s="2">
        <f ca="1">IFERROR(__xludf.DUMMYFUNCTION("""COMPUTED_VALUE"""),45673.6666666666)</f>
        <v>45673.666666666599</v>
      </c>
      <c r="B763" s="1">
        <f ca="1">IFERROR(__xludf.DUMMYFUNCTION("""COMPUTED_VALUE"""),195.83)</f>
        <v>195.83</v>
      </c>
      <c r="C763" s="1">
        <f ca="1">IFERROR(__xludf.DUMMYFUNCTION("""COMPUTED_VALUE"""),196.98)</f>
        <v>196.98</v>
      </c>
      <c r="D763" s="1">
        <f ca="1">IFERROR(__xludf.DUMMYFUNCTION("""COMPUTED_VALUE"""),194.3)</f>
        <v>194.3</v>
      </c>
      <c r="E763" s="1">
        <f ca="1">IFERROR(__xludf.DUMMYFUNCTION("""COMPUTED_VALUE"""),194.41)</f>
        <v>194.41</v>
      </c>
      <c r="F763" s="1">
        <f ca="1">IFERROR(__xludf.DUMMYFUNCTION("""COMPUTED_VALUE"""),13449581)</f>
        <v>13449581</v>
      </c>
    </row>
    <row r="764" spans="1:6" ht="12.6">
      <c r="A764" s="2">
        <f ca="1">IFERROR(__xludf.DUMMYFUNCTION("""COMPUTED_VALUE"""),45674.6666666666)</f>
        <v>45674.666666666599</v>
      </c>
      <c r="B764" s="1">
        <f ca="1">IFERROR(__xludf.DUMMYFUNCTION("""COMPUTED_VALUE"""),198.05)</f>
        <v>198.05</v>
      </c>
      <c r="C764" s="1">
        <f ca="1">IFERROR(__xludf.DUMMYFUNCTION("""COMPUTED_VALUE"""),198.81)</f>
        <v>198.81</v>
      </c>
      <c r="D764" s="1">
        <f ca="1">IFERROR(__xludf.DUMMYFUNCTION("""COMPUTED_VALUE"""),195.31)</f>
        <v>195.31</v>
      </c>
      <c r="E764" s="1">
        <f ca="1">IFERROR(__xludf.DUMMYFUNCTION("""COMPUTED_VALUE"""),197.55)</f>
        <v>197.55</v>
      </c>
      <c r="F764" s="1">
        <f ca="1">IFERROR(__xludf.DUMMYFUNCTION("""COMPUTED_VALUE"""),22109129)</f>
        <v>22109129</v>
      </c>
    </row>
    <row r="765" spans="1:6" ht="12.6">
      <c r="A765" s="2">
        <f ca="1">IFERROR(__xludf.DUMMYFUNCTION("""COMPUTED_VALUE"""),45678.6666666666)</f>
        <v>45678.666666666599</v>
      </c>
      <c r="B765" s="1">
        <f ca="1">IFERROR(__xludf.DUMMYFUNCTION("""COMPUTED_VALUE"""),200.51)</f>
        <v>200.51</v>
      </c>
      <c r="C765" s="1">
        <f ca="1">IFERROR(__xludf.DUMMYFUNCTION("""COMPUTED_VALUE"""),203.84)</f>
        <v>203.84</v>
      </c>
      <c r="D765" s="1">
        <f ca="1">IFERROR(__xludf.DUMMYFUNCTION("""COMPUTED_VALUE"""),199.44)</f>
        <v>199.44</v>
      </c>
      <c r="E765" s="1">
        <f ca="1">IFERROR(__xludf.DUMMYFUNCTION("""COMPUTED_VALUE"""),199.63)</f>
        <v>199.63</v>
      </c>
      <c r="F765" s="1">
        <f ca="1">IFERROR(__xludf.DUMMYFUNCTION("""COMPUTED_VALUE"""),19005232)</f>
        <v>19005232</v>
      </c>
    </row>
    <row r="766" spans="1:6" ht="12.6">
      <c r="A766" s="2">
        <f ca="1">IFERROR(__xludf.DUMMYFUNCTION("""COMPUTED_VALUE"""),45679.6666666666)</f>
        <v>45679.666666666599</v>
      </c>
      <c r="B766" s="1">
        <f ca="1">IFERROR(__xludf.DUMMYFUNCTION("""COMPUTED_VALUE"""),200.55)</f>
        <v>200.55</v>
      </c>
      <c r="C766" s="1">
        <f ca="1">IFERROR(__xludf.DUMMYFUNCTION("""COMPUTED_VALUE"""),202.12)</f>
        <v>202.12</v>
      </c>
      <c r="D766" s="1">
        <f ca="1">IFERROR(__xludf.DUMMYFUNCTION("""COMPUTED_VALUE"""),199.2)</f>
        <v>199.2</v>
      </c>
      <c r="E766" s="1">
        <f ca="1">IFERROR(__xludf.DUMMYFUNCTION("""COMPUTED_VALUE"""),200.03)</f>
        <v>200.03</v>
      </c>
      <c r="F766" s="1">
        <f ca="1">IFERROR(__xludf.DUMMYFUNCTION("""COMPUTED_VALUE"""),15477376)</f>
        <v>15477376</v>
      </c>
    </row>
    <row r="767" spans="1:6" ht="12.6">
      <c r="A767" s="2">
        <f ca="1">IFERROR(__xludf.DUMMYFUNCTION("""COMPUTED_VALUE"""),45680.6666666666)</f>
        <v>45680.666666666599</v>
      </c>
      <c r="B767" s="1">
        <f ca="1">IFERROR(__xludf.DUMMYFUNCTION("""COMPUTED_VALUE"""),199.98)</f>
        <v>199.98</v>
      </c>
      <c r="C767" s="1">
        <f ca="1">IFERROR(__xludf.DUMMYFUNCTION("""COMPUTED_VALUE"""),201.94)</f>
        <v>201.94</v>
      </c>
      <c r="D767" s="1">
        <f ca="1">IFERROR(__xludf.DUMMYFUNCTION("""COMPUTED_VALUE"""),196.82)</f>
        <v>196.82</v>
      </c>
      <c r="E767" s="1">
        <f ca="1">IFERROR(__xludf.DUMMYFUNCTION("""COMPUTED_VALUE"""),199.58)</f>
        <v>199.58</v>
      </c>
      <c r="F767" s="1">
        <f ca="1">IFERROR(__xludf.DUMMYFUNCTION("""COMPUTED_VALUE"""),15170838)</f>
        <v>15170838</v>
      </c>
    </row>
    <row r="768" spans="1:6" ht="12.6">
      <c r="A768" s="2">
        <f ca="1">IFERROR(__xludf.DUMMYFUNCTION("""COMPUTED_VALUE"""),45681.6666666666)</f>
        <v>45681.666666666599</v>
      </c>
      <c r="B768" s="1">
        <f ca="1">IFERROR(__xludf.DUMMYFUNCTION("""COMPUTED_VALUE"""),199.85)</f>
        <v>199.85</v>
      </c>
      <c r="C768" s="1">
        <f ca="1">IFERROR(__xludf.DUMMYFUNCTION("""COMPUTED_VALUE"""),202.57)</f>
        <v>202.57</v>
      </c>
      <c r="D768" s="1">
        <f ca="1">IFERROR(__xludf.DUMMYFUNCTION("""COMPUTED_VALUE"""),199.78)</f>
        <v>199.78</v>
      </c>
      <c r="E768" s="1">
        <f ca="1">IFERROR(__xludf.DUMMYFUNCTION("""COMPUTED_VALUE"""),201.9)</f>
        <v>201.9</v>
      </c>
      <c r="F768" s="1">
        <f ca="1">IFERROR(__xludf.DUMMYFUNCTION("""COMPUTED_VALUE"""),12732376)</f>
        <v>12732376</v>
      </c>
    </row>
    <row r="769" spans="1:6" ht="12.6">
      <c r="A769" s="2">
        <f ca="1">IFERROR(__xludf.DUMMYFUNCTION("""COMPUTED_VALUE"""),45684.6666666666)</f>
        <v>45684.666666666599</v>
      </c>
      <c r="B769" s="1">
        <f ca="1">IFERROR(__xludf.DUMMYFUNCTION("""COMPUTED_VALUE"""),194.19)</f>
        <v>194.19</v>
      </c>
      <c r="C769" s="1">
        <f ca="1">IFERROR(__xludf.DUMMYFUNCTION("""COMPUTED_VALUE"""),198.67)</f>
        <v>198.67</v>
      </c>
      <c r="D769" s="1">
        <f ca="1">IFERROR(__xludf.DUMMYFUNCTION("""COMPUTED_VALUE"""),192.7)</f>
        <v>192.7</v>
      </c>
      <c r="E769" s="1">
        <f ca="1">IFERROR(__xludf.DUMMYFUNCTION("""COMPUTED_VALUE"""),193.77)</f>
        <v>193.77</v>
      </c>
      <c r="F769" s="1">
        <f ca="1">IFERROR(__xludf.DUMMYFUNCTION("""COMPUTED_VALUE"""),24970173)</f>
        <v>24970173</v>
      </c>
    </row>
    <row r="770" spans="1:6" ht="12.6">
      <c r="A770" s="2">
        <f ca="1">IFERROR(__xludf.DUMMYFUNCTION("""COMPUTED_VALUE"""),45685.6666666666)</f>
        <v>45685.666666666599</v>
      </c>
      <c r="B770" s="1">
        <f ca="1">IFERROR(__xludf.DUMMYFUNCTION("""COMPUTED_VALUE"""),194.65)</f>
        <v>194.65</v>
      </c>
      <c r="C770" s="1">
        <f ca="1">IFERROR(__xludf.DUMMYFUNCTION("""COMPUTED_VALUE"""),197.23)</f>
        <v>197.23</v>
      </c>
      <c r="D770" s="1">
        <f ca="1">IFERROR(__xludf.DUMMYFUNCTION("""COMPUTED_VALUE"""),192.61)</f>
        <v>192.61</v>
      </c>
      <c r="E770" s="1">
        <f ca="1">IFERROR(__xludf.DUMMYFUNCTION("""COMPUTED_VALUE"""),197.07)</f>
        <v>197.07</v>
      </c>
      <c r="F770" s="1">
        <f ca="1">IFERROR(__xludf.DUMMYFUNCTION("""COMPUTED_VALUE"""),15939161)</f>
        <v>15939161</v>
      </c>
    </row>
    <row r="771" spans="1:6" ht="12.6">
      <c r="A771" s="2">
        <f ca="1">IFERROR(__xludf.DUMMYFUNCTION("""COMPUTED_VALUE"""),45686.6666666666)</f>
        <v>45686.666666666599</v>
      </c>
      <c r="B771" s="1">
        <f ca="1">IFERROR(__xludf.DUMMYFUNCTION("""COMPUTED_VALUE"""),197.37)</f>
        <v>197.37</v>
      </c>
      <c r="C771" s="1">
        <f ca="1">IFERROR(__xludf.DUMMYFUNCTION("""COMPUTED_VALUE"""),198.46)</f>
        <v>198.46</v>
      </c>
      <c r="D771" s="1">
        <f ca="1">IFERROR(__xludf.DUMMYFUNCTION("""COMPUTED_VALUE"""),195.19)</f>
        <v>195.19</v>
      </c>
      <c r="E771" s="1">
        <f ca="1">IFERROR(__xludf.DUMMYFUNCTION("""COMPUTED_VALUE"""),197.18)</f>
        <v>197.18</v>
      </c>
      <c r="F771" s="1">
        <f ca="1">IFERROR(__xludf.DUMMYFUNCTION("""COMPUTED_VALUE"""),12287818)</f>
        <v>12287818</v>
      </c>
    </row>
    <row r="772" spans="1:6" ht="12.6">
      <c r="A772" s="2">
        <f ca="1">IFERROR(__xludf.DUMMYFUNCTION("""COMPUTED_VALUE"""),45687.6666666666)</f>
        <v>45687.666666666599</v>
      </c>
      <c r="B772" s="1">
        <f ca="1">IFERROR(__xludf.DUMMYFUNCTION("""COMPUTED_VALUE"""),199.76)</f>
        <v>199.76</v>
      </c>
      <c r="C772" s="1">
        <f ca="1">IFERROR(__xludf.DUMMYFUNCTION("""COMPUTED_VALUE"""),203.24)</f>
        <v>203.24</v>
      </c>
      <c r="D772" s="1">
        <f ca="1">IFERROR(__xludf.DUMMYFUNCTION("""COMPUTED_VALUE"""),199.47)</f>
        <v>199.47</v>
      </c>
      <c r="E772" s="1">
        <f ca="1">IFERROR(__xludf.DUMMYFUNCTION("""COMPUTED_VALUE"""),202.63)</f>
        <v>202.63</v>
      </c>
      <c r="F772" s="1">
        <f ca="1">IFERROR(__xludf.DUMMYFUNCTION("""COMPUTED_VALUE"""),14571479)</f>
        <v>14571479</v>
      </c>
    </row>
    <row r="773" spans="1:6" ht="12.6">
      <c r="A773" s="2">
        <f ca="1">IFERROR(__xludf.DUMMYFUNCTION("""COMPUTED_VALUE"""),45688.6666666666)</f>
        <v>45688.666666666599</v>
      </c>
      <c r="B773" s="1">
        <f ca="1">IFERROR(__xludf.DUMMYFUNCTION("""COMPUTED_VALUE"""),203.72)</f>
        <v>203.72</v>
      </c>
      <c r="C773" s="1">
        <f ca="1">IFERROR(__xludf.DUMMYFUNCTION("""COMPUTED_VALUE"""),207.08)</f>
        <v>207.08</v>
      </c>
      <c r="D773" s="1">
        <f ca="1">IFERROR(__xludf.DUMMYFUNCTION("""COMPUTED_VALUE"""),203.58)</f>
        <v>203.58</v>
      </c>
      <c r="E773" s="1">
        <f ca="1">IFERROR(__xludf.DUMMYFUNCTION("""COMPUTED_VALUE"""),205.6)</f>
        <v>205.6</v>
      </c>
      <c r="F773" s="1">
        <f ca="1">IFERROR(__xludf.DUMMYFUNCTION("""COMPUTED_VALUE"""),17087335)</f>
        <v>17087335</v>
      </c>
    </row>
    <row r="774" spans="1:6" ht="12.6">
      <c r="A774" s="2">
        <f ca="1">IFERROR(__xludf.DUMMYFUNCTION("""COMPUTED_VALUE"""),45691.6666666666)</f>
        <v>45691.666666666599</v>
      </c>
      <c r="B774" s="1">
        <f ca="1">IFERROR(__xludf.DUMMYFUNCTION("""COMPUTED_VALUE"""),202.22)</f>
        <v>202.22</v>
      </c>
      <c r="C774" s="1">
        <f ca="1">IFERROR(__xludf.DUMMYFUNCTION("""COMPUTED_VALUE"""),205.22)</f>
        <v>205.22</v>
      </c>
      <c r="D774" s="1">
        <f ca="1">IFERROR(__xludf.DUMMYFUNCTION("""COMPUTED_VALUE"""),201.66)</f>
        <v>201.66</v>
      </c>
      <c r="E774" s="1">
        <f ca="1">IFERROR(__xludf.DUMMYFUNCTION("""COMPUTED_VALUE"""),202.64)</f>
        <v>202.64</v>
      </c>
      <c r="F774" s="1">
        <f ca="1">IFERROR(__xludf.DUMMYFUNCTION("""COMPUTED_VALUE"""),16719469)</f>
        <v>16719469</v>
      </c>
    </row>
    <row r="775" spans="1:6" ht="12.6">
      <c r="A775" s="2">
        <f ca="1">IFERROR(__xludf.DUMMYFUNCTION("""COMPUTED_VALUE"""),45692.6666666666)</f>
        <v>45692.666666666599</v>
      </c>
      <c r="B775" s="1">
        <f ca="1">IFERROR(__xludf.DUMMYFUNCTION("""COMPUTED_VALUE"""),204.5)</f>
        <v>204.5</v>
      </c>
      <c r="C775" s="1">
        <f ca="1">IFERROR(__xludf.DUMMYFUNCTION("""COMPUTED_VALUE"""),208.7)</f>
        <v>208.7</v>
      </c>
      <c r="D775" s="1">
        <f ca="1">IFERROR(__xludf.DUMMYFUNCTION("""COMPUTED_VALUE"""),204.26)</f>
        <v>204.26</v>
      </c>
      <c r="E775" s="1">
        <f ca="1">IFERROR(__xludf.DUMMYFUNCTION("""COMPUTED_VALUE"""),207.71)</f>
        <v>207.71</v>
      </c>
      <c r="F775" s="1">
        <f ca="1">IFERROR(__xludf.DUMMYFUNCTION("""COMPUTED_VALUE"""),28285436)</f>
        <v>28285436</v>
      </c>
    </row>
    <row r="776" spans="1:6" ht="12.6">
      <c r="A776" s="2">
        <f ca="1">IFERROR(__xludf.DUMMYFUNCTION("""COMPUTED_VALUE"""),45693.6666666666)</f>
        <v>45693.666666666599</v>
      </c>
      <c r="B776" s="1">
        <f ca="1">IFERROR(__xludf.DUMMYFUNCTION("""COMPUTED_VALUE"""),193.1)</f>
        <v>193.1</v>
      </c>
      <c r="C776" s="1">
        <f ca="1">IFERROR(__xludf.DUMMYFUNCTION("""COMPUTED_VALUE"""),194.55)</f>
        <v>194.55</v>
      </c>
      <c r="D776" s="1">
        <f ca="1">IFERROR(__xludf.DUMMYFUNCTION("""COMPUTED_VALUE"""),189.91)</f>
        <v>189.91</v>
      </c>
      <c r="E776" s="1">
        <f ca="1">IFERROR(__xludf.DUMMYFUNCTION("""COMPUTED_VALUE"""),193.3)</f>
        <v>193.3</v>
      </c>
      <c r="F776" s="1">
        <f ca="1">IFERROR(__xludf.DUMMYFUNCTION("""COMPUTED_VALUE"""),43719589)</f>
        <v>43719589</v>
      </c>
    </row>
    <row r="777" spans="1:6" ht="12.6">
      <c r="A777" s="2">
        <f ca="1">IFERROR(__xludf.DUMMYFUNCTION("""COMPUTED_VALUE"""),45694.6666666666)</f>
        <v>45694.666666666599</v>
      </c>
      <c r="B777" s="1">
        <f ca="1">IFERROR(__xludf.DUMMYFUNCTION("""COMPUTED_VALUE"""),190.99)</f>
        <v>190.99</v>
      </c>
      <c r="C777" s="1">
        <f ca="1">IFERROR(__xludf.DUMMYFUNCTION("""COMPUTED_VALUE"""),193.83)</f>
        <v>193.83</v>
      </c>
      <c r="D777" s="1">
        <f ca="1">IFERROR(__xludf.DUMMYFUNCTION("""COMPUTED_VALUE"""),190.49)</f>
        <v>190.49</v>
      </c>
      <c r="E777" s="1">
        <f ca="1">IFERROR(__xludf.DUMMYFUNCTION("""COMPUTED_VALUE"""),193.31)</f>
        <v>193.31</v>
      </c>
      <c r="F777" s="1">
        <f ca="1">IFERROR(__xludf.DUMMYFUNCTION("""COMPUTED_VALUE"""),20816593)</f>
        <v>20816593</v>
      </c>
    </row>
    <row r="778" spans="1:6" ht="12.6">
      <c r="A778" s="2">
        <f ca="1">IFERROR(__xludf.DUMMYFUNCTION("""COMPUTED_VALUE"""),45695.6666666666)</f>
        <v>45695.666666666599</v>
      </c>
      <c r="B778" s="1">
        <f ca="1">IFERROR(__xludf.DUMMYFUNCTION("""COMPUTED_VALUE"""),192.74)</f>
        <v>192.74</v>
      </c>
      <c r="C778" s="1">
        <f ca="1">IFERROR(__xludf.DUMMYFUNCTION("""COMPUTED_VALUE"""),193.02)</f>
        <v>193.02</v>
      </c>
      <c r="D778" s="1">
        <f ca="1">IFERROR(__xludf.DUMMYFUNCTION("""COMPUTED_VALUE"""),185.1)</f>
        <v>185.1</v>
      </c>
      <c r="E778" s="1">
        <f ca="1">IFERROR(__xludf.DUMMYFUNCTION("""COMPUTED_VALUE"""),187.14)</f>
        <v>187.14</v>
      </c>
      <c r="F778" s="1">
        <f ca="1">IFERROR(__xludf.DUMMYFUNCTION("""COMPUTED_VALUE"""),29565724)</f>
        <v>29565724</v>
      </c>
    </row>
    <row r="779" spans="1:6" ht="12.6">
      <c r="A779" s="2">
        <f ca="1">IFERROR(__xludf.DUMMYFUNCTION("""COMPUTED_VALUE"""),45698.6666666666)</f>
        <v>45698.666666666599</v>
      </c>
      <c r="B779" s="1">
        <f ca="1">IFERROR(__xludf.DUMMYFUNCTION("""COMPUTED_VALUE"""),189.06)</f>
        <v>189.06</v>
      </c>
      <c r="C779" s="1">
        <f ca="1">IFERROR(__xludf.DUMMYFUNCTION("""COMPUTED_VALUE"""),189.99)</f>
        <v>189.99</v>
      </c>
      <c r="D779" s="1">
        <f ca="1">IFERROR(__xludf.DUMMYFUNCTION("""COMPUTED_VALUE"""),187.61)</f>
        <v>187.61</v>
      </c>
      <c r="E779" s="1">
        <f ca="1">IFERROR(__xludf.DUMMYFUNCTION("""COMPUTED_VALUE"""),188.2)</f>
        <v>188.2</v>
      </c>
      <c r="F779" s="1">
        <f ca="1">IFERROR(__xludf.DUMMYFUNCTION("""COMPUTED_VALUE"""),16606020)</f>
        <v>16606020</v>
      </c>
    </row>
    <row r="780" spans="1:6" ht="12.6">
      <c r="A780" s="2">
        <f ca="1">IFERROR(__xludf.DUMMYFUNCTION("""COMPUTED_VALUE"""),45699.6666666666)</f>
        <v>45699.666666666599</v>
      </c>
      <c r="B780" s="1">
        <f ca="1">IFERROR(__xludf.DUMMYFUNCTION("""COMPUTED_VALUE"""),186.84)</f>
        <v>186.84</v>
      </c>
      <c r="C780" s="1">
        <f ca="1">IFERROR(__xludf.DUMMYFUNCTION("""COMPUTED_VALUE"""),188.8)</f>
        <v>188.8</v>
      </c>
      <c r="D780" s="1">
        <f ca="1">IFERROR(__xludf.DUMMYFUNCTION("""COMPUTED_VALUE"""),186.08)</f>
        <v>186.08</v>
      </c>
      <c r="E780" s="1">
        <f ca="1">IFERROR(__xludf.DUMMYFUNCTION("""COMPUTED_VALUE"""),187.07)</f>
        <v>187.07</v>
      </c>
      <c r="F780" s="1">
        <f ca="1">IFERROR(__xludf.DUMMYFUNCTION("""COMPUTED_VALUE"""),13028100)</f>
        <v>13028100</v>
      </c>
    </row>
    <row r="781" spans="1:6" ht="12.6">
      <c r="A781" s="2">
        <f ca="1">IFERROR(__xludf.DUMMYFUNCTION("""COMPUTED_VALUE"""),45700.6666666666)</f>
        <v>45700.666666666599</v>
      </c>
      <c r="B781" s="1">
        <f ca="1">IFERROR(__xludf.DUMMYFUNCTION("""COMPUTED_VALUE"""),185.23)</f>
        <v>185.23</v>
      </c>
      <c r="C781" s="1">
        <f ca="1">IFERROR(__xludf.DUMMYFUNCTION("""COMPUTED_VALUE"""),186.83)</f>
        <v>186.83</v>
      </c>
      <c r="D781" s="1">
        <f ca="1">IFERROR(__xludf.DUMMYFUNCTION("""COMPUTED_VALUE"""),183.63)</f>
        <v>183.63</v>
      </c>
      <c r="E781" s="1">
        <f ca="1">IFERROR(__xludf.DUMMYFUNCTION("""COMPUTED_VALUE"""),185.43)</f>
        <v>185.43</v>
      </c>
      <c r="F781" s="1">
        <f ca="1">IFERROR(__xludf.DUMMYFUNCTION("""COMPUTED_VALUE"""),17632314)</f>
        <v>17632314</v>
      </c>
    </row>
    <row r="782" spans="1:6" ht="12.6">
      <c r="A782" s="2">
        <f ca="1">IFERROR(__xludf.DUMMYFUNCTION("""COMPUTED_VALUE"""),45701.6666666666)</f>
        <v>45701.666666666599</v>
      </c>
      <c r="B782" s="1">
        <f ca="1">IFERROR(__xludf.DUMMYFUNCTION("""COMPUTED_VALUE"""),185.93)</f>
        <v>185.93</v>
      </c>
      <c r="C782" s="1">
        <f ca="1">IFERROR(__xludf.DUMMYFUNCTION("""COMPUTED_VALUE"""),187.99)</f>
        <v>187.99</v>
      </c>
      <c r="D782" s="1">
        <f ca="1">IFERROR(__xludf.DUMMYFUNCTION("""COMPUTED_VALUE"""),184.88)</f>
        <v>184.88</v>
      </c>
      <c r="E782" s="1">
        <f ca="1">IFERROR(__xludf.DUMMYFUNCTION("""COMPUTED_VALUE"""),187.88)</f>
        <v>187.88</v>
      </c>
      <c r="F782" s="1">
        <f ca="1">IFERROR(__xludf.DUMMYFUNCTION("""COMPUTED_VALUE"""),12729334)</f>
        <v>12729334</v>
      </c>
    </row>
    <row r="783" spans="1:6" ht="12.6">
      <c r="A783" s="2">
        <f ca="1">IFERROR(__xludf.DUMMYFUNCTION("""COMPUTED_VALUE"""),45702.6666666666)</f>
        <v>45702.666666666599</v>
      </c>
      <c r="B783" s="1">
        <f ca="1">IFERROR(__xludf.DUMMYFUNCTION("""COMPUTED_VALUE"""),186.83)</f>
        <v>186.83</v>
      </c>
      <c r="C783" s="1">
        <f ca="1">IFERROR(__xludf.DUMMYFUNCTION("""COMPUTED_VALUE"""),188.15)</f>
        <v>188.15</v>
      </c>
      <c r="D783" s="1">
        <f ca="1">IFERROR(__xludf.DUMMYFUNCTION("""COMPUTED_VALUE"""),186.11)</f>
        <v>186.11</v>
      </c>
      <c r="E783" s="1">
        <f ca="1">IFERROR(__xludf.DUMMYFUNCTION("""COMPUTED_VALUE"""),186.87)</f>
        <v>186.87</v>
      </c>
      <c r="F783" s="1">
        <f ca="1">IFERROR(__xludf.DUMMYFUNCTION("""COMPUTED_VALUE"""),12714154)</f>
        <v>12714154</v>
      </c>
    </row>
    <row r="784" spans="1:6" ht="12.6">
      <c r="A784" s="2">
        <f ca="1">IFERROR(__xludf.DUMMYFUNCTION("""COMPUTED_VALUE"""),45706.6666666666)</f>
        <v>45706.666666666599</v>
      </c>
      <c r="B784" s="1">
        <f ca="1">IFERROR(__xludf.DUMMYFUNCTION("""COMPUTED_VALUE"""),187.44)</f>
        <v>187.44</v>
      </c>
      <c r="C784" s="1">
        <f ca="1">IFERROR(__xludf.DUMMYFUNCTION("""COMPUTED_VALUE"""),187.78)</f>
        <v>187.78</v>
      </c>
      <c r="D784" s="1">
        <f ca="1">IFERROR(__xludf.DUMMYFUNCTION("""COMPUTED_VALUE"""),183.58)</f>
        <v>183.58</v>
      </c>
      <c r="E784" s="1">
        <f ca="1">IFERROR(__xludf.DUMMYFUNCTION("""COMPUTED_VALUE"""),185.8)</f>
        <v>185.8</v>
      </c>
      <c r="F784" s="1">
        <f ca="1">IFERROR(__xludf.DUMMYFUNCTION("""COMPUTED_VALUE"""),19796028)</f>
        <v>19796028</v>
      </c>
    </row>
    <row r="785" spans="1:6" ht="12.6">
      <c r="A785" s="2">
        <f ca="1">IFERROR(__xludf.DUMMYFUNCTION("""COMPUTED_VALUE"""),45707.6666666666)</f>
        <v>45707.666666666599</v>
      </c>
      <c r="B785" s="1">
        <f ca="1">IFERROR(__xludf.DUMMYFUNCTION("""COMPUTED_VALUE"""),186.19)</f>
        <v>186.19</v>
      </c>
      <c r="C785" s="1">
        <f ca="1">IFERROR(__xludf.DUMMYFUNCTION("""COMPUTED_VALUE"""),187.36)</f>
        <v>187.36</v>
      </c>
      <c r="D785" s="1">
        <f ca="1">IFERROR(__xludf.DUMMYFUNCTION("""COMPUTED_VALUE"""),185.5)</f>
        <v>185.5</v>
      </c>
      <c r="E785" s="1">
        <f ca="1">IFERROR(__xludf.DUMMYFUNCTION("""COMPUTED_VALUE"""),187.13)</f>
        <v>187.13</v>
      </c>
      <c r="F785" s="1">
        <f ca="1">IFERROR(__xludf.DUMMYFUNCTION("""COMPUTED_VALUE"""),13120465)</f>
        <v>13120465</v>
      </c>
    </row>
    <row r="786" spans="1:6" ht="12.6">
      <c r="A786" s="2">
        <f ca="1">IFERROR(__xludf.DUMMYFUNCTION("""COMPUTED_VALUE"""),45708.6666666666)</f>
        <v>45708.666666666599</v>
      </c>
      <c r="B786" s="1">
        <f ca="1">IFERROR(__xludf.DUMMYFUNCTION("""COMPUTED_VALUE"""),186.5)</f>
        <v>186.5</v>
      </c>
      <c r="C786" s="1">
        <f ca="1">IFERROR(__xludf.DUMMYFUNCTION("""COMPUTED_VALUE"""),187.12)</f>
        <v>187.12</v>
      </c>
      <c r="D786" s="1">
        <f ca="1">IFERROR(__xludf.DUMMYFUNCTION("""COMPUTED_VALUE"""),184.6)</f>
        <v>184.6</v>
      </c>
      <c r="E786" s="1">
        <f ca="1">IFERROR(__xludf.DUMMYFUNCTION("""COMPUTED_VALUE"""),186.64)</f>
        <v>186.64</v>
      </c>
      <c r="F786" s="1">
        <f ca="1">IFERROR(__xludf.DUMMYFUNCTION("""COMPUTED_VALUE"""),12063807)</f>
        <v>12063807</v>
      </c>
    </row>
    <row r="787" spans="1:6" ht="12.6">
      <c r="A787" s="2">
        <f ca="1">IFERROR(__xludf.DUMMYFUNCTION("""COMPUTED_VALUE"""),45709.6666666666)</f>
        <v>45709.666666666599</v>
      </c>
      <c r="B787" s="1">
        <f ca="1">IFERROR(__xludf.DUMMYFUNCTION("""COMPUTED_VALUE"""),187.29)</f>
        <v>187.29</v>
      </c>
      <c r="C787" s="1">
        <f ca="1">IFERROR(__xludf.DUMMYFUNCTION("""COMPUTED_VALUE"""),187.47)</f>
        <v>187.47</v>
      </c>
      <c r="D787" s="1">
        <f ca="1">IFERROR(__xludf.DUMMYFUNCTION("""COMPUTED_VALUE"""),181.13)</f>
        <v>181.13</v>
      </c>
      <c r="E787" s="1">
        <f ca="1">IFERROR(__xludf.DUMMYFUNCTION("""COMPUTED_VALUE"""),181.58)</f>
        <v>181.58</v>
      </c>
      <c r="F787" s="1">
        <f ca="1">IFERROR(__xludf.DUMMYFUNCTION("""COMPUTED_VALUE"""),19520782)</f>
        <v>19520782</v>
      </c>
    </row>
    <row r="788" spans="1:6" ht="12.6">
      <c r="A788" s="2">
        <f ca="1">IFERROR(__xludf.DUMMYFUNCTION("""COMPUTED_VALUE"""),45712.6666666666)</f>
        <v>45712.666666666599</v>
      </c>
      <c r="B788" s="1">
        <f ca="1">IFERROR(__xludf.DUMMYFUNCTION("""COMPUTED_VALUE"""),183.8)</f>
        <v>183.8</v>
      </c>
      <c r="C788" s="1">
        <f ca="1">IFERROR(__xludf.DUMMYFUNCTION("""COMPUTED_VALUE"""),185.09)</f>
        <v>185.09</v>
      </c>
      <c r="D788" s="1">
        <f ca="1">IFERROR(__xludf.DUMMYFUNCTION("""COMPUTED_VALUE"""),180.88)</f>
        <v>180.88</v>
      </c>
      <c r="E788" s="1">
        <f ca="1">IFERROR(__xludf.DUMMYFUNCTION("""COMPUTED_VALUE"""),181.19)</f>
        <v>181.19</v>
      </c>
      <c r="F788" s="1">
        <f ca="1">IFERROR(__xludf.DUMMYFUNCTION("""COMPUTED_VALUE"""),18734014)</f>
        <v>18734014</v>
      </c>
    </row>
    <row r="789" spans="1:6" ht="12.6">
      <c r="A789" s="2">
        <f ca="1">IFERROR(__xludf.DUMMYFUNCTION("""COMPUTED_VALUE"""),45713.6666666666)</f>
        <v>45713.666666666599</v>
      </c>
      <c r="B789" s="1">
        <f ca="1">IFERROR(__xludf.DUMMYFUNCTION("""COMPUTED_VALUE"""),180.16)</f>
        <v>180.16</v>
      </c>
      <c r="C789" s="1">
        <f ca="1">IFERROR(__xludf.DUMMYFUNCTION("""COMPUTED_VALUE"""),180.76)</f>
        <v>180.76</v>
      </c>
      <c r="D789" s="1">
        <f ca="1">IFERROR(__xludf.DUMMYFUNCTION("""COMPUTED_VALUE"""),176.77)</f>
        <v>176.77</v>
      </c>
      <c r="E789" s="1">
        <f ca="1">IFERROR(__xludf.DUMMYFUNCTION("""COMPUTED_VALUE"""),177.37)</f>
        <v>177.37</v>
      </c>
      <c r="F789" s="1">
        <f ca="1">IFERROR(__xludf.DUMMYFUNCTION("""COMPUTED_VALUE"""),20832485)</f>
        <v>20832485</v>
      </c>
    </row>
    <row r="790" spans="1:6" ht="12.6">
      <c r="A790" s="2">
        <f ca="1">IFERROR(__xludf.DUMMYFUNCTION("""COMPUTED_VALUE"""),45714.6666666666)</f>
        <v>45714.666666666599</v>
      </c>
      <c r="B790" s="1">
        <f ca="1">IFERROR(__xludf.DUMMYFUNCTION("""COMPUTED_VALUE"""),176.95)</f>
        <v>176.95</v>
      </c>
      <c r="C790" s="1">
        <f ca="1">IFERROR(__xludf.DUMMYFUNCTION("""COMPUTED_VALUE"""),178.08)</f>
        <v>178.08</v>
      </c>
      <c r="D790" s="1">
        <f ca="1">IFERROR(__xludf.DUMMYFUNCTION("""COMPUTED_VALUE"""),173.59)</f>
        <v>173.59</v>
      </c>
      <c r="E790" s="1">
        <f ca="1">IFERROR(__xludf.DUMMYFUNCTION("""COMPUTED_VALUE"""),174.7)</f>
        <v>174.7</v>
      </c>
      <c r="F790" s="1">
        <f ca="1">IFERROR(__xludf.DUMMYFUNCTION("""COMPUTED_VALUE"""),23693251)</f>
        <v>23693251</v>
      </c>
    </row>
    <row r="791" spans="1:6" ht="12.6">
      <c r="A791" s="2">
        <f ca="1">IFERROR(__xludf.DUMMYFUNCTION("""COMPUTED_VALUE"""),45715.6666666666)</f>
        <v>45715.666666666599</v>
      </c>
      <c r="B791" s="1">
        <f ca="1">IFERROR(__xludf.DUMMYFUNCTION("""COMPUTED_VALUE"""),175.94)</f>
        <v>175.94</v>
      </c>
      <c r="C791" s="1">
        <f ca="1">IFERROR(__xludf.DUMMYFUNCTION("""COMPUTED_VALUE"""),176.59)</f>
        <v>176.59</v>
      </c>
      <c r="D791" s="1">
        <f ca="1">IFERROR(__xludf.DUMMYFUNCTION("""COMPUTED_VALUE"""),169.75)</f>
        <v>169.75</v>
      </c>
      <c r="E791" s="1">
        <f ca="1">IFERROR(__xludf.DUMMYFUNCTION("""COMPUTED_VALUE"""),170.21)</f>
        <v>170.21</v>
      </c>
      <c r="F791" s="1">
        <f ca="1">IFERROR(__xludf.DUMMYFUNCTION("""COMPUTED_VALUE"""),25930530)</f>
        <v>25930530</v>
      </c>
    </row>
    <row r="792" spans="1:6" ht="12.6">
      <c r="A792" s="2">
        <f ca="1">IFERROR(__xludf.DUMMYFUNCTION("""COMPUTED_VALUE"""),45716.6666666666)</f>
        <v>45716.666666666599</v>
      </c>
      <c r="B792" s="1">
        <f ca="1">IFERROR(__xludf.DUMMYFUNCTION("""COMPUTED_VALUE"""),170.3)</f>
        <v>170.3</v>
      </c>
      <c r="C792" s="1">
        <f ca="1">IFERROR(__xludf.DUMMYFUNCTION("""COMPUTED_VALUE"""),172.5)</f>
        <v>172.5</v>
      </c>
      <c r="D792" s="1">
        <f ca="1">IFERROR(__xludf.DUMMYFUNCTION("""COMPUTED_VALUE"""),168.39)</f>
        <v>168.39</v>
      </c>
      <c r="E792" s="1">
        <f ca="1">IFERROR(__xludf.DUMMYFUNCTION("""COMPUTED_VALUE"""),172.22)</f>
        <v>172.22</v>
      </c>
      <c r="F792" s="1">
        <f ca="1">IFERROR(__xludf.DUMMYFUNCTION("""COMPUTED_VALUE"""),30049812)</f>
        <v>30049812</v>
      </c>
    </row>
    <row r="793" spans="1:6" ht="12.6">
      <c r="A793" s="2">
        <f ca="1">IFERROR(__xludf.DUMMYFUNCTION("""COMPUTED_VALUE"""),45719.6666666666)</f>
        <v>45719.666666666599</v>
      </c>
      <c r="B793" s="1">
        <f ca="1">IFERROR(__xludf.DUMMYFUNCTION("""COMPUTED_VALUE"""),173.73)</f>
        <v>173.73</v>
      </c>
      <c r="C793" s="1">
        <f ca="1">IFERROR(__xludf.DUMMYFUNCTION("""COMPUTED_VALUE"""),175)</f>
        <v>175</v>
      </c>
      <c r="D793" s="1">
        <f ca="1">IFERROR(__xludf.DUMMYFUNCTION("""COMPUTED_VALUE"""),167.64)</f>
        <v>167.64</v>
      </c>
      <c r="E793" s="1">
        <f ca="1">IFERROR(__xludf.DUMMYFUNCTION("""COMPUTED_VALUE"""),168.66)</f>
        <v>168.66</v>
      </c>
      <c r="F793" s="1">
        <f ca="1">IFERROR(__xludf.DUMMYFUNCTION("""COMPUTED_VALUE"""),24121991)</f>
        <v>24121991</v>
      </c>
    </row>
    <row r="794" spans="1:6" ht="12.6">
      <c r="A794" s="2">
        <f ca="1">IFERROR(__xludf.DUMMYFUNCTION("""COMPUTED_VALUE"""),45720.6666666666)</f>
        <v>45720.666666666599</v>
      </c>
      <c r="B794" s="1">
        <f ca="1">IFERROR(__xludf.DUMMYFUNCTION("""COMPUTED_VALUE"""),167.94)</f>
        <v>167.94</v>
      </c>
      <c r="C794" s="1">
        <f ca="1">IFERROR(__xludf.DUMMYFUNCTION("""COMPUTED_VALUE"""),175.17)</f>
        <v>175.17</v>
      </c>
      <c r="D794" s="1">
        <f ca="1">IFERROR(__xludf.DUMMYFUNCTION("""COMPUTED_VALUE"""),167.54)</f>
        <v>167.54</v>
      </c>
      <c r="E794" s="1">
        <f ca="1">IFERROR(__xludf.DUMMYFUNCTION("""COMPUTED_VALUE"""),172.61)</f>
        <v>172.61</v>
      </c>
      <c r="F794" s="1">
        <f ca="1">IFERROR(__xludf.DUMMYFUNCTION("""COMPUTED_VALUE"""),30711408)</f>
        <v>30711408</v>
      </c>
    </row>
    <row r="795" spans="1:6" ht="12.6">
      <c r="A795" s="2">
        <f ca="1">IFERROR(__xludf.DUMMYFUNCTION("""COMPUTED_VALUE"""),45721.6666666666)</f>
        <v>45721.666666666599</v>
      </c>
      <c r="B795" s="1">
        <f ca="1">IFERROR(__xludf.DUMMYFUNCTION("""COMPUTED_VALUE"""),172.32)</f>
        <v>172.32</v>
      </c>
      <c r="C795" s="1">
        <f ca="1">IFERROR(__xludf.DUMMYFUNCTION("""COMPUTED_VALUE"""),175.75)</f>
        <v>175.75</v>
      </c>
      <c r="D795" s="1">
        <f ca="1">IFERROR(__xludf.DUMMYFUNCTION("""COMPUTED_VALUE"""),170.93)</f>
        <v>170.93</v>
      </c>
      <c r="E795" s="1">
        <f ca="1">IFERROR(__xludf.DUMMYFUNCTION("""COMPUTED_VALUE"""),174.99)</f>
        <v>174.99</v>
      </c>
      <c r="F795" s="1">
        <f ca="1">IFERROR(__xludf.DUMMYFUNCTION("""COMPUTED_VALUE"""),18848036)</f>
        <v>18848036</v>
      </c>
    </row>
    <row r="796" spans="1:6" ht="12.6">
      <c r="A796" s="2">
        <f ca="1">IFERROR(__xludf.DUMMYFUNCTION("""COMPUTED_VALUE"""),45722.6666666666)</f>
        <v>45722.666666666599</v>
      </c>
      <c r="B796" s="1">
        <f ca="1">IFERROR(__xludf.DUMMYFUNCTION("""COMPUTED_VALUE"""),172.55)</f>
        <v>172.55</v>
      </c>
      <c r="C796" s="1">
        <f ca="1">IFERROR(__xludf.DUMMYFUNCTION("""COMPUTED_VALUE"""),176.73)</f>
        <v>176.73</v>
      </c>
      <c r="D796" s="1">
        <f ca="1">IFERROR(__xludf.DUMMYFUNCTION("""COMPUTED_VALUE"""),172.51)</f>
        <v>172.51</v>
      </c>
      <c r="E796" s="1">
        <f ca="1">IFERROR(__xludf.DUMMYFUNCTION("""COMPUTED_VALUE"""),174.21)</f>
        <v>174.21</v>
      </c>
      <c r="F796" s="1">
        <f ca="1">IFERROR(__xludf.DUMMYFUNCTION("""COMPUTED_VALUE"""),19082404)</f>
        <v>19082404</v>
      </c>
    </row>
    <row r="797" spans="1:6" ht="12.6">
      <c r="A797" s="2">
        <f ca="1">IFERROR(__xludf.DUMMYFUNCTION("""COMPUTED_VALUE"""),45723.6666666666)</f>
        <v>45723.666666666599</v>
      </c>
      <c r="B797" s="1">
        <f ca="1">IFERROR(__xludf.DUMMYFUNCTION("""COMPUTED_VALUE"""),173.24)</f>
        <v>173.24</v>
      </c>
      <c r="C797" s="1">
        <f ca="1">IFERROR(__xludf.DUMMYFUNCTION("""COMPUTED_VALUE"""),176.9)</f>
        <v>176.9</v>
      </c>
      <c r="D797" s="1">
        <f ca="1">IFERROR(__xludf.DUMMYFUNCTION("""COMPUTED_VALUE"""),172.25)</f>
        <v>172.25</v>
      </c>
      <c r="E797" s="1">
        <f ca="1">IFERROR(__xludf.DUMMYFUNCTION("""COMPUTED_VALUE"""),175.75)</f>
        <v>175.75</v>
      </c>
      <c r="F797" s="1">
        <f ca="1">IFERROR(__xludf.DUMMYFUNCTION("""COMPUTED_VALUE"""),16395287)</f>
        <v>16395287</v>
      </c>
    </row>
    <row r="798" spans="1:6" ht="12.6">
      <c r="A798" s="2">
        <f ca="1">IFERROR(__xludf.DUMMYFUNCTION("""COMPUTED_VALUE"""),45726.6666666666)</f>
        <v>45726.666666666599</v>
      </c>
      <c r="B798" s="1">
        <f ca="1">IFERROR(__xludf.DUMMYFUNCTION("""COMPUTED_VALUE"""),170.16)</f>
        <v>170.16</v>
      </c>
      <c r="C798" s="1">
        <f ca="1">IFERROR(__xludf.DUMMYFUNCTION("""COMPUTED_VALUE"""),170.45)</f>
        <v>170.45</v>
      </c>
      <c r="D798" s="1">
        <f ca="1">IFERROR(__xludf.DUMMYFUNCTION("""COMPUTED_VALUE"""),165.57)</f>
        <v>165.57</v>
      </c>
      <c r="E798" s="1">
        <f ca="1">IFERROR(__xludf.DUMMYFUNCTION("""COMPUTED_VALUE"""),167.81)</f>
        <v>167.81</v>
      </c>
      <c r="F798" s="1">
        <f ca="1">IFERROR(__xludf.DUMMYFUNCTION("""COMPUTED_VALUE"""),28990724)</f>
        <v>28990724</v>
      </c>
    </row>
    <row r="799" spans="1:6" ht="12.6">
      <c r="A799" s="2">
        <f ca="1">IFERROR(__xludf.DUMMYFUNCTION("""COMPUTED_VALUE"""),45727.6666666666)</f>
        <v>45727.666666666599</v>
      </c>
      <c r="B799" s="1">
        <f ca="1">IFERROR(__xludf.DUMMYFUNCTION("""COMPUTED_VALUE"""),166.68)</f>
        <v>166.68</v>
      </c>
      <c r="C799" s="1">
        <f ca="1">IFERROR(__xludf.DUMMYFUNCTION("""COMPUTED_VALUE"""),168.66)</f>
        <v>168.66</v>
      </c>
      <c r="D799" s="1">
        <f ca="1">IFERROR(__xludf.DUMMYFUNCTION("""COMPUTED_VALUE"""),163.24)</f>
        <v>163.24</v>
      </c>
      <c r="E799" s="1">
        <f ca="1">IFERROR(__xludf.DUMMYFUNCTION("""COMPUTED_VALUE"""),165.98)</f>
        <v>165.98</v>
      </c>
      <c r="F799" s="1">
        <f ca="1">IFERROR(__xludf.DUMMYFUNCTION("""COMPUTED_VALUE"""),23705899)</f>
        <v>23705899</v>
      </c>
    </row>
    <row r="800" spans="1:6" ht="12.6">
      <c r="A800" s="2">
        <f ca="1">IFERROR(__xludf.DUMMYFUNCTION("""COMPUTED_VALUE"""),45728.6666666666)</f>
        <v>45728.666666666599</v>
      </c>
      <c r="B800" s="1">
        <f ca="1">IFERROR(__xludf.DUMMYFUNCTION("""COMPUTED_VALUE"""),168.47)</f>
        <v>168.47</v>
      </c>
      <c r="C800" s="1">
        <f ca="1">IFERROR(__xludf.DUMMYFUNCTION("""COMPUTED_VALUE"""),169.53)</f>
        <v>169.53</v>
      </c>
      <c r="D800" s="1">
        <f ca="1">IFERROR(__xludf.DUMMYFUNCTION("""COMPUTED_VALUE"""),165.48)</f>
        <v>165.48</v>
      </c>
      <c r="E800" s="1">
        <f ca="1">IFERROR(__xludf.DUMMYFUNCTION("""COMPUTED_VALUE"""),169)</f>
        <v>169</v>
      </c>
      <c r="F800" s="1">
        <f ca="1">IFERROR(__xludf.DUMMYFUNCTION("""COMPUTED_VALUE"""),19880062)</f>
        <v>19880062</v>
      </c>
    </row>
    <row r="801" spans="1:6" ht="12.6">
      <c r="A801" s="2">
        <f ca="1">IFERROR(__xludf.DUMMYFUNCTION("""COMPUTED_VALUE"""),45729.6666666666)</f>
        <v>45729.666666666599</v>
      </c>
      <c r="B801" s="1">
        <f ca="1">IFERROR(__xludf.DUMMYFUNCTION("""COMPUTED_VALUE"""),167.98)</f>
        <v>167.98</v>
      </c>
      <c r="C801" s="1">
        <f ca="1">IFERROR(__xludf.DUMMYFUNCTION("""COMPUTED_VALUE"""),168.12)</f>
        <v>168.12</v>
      </c>
      <c r="D801" s="1">
        <f ca="1">IFERROR(__xludf.DUMMYFUNCTION("""COMPUTED_VALUE"""),164.07)</f>
        <v>164.07</v>
      </c>
      <c r="E801" s="1">
        <f ca="1">IFERROR(__xludf.DUMMYFUNCTION("""COMPUTED_VALUE"""),164.73)</f>
        <v>164.73</v>
      </c>
      <c r="F801" s="1">
        <f ca="1">IFERROR(__xludf.DUMMYFUNCTION("""COMPUTED_VALUE"""),15206165)</f>
        <v>15206165</v>
      </c>
    </row>
    <row r="802" spans="1:6" ht="12.6">
      <c r="A802" s="2">
        <f ca="1">IFERROR(__xludf.DUMMYFUNCTION("""COMPUTED_VALUE"""),45730.6666666666)</f>
        <v>45730.666666666599</v>
      </c>
      <c r="B802" s="1">
        <f ca="1">IFERROR(__xludf.DUMMYFUNCTION("""COMPUTED_VALUE"""),165.32)</f>
        <v>165.32</v>
      </c>
      <c r="C802" s="1">
        <f ca="1">IFERROR(__xludf.DUMMYFUNCTION("""COMPUTED_VALUE"""),168.25)</f>
        <v>168.25</v>
      </c>
      <c r="D802" s="1">
        <f ca="1">IFERROR(__xludf.DUMMYFUNCTION("""COMPUTED_VALUE"""),164.51)</f>
        <v>164.51</v>
      </c>
      <c r="E802" s="1">
        <f ca="1">IFERROR(__xludf.DUMMYFUNCTION("""COMPUTED_VALUE"""),167.62)</f>
        <v>167.62</v>
      </c>
      <c r="F802" s="1">
        <f ca="1">IFERROR(__xludf.DUMMYFUNCTION("""COMPUTED_VALUE"""),18611094)</f>
        <v>18611094</v>
      </c>
    </row>
    <row r="803" spans="1:6" ht="12.6">
      <c r="A803" s="2">
        <f ca="1">IFERROR(__xludf.DUMMYFUNCTION("""COMPUTED_VALUE"""),45733.6666666666)</f>
        <v>45733.666666666599</v>
      </c>
      <c r="B803" s="1">
        <f ca="1">IFERROR(__xludf.DUMMYFUNCTION("""COMPUTED_VALUE"""),167.33)</f>
        <v>167.33</v>
      </c>
      <c r="C803" s="1">
        <f ca="1">IFERROR(__xludf.DUMMYFUNCTION("""COMPUTED_VALUE"""),168.46)</f>
        <v>168.46</v>
      </c>
      <c r="D803" s="1">
        <f ca="1">IFERROR(__xludf.DUMMYFUNCTION("""COMPUTED_VALUE"""),165.81)</f>
        <v>165.81</v>
      </c>
      <c r="E803" s="1">
        <f ca="1">IFERROR(__xludf.DUMMYFUNCTION("""COMPUTED_VALUE"""),166.57)</f>
        <v>166.57</v>
      </c>
      <c r="F803" s="1">
        <f ca="1">IFERROR(__xludf.DUMMYFUNCTION("""COMPUTED_VALUE"""),17839139)</f>
        <v>17839139</v>
      </c>
    </row>
    <row r="804" spans="1:6" ht="12.6">
      <c r="A804" s="2">
        <f ca="1">IFERROR(__xludf.DUMMYFUNCTION("""COMPUTED_VALUE"""),45734.6666666666)</f>
        <v>45734.666666666599</v>
      </c>
      <c r="B804" s="1">
        <f ca="1">IFERROR(__xludf.DUMMYFUNCTION("""COMPUTED_VALUE"""),165.96)</f>
        <v>165.96</v>
      </c>
      <c r="C804" s="1">
        <f ca="1">IFERROR(__xludf.DUMMYFUNCTION("""COMPUTED_VALUE"""),166.44)</f>
        <v>166.44</v>
      </c>
      <c r="D804" s="1">
        <f ca="1">IFERROR(__xludf.DUMMYFUNCTION("""COMPUTED_VALUE"""),158.8)</f>
        <v>158.80000000000001</v>
      </c>
      <c r="E804" s="1">
        <f ca="1">IFERROR(__xludf.DUMMYFUNCTION("""COMPUTED_VALUE"""),162.67)</f>
        <v>162.66999999999999</v>
      </c>
      <c r="F804" s="1">
        <f ca="1">IFERROR(__xludf.DUMMYFUNCTION("""COMPUTED_VALUE"""),24616784)</f>
        <v>24616784</v>
      </c>
    </row>
    <row r="805" spans="1:6" ht="12.6">
      <c r="A805" s="2">
        <f ca="1">IFERROR(__xludf.DUMMYFUNCTION("""COMPUTED_VALUE"""),45735.6666666666)</f>
        <v>45735.666666666599</v>
      </c>
      <c r="B805" s="1">
        <f ca="1">IFERROR(__xludf.DUMMYFUNCTION("""COMPUTED_VALUE"""),163.92)</f>
        <v>163.92</v>
      </c>
      <c r="C805" s="1">
        <f ca="1">IFERROR(__xludf.DUMMYFUNCTION("""COMPUTED_VALUE"""),168.13)</f>
        <v>168.13</v>
      </c>
      <c r="D805" s="1">
        <f ca="1">IFERROR(__xludf.DUMMYFUNCTION("""COMPUTED_VALUE"""),163.05)</f>
        <v>163.05000000000001</v>
      </c>
      <c r="E805" s="1">
        <f ca="1">IFERROR(__xludf.DUMMYFUNCTION("""COMPUTED_VALUE"""),166.28)</f>
        <v>166.28</v>
      </c>
      <c r="F805" s="1">
        <f ca="1">IFERROR(__xludf.DUMMYFUNCTION("""COMPUTED_VALUE"""),24955717)</f>
        <v>24955717</v>
      </c>
    </row>
    <row r="806" spans="1:6" ht="12.6">
      <c r="A806" s="2">
        <f ca="1">IFERROR(__xludf.DUMMYFUNCTION("""COMPUTED_VALUE"""),45736.6666666666)</f>
        <v>45736.666666666599</v>
      </c>
      <c r="B806" s="1">
        <f ca="1">IFERROR(__xludf.DUMMYFUNCTION("""COMPUTED_VALUE"""),163.82)</f>
        <v>163.82</v>
      </c>
      <c r="C806" s="1">
        <f ca="1">IFERROR(__xludf.DUMMYFUNCTION("""COMPUTED_VALUE"""),167.03)</f>
        <v>167.03</v>
      </c>
      <c r="D806" s="1">
        <f ca="1">IFERROR(__xludf.DUMMYFUNCTION("""COMPUTED_VALUE"""),163.14)</f>
        <v>163.13999999999999</v>
      </c>
      <c r="E806" s="1">
        <f ca="1">IFERROR(__xludf.DUMMYFUNCTION("""COMPUTED_VALUE"""),165.05)</f>
        <v>165.05</v>
      </c>
      <c r="F806" s="1">
        <f ca="1">IFERROR(__xludf.DUMMYFUNCTION("""COMPUTED_VALUE"""),19981512)</f>
        <v>19981512</v>
      </c>
    </row>
    <row r="807" spans="1:6" ht="12.6">
      <c r="A807" s="2">
        <f ca="1">IFERROR(__xludf.DUMMYFUNCTION("""COMPUTED_VALUE"""),45737.6666666666)</f>
        <v>45737.666666666599</v>
      </c>
      <c r="B807" s="1">
        <f ca="1">IFERROR(__xludf.DUMMYFUNCTION("""COMPUTED_VALUE"""),163.38)</f>
        <v>163.38</v>
      </c>
      <c r="C807" s="1">
        <f ca="1">IFERROR(__xludf.DUMMYFUNCTION("""COMPUTED_VALUE"""),166.47)</f>
        <v>166.47</v>
      </c>
      <c r="D807" s="1">
        <f ca="1">IFERROR(__xludf.DUMMYFUNCTION("""COMPUTED_VALUE"""),163.03)</f>
        <v>163.03</v>
      </c>
      <c r="E807" s="1">
        <f ca="1">IFERROR(__xludf.DUMMYFUNCTION("""COMPUTED_VALUE"""),166.25)</f>
        <v>166.25</v>
      </c>
      <c r="F807" s="1">
        <f ca="1">IFERROR(__xludf.DUMMYFUNCTION("""COMPUTED_VALUE"""),29882064)</f>
        <v>29882064</v>
      </c>
    </row>
    <row r="808" spans="1:6" ht="12.6">
      <c r="A808" s="2">
        <f ca="1">IFERROR(__xludf.DUMMYFUNCTION("""COMPUTED_VALUE"""),45740.6666666666)</f>
        <v>45740.666666666599</v>
      </c>
      <c r="B808" s="1">
        <f ca="1">IFERROR(__xludf.DUMMYFUNCTION("""COMPUTED_VALUE"""),169.27)</f>
        <v>169.27</v>
      </c>
      <c r="C808" s="1">
        <f ca="1">IFERROR(__xludf.DUMMYFUNCTION("""COMPUTED_VALUE"""),170.5)</f>
        <v>170.5</v>
      </c>
      <c r="D808" s="1">
        <f ca="1">IFERROR(__xludf.DUMMYFUNCTION("""COMPUTED_VALUE"""),167.44)</f>
        <v>167.44</v>
      </c>
      <c r="E808" s="1">
        <f ca="1">IFERROR(__xludf.DUMMYFUNCTION("""COMPUTED_VALUE"""),169.93)</f>
        <v>169.93</v>
      </c>
      <c r="F808" s="1">
        <f ca="1">IFERROR(__xludf.DUMMYFUNCTION("""COMPUTED_VALUE"""),18742848)</f>
        <v>18742848</v>
      </c>
    </row>
    <row r="809" spans="1:6" ht="12.6">
      <c r="A809" s="2">
        <f ca="1">IFERROR(__xludf.DUMMYFUNCTION("""COMPUTED_VALUE"""),45741.6666666666)</f>
        <v>45741.666666666599</v>
      </c>
      <c r="B809" s="1">
        <f ca="1">IFERROR(__xludf.DUMMYFUNCTION("""COMPUTED_VALUE"""),171.18)</f>
        <v>171.18</v>
      </c>
      <c r="C809" s="1">
        <f ca="1">IFERROR(__xludf.DUMMYFUNCTION("""COMPUTED_VALUE"""),172.91)</f>
        <v>172.91</v>
      </c>
      <c r="D809" s="1">
        <f ca="1">IFERROR(__xludf.DUMMYFUNCTION("""COMPUTED_VALUE"""),170.55)</f>
        <v>170.55</v>
      </c>
      <c r="E809" s="1">
        <f ca="1">IFERROR(__xludf.DUMMYFUNCTION("""COMPUTED_VALUE"""),172.79)</f>
        <v>172.79</v>
      </c>
      <c r="F809" s="1">
        <f ca="1">IFERROR(__xludf.DUMMYFUNCTION("""COMPUTED_VALUE"""),13841592)</f>
        <v>13841592</v>
      </c>
    </row>
    <row r="810" spans="1:6" ht="12.6">
      <c r="A810" s="2">
        <f ca="1">IFERROR(__xludf.DUMMYFUNCTION("""COMPUTED_VALUE"""),45742.6666666666)</f>
        <v>45742.666666666599</v>
      </c>
      <c r="B810" s="1">
        <f ca="1">IFERROR(__xludf.DUMMYFUNCTION("""COMPUTED_VALUE"""),171.3)</f>
        <v>171.3</v>
      </c>
      <c r="C810" s="1">
        <f ca="1">IFERROR(__xludf.DUMMYFUNCTION("""COMPUTED_VALUE"""),171.94)</f>
        <v>171.94</v>
      </c>
      <c r="D810" s="1">
        <f ca="1">IFERROR(__xludf.DUMMYFUNCTION("""COMPUTED_VALUE"""),166.86)</f>
        <v>166.86</v>
      </c>
      <c r="E810" s="1">
        <f ca="1">IFERROR(__xludf.DUMMYFUNCTION("""COMPUTED_VALUE"""),167.14)</f>
        <v>167.14</v>
      </c>
      <c r="F810" s="1">
        <f ca="1">IFERROR(__xludf.DUMMYFUNCTION("""COMPUTED_VALUE"""),22554236)</f>
        <v>22554236</v>
      </c>
    </row>
    <row r="811" spans="1:6" ht="12.6">
      <c r="A811" s="2">
        <f ca="1">IFERROR(__xludf.DUMMYFUNCTION("""COMPUTED_VALUE"""),45743.6666666666)</f>
        <v>45743.666666666599</v>
      </c>
      <c r="B811" s="1">
        <f ca="1">IFERROR(__xludf.DUMMYFUNCTION("""COMPUTED_VALUE"""),166.71)</f>
        <v>166.71</v>
      </c>
      <c r="C811" s="1">
        <f ca="1">IFERROR(__xludf.DUMMYFUNCTION("""COMPUTED_VALUE"""),167.44)</f>
        <v>167.44</v>
      </c>
      <c r="D811" s="1">
        <f ca="1">IFERROR(__xludf.DUMMYFUNCTION("""COMPUTED_VALUE"""),163.85)</f>
        <v>163.85</v>
      </c>
      <c r="E811" s="1">
        <f ca="1">IFERROR(__xludf.DUMMYFUNCTION("""COMPUTED_VALUE"""),164.08)</f>
        <v>164.08</v>
      </c>
      <c r="F811" s="1">
        <f ca="1">IFERROR(__xludf.DUMMYFUNCTION("""COMPUTED_VALUE"""),21571174)</f>
        <v>21571174</v>
      </c>
    </row>
    <row r="812" spans="1:6" ht="12.6">
      <c r="A812" s="2">
        <f ca="1">IFERROR(__xludf.DUMMYFUNCTION("""COMPUTED_VALUE"""),45744.6666666666)</f>
        <v>45744.666666666599</v>
      </c>
      <c r="B812" s="1">
        <f ca="1">IFERROR(__xludf.DUMMYFUNCTION("""COMPUTED_VALUE"""),162.36)</f>
        <v>162.36000000000001</v>
      </c>
      <c r="C812" s="1">
        <f ca="1">IFERROR(__xludf.DUMMYFUNCTION("""COMPUTED_VALUE"""),163.81)</f>
        <v>163.81</v>
      </c>
      <c r="D812" s="1">
        <f ca="1">IFERROR(__xludf.DUMMYFUNCTION("""COMPUTED_VALUE"""),155.34)</f>
        <v>155.34</v>
      </c>
      <c r="E812" s="1">
        <f ca="1">IFERROR(__xludf.DUMMYFUNCTION("""COMPUTED_VALUE"""),156.06)</f>
        <v>156.06</v>
      </c>
      <c r="F812" s="1">
        <f ca="1">IFERROR(__xludf.DUMMYFUNCTION("""COMPUTED_VALUE"""),34866462)</f>
        <v>34866462</v>
      </c>
    </row>
    <row r="813" spans="1:6" ht="12.6">
      <c r="A813" s="2">
        <f ca="1">IFERROR(__xludf.DUMMYFUNCTION("""COMPUTED_VALUE"""),45747.6666666666)</f>
        <v>45747.666666666599</v>
      </c>
      <c r="B813" s="1">
        <f ca="1">IFERROR(__xludf.DUMMYFUNCTION("""COMPUTED_VALUE"""),154.81)</f>
        <v>154.81</v>
      </c>
      <c r="C813" s="1">
        <f ca="1">IFERROR(__xludf.DUMMYFUNCTION("""COMPUTED_VALUE"""),157.13)</f>
        <v>157.13</v>
      </c>
      <c r="D813" s="1">
        <f ca="1">IFERROR(__xludf.DUMMYFUNCTION("""COMPUTED_VALUE"""),152.21)</f>
        <v>152.21</v>
      </c>
      <c r="E813" s="1">
        <f ca="1">IFERROR(__xludf.DUMMYFUNCTION("""COMPUTED_VALUE"""),156.23)</f>
        <v>156.22999999999999</v>
      </c>
      <c r="F813" s="1">
        <f ca="1">IFERROR(__xludf.DUMMYFUNCTION("""COMPUTED_VALUE"""),33591554)</f>
        <v>33591554</v>
      </c>
    </row>
    <row r="814" spans="1:6" ht="12.6">
      <c r="A814" s="2">
        <f ca="1">IFERROR(__xludf.DUMMYFUNCTION("""COMPUTED_VALUE"""),45748.6666666666)</f>
        <v>45748.666666666599</v>
      </c>
      <c r="B814" s="1">
        <f ca="1">IFERROR(__xludf.DUMMYFUNCTION("""COMPUTED_VALUE"""),155.3)</f>
        <v>155.30000000000001</v>
      </c>
      <c r="C814" s="1">
        <f ca="1">IFERROR(__xludf.DUMMYFUNCTION("""COMPUTED_VALUE"""),160.08)</f>
        <v>160.08000000000001</v>
      </c>
      <c r="D814" s="1">
        <f ca="1">IFERROR(__xludf.DUMMYFUNCTION("""COMPUTED_VALUE"""),155.26)</f>
        <v>155.26</v>
      </c>
      <c r="E814" s="1">
        <f ca="1">IFERROR(__xludf.DUMMYFUNCTION("""COMPUTED_VALUE"""),158.88)</f>
        <v>158.88</v>
      </c>
      <c r="F814" s="1">
        <f ca="1">IFERROR(__xludf.DUMMYFUNCTION("""COMPUTED_VALUE"""),20111376)</f>
        <v>20111376</v>
      </c>
    </row>
    <row r="815" spans="1:6" ht="12.6">
      <c r="A815" s="2">
        <f ca="1">IFERROR(__xludf.DUMMYFUNCTION("""COMPUTED_VALUE"""),45749.6666666666)</f>
        <v>45749.666666666599</v>
      </c>
      <c r="B815" s="1">
        <f ca="1">IFERROR(__xludf.DUMMYFUNCTION("""COMPUTED_VALUE"""),156.96)</f>
        <v>156.96</v>
      </c>
      <c r="C815" s="1">
        <f ca="1">IFERROR(__xludf.DUMMYFUNCTION("""COMPUTED_VALUE"""),160.28)</f>
        <v>160.28</v>
      </c>
      <c r="D815" s="1">
        <f ca="1">IFERROR(__xludf.DUMMYFUNCTION("""COMPUTED_VALUE"""),156.53)</f>
        <v>156.53</v>
      </c>
      <c r="E815" s="1">
        <f ca="1">IFERROR(__xludf.DUMMYFUNCTION("""COMPUTED_VALUE"""),158.86)</f>
        <v>158.86000000000001</v>
      </c>
      <c r="F815" s="1">
        <f ca="1">IFERROR(__xludf.DUMMYFUNCTION("""COMPUTED_VALUE"""),17113321)</f>
        <v>17113321</v>
      </c>
    </row>
    <row r="816" spans="1:6" ht="12.6">
      <c r="A816" s="2">
        <f ca="1">IFERROR(__xludf.DUMMYFUNCTION("""COMPUTED_VALUE"""),45750.6666666666)</f>
        <v>45750.666666666599</v>
      </c>
      <c r="B816" s="1">
        <f ca="1">IFERROR(__xludf.DUMMYFUNCTION("""COMPUTED_VALUE"""),152.84)</f>
        <v>152.84</v>
      </c>
      <c r="C816" s="1">
        <f ca="1">IFERROR(__xludf.DUMMYFUNCTION("""COMPUTED_VALUE"""),154.69)</f>
        <v>154.69</v>
      </c>
      <c r="D816" s="1">
        <f ca="1">IFERROR(__xludf.DUMMYFUNCTION("""COMPUTED_VALUE"""),152.18)</f>
        <v>152.18</v>
      </c>
      <c r="E816" s="1">
        <f ca="1">IFERROR(__xludf.DUMMYFUNCTION("""COMPUTED_VALUE"""),152.63)</f>
        <v>152.63</v>
      </c>
      <c r="F816" s="1">
        <f ca="1">IFERROR(__xludf.DUMMYFUNCTION("""COMPUTED_VALUE"""),28416065)</f>
        <v>28416065</v>
      </c>
    </row>
    <row r="817" spans="1:6" ht="12.6">
      <c r="A817" s="2">
        <f ca="1">IFERROR(__xludf.DUMMYFUNCTION("""COMPUTED_VALUE"""),45751.6666666666)</f>
        <v>45751.666666666599</v>
      </c>
      <c r="B817" s="1">
        <f ca="1">IFERROR(__xludf.DUMMYFUNCTION("""COMPUTED_VALUE"""),149.9)</f>
        <v>149.9</v>
      </c>
      <c r="C817" s="1">
        <f ca="1">IFERROR(__xludf.DUMMYFUNCTION("""COMPUTED_VALUE"""),153.09)</f>
        <v>153.09</v>
      </c>
      <c r="D817" s="1">
        <f ca="1">IFERROR(__xludf.DUMMYFUNCTION("""COMPUTED_VALUE"""),147.54)</f>
        <v>147.54</v>
      </c>
      <c r="E817" s="1">
        <f ca="1">IFERROR(__xludf.DUMMYFUNCTION("""COMPUTED_VALUE"""),147.74)</f>
        <v>147.74</v>
      </c>
      <c r="F817" s="1">
        <f ca="1">IFERROR(__xludf.DUMMYFUNCTION("""COMPUTED_VALUE"""),39832207)</f>
        <v>39832207</v>
      </c>
    </row>
    <row r="818" spans="1:6" ht="12.6">
      <c r="A818" s="2">
        <f ca="1">IFERROR(__xludf.DUMMYFUNCTION("""COMPUTED_VALUE"""),45754.6666666666)</f>
        <v>45754.666666666599</v>
      </c>
      <c r="B818" s="1">
        <f ca="1">IFERROR(__xludf.DUMMYFUNCTION("""COMPUTED_VALUE"""),143.39)</f>
        <v>143.38999999999999</v>
      </c>
      <c r="C818" s="1">
        <f ca="1">IFERROR(__xludf.DUMMYFUNCTION("""COMPUTED_VALUE"""),154.93)</f>
        <v>154.93</v>
      </c>
      <c r="D818" s="1">
        <f ca="1">IFERROR(__xludf.DUMMYFUNCTION("""COMPUTED_VALUE"""),142.66)</f>
        <v>142.66</v>
      </c>
      <c r="E818" s="1">
        <f ca="1">IFERROR(__xludf.DUMMYFUNCTION("""COMPUTED_VALUE"""),149.24)</f>
        <v>149.24</v>
      </c>
      <c r="F818" s="1">
        <f ca="1">IFERROR(__xludf.DUMMYFUNCTION("""COMPUTED_VALUE"""),47823024)</f>
        <v>47823024</v>
      </c>
    </row>
    <row r="819" spans="1:6" ht="12.6">
      <c r="A819" s="2">
        <f ca="1">IFERROR(__xludf.DUMMYFUNCTION("""COMPUTED_VALUE"""),45755.6666666666)</f>
        <v>45755.666666666599</v>
      </c>
      <c r="B819" s="1">
        <f ca="1">IFERROR(__xludf.DUMMYFUNCTION("""COMPUTED_VALUE"""),153.57)</f>
        <v>153.57</v>
      </c>
      <c r="C819" s="1">
        <f ca="1">IFERROR(__xludf.DUMMYFUNCTION("""COMPUTED_VALUE"""),154.44)</f>
        <v>154.44</v>
      </c>
      <c r="D819" s="1">
        <f ca="1">IFERROR(__xludf.DUMMYFUNCTION("""COMPUTED_VALUE"""),145.21)</f>
        <v>145.21</v>
      </c>
      <c r="E819" s="1">
        <f ca="1">IFERROR(__xludf.DUMMYFUNCTION("""COMPUTED_VALUE"""),146.58)</f>
        <v>146.58000000000001</v>
      </c>
      <c r="F819" s="1">
        <f ca="1">IFERROR(__xludf.DUMMYFUNCTION("""COMPUTED_VALUE"""),35304388)</f>
        <v>35304388</v>
      </c>
    </row>
    <row r="820" spans="1:6" ht="12.6">
      <c r="A820" s="2">
        <f ca="1">IFERROR(__xludf.DUMMYFUNCTION("""COMPUTED_VALUE"""),45756.6666666666)</f>
        <v>45756.666666666599</v>
      </c>
      <c r="B820" s="1">
        <f ca="1">IFERROR(__xludf.DUMMYFUNCTION("""COMPUTED_VALUE"""),146.33)</f>
        <v>146.33000000000001</v>
      </c>
      <c r="C820" s="1">
        <f ca="1">IFERROR(__xludf.DUMMYFUNCTION("""COMPUTED_VALUE"""),161.87)</f>
        <v>161.87</v>
      </c>
      <c r="D820" s="1">
        <f ca="1">IFERROR(__xludf.DUMMYFUNCTION("""COMPUTED_VALUE"""),145.81)</f>
        <v>145.81</v>
      </c>
      <c r="E820" s="1">
        <f ca="1">IFERROR(__xludf.DUMMYFUNCTION("""COMPUTED_VALUE"""),161.06)</f>
        <v>161.06</v>
      </c>
      <c r="F820" s="1">
        <f ca="1">IFERROR(__xludf.DUMMYFUNCTION("""COMPUTED_VALUE"""),46479542)</f>
        <v>46479542</v>
      </c>
    </row>
    <row r="821" spans="1:6" ht="12.6">
      <c r="A821" s="2">
        <f ca="1">IFERROR(__xludf.DUMMYFUNCTION("""COMPUTED_VALUE"""),45757.6666666666)</f>
        <v>45757.666666666599</v>
      </c>
      <c r="B821" s="1">
        <f ca="1">IFERROR(__xludf.DUMMYFUNCTION("""COMPUTED_VALUE"""),158.76)</f>
        <v>158.76</v>
      </c>
      <c r="C821" s="1">
        <f ca="1">IFERROR(__xludf.DUMMYFUNCTION("""COMPUTED_VALUE"""),160.03)</f>
        <v>160.03</v>
      </c>
      <c r="D821" s="1">
        <f ca="1">IFERROR(__xludf.DUMMYFUNCTION("""COMPUTED_VALUE"""),152.2)</f>
        <v>152.19999999999999</v>
      </c>
      <c r="E821" s="1">
        <f ca="1">IFERROR(__xludf.DUMMYFUNCTION("""COMPUTED_VALUE"""),155.37)</f>
        <v>155.37</v>
      </c>
      <c r="F821" s="1">
        <f ca="1">IFERROR(__xludf.DUMMYFUNCTION("""COMPUTED_VALUE"""),35270540)</f>
        <v>35270540</v>
      </c>
    </row>
    <row r="822" spans="1:6" ht="12.6">
      <c r="A822" s="2">
        <f ca="1">IFERROR(__xludf.DUMMYFUNCTION("""COMPUTED_VALUE"""),45758.6666666666)</f>
        <v>45758.666666666599</v>
      </c>
      <c r="B822" s="1">
        <f ca="1">IFERROR(__xludf.DUMMYFUNCTION("""COMPUTED_VALUE"""),155.59)</f>
        <v>155.59</v>
      </c>
      <c r="C822" s="1">
        <f ca="1">IFERROR(__xludf.DUMMYFUNCTION("""COMPUTED_VALUE"""),159.86)</f>
        <v>159.86000000000001</v>
      </c>
      <c r="D822" s="1">
        <f ca="1">IFERROR(__xludf.DUMMYFUNCTION("""COMPUTED_VALUE"""),155.59)</f>
        <v>155.59</v>
      </c>
      <c r="E822" s="1">
        <f ca="1">IFERROR(__xludf.DUMMYFUNCTION("""COMPUTED_VALUE"""),159.4)</f>
        <v>159.4</v>
      </c>
      <c r="F822" s="1">
        <f ca="1">IFERROR(__xludf.DUMMYFUNCTION("""COMPUTED_VALUE"""),22581989)</f>
        <v>22581989</v>
      </c>
    </row>
    <row r="823" spans="1:6" ht="12.6">
      <c r="A823" s="2">
        <f ca="1">IFERROR(__xludf.DUMMYFUNCTION("""COMPUTED_VALUE"""),45761.6666666666)</f>
        <v>45761.666666666599</v>
      </c>
      <c r="B823" s="1">
        <f ca="1">IFERROR(__xludf.DUMMYFUNCTION("""COMPUTED_VALUE"""),162.31)</f>
        <v>162.31</v>
      </c>
      <c r="C823" s="1">
        <f ca="1">IFERROR(__xludf.DUMMYFUNCTION("""COMPUTED_VALUE"""),164.03)</f>
        <v>164.03</v>
      </c>
      <c r="D823" s="1">
        <f ca="1">IFERROR(__xludf.DUMMYFUNCTION("""COMPUTED_VALUE"""),159.92)</f>
        <v>159.91999999999999</v>
      </c>
      <c r="E823" s="1">
        <f ca="1">IFERROR(__xludf.DUMMYFUNCTION("""COMPUTED_VALUE"""),161.47)</f>
        <v>161.47</v>
      </c>
      <c r="F823" s="1">
        <f ca="1">IFERROR(__xludf.DUMMYFUNCTION("""COMPUTED_VALUE"""),18255931)</f>
        <v>18255931</v>
      </c>
    </row>
    <row r="824" spans="1:6" ht="12.6">
      <c r="A824" s="2">
        <f ca="1">IFERROR(__xludf.DUMMYFUNCTION("""COMPUTED_VALUE"""),45762.6666666666)</f>
        <v>45762.666666666599</v>
      </c>
      <c r="B824" s="1">
        <f ca="1">IFERROR(__xludf.DUMMYFUNCTION("""COMPUTED_VALUE"""),161.57)</f>
        <v>161.57</v>
      </c>
      <c r="C824" s="1">
        <f ca="1">IFERROR(__xludf.DUMMYFUNCTION("""COMPUTED_VALUE"""),162.05)</f>
        <v>162.05000000000001</v>
      </c>
      <c r="D824" s="1">
        <f ca="1">IFERROR(__xludf.DUMMYFUNCTION("""COMPUTED_VALUE"""),157.65)</f>
        <v>157.65</v>
      </c>
      <c r="E824" s="1">
        <f ca="1">IFERROR(__xludf.DUMMYFUNCTION("""COMPUTED_VALUE"""),158.68)</f>
        <v>158.68</v>
      </c>
      <c r="F824" s="1">
        <f ca="1">IFERROR(__xludf.DUMMYFUNCTION("""COMPUTED_VALUE"""),15690783)</f>
        <v>15690783</v>
      </c>
    </row>
    <row r="825" spans="1:6" ht="12.6">
      <c r="A825" s="2">
        <f ca="1">IFERROR(__xludf.DUMMYFUNCTION("""COMPUTED_VALUE"""),45763.6666666666)</f>
        <v>45763.666666666599</v>
      </c>
      <c r="B825" s="1">
        <f ca="1">IFERROR(__xludf.DUMMYFUNCTION("""COMPUTED_VALUE"""),155.47)</f>
        <v>155.47</v>
      </c>
      <c r="C825" s="1">
        <f ca="1">IFERROR(__xludf.DUMMYFUNCTION("""COMPUTED_VALUE"""),158.18)</f>
        <v>158.18</v>
      </c>
      <c r="D825" s="1">
        <f ca="1">IFERROR(__xludf.DUMMYFUNCTION("""COMPUTED_VALUE"""),153.91)</f>
        <v>153.91</v>
      </c>
      <c r="E825" s="1">
        <f ca="1">IFERROR(__xludf.DUMMYFUNCTION("""COMPUTED_VALUE"""),155.5)</f>
        <v>155.5</v>
      </c>
      <c r="F825" s="1">
        <f ca="1">IFERROR(__xludf.DUMMYFUNCTION("""COMPUTED_VALUE"""),16921497)</f>
        <v>16921497</v>
      </c>
    </row>
    <row r="826" spans="1:6" ht="12.6">
      <c r="A826" s="2">
        <f ca="1">IFERROR(__xludf.DUMMYFUNCTION("""COMPUTED_VALUE"""),45764.6666666666)</f>
        <v>45764.666666666599</v>
      </c>
      <c r="B826" s="1">
        <f ca="1">IFERROR(__xludf.DUMMYFUNCTION("""COMPUTED_VALUE"""),156.61)</f>
        <v>156.61000000000001</v>
      </c>
      <c r="C826" s="1">
        <f ca="1">IFERROR(__xludf.DUMMYFUNCTION("""COMPUTED_VALUE"""),157.07)</f>
        <v>157.07</v>
      </c>
      <c r="D826" s="1">
        <f ca="1">IFERROR(__xludf.DUMMYFUNCTION("""COMPUTED_VALUE"""),150.9)</f>
        <v>150.9</v>
      </c>
      <c r="E826" s="1">
        <f ca="1">IFERROR(__xludf.DUMMYFUNCTION("""COMPUTED_VALUE"""),153.36)</f>
        <v>153.36000000000001</v>
      </c>
      <c r="F826" s="1">
        <f ca="1">IFERROR(__xludf.DUMMYFUNCTION("""COMPUTED_VALUE"""),19513408)</f>
        <v>19513408</v>
      </c>
    </row>
    <row r="827" spans="1:6" ht="12.6">
      <c r="A827" s="2">
        <f ca="1">IFERROR(__xludf.DUMMYFUNCTION("""COMPUTED_VALUE"""),45768.6666666666)</f>
        <v>45768.666666666599</v>
      </c>
      <c r="B827" s="1">
        <f ca="1">IFERROR(__xludf.DUMMYFUNCTION("""COMPUTED_VALUE"""),150.97)</f>
        <v>150.97</v>
      </c>
      <c r="C827" s="1">
        <f ca="1">IFERROR(__xludf.DUMMYFUNCTION("""COMPUTED_VALUE"""),151.06)</f>
        <v>151.06</v>
      </c>
      <c r="D827" s="1">
        <f ca="1">IFERROR(__xludf.DUMMYFUNCTION("""COMPUTED_VALUE"""),148.4)</f>
        <v>148.4</v>
      </c>
      <c r="E827" s="1">
        <f ca="1">IFERROR(__xludf.DUMMYFUNCTION("""COMPUTED_VALUE"""),149.86)</f>
        <v>149.86000000000001</v>
      </c>
      <c r="F827" s="1">
        <f ca="1">IFERROR(__xludf.DUMMYFUNCTION("""COMPUTED_VALUE"""),16147780)</f>
        <v>16147780</v>
      </c>
    </row>
    <row r="828" spans="1:6" ht="12.6">
      <c r="A828" s="2">
        <f ca="1">IFERROR(__xludf.DUMMYFUNCTION("""COMPUTED_VALUE"""),45769.6666666666)</f>
        <v>45769.666666666599</v>
      </c>
      <c r="B828" s="1">
        <f ca="1">IFERROR(__xludf.DUMMYFUNCTION("""COMPUTED_VALUE"""),151.07)</f>
        <v>151.07</v>
      </c>
      <c r="C828" s="1">
        <f ca="1">IFERROR(__xludf.DUMMYFUNCTION("""COMPUTED_VALUE"""),154.61)</f>
        <v>154.61000000000001</v>
      </c>
      <c r="D828" s="1">
        <f ca="1">IFERROR(__xludf.DUMMYFUNCTION("""COMPUTED_VALUE"""),150.87)</f>
        <v>150.87</v>
      </c>
      <c r="E828" s="1">
        <f ca="1">IFERROR(__xludf.DUMMYFUNCTION("""COMPUTED_VALUE"""),153.9)</f>
        <v>153.9</v>
      </c>
      <c r="F828" s="1">
        <f ca="1">IFERROR(__xludf.DUMMYFUNCTION("""COMPUTED_VALUE"""),15910327)</f>
        <v>15910327</v>
      </c>
    </row>
    <row r="829" spans="1:6" ht="12.6">
      <c r="A829" s="2">
        <f ca="1">IFERROR(__xludf.DUMMYFUNCTION("""COMPUTED_VALUE"""),45770.6666666666)</f>
        <v>45770.666666666599</v>
      </c>
      <c r="B829" s="1">
        <f ca="1">IFERROR(__xludf.DUMMYFUNCTION("""COMPUTED_VALUE"""),157.91)</f>
        <v>157.91</v>
      </c>
      <c r="C829" s="1">
        <f ca="1">IFERROR(__xludf.DUMMYFUNCTION("""COMPUTED_VALUE"""),160.02)</f>
        <v>160.02000000000001</v>
      </c>
      <c r="D829" s="1">
        <f ca="1">IFERROR(__xludf.DUMMYFUNCTION("""COMPUTED_VALUE"""),156.35)</f>
        <v>156.35</v>
      </c>
      <c r="E829" s="1">
        <f ca="1">IFERROR(__xludf.DUMMYFUNCTION("""COMPUTED_VALUE"""),157.72)</f>
        <v>157.72</v>
      </c>
      <c r="F829" s="1">
        <f ca="1">IFERROR(__xludf.DUMMYFUNCTION("""COMPUTED_VALUE"""),18575735)</f>
        <v>18575735</v>
      </c>
    </row>
    <row r="830" spans="1:6" ht="12.6">
      <c r="A830" s="2">
        <f ca="1">IFERROR(__xludf.DUMMYFUNCTION("""COMPUTED_VALUE"""),45771.6666666666)</f>
        <v>45771.666666666599</v>
      </c>
      <c r="B830" s="1">
        <f ca="1">IFERROR(__xludf.DUMMYFUNCTION("""COMPUTED_VALUE"""),158.53)</f>
        <v>158.53</v>
      </c>
      <c r="C830" s="1">
        <f ca="1">IFERROR(__xludf.DUMMYFUNCTION("""COMPUTED_VALUE"""),161.71)</f>
        <v>161.71</v>
      </c>
      <c r="D830" s="1">
        <f ca="1">IFERROR(__xludf.DUMMYFUNCTION("""COMPUTED_VALUE"""),158.09)</f>
        <v>158.09</v>
      </c>
      <c r="E830" s="1">
        <f ca="1">IFERROR(__xludf.DUMMYFUNCTION("""COMPUTED_VALUE"""),161.47)</f>
        <v>161.47</v>
      </c>
      <c r="F830" s="1">
        <f ca="1">IFERROR(__xludf.DUMMYFUNCTION("""COMPUTED_VALUE"""),30787481)</f>
        <v>30787481</v>
      </c>
    </row>
    <row r="831" spans="1:6" ht="12.6">
      <c r="A831" s="2">
        <f ca="1">IFERROR(__xludf.DUMMYFUNCTION("""COMPUTED_VALUE"""),45772.6666666666)</f>
        <v>45772.666666666599</v>
      </c>
      <c r="B831" s="1">
        <f ca="1">IFERROR(__xludf.DUMMYFUNCTION("""COMPUTED_VALUE"""),167.1)</f>
        <v>167.1</v>
      </c>
      <c r="C831" s="1">
        <f ca="1">IFERROR(__xludf.DUMMYFUNCTION("""COMPUTED_VALUE"""),168.24)</f>
        <v>168.24</v>
      </c>
      <c r="D831" s="1">
        <f ca="1">IFERROR(__xludf.DUMMYFUNCTION("""COMPUTED_VALUE"""),163)</f>
        <v>163</v>
      </c>
      <c r="E831" s="1">
        <f ca="1">IFERROR(__xludf.DUMMYFUNCTION("""COMPUTED_VALUE"""),163.85)</f>
        <v>163.85</v>
      </c>
      <c r="F831" s="1">
        <f ca="1">IFERROR(__xludf.DUMMYFUNCTION("""COMPUTED_VALUE"""),35148053)</f>
        <v>35148053</v>
      </c>
    </row>
    <row r="832" spans="1:6" ht="12.6">
      <c r="A832" s="2">
        <f ca="1">IFERROR(__xludf.DUMMYFUNCTION("""COMPUTED_VALUE"""),45775.6666666666)</f>
        <v>45775.666666666599</v>
      </c>
      <c r="B832" s="1">
        <f ca="1">IFERROR(__xludf.DUMMYFUNCTION("""COMPUTED_VALUE"""),164.26)</f>
        <v>164.26</v>
      </c>
      <c r="C832" s="1">
        <f ca="1">IFERROR(__xludf.DUMMYFUNCTION("""COMPUTED_VALUE"""),164.95)</f>
        <v>164.95</v>
      </c>
      <c r="D832" s="1">
        <f ca="1">IFERROR(__xludf.DUMMYFUNCTION("""COMPUTED_VALUE"""),160.38)</f>
        <v>160.38</v>
      </c>
      <c r="E832" s="1">
        <f ca="1">IFERROR(__xludf.DUMMYFUNCTION("""COMPUTED_VALUE"""),162.42)</f>
        <v>162.41999999999999</v>
      </c>
      <c r="F832" s="1">
        <f ca="1">IFERROR(__xludf.DUMMYFUNCTION("""COMPUTED_VALUE"""),20871153)</f>
        <v>20871153</v>
      </c>
    </row>
    <row r="833" spans="1:6" ht="12.6">
      <c r="A833" s="2">
        <f ca="1">IFERROR(__xludf.DUMMYFUNCTION("""COMPUTED_VALUE"""),45776.6666666666)</f>
        <v>45776.666666666599</v>
      </c>
      <c r="B833" s="1">
        <f ca="1">IFERROR(__xludf.DUMMYFUNCTION("""COMPUTED_VALUE"""),162.04)</f>
        <v>162.04</v>
      </c>
      <c r="C833" s="1">
        <f ca="1">IFERROR(__xludf.DUMMYFUNCTION("""COMPUTED_VALUE"""),162.68)</f>
        <v>162.68</v>
      </c>
      <c r="D833" s="1">
        <f ca="1">IFERROR(__xludf.DUMMYFUNCTION("""COMPUTED_VALUE"""),159.39)</f>
        <v>159.38999999999999</v>
      </c>
      <c r="E833" s="1">
        <f ca="1">IFERROR(__xludf.DUMMYFUNCTION("""COMPUTED_VALUE"""),162.06)</f>
        <v>162.06</v>
      </c>
      <c r="F833" s="1">
        <f ca="1">IFERROR(__xludf.DUMMYFUNCTION("""COMPUTED_VALUE"""),15955215)</f>
        <v>15955215</v>
      </c>
    </row>
    <row r="834" spans="1:6" ht="12.6">
      <c r="A834" s="2">
        <f ca="1">IFERROR(__xludf.DUMMYFUNCTION("""COMPUTED_VALUE"""),45777.6666666666)</f>
        <v>45777.666666666599</v>
      </c>
      <c r="B834" s="1">
        <f ca="1">IFERROR(__xludf.DUMMYFUNCTION("""COMPUTED_VALUE"""),159.86)</f>
        <v>159.86000000000001</v>
      </c>
      <c r="C834" s="1">
        <f ca="1">IFERROR(__xludf.DUMMYFUNCTION("""COMPUTED_VALUE"""),161.37)</f>
        <v>161.37</v>
      </c>
      <c r="D834" s="1">
        <f ca="1">IFERROR(__xludf.DUMMYFUNCTION("""COMPUTED_VALUE"""),157.16)</f>
        <v>157.16</v>
      </c>
      <c r="E834" s="1">
        <f ca="1">IFERROR(__xludf.DUMMYFUNCTION("""COMPUTED_VALUE"""),160.89)</f>
        <v>160.88999999999999</v>
      </c>
      <c r="F834" s="1">
        <f ca="1">IFERROR(__xludf.DUMMYFUNCTION("""COMPUTED_VALUE"""),20639520)</f>
        <v>20639520</v>
      </c>
    </row>
    <row r="835" spans="1:6" ht="12.6">
      <c r="A835" s="2">
        <f ca="1">IFERROR(__xludf.DUMMYFUNCTION("""COMPUTED_VALUE"""),45778.6666666666)</f>
        <v>45778.666666666599</v>
      </c>
      <c r="B835" s="1">
        <f ca="1">IFERROR(__xludf.DUMMYFUNCTION("""COMPUTED_VALUE"""),162.52)</f>
        <v>162.52000000000001</v>
      </c>
      <c r="C835" s="1">
        <f ca="1">IFERROR(__xludf.DUMMYFUNCTION("""COMPUTED_VALUE"""),163.94)</f>
        <v>163.94</v>
      </c>
      <c r="D835" s="1">
        <f ca="1">IFERROR(__xludf.DUMMYFUNCTION("""COMPUTED_VALUE"""),160.93)</f>
        <v>160.93</v>
      </c>
      <c r="E835" s="1">
        <f ca="1">IFERROR(__xludf.DUMMYFUNCTION("""COMPUTED_VALUE"""),162.79)</f>
        <v>162.79</v>
      </c>
      <c r="F835" s="1">
        <f ca="1">IFERROR(__xludf.DUMMYFUNCTION("""COMPUTED_VALUE"""),21904291)</f>
        <v>21904291</v>
      </c>
    </row>
    <row r="836" spans="1:6" ht="12.6">
      <c r="A836" s="2">
        <f ca="1">IFERROR(__xludf.DUMMYFUNCTION("""COMPUTED_VALUE"""),45779.6666666666)</f>
        <v>45779.666666666599</v>
      </c>
      <c r="B836" s="1">
        <f ca="1">IFERROR(__xludf.DUMMYFUNCTION("""COMPUTED_VALUE"""),164.96)</f>
        <v>164.96</v>
      </c>
      <c r="C836" s="1">
        <f ca="1">IFERROR(__xludf.DUMMYFUNCTION("""COMPUTED_VALUE"""),166.7)</f>
        <v>166.7</v>
      </c>
      <c r="D836" s="1">
        <f ca="1">IFERROR(__xludf.DUMMYFUNCTION("""COMPUTED_VALUE"""),163.66)</f>
        <v>163.66</v>
      </c>
      <c r="E836" s="1">
        <f ca="1">IFERROR(__xludf.DUMMYFUNCTION("""COMPUTED_VALUE"""),165.81)</f>
        <v>165.81</v>
      </c>
      <c r="F836" s="1">
        <f ca="1">IFERROR(__xludf.DUMMYFUNCTION("""COMPUTED_VALUE"""),16844937)</f>
        <v>16844937</v>
      </c>
    </row>
    <row r="837" spans="1:6" ht="12.6">
      <c r="A837" s="2">
        <f ca="1">IFERROR(__xludf.DUMMYFUNCTION("""COMPUTED_VALUE"""),45782.6666666666)</f>
        <v>45782.666666666599</v>
      </c>
      <c r="B837" s="1">
        <f ca="1">IFERROR(__xludf.DUMMYFUNCTION("""COMPUTED_VALUE"""),164.52)</f>
        <v>164.52</v>
      </c>
      <c r="C837" s="1">
        <f ca="1">IFERROR(__xludf.DUMMYFUNCTION("""COMPUTED_VALUE"""),167.1)</f>
        <v>167.1</v>
      </c>
      <c r="D837" s="1">
        <f ca="1">IFERROR(__xludf.DUMMYFUNCTION("""COMPUTED_VALUE"""),164.47)</f>
        <v>164.47</v>
      </c>
      <c r="E837" s="1">
        <f ca="1">IFERROR(__xludf.DUMMYFUNCTION("""COMPUTED_VALUE"""),166.05)</f>
        <v>166.05</v>
      </c>
      <c r="F837" s="1">
        <f ca="1">IFERROR(__xludf.DUMMYFUNCTION("""COMPUTED_VALUE"""),15309343)</f>
        <v>15309343</v>
      </c>
    </row>
    <row r="838" spans="1:6" ht="12.6">
      <c r="A838" s="2">
        <f ca="1">IFERROR(__xludf.DUMMYFUNCTION("""COMPUTED_VALUE"""),45783.6666666666)</f>
        <v>45783.666666666599</v>
      </c>
      <c r="B838" s="1">
        <f ca="1">IFERROR(__xludf.DUMMYFUNCTION("""COMPUTED_VALUE"""),163.96)</f>
        <v>163.96</v>
      </c>
      <c r="C838" s="1">
        <f ca="1">IFERROR(__xludf.DUMMYFUNCTION("""COMPUTED_VALUE"""),166.74)</f>
        <v>166.74</v>
      </c>
      <c r="D838" s="1">
        <f ca="1">IFERROR(__xludf.DUMMYFUNCTION("""COMPUTED_VALUE"""),163.13)</f>
        <v>163.13</v>
      </c>
      <c r="E838" s="1">
        <f ca="1">IFERROR(__xludf.DUMMYFUNCTION("""COMPUTED_VALUE"""),165.2)</f>
        <v>165.2</v>
      </c>
      <c r="F838" s="1">
        <f ca="1">IFERROR(__xludf.DUMMYFUNCTION("""COMPUTED_VALUE"""),10691949)</f>
        <v>10691949</v>
      </c>
    </row>
    <row r="839" spans="1:6" ht="12.6">
      <c r="A839" s="2">
        <f ca="1">IFERROR(__xludf.DUMMYFUNCTION("""COMPUTED_VALUE"""),45784.6666666666)</f>
        <v>45784.666666666599</v>
      </c>
      <c r="B839" s="1">
        <f ca="1">IFERROR(__xludf.DUMMYFUNCTION("""COMPUTED_VALUE"""),166.07)</f>
        <v>166.07</v>
      </c>
      <c r="C839" s="1">
        <f ca="1">IFERROR(__xludf.DUMMYFUNCTION("""COMPUTED_VALUE"""),166.99)</f>
        <v>166.99</v>
      </c>
      <c r="D839" s="1">
        <f ca="1">IFERROR(__xludf.DUMMYFUNCTION("""COMPUTED_VALUE"""),149.49)</f>
        <v>149.49</v>
      </c>
      <c r="E839" s="1">
        <f ca="1">IFERROR(__xludf.DUMMYFUNCTION("""COMPUTED_VALUE"""),152.8)</f>
        <v>152.80000000000001</v>
      </c>
      <c r="F839" s="1">
        <f ca="1">IFERROR(__xludf.DUMMYFUNCTION("""COMPUTED_VALUE"""),78900429)</f>
        <v>78900429</v>
      </c>
    </row>
    <row r="840" spans="1:6" ht="12.6">
      <c r="A840" s="2">
        <f ca="1">IFERROR(__xludf.DUMMYFUNCTION("""COMPUTED_VALUE"""),45785.6666666666)</f>
        <v>45785.666666666599</v>
      </c>
      <c r="B840" s="1">
        <f ca="1">IFERROR(__xludf.DUMMYFUNCTION("""COMPUTED_VALUE"""),155.92)</f>
        <v>155.91999999999999</v>
      </c>
      <c r="C840" s="1">
        <f ca="1">IFERROR(__xludf.DUMMYFUNCTION("""COMPUTED_VALUE"""),157.41)</f>
        <v>157.41</v>
      </c>
      <c r="D840" s="1">
        <f ca="1">IFERROR(__xludf.DUMMYFUNCTION("""COMPUTED_VALUE"""),154.1)</f>
        <v>154.1</v>
      </c>
      <c r="E840" s="1">
        <f ca="1">IFERROR(__xludf.DUMMYFUNCTION("""COMPUTED_VALUE"""),155.75)</f>
        <v>155.75</v>
      </c>
      <c r="F840" s="1">
        <f ca="1">IFERROR(__xludf.DUMMYFUNCTION("""COMPUTED_VALUE"""),38387507)</f>
        <v>38387507</v>
      </c>
    </row>
    <row r="841" spans="1:6" ht="12.6">
      <c r="A841" s="2">
        <f ca="1">IFERROR(__xludf.DUMMYFUNCTION("""COMPUTED_VALUE"""),45786.6666666666)</f>
        <v>45786.666666666599</v>
      </c>
      <c r="B841" s="1">
        <f ca="1">IFERROR(__xludf.DUMMYFUNCTION("""COMPUTED_VALUE"""),155.55)</f>
        <v>155.55000000000001</v>
      </c>
      <c r="C841" s="1">
        <f ca="1">IFERROR(__xludf.DUMMYFUNCTION("""COMPUTED_VALUE"""),156.43)</f>
        <v>156.43</v>
      </c>
      <c r="D841" s="1">
        <f ca="1">IFERROR(__xludf.DUMMYFUNCTION("""COMPUTED_VALUE"""),153.83)</f>
        <v>153.83000000000001</v>
      </c>
      <c r="E841" s="1">
        <f ca="1">IFERROR(__xludf.DUMMYFUNCTION("""COMPUTED_VALUE"""),154.38)</f>
        <v>154.38</v>
      </c>
      <c r="F841" s="1">
        <f ca="1">IFERROR(__xludf.DUMMYFUNCTION("""COMPUTED_VALUE"""),22871035)</f>
        <v>22871035</v>
      </c>
    </row>
    <row r="842" spans="1:6" ht="12.6">
      <c r="A842" s="2">
        <f ca="1">IFERROR(__xludf.DUMMYFUNCTION("""COMPUTED_VALUE"""),45789.6666666666)</f>
        <v>45789.666666666599</v>
      </c>
      <c r="B842" s="1">
        <f ca="1">IFERROR(__xludf.DUMMYFUNCTION("""COMPUTED_VALUE"""),159.1)</f>
        <v>159.1</v>
      </c>
      <c r="C842" s="1">
        <f ca="1">IFERROR(__xludf.DUMMYFUNCTION("""COMPUTED_VALUE"""),160.44)</f>
        <v>160.44</v>
      </c>
      <c r="D842" s="1">
        <f ca="1">IFERROR(__xludf.DUMMYFUNCTION("""COMPUTED_VALUE"""),157.89)</f>
        <v>157.88999999999999</v>
      </c>
      <c r="E842" s="1">
        <f ca="1">IFERROR(__xludf.DUMMYFUNCTION("""COMPUTED_VALUE"""),159.58)</f>
        <v>159.58000000000001</v>
      </c>
      <c r="F842" s="1">
        <f ca="1">IFERROR(__xludf.DUMMYFUNCTION("""COMPUTED_VALUE"""),31884901)</f>
        <v>31884901</v>
      </c>
    </row>
    <row r="843" spans="1:6" ht="12.6">
      <c r="A843" s="2">
        <f ca="1">IFERROR(__xludf.DUMMYFUNCTION("""COMPUTED_VALUE"""),45790.6666666666)</f>
        <v>45790.666666666599</v>
      </c>
      <c r="B843" s="1">
        <f ca="1">IFERROR(__xludf.DUMMYFUNCTION("""COMPUTED_VALUE"""),159.92)</f>
        <v>159.91999999999999</v>
      </c>
      <c r="C843" s="1">
        <f ca="1">IFERROR(__xludf.DUMMYFUNCTION("""COMPUTED_VALUE"""),162.06)</f>
        <v>162.06</v>
      </c>
      <c r="D843" s="1">
        <f ca="1">IFERROR(__xludf.DUMMYFUNCTION("""COMPUTED_VALUE"""),157.58)</f>
        <v>157.58000000000001</v>
      </c>
      <c r="E843" s="1">
        <f ca="1">IFERROR(__xludf.DUMMYFUNCTION("""COMPUTED_VALUE"""),160.89)</f>
        <v>160.88999999999999</v>
      </c>
      <c r="F843" s="1">
        <f ca="1">IFERROR(__xludf.DUMMYFUNCTION("""COMPUTED_VALUE"""),24944270)</f>
        <v>24944270</v>
      </c>
    </row>
    <row r="844" spans="1:6" ht="12.6">
      <c r="A844" s="2">
        <f ca="1">IFERROR(__xludf.DUMMYFUNCTION("""COMPUTED_VALUE"""),45791.6666666666)</f>
        <v>45791.666666666599</v>
      </c>
      <c r="B844" s="1">
        <f ca="1">IFERROR(__xludf.DUMMYFUNCTION("""COMPUTED_VALUE"""),161.31)</f>
        <v>161.31</v>
      </c>
      <c r="C844" s="1">
        <f ca="1">IFERROR(__xludf.DUMMYFUNCTION("""COMPUTED_VALUE"""),168.34)</f>
        <v>168.34</v>
      </c>
      <c r="D844" s="1">
        <f ca="1">IFERROR(__xludf.DUMMYFUNCTION("""COMPUTED_VALUE"""),160.93)</f>
        <v>160.93</v>
      </c>
      <c r="E844" s="1">
        <f ca="1">IFERROR(__xludf.DUMMYFUNCTION("""COMPUTED_VALUE"""),166.81)</f>
        <v>166.81</v>
      </c>
      <c r="F844" s="1">
        <f ca="1">IFERROR(__xludf.DUMMYFUNCTION("""COMPUTED_VALUE"""),31769209)</f>
        <v>31769209</v>
      </c>
    </row>
    <row r="845" spans="1:6" ht="12.6">
      <c r="A845" s="2">
        <f ca="1">IFERROR(__xludf.DUMMYFUNCTION("""COMPUTED_VALUE"""),45792.6666666666)</f>
        <v>45792.666666666599</v>
      </c>
      <c r="B845" s="1">
        <f ca="1">IFERROR(__xludf.DUMMYFUNCTION("""COMPUTED_VALUE"""),167.14)</f>
        <v>167.14</v>
      </c>
      <c r="C845" s="1">
        <f ca="1">IFERROR(__xludf.DUMMYFUNCTION("""COMPUTED_VALUE"""),167.51)</f>
        <v>167.51</v>
      </c>
      <c r="D845" s="1">
        <f ca="1">IFERROR(__xludf.DUMMYFUNCTION("""COMPUTED_VALUE"""),163.84)</f>
        <v>163.84</v>
      </c>
      <c r="E845" s="1">
        <f ca="1">IFERROR(__xludf.DUMMYFUNCTION("""COMPUTED_VALUE"""),165.4)</f>
        <v>165.4</v>
      </c>
      <c r="F845" s="1">
        <f ca="1">IFERROR(__xludf.DUMMYFUNCTION("""COMPUTED_VALUE"""),22717554)</f>
        <v>22717554</v>
      </c>
    </row>
    <row r="846" spans="1:6" ht="12.6">
      <c r="A846" s="2">
        <f ca="1">IFERROR(__xludf.DUMMYFUNCTION("""COMPUTED_VALUE"""),45793.6666666666)</f>
        <v>45793.666666666599</v>
      </c>
      <c r="B846" s="1">
        <f ca="1">IFERROR(__xludf.DUMMYFUNCTION("""COMPUTED_VALUE"""),168.93)</f>
        <v>168.93</v>
      </c>
      <c r="C846" s="1">
        <f ca="1">IFERROR(__xludf.DUMMYFUNCTION("""COMPUTED_VALUE"""),170.65)</f>
        <v>170.65</v>
      </c>
      <c r="D846" s="1">
        <f ca="1">IFERROR(__xludf.DUMMYFUNCTION("""COMPUTED_VALUE"""),166.95)</f>
        <v>166.95</v>
      </c>
      <c r="E846" s="1">
        <f ca="1">IFERROR(__xludf.DUMMYFUNCTION("""COMPUTED_VALUE"""),167.43)</f>
        <v>167.43</v>
      </c>
      <c r="F846" s="1">
        <f ca="1">IFERROR(__xludf.DUMMYFUNCTION("""COMPUTED_VALUE"""),36271378)</f>
        <v>36271378</v>
      </c>
    </row>
    <row r="847" spans="1:6" ht="12.6">
      <c r="A847" s="2">
        <f ca="1">IFERROR(__xludf.DUMMYFUNCTION("""COMPUTED_VALUE"""),45796.6666666666)</f>
        <v>45796.666666666599</v>
      </c>
      <c r="B847" s="1">
        <f ca="1">IFERROR(__xludf.DUMMYFUNCTION("""COMPUTED_VALUE"""),165.72)</f>
        <v>165.72</v>
      </c>
      <c r="C847" s="1">
        <f ca="1">IFERROR(__xludf.DUMMYFUNCTION("""COMPUTED_VALUE"""),167.95)</f>
        <v>167.95</v>
      </c>
      <c r="D847" s="1">
        <f ca="1">IFERROR(__xludf.DUMMYFUNCTION("""COMPUTED_VALUE"""),165.42)</f>
        <v>165.42</v>
      </c>
      <c r="E847" s="1">
        <f ca="1">IFERROR(__xludf.DUMMYFUNCTION("""COMPUTED_VALUE"""),167.87)</f>
        <v>167.87</v>
      </c>
      <c r="F847" s="1">
        <f ca="1">IFERROR(__xludf.DUMMYFUNCTION("""COMPUTED_VALUE"""),21374688)</f>
        <v>21374688</v>
      </c>
    </row>
    <row r="848" spans="1:6" ht="12.6">
      <c r="A848" s="2">
        <f ca="1">IFERROR(__xludf.DUMMYFUNCTION("""COMPUTED_VALUE"""),45797.6666666666)</f>
        <v>45797.666666666599</v>
      </c>
      <c r="B848" s="1">
        <f ca="1">IFERROR(__xludf.DUMMYFUNCTION("""COMPUTED_VALUE"""),167.76)</f>
        <v>167.76</v>
      </c>
      <c r="C848" s="1">
        <f ca="1">IFERROR(__xludf.DUMMYFUNCTION("""COMPUTED_VALUE"""),169.68)</f>
        <v>169.68</v>
      </c>
      <c r="D848" s="1">
        <f ca="1">IFERROR(__xludf.DUMMYFUNCTION("""COMPUTED_VALUE"""),164.26)</f>
        <v>164.26</v>
      </c>
      <c r="E848" s="1">
        <f ca="1">IFERROR(__xludf.DUMMYFUNCTION("""COMPUTED_VALUE"""),165.32)</f>
        <v>165.32</v>
      </c>
      <c r="F848" s="1">
        <f ca="1">IFERROR(__xludf.DUMMYFUNCTION("""COMPUTED_VALUE"""),33563274)</f>
        <v>33563274</v>
      </c>
    </row>
    <row r="849" spans="1:6" ht="12.6">
      <c r="A849" s="2">
        <f ca="1">IFERROR(__xludf.DUMMYFUNCTION("""COMPUTED_VALUE"""),45798.6666666666)</f>
        <v>45798.666666666599</v>
      </c>
      <c r="B849" s="1">
        <f ca="1">IFERROR(__xludf.DUMMYFUNCTION("""COMPUTED_VALUE"""),164.95)</f>
        <v>164.95</v>
      </c>
      <c r="C849" s="1">
        <f ca="1">IFERROR(__xludf.DUMMYFUNCTION("""COMPUTED_VALUE"""),174.53)</f>
        <v>174.53</v>
      </c>
      <c r="D849" s="1">
        <f ca="1">IFERROR(__xludf.DUMMYFUNCTION("""COMPUTED_VALUE"""),164.89)</f>
        <v>164.89</v>
      </c>
      <c r="E849" s="1">
        <f ca="1">IFERROR(__xludf.DUMMYFUNCTION("""COMPUTED_VALUE"""),170.06)</f>
        <v>170.06</v>
      </c>
      <c r="F849" s="1">
        <f ca="1">IFERROR(__xludf.DUMMYFUNCTION("""COMPUTED_VALUE"""),45567580)</f>
        <v>45567580</v>
      </c>
    </row>
    <row r="850" spans="1:6" ht="12.6">
      <c r="A850" s="2">
        <f ca="1">IFERROR(__xludf.DUMMYFUNCTION("""COMPUTED_VALUE"""),45799.6666666666)</f>
        <v>45799.666666666599</v>
      </c>
      <c r="B850" s="1">
        <f ca="1">IFERROR(__xludf.DUMMYFUNCTION("""COMPUTED_VALUE"""),164.95)</f>
        <v>164.95</v>
      </c>
      <c r="C850" s="1">
        <f ca="1">IFERROR(__xludf.DUMMYFUNCTION("""COMPUTED_VALUE"""),174.53)</f>
        <v>174.53</v>
      </c>
      <c r="D850" s="1">
        <f ca="1">IFERROR(__xludf.DUMMYFUNCTION("""COMPUTED_VALUE"""),164.89)</f>
        <v>164.89</v>
      </c>
      <c r="E850" s="1">
        <f ca="1">IFERROR(__xludf.DUMMYFUNCTION("""COMPUTED_VALUE"""),170.06)</f>
        <v>170.06</v>
      </c>
      <c r="F850" s="1">
        <f ca="1">IFERROR(__xludf.DUMMYFUNCTION("""COMPUTED_VALUE"""),1172364)</f>
        <v>1172364</v>
      </c>
    </row>
    <row r="851" spans="1:6" ht="12.6">
      <c r="A851" s="2">
        <f ca="1">IFERROR(__xludf.DUMMYFUNCTION("""COMPUTED_VALUE"""),45800.6666666666)</f>
        <v>45800.666666666599</v>
      </c>
      <c r="B851" s="1">
        <f ca="1">IFERROR(__xludf.DUMMYFUNCTION("""COMPUTED_VALUE"""),170.28)</f>
        <v>170.28</v>
      </c>
      <c r="C851" s="1">
        <f ca="1">IFERROR(__xludf.DUMMYFUNCTION("""COMPUTED_VALUE"""),171.21)</f>
        <v>171.21</v>
      </c>
      <c r="D851" s="1">
        <f ca="1">IFERROR(__xludf.DUMMYFUNCTION("""COMPUTED_VALUE"""),169.26)</f>
        <v>169.26</v>
      </c>
      <c r="E851" s="1">
        <f ca="1">IFERROR(__xludf.DUMMYFUNCTION("""COMPUTED_VALUE"""),169.59)</f>
        <v>169.59</v>
      </c>
      <c r="F851" s="1">
        <f ca="1">IFERROR(__xludf.DUMMYFUNCTION("""COMPUTED_VALUE"""),24963648)</f>
        <v>24963648</v>
      </c>
    </row>
    <row r="852" spans="1:6" ht="12.6">
      <c r="A852" s="2">
        <f ca="1">IFERROR(__xludf.DUMMYFUNCTION("""COMPUTED_VALUE"""),45804.6666666666)</f>
        <v>45804.666666666599</v>
      </c>
      <c r="B852" s="1">
        <f ca="1">IFERROR(__xludf.DUMMYFUNCTION("""COMPUTED_VALUE"""),171.3)</f>
        <v>171.3</v>
      </c>
      <c r="C852" s="1">
        <f ca="1">IFERROR(__xludf.DUMMYFUNCTION("""COMPUTED_VALUE"""),174.29)</f>
        <v>174.29</v>
      </c>
      <c r="D852" s="1">
        <f ca="1">IFERROR(__xludf.DUMMYFUNCTION("""COMPUTED_VALUE"""),171.21)</f>
        <v>171.21</v>
      </c>
      <c r="E852" s="1">
        <f ca="1">IFERROR(__xludf.DUMMYFUNCTION("""COMPUTED_VALUE"""),173.98)</f>
        <v>173.98</v>
      </c>
      <c r="F852" s="1">
        <f ca="1">IFERROR(__xludf.DUMMYFUNCTION("""COMPUTED_VALUE"""),24341333)</f>
        <v>24341333</v>
      </c>
    </row>
    <row r="853" spans="1:6" ht="12.6">
      <c r="A853" s="2">
        <f ca="1">IFERROR(__xludf.DUMMYFUNCTION("""COMPUTED_VALUE"""),45805.6666666666)</f>
        <v>45805.666666666599</v>
      </c>
      <c r="B853" s="1">
        <f ca="1">IFERROR(__xludf.DUMMYFUNCTION("""COMPUTED_VALUE"""),173.98)</f>
        <v>173.98</v>
      </c>
      <c r="C853" s="1">
        <f ca="1">IFERROR(__xludf.DUMMYFUNCTION("""COMPUTED_VALUE"""),176.48)</f>
        <v>176.48</v>
      </c>
      <c r="D853" s="1">
        <f ca="1">IFERROR(__xludf.DUMMYFUNCTION("""COMPUTED_VALUE"""),173.01)</f>
        <v>173.01</v>
      </c>
      <c r="E853" s="1">
        <f ca="1">IFERROR(__xludf.DUMMYFUNCTION("""COMPUTED_VALUE"""),173.38)</f>
        <v>173.38</v>
      </c>
      <c r="F853" s="1">
        <f ca="1">IFERROR(__xludf.DUMMYFUNCTION("""COMPUTED_VALUE"""),25999228)</f>
        <v>25999228</v>
      </c>
    </row>
    <row r="854" spans="1:6" ht="12.6">
      <c r="A854" s="2">
        <f ca="1">IFERROR(__xludf.DUMMYFUNCTION("""COMPUTED_VALUE"""),45806.6666666666)</f>
        <v>45806.666666666599</v>
      </c>
      <c r="B854" s="1">
        <f ca="1">IFERROR(__xludf.DUMMYFUNCTION("""COMPUTED_VALUE"""),175)</f>
        <v>175</v>
      </c>
      <c r="C854" s="1">
        <f ca="1">IFERROR(__xludf.DUMMYFUNCTION("""COMPUTED_VALUE"""),175.4)</f>
        <v>175.4</v>
      </c>
      <c r="D854" s="1">
        <f ca="1">IFERROR(__xludf.DUMMYFUNCTION("""COMPUTED_VALUE"""),171.78)</f>
        <v>171.78</v>
      </c>
      <c r="E854" s="1">
        <f ca="1">IFERROR(__xludf.DUMMYFUNCTION("""COMPUTED_VALUE"""),172.96)</f>
        <v>172.96</v>
      </c>
      <c r="F854" s="1">
        <f ca="1">IFERROR(__xludf.DUMMYFUNCTION("""COMPUTED_VALUE"""),21233590)</f>
        <v>21233590</v>
      </c>
    </row>
    <row r="855" spans="1:6" ht="12.6">
      <c r="A855" s="2">
        <f ca="1">IFERROR(__xludf.DUMMYFUNCTION("""COMPUTED_VALUE"""),45807.6666666666)</f>
        <v>45807.666666666599</v>
      </c>
      <c r="B855" s="1">
        <f ca="1">IFERROR(__xludf.DUMMYFUNCTION("""COMPUTED_VALUE"""),172.41)</f>
        <v>172.41</v>
      </c>
      <c r="C855" s="1">
        <f ca="1">IFERROR(__xludf.DUMMYFUNCTION("""COMPUTED_VALUE"""),173.44)</f>
        <v>173.44</v>
      </c>
      <c r="D855" s="1">
        <f ca="1">IFERROR(__xludf.DUMMYFUNCTION("""COMPUTED_VALUE"""),168.53)</f>
        <v>168.53</v>
      </c>
      <c r="E855" s="1">
        <f ca="1">IFERROR(__xludf.DUMMYFUNCTION("""COMPUTED_VALUE"""),172.85)</f>
        <v>172.85</v>
      </c>
      <c r="F855" s="1">
        <f ca="1">IFERROR(__xludf.DUMMYFUNCTION("""COMPUTED_VALUE"""),36258254)</f>
        <v>36258254</v>
      </c>
    </row>
    <row r="856" spans="1:6" ht="12.6">
      <c r="A856" s="2">
        <f ca="1">IFERROR(__xludf.DUMMYFUNCTION("""COMPUTED_VALUE"""),45810.6666666666)</f>
        <v>45810.666666666599</v>
      </c>
      <c r="B856" s="1">
        <f ca="1">IFERROR(__xludf.DUMMYFUNCTION("""COMPUTED_VALUE"""),169.01)</f>
        <v>169.01</v>
      </c>
      <c r="C856" s="1">
        <f ca="1">IFERROR(__xludf.DUMMYFUNCTION("""COMPUTED_VALUE"""),171.06)</f>
        <v>171.06</v>
      </c>
      <c r="D856" s="1">
        <f ca="1">IFERROR(__xludf.DUMMYFUNCTION("""COMPUTED_VALUE"""),168.65)</f>
        <v>168.65</v>
      </c>
      <c r="E856" s="1">
        <f ca="1">IFERROR(__xludf.DUMMYFUNCTION("""COMPUTED_VALUE"""),170.37)</f>
        <v>170.37</v>
      </c>
      <c r="F856" s="1">
        <f ca="1">IFERROR(__xludf.DUMMYFUNCTION("""COMPUTED_VALUE"""),24742877)</f>
        <v>24742877</v>
      </c>
    </row>
    <row r="857" spans="1:6" ht="12.6">
      <c r="A857" s="2">
        <f ca="1">IFERROR(__xludf.DUMMYFUNCTION("""COMPUTED_VALUE"""),45811.6666666666)</f>
        <v>45811.666666666599</v>
      </c>
      <c r="B857" s="1">
        <f ca="1">IFERROR(__xludf.DUMMYFUNCTION("""COMPUTED_VALUE"""),168.87)</f>
        <v>168.87</v>
      </c>
      <c r="C857" s="1">
        <f ca="1">IFERROR(__xludf.DUMMYFUNCTION("""COMPUTED_VALUE"""),169.8)</f>
        <v>169.8</v>
      </c>
      <c r="D857" s="1">
        <f ca="1">IFERROR(__xludf.DUMMYFUNCTION("""COMPUTED_VALUE"""),166.68)</f>
        <v>166.68</v>
      </c>
      <c r="E857" s="1">
        <f ca="1">IFERROR(__xludf.DUMMYFUNCTION("""COMPUTED_VALUE"""),167.71)</f>
        <v>167.71</v>
      </c>
      <c r="F857" s="1">
        <f ca="1">IFERROR(__xludf.DUMMYFUNCTION("""COMPUTED_VALUE"""),25386713)</f>
        <v>25386713</v>
      </c>
    </row>
    <row r="858" spans="1:6" ht="12.6">
      <c r="A858" s="2">
        <f ca="1">IFERROR(__xludf.DUMMYFUNCTION("""COMPUTED_VALUE"""),45812.6666666666)</f>
        <v>45812.666666666599</v>
      </c>
      <c r="B858" s="1">
        <f ca="1">IFERROR(__xludf.DUMMYFUNCTION("""COMPUTED_VALUE"""),168.28)</f>
        <v>168.28</v>
      </c>
      <c r="C858" s="1">
        <f ca="1">IFERROR(__xludf.DUMMYFUNCTION("""COMPUTED_VALUE"""),169.58)</f>
        <v>169.58</v>
      </c>
      <c r="D858" s="1">
        <f ca="1">IFERROR(__xludf.DUMMYFUNCTION("""COMPUTED_VALUE"""),167.8)</f>
        <v>167.8</v>
      </c>
      <c r="E858" s="1">
        <f ca="1">IFERROR(__xludf.DUMMYFUNCTION("""COMPUTED_VALUE"""),169.39)</f>
        <v>169.39</v>
      </c>
      <c r="F858" s="1">
        <f ca="1">IFERROR(__xludf.DUMMYFUNCTION("""COMPUTED_VALUE"""),18508735)</f>
        <v>18508735</v>
      </c>
    </row>
    <row r="859" spans="1:6" ht="12.6">
      <c r="A859" s="2">
        <f ca="1">IFERROR(__xludf.DUMMYFUNCTION("""COMPUTED_VALUE"""),45813.6666666666)</f>
        <v>45813.666666666599</v>
      </c>
      <c r="B859" s="1">
        <f ca="1">IFERROR(__xludf.DUMMYFUNCTION("""COMPUTED_VALUE"""),171.62)</f>
        <v>171.62</v>
      </c>
      <c r="C859" s="1">
        <f ca="1">IFERROR(__xludf.DUMMYFUNCTION("""COMPUTED_VALUE"""),172.36)</f>
        <v>172.36</v>
      </c>
      <c r="D859" s="1">
        <f ca="1">IFERROR(__xludf.DUMMYFUNCTION("""COMPUTED_VALUE"""),169.35)</f>
        <v>169.35</v>
      </c>
      <c r="E859" s="1">
        <f ca="1">IFERROR(__xludf.DUMMYFUNCTION("""COMPUTED_VALUE"""),169.81)</f>
        <v>169.81</v>
      </c>
      <c r="F859" s="1">
        <f ca="1">IFERROR(__xludf.DUMMYFUNCTION("""COMPUTED_VALUE"""),25422883)</f>
        <v>25422883</v>
      </c>
    </row>
    <row r="860" spans="1:6" ht="12.6">
      <c r="A860" s="2">
        <f ca="1">IFERROR(__xludf.DUMMYFUNCTION("""COMPUTED_VALUE"""),45814.6666666666)</f>
        <v>45814.666666666599</v>
      </c>
      <c r="B860" s="1">
        <f ca="1">IFERROR(__xludf.DUMMYFUNCTION("""COMPUTED_VALUE"""),172.3)</f>
        <v>172.3</v>
      </c>
      <c r="C860" s="1">
        <f ca="1">IFERROR(__xludf.DUMMYFUNCTION("""COMPUTED_VALUE"""),175.83)</f>
        <v>175.83</v>
      </c>
      <c r="D860" s="1">
        <f ca="1">IFERROR(__xludf.DUMMYFUNCTION("""COMPUTED_VALUE"""),172.3)</f>
        <v>172.3</v>
      </c>
      <c r="E860" s="1">
        <f ca="1">IFERROR(__xludf.DUMMYFUNCTION("""COMPUTED_VALUE"""),174.92)</f>
        <v>174.92</v>
      </c>
      <c r="F860" s="1">
        <f ca="1">IFERROR(__xludf.DUMMYFUNCTION("""COMPUTED_VALUE"""),22258115)</f>
        <v>22258115</v>
      </c>
    </row>
    <row r="861" spans="1:6" ht="12.6">
      <c r="A861" s="2">
        <f ca="1">IFERROR(__xludf.DUMMYFUNCTION("""COMPUTED_VALUE"""),45817.6666666666)</f>
        <v>45817.666666666599</v>
      </c>
      <c r="B861" s="1">
        <f ca="1">IFERROR(__xludf.DUMMYFUNCTION("""COMPUTED_VALUE"""),175.87)</f>
        <v>175.87</v>
      </c>
      <c r="C861" s="1">
        <f ca="1">IFERROR(__xludf.DUMMYFUNCTION("""COMPUTED_VALUE"""),177.92)</f>
        <v>177.92</v>
      </c>
      <c r="D861" s="1">
        <f ca="1">IFERROR(__xludf.DUMMYFUNCTION("""COMPUTED_VALUE"""),175.66)</f>
        <v>175.66</v>
      </c>
      <c r="E861" s="1">
        <f ca="1">IFERROR(__xludf.DUMMYFUNCTION("""COMPUTED_VALUE"""),177.63)</f>
        <v>177.63</v>
      </c>
      <c r="F861" s="1">
        <f ca="1">IFERROR(__xludf.DUMMYFUNCTION("""COMPUTED_VALUE"""),18817587)</f>
        <v>18817587</v>
      </c>
    </row>
    <row r="862" spans="1:6" ht="12.6">
      <c r="A862" s="2">
        <f ca="1">IFERROR(__xludf.DUMMYFUNCTION("""COMPUTED_VALUE"""),45818.6666666666)</f>
        <v>45818.666666666599</v>
      </c>
      <c r="B862" s="1">
        <f ca="1">IFERROR(__xludf.DUMMYFUNCTION("""COMPUTED_VALUE"""),177.76)</f>
        <v>177.76</v>
      </c>
      <c r="C862" s="1">
        <f ca="1">IFERROR(__xludf.DUMMYFUNCTION("""COMPUTED_VALUE"""),182.45)</f>
        <v>182.45</v>
      </c>
      <c r="D862" s="1">
        <f ca="1">IFERROR(__xludf.DUMMYFUNCTION("""COMPUTED_VALUE"""),176.48)</f>
        <v>176.48</v>
      </c>
      <c r="E862" s="1">
        <f ca="1">IFERROR(__xludf.DUMMYFUNCTION("""COMPUTED_VALUE"""),180.01)</f>
        <v>180.01</v>
      </c>
      <c r="F862" s="1">
        <f ca="1">IFERROR(__xludf.DUMMYFUNCTION("""COMPUTED_VALUE"""),32908000)</f>
        <v>32908000</v>
      </c>
    </row>
    <row r="863" spans="1:6" ht="12.6">
      <c r="A863" s="2">
        <f ca="1">IFERROR(__xludf.DUMMYFUNCTION("""COMPUTED_VALUE"""),45819.6666666666)</f>
        <v>45819.666666666599</v>
      </c>
      <c r="B863" s="1">
        <f ca="1">IFERROR(__xludf.DUMMYFUNCTION("""COMPUTED_VALUE"""),181.23)</f>
        <v>181.23</v>
      </c>
      <c r="C863" s="1">
        <f ca="1">IFERROR(__xludf.DUMMYFUNCTION("""COMPUTED_VALUE"""),181.75)</f>
        <v>181.75</v>
      </c>
      <c r="D863" s="1">
        <f ca="1">IFERROR(__xludf.DUMMYFUNCTION("""COMPUTED_VALUE"""),178)</f>
        <v>178</v>
      </c>
      <c r="E863" s="1">
        <f ca="1">IFERROR(__xludf.DUMMYFUNCTION("""COMPUTED_VALUE"""),178.79)</f>
        <v>178.79</v>
      </c>
      <c r="F863" s="1">
        <f ca="1">IFERROR(__xludf.DUMMYFUNCTION("""COMPUTED_VALUE"""),18994398)</f>
        <v>18994398</v>
      </c>
    </row>
    <row r="864" spans="1:6" ht="12.6">
      <c r="A864" s="2">
        <f ca="1">IFERROR(__xludf.DUMMYFUNCTION("""COMPUTED_VALUE"""),45820.6666666666)</f>
        <v>45820.666666666599</v>
      </c>
      <c r="B864" s="1">
        <f ca="1">IFERROR(__xludf.DUMMYFUNCTION("""COMPUTED_VALUE"""),177.48)</f>
        <v>177.48</v>
      </c>
      <c r="C864" s="1">
        <f ca="1">IFERROR(__xludf.DUMMYFUNCTION("""COMPUTED_VALUE"""),178.13)</f>
        <v>178.13</v>
      </c>
      <c r="D864" s="1">
        <f ca="1">IFERROR(__xludf.DUMMYFUNCTION("""COMPUTED_VALUE"""),176.11)</f>
        <v>176.11</v>
      </c>
      <c r="E864" s="1">
        <f ca="1">IFERROR(__xludf.DUMMYFUNCTION("""COMPUTED_VALUE"""),176.97)</f>
        <v>176.97</v>
      </c>
      <c r="F864" s="1">
        <f ca="1">IFERROR(__xludf.DUMMYFUNCTION("""COMPUTED_VALUE"""),17345924)</f>
        <v>17345924</v>
      </c>
    </row>
    <row r="865" spans="1:6" ht="12.6">
      <c r="A865" s="2">
        <f ca="1">IFERROR(__xludf.DUMMYFUNCTION("""COMPUTED_VALUE"""),45821.6666666666)</f>
        <v>45821.666666666599</v>
      </c>
      <c r="B865" s="1">
        <f ca="1">IFERROR(__xludf.DUMMYFUNCTION("""COMPUTED_VALUE"""),173.58)</f>
        <v>173.58</v>
      </c>
      <c r="C865" s="1">
        <f ca="1">IFERROR(__xludf.DUMMYFUNCTION("""COMPUTED_VALUE"""),178.34)</f>
        <v>178.34</v>
      </c>
      <c r="D865" s="1">
        <f ca="1">IFERROR(__xludf.DUMMYFUNCTION("""COMPUTED_VALUE"""),173.57)</f>
        <v>173.57</v>
      </c>
      <c r="E865" s="1">
        <f ca="1">IFERROR(__xludf.DUMMYFUNCTION("""COMPUTED_VALUE"""),175.88)</f>
        <v>175.88</v>
      </c>
      <c r="F865" s="1">
        <f ca="1">IFERROR(__xludf.DUMMYFUNCTION("""COMPUTED_VALUE"""),20873241)</f>
        <v>20873241</v>
      </c>
    </row>
    <row r="866" spans="1:6" ht="12.6">
      <c r="A866" s="2">
        <f ca="1">IFERROR(__xludf.DUMMYFUNCTION("""COMPUTED_VALUE"""),45824.6666666666)</f>
        <v>45824.666666666599</v>
      </c>
      <c r="B866" s="1">
        <f ca="1">IFERROR(__xludf.DUMMYFUNCTION("""COMPUTED_VALUE"""),175.91)</f>
        <v>175.91</v>
      </c>
      <c r="C866" s="1">
        <f ca="1">IFERROR(__xludf.DUMMYFUNCTION("""COMPUTED_VALUE"""),178.25)</f>
        <v>178.25</v>
      </c>
      <c r="D866" s="1">
        <f ca="1">IFERROR(__xludf.DUMMYFUNCTION("""COMPUTED_VALUE"""),175.82)</f>
        <v>175.82</v>
      </c>
      <c r="E866" s="1">
        <f ca="1">IFERROR(__xludf.DUMMYFUNCTION("""COMPUTED_VALUE"""),177.94)</f>
        <v>177.94</v>
      </c>
      <c r="F866" s="1">
        <f ca="1">IFERROR(__xludf.DUMMYFUNCTION("""COMPUTED_VALUE"""),18132529)</f>
        <v>18132529</v>
      </c>
    </row>
    <row r="867" spans="1:6" ht="12.6">
      <c r="A867" s="2">
        <f ca="1">IFERROR(__xludf.DUMMYFUNCTION("""COMPUTED_VALUE"""),45825.6666666666)</f>
        <v>45825.666666666599</v>
      </c>
      <c r="B867" s="1">
        <f ca="1">IFERROR(__xludf.DUMMYFUNCTION("""COMPUTED_VALUE"""),177)</f>
        <v>177</v>
      </c>
      <c r="C867" s="1">
        <f ca="1">IFERROR(__xludf.DUMMYFUNCTION("""COMPUTED_VALUE"""),178.72)</f>
        <v>178.72</v>
      </c>
      <c r="D867" s="1">
        <f ca="1">IFERROR(__xludf.DUMMYFUNCTION("""COMPUTED_VALUE"""),175.94)</f>
        <v>175.94</v>
      </c>
      <c r="E867" s="1">
        <f ca="1">IFERROR(__xludf.DUMMYFUNCTION("""COMPUTED_VALUE"""),177.23)</f>
        <v>177.23</v>
      </c>
      <c r="F867" s="1">
        <f ca="1">IFERROR(__xludf.DUMMYFUNCTION("""COMPUTED_VALUE"""),17656119)</f>
        <v>17656119</v>
      </c>
    </row>
    <row r="868" spans="1:6" ht="12.6">
      <c r="A868" s="2">
        <f ca="1">IFERROR(__xludf.DUMMYFUNCTION("""COMPUTED_VALUE"""),45826.6666666666)</f>
        <v>45826.666666666599</v>
      </c>
      <c r="B868" s="1">
        <f ca="1">IFERROR(__xludf.DUMMYFUNCTION("""COMPUTED_VALUE"""),177.28)</f>
        <v>177.28</v>
      </c>
      <c r="C868" s="1">
        <f ca="1">IFERROR(__xludf.DUMMYFUNCTION("""COMPUTED_VALUE"""),177.82)</f>
        <v>177.82</v>
      </c>
      <c r="D868" s="1">
        <f ca="1">IFERROR(__xludf.DUMMYFUNCTION("""COMPUTED_VALUE"""),172.84)</f>
        <v>172.84</v>
      </c>
      <c r="E868" s="1">
        <f ca="1">IFERROR(__xludf.DUMMYFUNCTION("""COMPUTED_VALUE"""),173.98)</f>
        <v>173.98</v>
      </c>
      <c r="F868" s="1">
        <f ca="1">IFERROR(__xludf.DUMMYFUNCTION("""COMPUTED_VALUE"""),32531762)</f>
        <v>32531762</v>
      </c>
    </row>
    <row r="869" spans="1:6" ht="12.6">
      <c r="A869" s="2">
        <f ca="1">IFERROR(__xludf.DUMMYFUNCTION("""COMPUTED_VALUE"""),45828.6666666666)</f>
        <v>45828.666666666599</v>
      </c>
      <c r="B869" s="1">
        <f ca="1">IFERROR(__xludf.DUMMYFUNCTION("""COMPUTED_VALUE"""),174.87)</f>
        <v>174.87</v>
      </c>
      <c r="C869" s="1">
        <f ca="1">IFERROR(__xludf.DUMMYFUNCTION("""COMPUTED_VALUE"""),175.37)</f>
        <v>175.37</v>
      </c>
      <c r="D869" s="1">
        <f ca="1">IFERROR(__xludf.DUMMYFUNCTION("""COMPUTED_VALUE"""),166.27)</f>
        <v>166.27</v>
      </c>
      <c r="E869" s="1">
        <f ca="1">IFERROR(__xludf.DUMMYFUNCTION("""COMPUTED_VALUE"""),167.73)</f>
        <v>167.73</v>
      </c>
      <c r="F869" s="1">
        <f ca="1">IFERROR(__xludf.DUMMYFUNCTION("""COMPUTED_VALUE"""),55402575)</f>
        <v>55402575</v>
      </c>
    </row>
    <row r="870" spans="1:6" ht="12.6">
      <c r="A870" s="2">
        <f ca="1">IFERROR(__xludf.DUMMYFUNCTION("""COMPUTED_VALUE"""),45831.6666666666)</f>
        <v>45831.666666666599</v>
      </c>
      <c r="B870" s="1">
        <f ca="1">IFERROR(__xludf.DUMMYFUNCTION("""COMPUTED_VALUE"""),167.32)</f>
        <v>167.32</v>
      </c>
      <c r="C870" s="1">
        <f ca="1">IFERROR(__xludf.DUMMYFUNCTION("""COMPUTED_VALUE"""),168.48)</f>
        <v>168.48</v>
      </c>
      <c r="D870" s="1">
        <f ca="1">IFERROR(__xludf.DUMMYFUNCTION("""COMPUTED_VALUE"""),163.33)</f>
        <v>163.33000000000001</v>
      </c>
      <c r="E870" s="1">
        <f ca="1">IFERROR(__xludf.DUMMYFUNCTION("""COMPUTED_VALUE"""),166.01)</f>
        <v>166.01</v>
      </c>
      <c r="F870" s="1">
        <f ca="1">IFERROR(__xludf.DUMMYFUNCTION("""COMPUTED_VALUE"""),36975585)</f>
        <v>36975585</v>
      </c>
    </row>
    <row r="871" spans="1:6" ht="12.6">
      <c r="A871" s="2">
        <f ca="1">IFERROR(__xludf.DUMMYFUNCTION("""COMPUTED_VALUE"""),45832.6666666666)</f>
        <v>45832.666666666599</v>
      </c>
      <c r="B871" s="1">
        <f ca="1">IFERROR(__xludf.DUMMYFUNCTION("""COMPUTED_VALUE"""),167.69)</f>
        <v>167.69</v>
      </c>
      <c r="C871" s="1">
        <f ca="1">IFERROR(__xludf.DUMMYFUNCTION("""COMPUTED_VALUE"""),169.25)</f>
        <v>169.25</v>
      </c>
      <c r="D871" s="1">
        <f ca="1">IFERROR(__xludf.DUMMYFUNCTION("""COMPUTED_VALUE"""),166.91)</f>
        <v>166.91</v>
      </c>
      <c r="E871" s="1">
        <f ca="1">IFERROR(__xludf.DUMMYFUNCTION("""COMPUTED_VALUE"""),167.74)</f>
        <v>167.74</v>
      </c>
      <c r="F871" s="1">
        <f ca="1">IFERROR(__xludf.DUMMYFUNCTION("""COMPUTED_VALUE"""),27310266)</f>
        <v>27310266</v>
      </c>
    </row>
    <row r="872" spans="1:6" ht="12.6">
      <c r="A872" s="2">
        <f ca="1">IFERROR(__xludf.DUMMYFUNCTION("""COMPUTED_VALUE"""),45833.6666666666)</f>
        <v>45833.666666666599</v>
      </c>
      <c r="B872" s="1">
        <f ca="1">IFERROR(__xludf.DUMMYFUNCTION("""COMPUTED_VALUE"""),168.65)</f>
        <v>168.65</v>
      </c>
      <c r="C872" s="1">
        <f ca="1">IFERROR(__xludf.DUMMYFUNCTION("""COMPUTED_VALUE"""),173.36)</f>
        <v>173.36</v>
      </c>
      <c r="D872" s="1">
        <f ca="1">IFERROR(__xludf.DUMMYFUNCTION("""COMPUTED_VALUE"""),168.56)</f>
        <v>168.56</v>
      </c>
      <c r="E872" s="1">
        <f ca="1">IFERROR(__xludf.DUMMYFUNCTION("""COMPUTED_VALUE"""),171.49)</f>
        <v>171.49</v>
      </c>
      <c r="F872" s="1">
        <f ca="1">IFERROR(__xludf.DUMMYFUNCTION("""COMPUTED_VALUE"""),23627355)</f>
        <v>23627355</v>
      </c>
    </row>
    <row r="873" spans="1:6" ht="12.6">
      <c r="A873" s="2">
        <f ca="1">IFERROR(__xludf.DUMMYFUNCTION("""COMPUTED_VALUE"""),45834.6666666666)</f>
        <v>45834.666666666599</v>
      </c>
      <c r="B873" s="1">
        <f ca="1">IFERROR(__xludf.DUMMYFUNCTION("""COMPUTED_VALUE"""),173.39)</f>
        <v>173.39</v>
      </c>
      <c r="C873" s="1">
        <f ca="1">IFERROR(__xludf.DUMMYFUNCTION("""COMPUTED_VALUE"""),174.65)</f>
        <v>174.65</v>
      </c>
      <c r="D873" s="1">
        <f ca="1">IFERROR(__xludf.DUMMYFUNCTION("""COMPUTED_VALUE"""),170.86)</f>
        <v>170.86</v>
      </c>
      <c r="E873" s="1">
        <f ca="1">IFERROR(__xludf.DUMMYFUNCTION("""COMPUTED_VALUE"""),174.43)</f>
        <v>174.43</v>
      </c>
      <c r="F873" s="1">
        <f ca="1">IFERROR(__xludf.DUMMYFUNCTION("""COMPUTED_VALUE"""),25909119)</f>
        <v>25909119</v>
      </c>
    </row>
    <row r="874" spans="1:6" ht="12.6">
      <c r="A874" s="2">
        <f ca="1">IFERROR(__xludf.DUMMYFUNCTION("""COMPUTED_VALUE"""),45835.6666666666)</f>
        <v>45835.666666666599</v>
      </c>
      <c r="B874" s="1">
        <f ca="1">IFERROR(__xludf.DUMMYFUNCTION("""COMPUTED_VALUE"""),174.63)</f>
        <v>174.63</v>
      </c>
      <c r="C874" s="1">
        <f ca="1">IFERROR(__xludf.DUMMYFUNCTION("""COMPUTED_VALUE"""),178.84)</f>
        <v>178.84</v>
      </c>
      <c r="D874" s="1">
        <f ca="1">IFERROR(__xludf.DUMMYFUNCTION("""COMPUTED_VALUE"""),172.71)</f>
        <v>172.71</v>
      </c>
      <c r="E874" s="1">
        <f ca="1">IFERROR(__xludf.DUMMYFUNCTION("""COMPUTED_VALUE"""),178.27)</f>
        <v>178.27</v>
      </c>
      <c r="F874" s="1">
        <f ca="1">IFERROR(__xludf.DUMMYFUNCTION("""COMPUTED_VALUE"""),74053110)</f>
        <v>74053110</v>
      </c>
    </row>
    <row r="875" spans="1:6" ht="12.6">
      <c r="A875" s="2">
        <f ca="1">IFERROR(__xludf.DUMMYFUNCTION("""COMPUTED_VALUE"""),45838.6666666666)</f>
        <v>45838.666666666599</v>
      </c>
      <c r="B875" s="1">
        <f ca="1">IFERROR(__xludf.DUMMYFUNCTION("""COMPUTED_VALUE"""),180.79)</f>
        <v>180.79</v>
      </c>
      <c r="C875" s="1">
        <f ca="1">IFERROR(__xludf.DUMMYFUNCTION("""COMPUTED_VALUE"""),181.58)</f>
        <v>181.58</v>
      </c>
      <c r="D875" s="1">
        <f ca="1">IFERROR(__xludf.DUMMYFUNCTION("""COMPUTED_VALUE"""),175.5)</f>
        <v>175.5</v>
      </c>
      <c r="E875" s="1">
        <f ca="1">IFERROR(__xludf.DUMMYFUNCTION("""COMPUTED_VALUE"""),177.39)</f>
        <v>177.39</v>
      </c>
      <c r="F875" s="1">
        <f ca="1">IFERROR(__xludf.DUMMYFUNCTION("""COMPUTED_VALUE"""),43964599)</f>
        <v>43964599</v>
      </c>
    </row>
    <row r="876" spans="1:6" ht="12.6">
      <c r="A876" s="2">
        <f ca="1">IFERROR(__xludf.DUMMYFUNCTION("""COMPUTED_VALUE"""),45839.6666666666)</f>
        <v>45839.666666666599</v>
      </c>
      <c r="B876" s="1">
        <f ca="1">IFERROR(__xludf.DUMMYFUNCTION("""COMPUTED_VALUE"""),176.81)</f>
        <v>176.81</v>
      </c>
      <c r="C876" s="1">
        <f ca="1">IFERROR(__xludf.DUMMYFUNCTION("""COMPUTED_VALUE"""),177.22)</f>
        <v>177.22</v>
      </c>
      <c r="D876" s="1">
        <f ca="1">IFERROR(__xludf.DUMMYFUNCTION("""COMPUTED_VALUE"""),174.66)</f>
        <v>174.66</v>
      </c>
      <c r="E876" s="1">
        <f ca="1">IFERROR(__xludf.DUMMYFUNCTION("""COMPUTED_VALUE"""),176.91)</f>
        <v>176.91</v>
      </c>
      <c r="F876" s="1">
        <f ca="1">IFERROR(__xludf.DUMMYFUNCTION("""COMPUTED_VALUE"""),25778460)</f>
        <v>25778460</v>
      </c>
    </row>
    <row r="877" spans="1:6" ht="12.6">
      <c r="A877" s="2">
        <f ca="1">IFERROR(__xludf.DUMMYFUNCTION("""COMPUTED_VALUE"""),45840.6666666666)</f>
        <v>45840.666666666599</v>
      </c>
      <c r="B877" s="1">
        <f ca="1">IFERROR(__xludf.DUMMYFUNCTION("""COMPUTED_VALUE"""),176.55)</f>
        <v>176.55</v>
      </c>
      <c r="C877" s="1">
        <f ca="1">IFERROR(__xludf.DUMMYFUNCTION("""COMPUTED_VALUE"""),179.94)</f>
        <v>179.94</v>
      </c>
      <c r="D877" s="1">
        <f ca="1">IFERROR(__xludf.DUMMYFUNCTION("""COMPUTED_VALUE"""),176.09)</f>
        <v>176.09</v>
      </c>
      <c r="E877" s="1">
        <f ca="1">IFERROR(__xludf.DUMMYFUNCTION("""COMPUTED_VALUE"""),179.76)</f>
        <v>179.76</v>
      </c>
      <c r="F877" s="1">
        <f ca="1">IFERROR(__xludf.DUMMYFUNCTION("""COMPUTED_VALUE"""),19325861)</f>
        <v>19325861</v>
      </c>
    </row>
    <row r="878" spans="1:6" ht="12.6">
      <c r="A878" s="2">
        <f ca="1">IFERROR(__xludf.DUMMYFUNCTION("""COMPUTED_VALUE"""),45841.5451388888)</f>
        <v>45841.545138888803</v>
      </c>
      <c r="B878" s="1">
        <f ca="1">IFERROR(__xludf.DUMMYFUNCTION("""COMPUTED_VALUE"""),179.82)</f>
        <v>179.82</v>
      </c>
      <c r="C878" s="1">
        <f ca="1">IFERROR(__xludf.DUMMYFUNCTION("""COMPUTED_VALUE"""),180.77)</f>
        <v>180.77</v>
      </c>
      <c r="D878" s="1">
        <f ca="1">IFERROR(__xludf.DUMMYFUNCTION("""COMPUTED_VALUE"""),178.19)</f>
        <v>178.19</v>
      </c>
      <c r="E878" s="1">
        <f ca="1">IFERROR(__xludf.DUMMYFUNCTION("""COMPUTED_VALUE"""),180.55)</f>
        <v>180.55</v>
      </c>
      <c r="F878" s="1">
        <f ca="1">IFERROR(__xludf.DUMMYFUNCTION("""COMPUTED_VALUE"""),13287389)</f>
        <v>13287389</v>
      </c>
    </row>
    <row r="879" spans="1:6" ht="12.6">
      <c r="A879" s="2">
        <f ca="1">IFERROR(__xludf.DUMMYFUNCTION("""COMPUTED_VALUE"""),45845.6666666666)</f>
        <v>45845.666666666599</v>
      </c>
      <c r="B879" s="1">
        <f ca="1">IFERROR(__xludf.DUMMYFUNCTION("""COMPUTED_VALUE"""),180.14)</f>
        <v>180.14</v>
      </c>
      <c r="C879" s="1">
        <f ca="1">IFERROR(__xludf.DUMMYFUNCTION("""COMPUTED_VALUE"""),180.34)</f>
        <v>180.34</v>
      </c>
      <c r="D879" s="1">
        <f ca="1">IFERROR(__xludf.DUMMYFUNCTION("""COMPUTED_VALUE"""),176.64)</f>
        <v>176.64</v>
      </c>
      <c r="E879" s="1">
        <f ca="1">IFERROR(__xludf.DUMMYFUNCTION("""COMPUTED_VALUE"""),177.56)</f>
        <v>177.56</v>
      </c>
      <c r="F879" s="1">
        <f ca="1">IFERROR(__xludf.DUMMYFUNCTION("""COMPUTED_VALUE"""),20991357)</f>
        <v>20991357</v>
      </c>
    </row>
    <row r="880" spans="1:6" ht="12.6">
      <c r="A880" s="2">
        <f ca="1">IFERROR(__xludf.DUMMYFUNCTION("""COMPUTED_VALUE"""),45846.6666666666)</f>
        <v>45846.666666666599</v>
      </c>
      <c r="B880" s="1">
        <f ca="1">IFERROR(__xludf.DUMMYFUNCTION("""COMPUTED_VALUE"""),178.78)</f>
        <v>178.78</v>
      </c>
      <c r="C880" s="1">
        <f ca="1">IFERROR(__xludf.DUMMYFUNCTION("""COMPUTED_VALUE"""),178.79)</f>
        <v>178.79</v>
      </c>
      <c r="D880" s="1">
        <f ca="1">IFERROR(__xludf.DUMMYFUNCTION("""COMPUTED_VALUE"""),173.92)</f>
        <v>173.92</v>
      </c>
      <c r="E880" s="1">
        <f ca="1">IFERROR(__xludf.DUMMYFUNCTION("""COMPUTED_VALUE"""),175.16)</f>
        <v>175.16</v>
      </c>
      <c r="F880" s="1">
        <f ca="1">IFERROR(__xludf.DUMMYFUNCTION("""COMPUTED_VALUE"""),24108642)</f>
        <v>24108642</v>
      </c>
    </row>
    <row r="881" spans="1:6" ht="12.6">
      <c r="A881" s="2">
        <f ca="1">IFERROR(__xludf.DUMMYFUNCTION("""COMPUTED_VALUE"""),45847.6666666666)</f>
        <v>45847.666666666599</v>
      </c>
      <c r="B881" s="1">
        <f ca="1">IFERROR(__xludf.DUMMYFUNCTION("""COMPUTED_VALUE"""),176.11)</f>
        <v>176.11</v>
      </c>
      <c r="C881" s="1">
        <f ca="1">IFERROR(__xludf.DUMMYFUNCTION("""COMPUTED_VALUE"""),180.28)</f>
        <v>180.28</v>
      </c>
      <c r="D881" s="1">
        <f ca="1">IFERROR(__xludf.DUMMYFUNCTION("""COMPUTED_VALUE"""),173.88)</f>
        <v>173.88</v>
      </c>
      <c r="E881" s="1">
        <f ca="1">IFERROR(__xludf.DUMMYFUNCTION("""COMPUTED_VALUE"""),177.66)</f>
        <v>177.66</v>
      </c>
      <c r="F881" s="1">
        <f ca="1">IFERROR(__xludf.DUMMYFUNCTION("""COMPUTED_VALUE"""),31288035)</f>
        <v>31288035</v>
      </c>
    </row>
    <row r="882" spans="1:6" ht="12.6">
      <c r="A882" s="2">
        <f ca="1">IFERROR(__xludf.DUMMYFUNCTION("""COMPUTED_VALUE"""),45848.6666666666)</f>
        <v>45848.666666666599</v>
      </c>
      <c r="B882" s="1">
        <f ca="1">IFERROR(__xludf.DUMMYFUNCTION("""COMPUTED_VALUE"""),176.67)</f>
        <v>176.67</v>
      </c>
      <c r="C882" s="1">
        <f ca="1">IFERROR(__xludf.DUMMYFUNCTION("""COMPUTED_VALUE"""),179.59)</f>
        <v>179.59</v>
      </c>
      <c r="D882" s="1">
        <f ca="1">IFERROR(__xludf.DUMMYFUNCTION("""COMPUTED_VALUE"""),175.74)</f>
        <v>175.74</v>
      </c>
      <c r="E882" s="1">
        <f ca="1">IFERROR(__xludf.DUMMYFUNCTION("""COMPUTED_VALUE"""),178.7)</f>
        <v>178.7</v>
      </c>
      <c r="F882" s="1">
        <f ca="1">IFERROR(__xludf.DUMMYFUNCTION("""COMPUTED_VALUE"""),24693712)</f>
        <v>24693712</v>
      </c>
    </row>
    <row r="883" spans="1:6" ht="12.6">
      <c r="A883" s="2">
        <f ca="1">IFERROR(__xludf.DUMMYFUNCTION("""COMPUTED_VALUE"""),45849.6666666666)</f>
        <v>45849.666666666599</v>
      </c>
      <c r="B883" s="1">
        <f ca="1">IFERROR(__xludf.DUMMYFUNCTION("""COMPUTED_VALUE"""),177.91)</f>
        <v>177.91</v>
      </c>
      <c r="C883" s="1">
        <f ca="1">IFERROR(__xludf.DUMMYFUNCTION("""COMPUTED_VALUE"""),182.61)</f>
        <v>182.61</v>
      </c>
      <c r="D883" s="1">
        <f ca="1">IFERROR(__xludf.DUMMYFUNCTION("""COMPUTED_VALUE"""),177.54)</f>
        <v>177.54</v>
      </c>
      <c r="E883" s="1">
        <f ca="1">IFERROR(__xludf.DUMMYFUNCTION("""COMPUTED_VALUE"""),181.31)</f>
        <v>181.31</v>
      </c>
      <c r="F883" s="1">
        <f ca="1">IFERROR(__xludf.DUMMYFUNCTION("""COMPUTED_VALUE"""),23975714)</f>
        <v>23975714</v>
      </c>
    </row>
    <row r="884" spans="1:6" ht="12.6">
      <c r="A884" s="2">
        <f ca="1">IFERROR(__xludf.DUMMYFUNCTION("""COMPUTED_VALUE"""),45852.6666666666)</f>
        <v>45852.666666666599</v>
      </c>
      <c r="B884" s="1">
        <f ca="1">IFERROR(__xludf.DUMMYFUNCTION("""COMPUTED_VALUE"""),182.07)</f>
        <v>182.07</v>
      </c>
      <c r="C884" s="1">
        <f ca="1">IFERROR(__xludf.DUMMYFUNCTION("""COMPUTED_VALUE"""),184.73)</f>
        <v>184.73</v>
      </c>
      <c r="D884" s="1">
        <f ca="1">IFERROR(__xludf.DUMMYFUNCTION("""COMPUTED_VALUE"""),180.71)</f>
        <v>180.71</v>
      </c>
      <c r="E884" s="1">
        <f ca="1">IFERROR(__xludf.DUMMYFUNCTION("""COMPUTED_VALUE"""),182.81)</f>
        <v>182.81</v>
      </c>
      <c r="F884" s="1">
        <f ca="1">IFERROR(__xludf.DUMMYFUNCTION("""COMPUTED_VALUE"""),20990352)</f>
        <v>20990352</v>
      </c>
    </row>
    <row r="885" spans="1:6" ht="12.6">
      <c r="A885" s="2">
        <f ca="1">IFERROR(__xludf.DUMMYFUNCTION("""COMPUTED_VALUE"""),45853.6666666666)</f>
        <v>45853.666666666599</v>
      </c>
      <c r="B885" s="1">
        <f ca="1">IFERROR(__xludf.DUMMYFUNCTION("""COMPUTED_VALUE"""),183.94)</f>
        <v>183.94</v>
      </c>
      <c r="C885" s="1">
        <f ca="1">IFERROR(__xludf.DUMMYFUNCTION("""COMPUTED_VALUE"""),185.41)</f>
        <v>185.41</v>
      </c>
      <c r="D885" s="1">
        <f ca="1">IFERROR(__xludf.DUMMYFUNCTION("""COMPUTED_VALUE"""),182.39)</f>
        <v>182.39</v>
      </c>
      <c r="E885" s="1">
        <f ca="1">IFERROR(__xludf.DUMMYFUNCTION("""COMPUTED_VALUE"""),183.1)</f>
        <v>183.1</v>
      </c>
      <c r="F885" s="1">
        <f ca="1">IFERROR(__xludf.DUMMYFUNCTION("""COMPUTED_VALUE"""),23911567)</f>
        <v>23911567</v>
      </c>
    </row>
    <row r="886" spans="1:6" ht="12.6">
      <c r="A886" s="2">
        <f ca="1">IFERROR(__xludf.DUMMYFUNCTION("""COMPUTED_VALUE"""),45854.6666666666)</f>
        <v>45854.666666666599</v>
      </c>
      <c r="B886" s="1">
        <f ca="1">IFERROR(__xludf.DUMMYFUNCTION("""COMPUTED_VALUE"""),184.32)</f>
        <v>184.32</v>
      </c>
      <c r="C886" s="1">
        <f ca="1">IFERROR(__xludf.DUMMYFUNCTION("""COMPUTED_VALUE"""),185.34)</f>
        <v>185.34</v>
      </c>
      <c r="D886" s="1">
        <f ca="1">IFERROR(__xludf.DUMMYFUNCTION("""COMPUTED_VALUE"""),183.08)</f>
        <v>183.08</v>
      </c>
      <c r="E886" s="1">
        <f ca="1">IFERROR(__xludf.DUMMYFUNCTION("""COMPUTED_VALUE"""),183.77)</f>
        <v>183.77</v>
      </c>
      <c r="F886" s="1">
        <f ca="1">IFERROR(__xludf.DUMMYFUNCTION("""COMPUTED_VALUE"""),21152555)</f>
        <v>21152555</v>
      </c>
    </row>
    <row r="887" spans="1:6" ht="12.6">
      <c r="A887" s="2">
        <f ca="1">IFERROR(__xludf.DUMMYFUNCTION("""COMPUTED_VALUE"""),45855.6666666666)</f>
        <v>45855.666666666599</v>
      </c>
      <c r="B887" s="1">
        <f ca="1">IFERROR(__xludf.DUMMYFUNCTION("""COMPUTED_VALUE"""),183.12)</f>
        <v>183.12</v>
      </c>
      <c r="C887" s="1">
        <f ca="1">IFERROR(__xludf.DUMMYFUNCTION("""COMPUTED_VALUE"""),185.19)</f>
        <v>185.19</v>
      </c>
      <c r="D887" s="1">
        <f ca="1">IFERROR(__xludf.DUMMYFUNCTION("""COMPUTED_VALUE"""),181.5)</f>
        <v>181.5</v>
      </c>
      <c r="E887" s="1">
        <f ca="1">IFERROR(__xludf.DUMMYFUNCTION("""COMPUTED_VALUE"""),184.7)</f>
        <v>184.7</v>
      </c>
      <c r="F887" s="1">
        <f ca="1">IFERROR(__xludf.DUMMYFUNCTION("""COMPUTED_VALUE"""),21654370)</f>
        <v>21654370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2025-07-18T20:44:21Z</dcterms:created>
  <dcterms:modified xsi:type="dcterms:W3CDTF">2025-07-18T20:47:52Z</dcterms:modified>
  <cp:category/>
  <cp:contentStatus/>
</cp:coreProperties>
</file>